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helen\AppData\Local\Dynamita\Sumo24\Process code\Model base\Full plant models\"/>
    </mc:Choice>
  </mc:AlternateContent>
  <xr:revisionPtr revIDLastSave="0" documentId="13_ncr:1_{DB97783D-5578-454B-B935-B1C12AB8980F}" xr6:coauthVersionLast="47" xr6:coauthVersionMax="47" xr10:uidLastSave="{00000000-0000-0000-0000-000000000000}"/>
  <bookViews>
    <workbookView xWindow="0" yWindow="30" windowWidth="25140" windowHeight="15450" tabRatio="762" xr2:uid="{00000000-000D-0000-FFFF-FFFF00000000}"/>
  </bookViews>
  <sheets>
    <sheet name="Help" sheetId="29" r:id="rId1"/>
    <sheet name="Parameters" sheetId="9" r:id="rId2"/>
    <sheet name="PU parameters" sheetId="37" r:id="rId3"/>
    <sheet name="Model" sheetId="1" r:id="rId4"/>
    <sheet name="pH" sheetId="4" r:id="rId5"/>
    <sheet name="Species" sheetId="20" r:id="rId6"/>
    <sheet name="Tableau" sheetId="17" state="hidden" r:id="rId7"/>
    <sheet name="Components" sheetId="2" r:id="rId8"/>
    <sheet name="Algebraic model" sheetId="13" state="hidden" r:id="rId9"/>
    <sheet name="Expert knowledge" sheetId="14" state="hidden" r:id="rId10"/>
    <sheet name="Calculated variables" sheetId="5" r:id="rId11"/>
    <sheet name="systemcode_constants" sheetId="36" state="hidden" r:id="rId12"/>
    <sheet name="Functions" sheetId="3" state="hidden" r:id="rId13"/>
    <sheet name="Code" sheetId="10" state="hidden" r:id="rId14"/>
    <sheet name="Alert" sheetId="15" state="veryHidden" r:id="rId15"/>
    <sheet name="Security" sheetId="16" state="veryHidden" r:id="rId16"/>
    <sheet name="systemcode_functions" sheetId="34" state="hidden" r:id="rId17"/>
    <sheet name="other parameters" sheetId="27" state="hidden" r:id="rId18"/>
  </sheets>
  <functionGroups builtInGroupCount="19"/>
  <definedNames>
    <definedName name="µ_ALGAE">Parameters!$D$156</definedName>
    <definedName name="µ_ALGAE_T">'Calculated variables'!$E$490</definedName>
    <definedName name="µ_AMETO">Parameters!$D$133</definedName>
    <definedName name="µ_AMETO_T">'Calculated variables'!$E$486</definedName>
    <definedName name="µ_AMX">Parameters!$D$121</definedName>
    <definedName name="µ_AMX_T">'Calculated variables'!$E$484</definedName>
    <definedName name="µ_AOB">Parameters!$D$91</definedName>
    <definedName name="µ_AOB_T">'Calculated variables'!$E$480</definedName>
    <definedName name="µ_CASTO">Parameters!$D$41</definedName>
    <definedName name="µ_CASTO_T">'Calculated variables'!$E$471</definedName>
    <definedName name="µ_FERM_OHO">Parameters!$D$8</definedName>
    <definedName name="µ_FERM_OHO_T">'Calculated variables'!$E$467</definedName>
    <definedName name="µ_FERM_PAO">Parameters!$D$43</definedName>
    <definedName name="µ_FERM_PAO_T">'Calculated variables'!$E$473</definedName>
    <definedName name="µ_HMETO">Parameters!$D$146</definedName>
    <definedName name="µ_HMETO_T">'Calculated variables'!$E$488</definedName>
    <definedName name="µ_MEOLO">Parameters!$D$29</definedName>
    <definedName name="µ_MEOLO_T">'Calculated variables'!$E$469</definedName>
    <definedName name="µ_NOB">Parameters!$D$107</definedName>
    <definedName name="µ_NOB_T">'Calculated variables'!$E$482</definedName>
    <definedName name="µ_OHO">Parameters!$D$7</definedName>
    <definedName name="µ_OHO_T">'Calculated variables'!$E$466</definedName>
    <definedName name="µ_PAO_lim">Parameters!$D$44</definedName>
    <definedName name="µ_PAO_lim_T">'Calculated variables'!$E$472</definedName>
    <definedName name="A_AR">'Calculated variables'!$E$138</definedName>
    <definedName name="A_Davies">'Calculated variables'!$E$507</definedName>
    <definedName name="A_H2O">systemcode_constants!$D$37</definedName>
    <definedName name="A_MAc">systemcode_constants!$D$166</definedName>
    <definedName name="A_MAg">systemcode_constants!$D$124</definedName>
    <definedName name="A_MAl">systemcode_constants!$D$90</definedName>
    <definedName name="A_MAm">systemcode_constants!$D$172</definedName>
    <definedName name="A_MAr">systemcode_constants!$D$95</definedName>
    <definedName name="A_MAs">systemcode_constants!$D$110</definedName>
    <definedName name="A_MAt">systemcode_constants!$D$162</definedName>
    <definedName name="A_MAu">systemcode_constants!$D$156</definedName>
    <definedName name="A_MB">systemcode_constants!$D$82</definedName>
    <definedName name="A_MBa">systemcode_constants!$D$133</definedName>
    <definedName name="A_MBe">systemcode_constants!$D$81</definedName>
    <definedName name="A_MBh">systemcode_constants!$D$184</definedName>
    <definedName name="A_MBi">systemcode_constants!$D$160</definedName>
    <definedName name="A_MBk">systemcode_constants!$D$174</definedName>
    <definedName name="A_MBr">systemcode_constants!$D$112</definedName>
    <definedName name="A_MC">systemcode_constants!$D$83</definedName>
    <definedName name="A_MCa">systemcode_constants!$D$97</definedName>
    <definedName name="A_MCd">systemcode_constants!$D$125</definedName>
    <definedName name="A_MCe">systemcode_constants!$D$135</definedName>
    <definedName name="A_MCf">systemcode_constants!$D$175</definedName>
    <definedName name="A_MCl">systemcode_constants!$D$94</definedName>
    <definedName name="A_MCm">systemcode_constants!$D$173</definedName>
    <definedName name="A_MCn">systemcode_constants!$D$189</definedName>
    <definedName name="A_MCo">systemcode_constants!$D$104</definedName>
    <definedName name="A_MCr">systemcode_constants!$D$101</definedName>
    <definedName name="A_MCs">systemcode_constants!$D$132</definedName>
    <definedName name="A_MCu">systemcode_constants!$D$106</definedName>
    <definedName name="A_MDb">systemcode_constants!$D$182</definedName>
    <definedName name="A_MDs">systemcode_constants!$D$187</definedName>
    <definedName name="A_MDy">systemcode_constants!$D$143</definedName>
    <definedName name="A_MEr">systemcode_constants!$D$145</definedName>
    <definedName name="A_MEs">systemcode_constants!$D$176</definedName>
    <definedName name="A_MEu">systemcode_constants!$D$140</definedName>
    <definedName name="A_MF">systemcode_constants!$D$86</definedName>
    <definedName name="A_MFe">systemcode_constants!$D$103</definedName>
    <definedName name="A_MFl">systemcode_constants!$D$191</definedName>
    <definedName name="A_MFm">systemcode_constants!$D$177</definedName>
    <definedName name="A_MFr">systemcode_constants!$D$164</definedName>
    <definedName name="A_MGa">systemcode_constants!$D$108</definedName>
    <definedName name="A_MGd">systemcode_constants!$D$141</definedName>
    <definedName name="A_MGe">systemcode_constants!$D$109</definedName>
    <definedName name="A_MH">systemcode_constants!$D$78</definedName>
    <definedName name="A_MHe">systemcode_constants!$D$79</definedName>
    <definedName name="A_MHf">systemcode_constants!$D$149</definedName>
    <definedName name="A_MHg">systemcode_constants!$D$157</definedName>
    <definedName name="A_MHo">systemcode_constants!$D$144</definedName>
    <definedName name="A_MHs">systemcode_constants!$D$185</definedName>
    <definedName name="A_MI">systemcode_constants!$D$130</definedName>
    <definedName name="A_MIn">systemcode_constants!$D$126</definedName>
    <definedName name="A_MIr">systemcode_constants!$D$154</definedName>
    <definedName name="A_MK">systemcode_constants!$D$96</definedName>
    <definedName name="A_MKr">systemcode_constants!$D$113</definedName>
    <definedName name="A_MLa">systemcode_constants!$D$134</definedName>
    <definedName name="A_MLi">systemcode_constants!$D$80</definedName>
    <definedName name="A_MLr">systemcode_constants!$D$180</definedName>
    <definedName name="A_MLu">systemcode_constants!$D$148</definedName>
    <definedName name="A_MLv">systemcode_constants!$D$193</definedName>
    <definedName name="A_MMd">systemcode_constants!$D$178</definedName>
    <definedName name="A_MMg">systemcode_constants!$D$89</definedName>
    <definedName name="A_MMn">systemcode_constants!$D$102</definedName>
    <definedName name="A_MMo">systemcode_constants!$D$119</definedName>
    <definedName name="A_MMt">systemcode_constants!$D$186</definedName>
    <definedName name="A_MN">systemcode_constants!$D$84</definedName>
    <definedName name="A_MNa">systemcode_constants!$D$88</definedName>
    <definedName name="A_MNb">systemcode_constants!$D$118</definedName>
    <definedName name="A_MNd">systemcode_constants!$D$137</definedName>
    <definedName name="A_MNe">systemcode_constants!$D$87</definedName>
    <definedName name="A_MNi">systemcode_constants!$D$105</definedName>
    <definedName name="A_MNo">systemcode_constants!$D$179</definedName>
    <definedName name="A_MNp">systemcode_constants!$D$170</definedName>
    <definedName name="A_MO">systemcode_constants!$D$85</definedName>
    <definedName name="A_MOs">systemcode_constants!$D$153</definedName>
    <definedName name="A_MP">systemcode_constants!$D$92</definedName>
    <definedName name="A_MPa">systemcode_constants!$D$168</definedName>
    <definedName name="A_MPb">systemcode_constants!$D$159</definedName>
    <definedName name="A_MPd">systemcode_constants!$D$123</definedName>
    <definedName name="A_MPm">systemcode_constants!$D$138</definedName>
    <definedName name="A_MPo">systemcode_constants!$D$161</definedName>
    <definedName name="A_MPr">systemcode_constants!$D$136</definedName>
    <definedName name="A_MPt">systemcode_constants!$D$155</definedName>
    <definedName name="A_MPu">systemcode_constants!$D$171</definedName>
    <definedName name="A_MRa">systemcode_constants!$D$165</definedName>
    <definedName name="A_MRb">systemcode_constants!$D$114</definedName>
    <definedName name="A_MRe">systemcode_constants!$D$152</definedName>
    <definedName name="A_MRf">systemcode_constants!$D$181</definedName>
    <definedName name="A_MRg">systemcode_constants!$D$188</definedName>
    <definedName name="A_MRh">systemcode_constants!$D$122</definedName>
    <definedName name="A_MRn">systemcode_constants!$D$163</definedName>
    <definedName name="A_MRu">systemcode_constants!$D$121</definedName>
    <definedName name="A_MS">systemcode_constants!$D$93</definedName>
    <definedName name="A_MSb">systemcode_constants!$D$128</definedName>
    <definedName name="A_MSc">systemcode_constants!$D$98</definedName>
    <definedName name="A_MSe">systemcode_constants!$D$111</definedName>
    <definedName name="A_MSg">systemcode_constants!$D$183</definedName>
    <definedName name="A_MSi">systemcode_constants!$D$91</definedName>
    <definedName name="A_MSm">systemcode_constants!$D$139</definedName>
    <definedName name="A_MSn">systemcode_constants!$D$127</definedName>
    <definedName name="A_MSr">systemcode_constants!$D$115</definedName>
    <definedName name="A_MTa">systemcode_constants!$D$150</definedName>
    <definedName name="A_MTb">systemcode_constants!$D$142</definedName>
    <definedName name="A_MTc">systemcode_constants!$D$120</definedName>
    <definedName name="A_MTe">systemcode_constants!$D$129</definedName>
    <definedName name="A_MTh">systemcode_constants!$D$167</definedName>
    <definedName name="A_MTi">systemcode_constants!$D$99</definedName>
    <definedName name="A_MTl">systemcode_constants!$D$158</definedName>
    <definedName name="A_MTm">systemcode_constants!$D$146</definedName>
    <definedName name="A_MU">systemcode_constants!$D$169</definedName>
    <definedName name="A_MUuo">systemcode_constants!$D$195</definedName>
    <definedName name="A_MUup">systemcode_constants!$D$192</definedName>
    <definedName name="A_MUus">systemcode_constants!$D$194</definedName>
    <definedName name="A_MUut">systemcode_constants!$D$190</definedName>
    <definedName name="A_MV">systemcode_constants!$D$100</definedName>
    <definedName name="A_MW">systemcode_constants!$D$151</definedName>
    <definedName name="A_MXe">systemcode_constants!$D$131</definedName>
    <definedName name="A_MY">systemcode_constants!$D$116</definedName>
    <definedName name="A_MYb">systemcode_constants!$D$147</definedName>
    <definedName name="A_MZn">systemcode_constants!$D$107</definedName>
    <definedName name="A_MZr">systemcode_constants!$D$117</definedName>
    <definedName name="A_SFHAO_H">Parameters!$D$406</definedName>
    <definedName name="A_SFHAO_L">Parameters!$D$407</definedName>
    <definedName name="A_SFHFO_H">Parameters!$D$399</definedName>
    <definedName name="A_SFHFO_L">Parameters!$D$400</definedName>
    <definedName name="A_UR">'Calculated variables'!$E$130</definedName>
    <definedName name="actferm_PAO_ORP">'Calculated variables'!$E$74</definedName>
    <definedName name="actGAO">'Calculated variables'!$E$69</definedName>
    <definedName name="actPAO">'Calculated variables'!$E$68</definedName>
    <definedName name="actsto_GAO_ORP">'Calculated variables'!$E$72</definedName>
    <definedName name="actsto_PAO_ORP">'Calculated variables'!$E$73</definedName>
    <definedName name="b_ALGAE">Parameters!$D$157</definedName>
    <definedName name="b_ALGAE_T">'Calculated variables'!$E$491</definedName>
    <definedName name="b_AMETO">Parameters!$D$134</definedName>
    <definedName name="b_AMETO_T">'Calculated variables'!$E$487</definedName>
    <definedName name="b_AMX">Parameters!$D$122</definedName>
    <definedName name="b_AMX_T">'Calculated variables'!$E$485</definedName>
    <definedName name="b_AOB">Parameters!$D$92</definedName>
    <definedName name="b_AOB_T">'Calculated variables'!$E$481</definedName>
    <definedName name="b_CASTO">Parameters!$D$45</definedName>
    <definedName name="b_CASTO_T">'Calculated variables'!$E$479</definedName>
    <definedName name="B_ellinhpH">'Calculated variables'!$E$315</definedName>
    <definedName name="B_ellinhpH_AMETO">'Calculated variables'!$E$321</definedName>
    <definedName name="B_ellinhpH_AOB">'Calculated variables'!$E$317</definedName>
    <definedName name="B_ellinhpH_FLOC_HAO">'Calculated variables'!$E$327</definedName>
    <definedName name="B_ellinhpH_FLOC_HFO">'Calculated variables'!$E$325</definedName>
    <definedName name="B_ellinhpH_HMETO">'Calculated variables'!$E$323</definedName>
    <definedName name="B_ellinhpH_NOB">'Calculated variables'!$E$319</definedName>
    <definedName name="B_H2O">systemcode_constants!$D$38</definedName>
    <definedName name="b_HMETO">Parameters!$D$147</definedName>
    <definedName name="b_HMETO_T">'Calculated variables'!$E$489</definedName>
    <definedName name="b_MEOLO">Parameters!$D$30</definedName>
    <definedName name="b_MEOLO_T">'Calculated variables'!$E$470</definedName>
    <definedName name="b_NOB">Parameters!$D$108</definedName>
    <definedName name="b_NOB_T">'Calculated variables'!$E$483</definedName>
    <definedName name="b_OHO">Parameters!$D$9</definedName>
    <definedName name="b_OHO_T">'Calculated variables'!$E$468</definedName>
    <definedName name="b_PP_ana">Parameters!$D$47</definedName>
    <definedName name="b_PP_ana_T">'Calculated variables'!$E$478</definedName>
    <definedName name="b_STC">Parameters!$D$46</definedName>
    <definedName name="b_STC_T">'Calculated variables'!$E$477</definedName>
    <definedName name="C_B">Components!$E$7</definedName>
    <definedName name="c_cm_m">systemcode_constants!$D$389</definedName>
    <definedName name="c_cm2_m2">systemcode_constants!$D$390</definedName>
    <definedName name="c_cm3_m3">systemcode_constants!$D$391</definedName>
    <definedName name="c_d_mon">systemcode_constants!$D$375</definedName>
    <definedName name="c_d_w">systemcode_constants!$D$374</definedName>
    <definedName name="c_d_y">systemcode_constants!$D$376</definedName>
    <definedName name="c_ft_m">systemcode_constants!$D$397</definedName>
    <definedName name="c_ft2_m2">systemcode_constants!$D$396</definedName>
    <definedName name="c_ft3_m3">systemcode_constants!$D$395</definedName>
    <definedName name="c_g_kg">systemcode_constants!$D$378</definedName>
    <definedName name="c_G_m3">systemcode_constants!$D$393</definedName>
    <definedName name="c_g_ton">systemcode_constants!$D$379</definedName>
    <definedName name="c_h_d">systemcode_constants!$D$369</definedName>
    <definedName name="C_H2O">systemcode_constants!$D$39</definedName>
    <definedName name="c_hargebalance">pH!$Z$20</definedName>
    <definedName name="c_hargebalanceerror">'Calculated variables'!$E$604</definedName>
    <definedName name="c_kJ_MJ">systemcode_constants!$D$381</definedName>
    <definedName name="c_L_m3">systemcode_constants!$D$380</definedName>
    <definedName name="c_lbs_g">systemcode_constants!$D$394</definedName>
    <definedName name="c_mg_g">systemcode_constants!$D$377</definedName>
    <definedName name="c_MG_m3">systemcode_constants!$D$392</definedName>
    <definedName name="c_micron_m">systemcode_constants!$D$387</definedName>
    <definedName name="c_min_d">systemcode_constants!$D$367</definedName>
    <definedName name="c_min_h">systemcode_constants!$D$368</definedName>
    <definedName name="c_mm_m">systemcode_constants!$D$388</definedName>
    <definedName name="c_mmol_mol">systemcode_constants!$D$363</definedName>
    <definedName name="c_ms_d">systemcode_constants!$D$370</definedName>
    <definedName name="c_ms_h">systemcode_constants!$D$371</definedName>
    <definedName name="c_ms_min">systemcode_constants!$D$372</definedName>
    <definedName name="c_ms_s">systemcode_constants!$D$373</definedName>
    <definedName name="c_oeffdamp_ALPHA">Parameters!$D$425</definedName>
    <definedName name="c_oefflead_TSS_α_mech">Parameters!$D$430</definedName>
    <definedName name="c_oefflin_TSS_α_mech">Parameters!$D$431</definedName>
    <definedName name="c_onstTSS_α_mech">Parameters!$D$432</definedName>
    <definedName name="c_orrh_diff_α">'Calculated variables'!$E$712</definedName>
    <definedName name="c_orrTSS_α">'Calculated variables'!$E$713</definedName>
    <definedName name="C_OUR">'Calculated variables'!$E$126</definedName>
    <definedName name="c_p_water">systemcode_constants!$D$66</definedName>
    <definedName name="c_Pa_bar">systemcode_constants!$D$385</definedName>
    <definedName name="c_Pa_Hgmm">systemcode_constants!$D$384</definedName>
    <definedName name="c_Pa_mbar">systemcode_constants!$D$386</definedName>
    <definedName name="c_Pa_MPa">systemcode_constants!$D$383</definedName>
    <definedName name="c_percent_fraction">systemcode_constants!$D$362</definedName>
    <definedName name="c_percent_Vconc">systemcode_constants!$D$361</definedName>
    <definedName name="c_ppm_Vconc">systemcode_constants!$D$360</definedName>
    <definedName name="c_s_d">systemcode_constants!$D$364</definedName>
    <definedName name="c_s_h">systemcode_constants!$D$365</definedName>
    <definedName name="c_s_min">systemcode_constants!$D$366</definedName>
    <definedName name="C_U">Components!$E$11</definedName>
    <definedName name="c_W_kW">systemcode_constants!$D$382</definedName>
    <definedName name="conc_Acm_I">Species!$D$19</definedName>
    <definedName name="conc_Acm_Ieq">'Calculated variables'!$E$556</definedName>
    <definedName name="conc_ANm_I">Species!$D$24</definedName>
    <definedName name="conc_Ca2p_I">Species!$D$20</definedName>
    <definedName name="conc_CATp_I">Species!$D$22</definedName>
    <definedName name="conc_CO32m_I">Species!$D$13</definedName>
    <definedName name="conc_Fe2p_I">Species!$D$25</definedName>
    <definedName name="conc_H2CO3_I">Species!$D$11</definedName>
    <definedName name="conc_H2PO4m_I">Species!$D$15</definedName>
    <definedName name="conc_H2PO4m_Ieq">'Calculated variables'!$E$555</definedName>
    <definedName name="conc_H3PO4_I">Species!$D$14</definedName>
    <definedName name="conc_HAc_I">Species!$D$18</definedName>
    <definedName name="conc_HCO3m_I">Species!$D$12</definedName>
    <definedName name="conc_HNO2_I">Species!$D$8</definedName>
    <definedName name="conc_Hp_I">Species!$D$4</definedName>
    <definedName name="conc_Hp_Ieq">systemcode_constants!$D$352</definedName>
    <definedName name="conc_HPO42m_I">Species!$D$16</definedName>
    <definedName name="conc_HPO42m_Ieq">'Calculated variables'!$E$554</definedName>
    <definedName name="conc_Kp_I">Species!$D$23</definedName>
    <definedName name="conc_Mg2p_I">Species!$D$21</definedName>
    <definedName name="conc_NH3_I">Species!$D$6</definedName>
    <definedName name="conc_NH4p_I">Species!$D$7</definedName>
    <definedName name="conc_NO2m_I">Species!$D$9</definedName>
    <definedName name="conc_NO2m_Ieq">'Calculated variables'!$E$557</definedName>
    <definedName name="conc_NO3m_I">Species!$D$10</definedName>
    <definedName name="conc_OHm_I">Species!$D$5</definedName>
    <definedName name="conc_PO43m_I">Species!$D$17</definedName>
    <definedName name="d_ampALPHA">'Calculated variables'!$E$711</definedName>
    <definedName name="D_CB">systemcode_constants!$D$479</definedName>
    <definedName name="D_CU">systemcode_constants!$D$480</definedName>
    <definedName name="D_eltaHbio">Parameters!$D$485</definedName>
    <definedName name="D_GCH4_25">systemcode_constants!$D$30</definedName>
    <definedName name="D_GCO2_25">systemcode_constants!$D$28</definedName>
    <definedName name="D_GH2_25">systemcode_constants!$D$29</definedName>
    <definedName name="D_GH2S_25">systemcode_constants!$D$33</definedName>
    <definedName name="D_GN2_25">systemcode_constants!$D$26</definedName>
    <definedName name="D_GN2O_25">systemcode_constants!$D$32</definedName>
    <definedName name="D_GNH3_25">systemcode_constants!$D$27</definedName>
    <definedName name="D_GNO_25">systemcode_constants!$D$31</definedName>
    <definedName name="D_GO2_25">systemcode_constants!$D$25</definedName>
    <definedName name="d_HCaCO3">systemcode_constants!$D$451</definedName>
    <definedName name="d_HCaH2PO4p">systemcode_constants!$D$455</definedName>
    <definedName name="d_HCaHCO3p">systemcode_constants!$D$452</definedName>
    <definedName name="d_HCaHPO4">systemcode_constants!$D$454</definedName>
    <definedName name="d_HCaOHp">systemcode_constants!$D$450</definedName>
    <definedName name="d_HCaPO4m">systemcode_constants!$D$453</definedName>
    <definedName name="d_Hdiss_But">systemcode_constants!$D$444</definedName>
    <definedName name="d_Hdiss_CO2_1">systemcode_constants!$D$437</definedName>
    <definedName name="d_Hdiss_CO2_2">systemcode_constants!$D$438</definedName>
    <definedName name="d_Hdiss_H2O">systemcode_constants!$D$434</definedName>
    <definedName name="d_Hdiss_NO2">systemcode_constants!$D$436</definedName>
    <definedName name="d_Hdiss_PO4_1">systemcode_constants!$D$439</definedName>
    <definedName name="d_Hdiss_PO4_2">systemcode_constants!$D$440</definedName>
    <definedName name="d_Hdiss_PO4_3">systemcode_constants!$D$441</definedName>
    <definedName name="d_Hdiss_Prop">systemcode_constants!$D$443</definedName>
    <definedName name="d_Hdiss_S_1">systemcode_constants!$D$446</definedName>
    <definedName name="d_Hdiss_S_2">systemcode_constants!$D$447</definedName>
    <definedName name="d_Hdiss_SO4_1">systemcode_constants!$D$448</definedName>
    <definedName name="d_Hdiss_SO4_2">systemcode_constants!$D$449</definedName>
    <definedName name="d_Hdiss_Val">systemcode_constants!$D$445</definedName>
    <definedName name="d_Hdiss_VFA">systemcode_constants!$D$442</definedName>
    <definedName name="d_Hion_amm">systemcode_constants!$D$435</definedName>
    <definedName name="d_HMgCO3">systemcode_constants!$D$457</definedName>
    <definedName name="d_HMgH2PO4p">systemcode_constants!$D$461</definedName>
    <definedName name="d_HMgHCO3p">systemcode_constants!$D$458</definedName>
    <definedName name="d_HMgHPO4">systemcode_constants!$D$459</definedName>
    <definedName name="d_HMgOHp">systemcode_constants!$D$456</definedName>
    <definedName name="d_HMgPO4m">systemcode_constants!$D$460</definedName>
    <definedName name="d_HNaHPO4m">systemcode_constants!$D$462</definedName>
    <definedName name="D_isplay_µALGAE_T">'Calculated variables'!$E$807</definedName>
    <definedName name="D_isplay_µAOB_T">'Calculated variables'!$E$789</definedName>
    <definedName name="D_isplay_BellinhpH_AOB">'Calculated variables'!$E$802</definedName>
    <definedName name="D_isplay_LightSwitch">'Calculated variables'!$E$810</definedName>
    <definedName name="D_isplay_LogsatpHCO2_AOB">'Calculated variables'!$E$792</definedName>
    <definedName name="D_isplay_MinhpHHNO2_AOB">'Calculated variables'!$E$800</definedName>
    <definedName name="D_isplay_MinhpHNH3_NITO">'Calculated variables'!$E$801</definedName>
    <definedName name="D_isplay_MinhSNHx_KiNHx_ALGAE">'Calculated variables'!$E$812</definedName>
    <definedName name="D_isplay_MsatSALK_KALK">'Calculated variables'!$E$803</definedName>
    <definedName name="D_isplay_MsatSAN_KAN">'Calculated variables'!$E$796</definedName>
    <definedName name="D_isplay_MsatSCa_KCa">'Calculated variables'!$E$797</definedName>
    <definedName name="D_isplay_MsatSCAT_KCAT">'Calculated variables'!$E$795</definedName>
    <definedName name="D_isplay_MsatSCO2_KCO2_ALGAE">'Calculated variables'!$E$809</definedName>
    <definedName name="D_isplay_MsatSMg_KMg">'Calculated variables'!$E$798</definedName>
    <definedName name="D_isplay_MsatSNHx_KNHx_ALGAE">'Calculated variables'!$E$813</definedName>
    <definedName name="D_isplay_MsatSNHx_KNHx_AOB">'Calculated variables'!$E$791</definedName>
    <definedName name="D_isplay_MsatSNOx_KNOx_ALGAE">'Calculated variables'!$E$811</definedName>
    <definedName name="D_isplay_MsatSO2_KO2_AOB">'Calculated variables'!$E$793</definedName>
    <definedName name="D_isplay_MsatSPO4_KPO4_BIO">'Calculated variables'!$E$794</definedName>
    <definedName name="D_isplay_MsatSSO4_KSO4_BIO">'Calculated variables'!$E$799</definedName>
    <definedName name="D_isplay_XALGAE">'Calculated variables'!$E$808</definedName>
    <definedName name="D_isplay_XAOB">'Calculated variables'!$E$790</definedName>
    <definedName name="D_NBS">systemcode_constants!$D$489</definedName>
    <definedName name="D_NH3">systemcode_constants!$D$484</definedName>
    <definedName name="D_NO3">systemcode_constants!$D$485</definedName>
    <definedName name="D_NUS">systemcode_constants!$D$488</definedName>
    <definedName name="D_PO4">systemcode_constants!$D$486</definedName>
    <definedName name="D_SA">systemcode_constants!$D$467</definedName>
    <definedName name="D_SALK">systemcode_constants!$D$515</definedName>
    <definedName name="D_SALPHA">systemcode_constants!$D$473</definedName>
    <definedName name="D_SAN">systemcode_constants!$D$511</definedName>
    <definedName name="D_SB">systemcode_constants!$D$469</definedName>
    <definedName name="D_SB_mono">systemcode_constants!$D$470</definedName>
    <definedName name="D_SB_poly">systemcode_constants!$D$471</definedName>
    <definedName name="D_SBSA">systemcode_constants!$D$468</definedName>
    <definedName name="D_SBSC">systemcode_constants!$D$475</definedName>
    <definedName name="D_SCa">systemcode_constants!$D$508</definedName>
    <definedName name="D_SCAT">systemcode_constants!$D$510</definedName>
    <definedName name="D_SCH4">systemcode_constants!$D$504</definedName>
    <definedName name="D_SCO2">systemcode_constants!$D$506</definedName>
    <definedName name="D_SF">systemcode_constants!$D$474</definedName>
    <definedName name="D_SFe2">systemcode_constants!$D$514</definedName>
    <definedName name="D_SH2">systemcode_constants!$D$505</definedName>
    <definedName name="D_SH2S">systemcode_constants!$D$512</definedName>
    <definedName name="D_SHCO">systemcode_constants!$D$516</definedName>
    <definedName name="D_SI">systemcode_constants!$D$478</definedName>
    <definedName name="D_SK">systemcode_constants!$D$507</definedName>
    <definedName name="D_SMEOL">systemcode_constants!$D$476</definedName>
    <definedName name="D_SMg">systemcode_constants!$D$509</definedName>
    <definedName name="D_SMM_index">systemcode_constants!$D$517</definedName>
    <definedName name="D_SN_B">systemcode_constants!$D$497</definedName>
    <definedName name="D_SN2">systemcode_constants!$D$487</definedName>
    <definedName name="D_SN2O">systemcode_constants!$D$496</definedName>
    <definedName name="D_SND">systemcode_constants!$D$498</definedName>
    <definedName name="D_SNH">systemcode_constants!$D$483</definedName>
    <definedName name="D_SNH2OH">systemcode_constants!$D$492</definedName>
    <definedName name="D_SNH4">systemcode_constants!$D$482</definedName>
    <definedName name="D_SNHx">systemcode_constants!$D$481</definedName>
    <definedName name="D_SNO">systemcode_constants!$D$495</definedName>
    <definedName name="D_SNO2">systemcode_constants!$D$494</definedName>
    <definedName name="D_SNO3">systemcode_constants!$D$493</definedName>
    <definedName name="D_SNOx">systemcode_constants!$D$491</definedName>
    <definedName name="D_SO">systemcode_constants!$D$503</definedName>
    <definedName name="D_SO2">systemcode_constants!$D$502</definedName>
    <definedName name="D_SP_B">systemcode_constants!$D$501</definedName>
    <definedName name="D_SPO">systemcode_constants!$D$500</definedName>
    <definedName name="D_SPO4">systemcode_constants!$D$499</definedName>
    <definedName name="D_SS">systemcode_constants!$D$472</definedName>
    <definedName name="D_SSO4">systemcode_constants!$D$513</definedName>
    <definedName name="D_SU">systemcode_constants!$D$477</definedName>
    <definedName name="D_SUS">systemcode_constants!$D$490</definedName>
    <definedName name="D_SVFA">systemcode_constants!$D$466</definedName>
    <definedName name="E_EQFe2">systemcode_constants!$D$337</definedName>
    <definedName name="E_EQH2S">systemcode_constants!$D$339</definedName>
    <definedName name="E_EQN2">systemcode_constants!$D$324</definedName>
    <definedName name="E_EQN2_N2O">systemcode_constants!$D$335</definedName>
    <definedName name="E_EQN2_NO2">systemcode_constants!$D$332</definedName>
    <definedName name="E_EQN2_NO3">systemcode_constants!$D$336</definedName>
    <definedName name="E_EQN2O">systemcode_constants!$D$325</definedName>
    <definedName name="E_EQN2O_NO">systemcode_constants!$D$334</definedName>
    <definedName name="E_EQNH2OH">systemcode_constants!$D$329</definedName>
    <definedName name="E_EQNH2OH_NO">systemcode_constants!$D$330</definedName>
    <definedName name="E_EQNO">systemcode_constants!$D$326</definedName>
    <definedName name="E_EQNO_NO2">systemcode_constants!$D$333</definedName>
    <definedName name="E_EQNO2">systemcode_constants!$D$327</definedName>
    <definedName name="E_EQNO2_NO3">systemcode_constants!$D$331</definedName>
    <definedName name="E_EQNO3">systemcode_constants!$D$328</definedName>
    <definedName name="E_EQS">systemcode_constants!$D$338</definedName>
    <definedName name="e_rrorNHx_NOx">'Calculated variables'!$E$55</definedName>
    <definedName name="F__">systemcode_constants!$D$64</definedName>
    <definedName name="f_Ar_air">systemcode_constants!$D$48</definedName>
    <definedName name="f_bw_floc">'Calculated variables'!$E$59</definedName>
    <definedName name="f_C_BOD5_BODult">Parameters!$D$394</definedName>
    <definedName name="f_CO2_air">systemcode_constants!$D$49</definedName>
    <definedName name="f_di">'Calculated variables'!$E$517</definedName>
    <definedName name="f_di_IS_an">systemcode_constants!$D$346</definedName>
    <definedName name="f_di_IS_cat">systemcode_constants!$D$345</definedName>
    <definedName name="f_di_ISlim">'Calculated variables'!$E$514</definedName>
    <definedName name="f_E">Parameters!$D$346</definedName>
    <definedName name="f_H2O_HAO_TSS">Parameters!$D$408</definedName>
    <definedName name="f_H2O_HAO_VSS">Parameters!$D$409</definedName>
    <definedName name="f_H2O_HFO_TSS">Parameters!$D$401</definedName>
    <definedName name="f_H2O_HFO_VSS">Parameters!$D$402</definedName>
    <definedName name="f_kL_GCH4">Parameters!$D$418</definedName>
    <definedName name="f_kL_GCO2">Parameters!$D$417</definedName>
    <definedName name="f_kL_GH2">Parameters!$D$419</definedName>
    <definedName name="f_kL_GN2">Parameters!$D$416</definedName>
    <definedName name="f_kL_GNH3">Parameters!$D$420</definedName>
    <definedName name="f_KS">'other parameters'!$D$8</definedName>
    <definedName name="f_KS_biofilm">Parameters!$D$272</definedName>
    <definedName name="f_mono">'Calculated variables'!$E$516</definedName>
    <definedName name="f_mono_IS_an">systemcode_constants!$D$344</definedName>
    <definedName name="f_mono_IS_cat">systemcode_constants!$D$343</definedName>
    <definedName name="f_mono_ISlim">'Calculated variables'!$E$513</definedName>
    <definedName name="f_N2_air">systemcode_constants!$D$47</definedName>
    <definedName name="f_Na">Parameters!$D$385</definedName>
    <definedName name="f_O2_air">systemcode_constants!$D$46</definedName>
    <definedName name="f_O2_max_ALPHA">Parameters!$D$424</definedName>
    <definedName name="f_P_VFA">Parameters!$D$333</definedName>
    <definedName name="f_S_BOD5_BODult">Parameters!$D$393</definedName>
    <definedName name="f_TOC_1">Parameters!$D$454</definedName>
    <definedName name="f_TOC_2">Parameters!$D$455</definedName>
    <definedName name="f_tri">'Calculated variables'!$E$518</definedName>
    <definedName name="f_tri_IS_an">systemcode_constants!$D$348</definedName>
    <definedName name="f_tri_IS_cat">systemcode_constants!$D$347</definedName>
    <definedName name="f_tri_ISlim">'Calculated variables'!$E$515</definedName>
    <definedName name="f_VFA_DM">Parameters!$D$388</definedName>
    <definedName name="f_X_BOD5_BODult">Parameters!$D$395</definedName>
    <definedName name="G_CH4">Components!$E$78</definedName>
    <definedName name="G_CH4_atm">Components!$E$84</definedName>
    <definedName name="G_CO2">Components!$E$77</definedName>
    <definedName name="G_CO2_atm">Components!$E$83</definedName>
    <definedName name="g_grav">systemcode_constants!$D$65</definedName>
    <definedName name="G_H2">Components!$E$79</definedName>
    <definedName name="G_H2_atm">Components!$E$85</definedName>
    <definedName name="G_N2">Components!$E$82</definedName>
    <definedName name="G_N2_atm">Components!$E$88</definedName>
    <definedName name="G_NH3">Components!$E$81</definedName>
    <definedName name="G_NH3_atm">Components!$E$87</definedName>
    <definedName name="G_O2">Components!$E$80</definedName>
    <definedName name="G_O2_atm">Components!$E$86</definedName>
    <definedName name="H_Acm">systemcode_constants!$D$417</definedName>
    <definedName name="H_Ca2p">systemcode_constants!$D$424</definedName>
    <definedName name="H_CO32m">systemcode_constants!$D$411</definedName>
    <definedName name="h_diff">'other parameters'!$D$12</definedName>
    <definedName name="H_enryGCH4_25">systemcode_constants!$D$16</definedName>
    <definedName name="H_enryGCH4_dt">systemcode_constants!$D$17</definedName>
    <definedName name="H_enryGCO2_25">systemcode_constants!$D$6</definedName>
    <definedName name="H_enryGCO2_dt">systemcode_constants!$D$7</definedName>
    <definedName name="H_enryGH2_25">systemcode_constants!$D$14</definedName>
    <definedName name="H_enryGH2_dt">systemcode_constants!$D$15</definedName>
    <definedName name="H_enryGH2S_25">systemcode_constants!$D$20</definedName>
    <definedName name="H_enryGH2S_dt">systemcode_constants!$D$21</definedName>
    <definedName name="H_enryGN2_25">systemcode_constants!$D$12</definedName>
    <definedName name="H_enryGN2_dt">systemcode_constants!$D$13</definedName>
    <definedName name="H_enryGN2O_25">systemcode_constants!$D$10</definedName>
    <definedName name="H_enryGN2O_dt">systemcode_constants!$D$11</definedName>
    <definedName name="H_enryGNH3_25">systemcode_constants!$D$18</definedName>
    <definedName name="H_enryGNH3_dt">systemcode_constants!$D$19</definedName>
    <definedName name="H_enryGNO_25">systemcode_constants!$D$8</definedName>
    <definedName name="H_enryGNO_dt">systemcode_constants!$D$9</definedName>
    <definedName name="H_enryGO2_25">systemcode_constants!$D$4</definedName>
    <definedName name="H_enryGO2_dt">systemcode_constants!$D$5</definedName>
    <definedName name="H_H2CO3">systemcode_constants!$D$409</definedName>
    <definedName name="H_H2O">systemcode_constants!$D$430</definedName>
    <definedName name="H_H2PO4m">systemcode_constants!$D$413</definedName>
    <definedName name="H_H2S">systemcode_constants!$D$418</definedName>
    <definedName name="H_H2SO4">systemcode_constants!$D$421</definedName>
    <definedName name="H_H3Op">systemcode_constants!$D$402</definedName>
    <definedName name="H_H3PO4">systemcode_constants!$D$412</definedName>
    <definedName name="H_HAc">systemcode_constants!$D$416</definedName>
    <definedName name="H_HCO3m">systemcode_constants!$D$410</definedName>
    <definedName name="H_HNO2">systemcode_constants!$D$406</definedName>
    <definedName name="H_Hp">systemcode_constants!$D$401</definedName>
    <definedName name="H_HPO42m">systemcode_constants!$D$414</definedName>
    <definedName name="H_HSm">systemcode_constants!$D$419</definedName>
    <definedName name="H_HSO4m">systemcode_constants!$D$422</definedName>
    <definedName name="H_Mg2p">systemcode_constants!$D$425</definedName>
    <definedName name="H_Nap">systemcode_constants!$D$426</definedName>
    <definedName name="H_NH3">systemcode_constants!$D$404</definedName>
    <definedName name="H_NH4p">systemcode_constants!$D$405</definedName>
    <definedName name="H_NO2m">systemcode_constants!$D$407</definedName>
    <definedName name="H_NO3m">systemcode_constants!$D$408</definedName>
    <definedName name="H_OHm">systemcode_constants!$D$403</definedName>
    <definedName name="H_PO43m">systemcode_constants!$D$415</definedName>
    <definedName name="H_S2m">systemcode_constants!$D$420</definedName>
    <definedName name="H_satSVFA_AMETO">'Calculated variables'!$E$420</definedName>
    <definedName name="H_SO42m">systemcode_constants!$D$423</definedName>
    <definedName name="H_STP">systemcode_constants!$D$70</definedName>
    <definedName name="i_Ca_INORG">Parameters!$D$386</definedName>
    <definedName name="i_Ca_PP">Parameters!$D$382</definedName>
    <definedName name="i_CIT_ALGAE">Parameters!$D$374</definedName>
    <definedName name="i_CIT_BIO">Parameters!$D$373</definedName>
    <definedName name="i_CIT_CH4">Parameters!$D$378</definedName>
    <definedName name="i_CIT_MEOL">Parameters!$D$377</definedName>
    <definedName name="i_CIT_PHA">Parameters!$D$380</definedName>
    <definedName name="i_CIT_SB">Parameters!$D$375</definedName>
    <definedName name="i_CIT_STC">'Calculated variables'!$E$77</definedName>
    <definedName name="i_CIT_VFA">Parameters!$D$379</definedName>
    <definedName name="i_CIT_XBe">Parameters!$D$376</definedName>
    <definedName name="i_CV_BIO">Parameters!$D$365</definedName>
    <definedName name="i_CV_CB">Parameters!$D$370</definedName>
    <definedName name="i_CV_CU">Parameters!$D$371</definedName>
    <definedName name="i_CV_PHA">Parameters!$D$372</definedName>
    <definedName name="i_CV_SB">Parameters!$D$368</definedName>
    <definedName name="i_CV_SU">Parameters!$D$369</definedName>
    <definedName name="i_CV_VFA">Parameters!$D$367</definedName>
    <definedName name="i_CV_XB">Parameters!$D$363</definedName>
    <definedName name="i_CV_XBe">'Calculated variables'!$E$60</definedName>
    <definedName name="i_CV_XE">Parameters!$D$366</definedName>
    <definedName name="i_CV_XU">Parameters!$D$364</definedName>
    <definedName name="i_INORG">Parameters!$D$381</definedName>
    <definedName name="i_iw_BIO">Parameters!$D$459</definedName>
    <definedName name="i_K_PP">Parameters!$D$384</definedName>
    <definedName name="i_Mg_INORG">Parameters!$D$387</definedName>
    <definedName name="i_Mg_PP">Parameters!$D$383</definedName>
    <definedName name="i_N_ALGAE">Parameters!$D$348</definedName>
    <definedName name="i_N_BIO">Parameters!$D$347</definedName>
    <definedName name="i_N_CB">Parameters!$D$350</definedName>
    <definedName name="i_N_CU">Parameters!$D$351</definedName>
    <definedName name="i_N_SU">Parameters!$D$352</definedName>
    <definedName name="i_N_XE">Parameters!$D$349</definedName>
    <definedName name="i_N_XSTR">Parameters!$D$353</definedName>
    <definedName name="i_P_ALGAE">Parameters!$D$355</definedName>
    <definedName name="i_P_BIO">Parameters!$D$354</definedName>
    <definedName name="i_P_CB">Parameters!$D$356</definedName>
    <definedName name="i_P_CU">Parameters!$D$357</definedName>
    <definedName name="i_P_SU">Parameters!$D$358</definedName>
    <definedName name="i_P_XACP">Parameters!$D$360</definedName>
    <definedName name="i_P_XBSH">Parameters!$D$361</definedName>
    <definedName name="i_P_XSTR">Parameters!$D$359</definedName>
    <definedName name="i_P_XVivi">Parameters!$D$362</definedName>
    <definedName name="I_S">'Calculated variables'!$E$562</definedName>
    <definedName name="I_Scalc">pH!$Z$21</definedName>
    <definedName name="I_Serror">'Calculated variables'!$E$605</definedName>
    <definedName name="I_Sinput_AS">Parameters!$D$446</definedName>
    <definedName name="I_Sinput_DIG">Parameters!$D$447</definedName>
    <definedName name="I_Sinput_sidestream">Parameters!$D$448</definedName>
    <definedName name="I_Slim">Parameters!$D$449</definedName>
    <definedName name="i_TSS_PP">Parameters!$D$334</definedName>
    <definedName name="i_vw_BIO">Parameters!$D$466</definedName>
    <definedName name="i_vw_CB">Parameters!$D$468</definedName>
    <definedName name="i_vw_CU">Parameters!$D$469</definedName>
    <definedName name="i_vw_EPS">Parameters!$D$471</definedName>
    <definedName name="i_vw_PHA">Parameters!$D$470</definedName>
    <definedName name="i_vw_XB">Parameters!$D$463</definedName>
    <definedName name="i_vw_XBe">Parameters!$D$464</definedName>
    <definedName name="i_vw_XE">Parameters!$D$467</definedName>
    <definedName name="i_vw_XU">Parameters!$D$465</definedName>
    <definedName name="i_wh_BIO">Parameters!$D$478</definedName>
    <definedName name="i_wh_EPS">Parameters!$D$481</definedName>
    <definedName name="i_wh_PHA">Parameters!$D$480</definedName>
    <definedName name="i_wh_XB">Parameters!$D$475</definedName>
    <definedName name="i_wh_XBe">Parameters!$D$476</definedName>
    <definedName name="i_wh_XE">Parameters!$D$479</definedName>
    <definedName name="i_wh_XU">Parameters!$D$477</definedName>
    <definedName name="J_photosynt_solar">'other parameters'!$D$88</definedName>
    <definedName name="J_photosynt_solar_opt">'other parameters'!$D$89</definedName>
    <definedName name="K_Ac">'Calculated variables'!$E$540</definedName>
    <definedName name="K_Ac_param">systemcode_constants!$D$301</definedName>
    <definedName name="K_Ac_T">'Calculated variables'!$E$528</definedName>
    <definedName name="K_ACP_DISS">Parameters!$D$177</definedName>
    <definedName name="K_AN">'Calculated variables'!$E$274</definedName>
    <definedName name="K_AN_AS">Parameters!$D$220</definedName>
    <definedName name="K_BSH_DISS">Parameters!$D$178</definedName>
    <definedName name="K_But_param">systemcode_constants!$D$303</definedName>
    <definedName name="K_C1">'Calculated variables'!$E$535</definedName>
    <definedName name="K_C1_param">systemcode_constants!$D$296</definedName>
    <definedName name="K_C1_T">'Calculated variables'!$E$523</definedName>
    <definedName name="K_C2">'Calculated variables'!$E$536</definedName>
    <definedName name="K_C2_param">systemcode_constants!$D$297</definedName>
    <definedName name="K_C2_T">'Calculated variables'!$E$524</definedName>
    <definedName name="K_Ca_BIO">'Calculated variables'!$E$278</definedName>
    <definedName name="K_Ca_BIO_AS">Parameters!$D$222</definedName>
    <definedName name="K_Ca_PAO">'Calculated variables'!$E$237</definedName>
    <definedName name="K_Ca_PAO_AS">Parameters!$D$74</definedName>
    <definedName name="K_CaCO3_DISS">Parameters!$D$179</definedName>
    <definedName name="K_CAT">'Calculated variables'!$E$272</definedName>
    <definedName name="K_CAT_AS">Parameters!$D$219</definedName>
    <definedName name="K_CB_FLOC">Parameters!$D$247</definedName>
    <definedName name="K_CB_FLOC_HAO">Parameters!$D$251</definedName>
    <definedName name="K_CB_FLOC_HFO">Parameters!$D$249</definedName>
    <definedName name="K_CO2_ALGAE">Parameters!$D$158</definedName>
    <definedName name="K_CO2_AMX_pH">'Calculated variables'!$E$178</definedName>
    <definedName name="K_CO2_AMX_pH_AS">Parameters!$D$125</definedName>
    <definedName name="K_CO2_AOB_pH">'Calculated variables'!$E$149</definedName>
    <definedName name="K_CO2_AOB_pH_AS">Parameters!$D$94</definedName>
    <definedName name="K_CO2_AOB_pH_sidestream">Parameters!$D$96</definedName>
    <definedName name="K_CO2_BIO">'Calculated variables'!$E$270</definedName>
    <definedName name="K_CO2_BIO_AS">Parameters!$D$218</definedName>
    <definedName name="K_CO2_NOB_pH">'Calculated variables'!$E$163</definedName>
    <definedName name="K_CO2_NOB_pH_AS">Parameters!$D$110</definedName>
    <definedName name="K_CU_FLOC">Parameters!$D$248</definedName>
    <definedName name="K_CU_FLOC_HAO">Parameters!$D$252</definedName>
    <definedName name="K_CU_FLOC_HFO">Parameters!$D$250</definedName>
    <definedName name="K_H2_HMETO">'Calculated variables'!$E$257</definedName>
    <definedName name="K_H2_HMETO_AS">Parameters!$D$148</definedName>
    <definedName name="K_H2S_param">systemcode_constants!$D$309</definedName>
    <definedName name="K_HYD">'Calculated variables'!$E$280</definedName>
    <definedName name="K_HYD_AS">Parameters!$D$244</definedName>
    <definedName name="K_iHNO2_AMX_pH">'Calculated variables'!$E$183</definedName>
    <definedName name="K_iHNO2_AMX_pH_AS">Parameters!$D$129</definedName>
    <definedName name="K_iHNO2_AOB_pH">'Calculated variables'!$E$156</definedName>
    <definedName name="K_iHNO2_AOB_pH_AS">Parameters!$D$101</definedName>
    <definedName name="K_iNH3_AMETO_pH">'Calculated variables'!$E$248</definedName>
    <definedName name="K_iNH3_AMETO_pH_AS">Parameters!$D$137</definedName>
    <definedName name="K_iNH3_NOB_pH">'Calculated variables'!$E$169</definedName>
    <definedName name="K_iNH3_NOB_pH_AS">Parameters!$D$115</definedName>
    <definedName name="K_iNHx_ALGAE">Parameters!$D$162</definedName>
    <definedName name="K_iNHx_ASSIM">'Calculated variables'!$E$282</definedName>
    <definedName name="K_iNHx_ASSIM_AS">Parameters!$D$262</definedName>
    <definedName name="K_iO2_AMETO">'Calculated variables'!$E$250</definedName>
    <definedName name="K_iO2_AMETO_AS">Parameters!$D$139</definedName>
    <definedName name="K_iO2_AMX">'Calculated variables'!$E$179</definedName>
    <definedName name="K_iO2_AMX_AS">Parameters!$D$127</definedName>
    <definedName name="K_iO2_HMETO">'Calculated variables'!$E$259</definedName>
    <definedName name="K_iO2_HMETO_AS">Parameters!$D$149</definedName>
    <definedName name="K_iO2_MEOLO">'Calculated variables'!$E$212</definedName>
    <definedName name="K_iO2_MEOLO_AS">Parameters!$D$33</definedName>
    <definedName name="K_iP_HAO_DESORP">Parameters!$D$212</definedName>
    <definedName name="K_iP_HAO_DISS">Parameters!$D$210</definedName>
    <definedName name="K_iP_HFO_DESORP">Parameters!$D$197</definedName>
    <definedName name="K_iP_HFO_DISS">Parameters!$D$195</definedName>
    <definedName name="K_iPHA_GAO_max">Parameters!$D$81</definedName>
    <definedName name="K_iPHA_PAO_max">Parameters!$D$70</definedName>
    <definedName name="K_iPO4_lim">'Calculated variables'!$E$239</definedName>
    <definedName name="K_iPO4_lim_AS">Parameters!$D$76</definedName>
    <definedName name="K_iPP_PAO_max">Parameters!$D$67</definedName>
    <definedName name="K_iVFA_AMETO">'Calculated variables'!$E$246</definedName>
    <definedName name="K_iVFA_AMETO_AS">Parameters!$D$136</definedName>
    <definedName name="K_K_PAO">'Calculated variables'!$E$235</definedName>
    <definedName name="K_K_PAO_AS">Parameters!$D$73</definedName>
    <definedName name="k_L_GCH4_bub">'Calculated variables'!$E$699</definedName>
    <definedName name="k_L_GCH4_sur">'Calculated variables'!$E$704</definedName>
    <definedName name="k_L_GCO2_bub">'Calculated variables'!$E$698</definedName>
    <definedName name="k_L_GCO2_sur">'Calculated variables'!$E$703</definedName>
    <definedName name="k_L_GH2_bub">'Calculated variables'!$E$700</definedName>
    <definedName name="k_L_GH2_sur">'Calculated variables'!$E$705</definedName>
    <definedName name="k_L_GN2_bub">'Calculated variables'!$E$697</definedName>
    <definedName name="k_L_GN2_sur">'Calculated variables'!$E$702</definedName>
    <definedName name="k_L_GNH3_bub">'Calculated variables'!$E$701</definedName>
    <definedName name="k_L_GNH3_sur">'Calculated variables'!$E$706</definedName>
    <definedName name="k_L_GO2_bub">Parameters!$D$413</definedName>
    <definedName name="k_L_GO2_PondSurface">Parameters!$D$415</definedName>
    <definedName name="k_L_GO2_sur">Parameters!$D$414</definedName>
    <definedName name="k_LaGCH4_bub">'other parameters'!$D$16</definedName>
    <definedName name="k_LaGCH4_sur">'other parameters'!$D$33</definedName>
    <definedName name="k_LaGCO2_bub">'other parameters'!$D$15</definedName>
    <definedName name="k_LaGCO2_sur">'other parameters'!$D$32</definedName>
    <definedName name="k_LaGH2_bub">'other parameters'!$D$17</definedName>
    <definedName name="k_LaGH2_sur">'other parameters'!$D$34</definedName>
    <definedName name="k_LaGH2S_bub">'other parameters'!$D$13</definedName>
    <definedName name="k_LaGH2S_sur">'other parameters'!$D$30</definedName>
    <definedName name="k_LaGN2_bub">'other parameters'!$D$19</definedName>
    <definedName name="k_LaGN2_sur">'other parameters'!$D$36</definedName>
    <definedName name="k_LaGNH3_bub">'other parameters'!$D$18</definedName>
    <definedName name="k_LaGNH3_sur">'other parameters'!$D$35</definedName>
    <definedName name="k_LaGO2_bub">'other parameters'!$D$14</definedName>
    <definedName name="k_LaGO2_sur">'other parameters'!$D$31</definedName>
    <definedName name="K_MEOL">'Calculated variables'!$E$210</definedName>
    <definedName name="K_MEOL_AS">Parameters!$D$32</definedName>
    <definedName name="K_MEOL_OHO">'Calculated variables'!$E$194</definedName>
    <definedName name="K_MEOL_OHO_AS">Parameters!$D$15</definedName>
    <definedName name="K_MEOL_SNO2">'Calculated variables'!$E$216</definedName>
    <definedName name="K_MEOL_SNO2_AS">Parameters!$D$36</definedName>
    <definedName name="K_Mg_BIO">'Calculated variables'!$E$276</definedName>
    <definedName name="K_Mg_BIO_AS">Parameters!$D$221</definedName>
    <definedName name="K_Mg_PAO">'Calculated variables'!$E$233</definedName>
    <definedName name="K_Mg_PAO_AS">Parameters!$D$72</definedName>
    <definedName name="K_NH3">'Calculated variables'!$E$542</definedName>
    <definedName name="K_NH3_param">systemcode_constants!$D$294</definedName>
    <definedName name="K_NH3_T">'Calculated variables'!$E$530</definedName>
    <definedName name="K_NHx_ALGAE">Parameters!$D$161</definedName>
    <definedName name="K_NHx_AMX">'Calculated variables'!$E$174</definedName>
    <definedName name="K_NHx_AMX_AS">Parameters!$D$123</definedName>
    <definedName name="K_NHx_AOB">'Calculated variables'!$E$147</definedName>
    <definedName name="K_NHx_AOB_AS">Parameters!$D$93</definedName>
    <definedName name="K_NHx_BIO">'Calculated variables'!$E$266</definedName>
    <definedName name="K_NHx_BIO_AS">Parameters!$D$216</definedName>
    <definedName name="K_NO2">'Calculated variables'!$E$541</definedName>
    <definedName name="K_NO2_AMX">'Calculated variables'!$E$176</definedName>
    <definedName name="K_NO2_AMX_AS">Parameters!$D$124</definedName>
    <definedName name="K_NO2_ASSIM">'Calculated variables'!$E$284</definedName>
    <definedName name="K_NO2_ASSIM_AS">Parameters!$D$263</definedName>
    <definedName name="K_NO2_CASTO">'Calculated variables'!$E$225</definedName>
    <definedName name="K_NO2_CASTO_AS">Parameters!$D$64</definedName>
    <definedName name="K_NO2_MEOLO">'Calculated variables'!$E$214</definedName>
    <definedName name="K_NO2_MEOLO_AS">Parameters!$D$35</definedName>
    <definedName name="K_NO2_NOB">'Calculated variables'!$E$161</definedName>
    <definedName name="K_NO2_NOB_AS">Parameters!$D$109</definedName>
    <definedName name="K_NO2_OHO">'Calculated variables'!$E$196</definedName>
    <definedName name="K_NO2_OHO_AS">Parameters!$D$19</definedName>
    <definedName name="K_NO2_param">systemcode_constants!$D$295</definedName>
    <definedName name="K_NO2_T">'Calculated variables'!$E$529</definedName>
    <definedName name="K_NO3_ASSIM">'Calculated variables'!$E$286</definedName>
    <definedName name="K_NO3_ASSIM_AS">Parameters!$D$264</definedName>
    <definedName name="K_NO3_CASTO">'Calculated variables'!$E$227</definedName>
    <definedName name="K_NO3_CASTO_AS">Parameters!$D$63</definedName>
    <definedName name="K_NO3_MEOLO">'Calculated variables'!$E$218</definedName>
    <definedName name="K_NO3_MEOLO_AS">Parameters!$D$34</definedName>
    <definedName name="K_NO3_OHO">'Calculated variables'!$E$200</definedName>
    <definedName name="K_NO3_OHO_AS">Parameters!$D$16</definedName>
    <definedName name="K_NOx_ALGAE">Parameters!$D$159</definedName>
    <definedName name="K_NOx_AMETO">'Calculated variables'!$E$252</definedName>
    <definedName name="K_NOx_AMETO_AS">Parameters!$D$140</definedName>
    <definedName name="K_NOx_AMX">'Calculated variables'!$E$181</definedName>
    <definedName name="K_NOx_AMX_AS">Parameters!$D$128</definedName>
    <definedName name="K_NOx_AOB">'Calculated variables'!$E$154</definedName>
    <definedName name="K_NOx_AOB_AS">Parameters!$D$100</definedName>
    <definedName name="K_NOx_HMETO">'Calculated variables'!$E$261</definedName>
    <definedName name="K_NOx_HMETO_AS">Parameters!$D$150</definedName>
    <definedName name="K_NOx_NOB">'Calculated variables'!$E$167</definedName>
    <definedName name="K_NOx_NOB_AS">Parameters!$D$114</definedName>
    <definedName name="K_O2_ALGAE">Parameters!$D$160</definedName>
    <definedName name="K_O2_ALPHA">Parameters!$D$423</definedName>
    <definedName name="K_O2_AOB">'Calculated variables'!$E$151</definedName>
    <definedName name="K_O2_AOB_AS">Parameters!$D$99</definedName>
    <definedName name="K_O2_AOB_sidestream">Parameters!$D$98</definedName>
    <definedName name="K_O2_CASTO">'Calculated variables'!$E$223</definedName>
    <definedName name="K_O2_CASTO_AS">Parameters!$D$62</definedName>
    <definedName name="K_O2_NOB">'Calculated variables'!$E$164</definedName>
    <definedName name="K_O2_NOB_AS">Parameters!$D$113</definedName>
    <definedName name="K_O2_NOB_sidestream">Parameters!$D$112</definedName>
    <definedName name="K_O2_OHO">'Calculated variables'!$E$192</definedName>
    <definedName name="K_O2_OHO_AS">Parameters!$D$13</definedName>
    <definedName name="K_OC_PFOA_EQ">Parameters!$D$267</definedName>
    <definedName name="K_OC_PFOS_EQ">Parameters!$D$268</definedName>
    <definedName name="K_ORP_ana">Parameters!$D$441</definedName>
    <definedName name="K_ORP_SNOx">Parameters!$D$440</definedName>
    <definedName name="K_ORP_SO2">Parameters!$D$439</definedName>
    <definedName name="k_ORPswitch">Parameters!$D$86</definedName>
    <definedName name="K_P_HAO_BIND">Parameters!$D$209</definedName>
    <definedName name="K_P_HFO_BIND">Parameters!$D$198</definedName>
    <definedName name="K_P1">'Calculated variables'!$E$537</definedName>
    <definedName name="K_P1_param">systemcode_constants!$D$298</definedName>
    <definedName name="K_P1_T">'Calculated variables'!$E$525</definedName>
    <definedName name="K_P2">'Calculated variables'!$E$538</definedName>
    <definedName name="K_P2_param">systemcode_constants!$D$299</definedName>
    <definedName name="K_P2_T">'Calculated variables'!$E$526</definedName>
    <definedName name="K_P3">'Calculated variables'!$E$539</definedName>
    <definedName name="K_P3_param">systemcode_constants!$D$300</definedName>
    <definedName name="K_P3_T">'Calculated variables'!$E$527</definedName>
    <definedName name="K_PHA">Parameters!$D$60</definedName>
    <definedName name="K_PHA_cle">Parameters!$D$59</definedName>
    <definedName name="K_PHA_GAO">Parameters!$D$80</definedName>
    <definedName name="K_PO4_BIO">'Calculated variables'!$E$268</definedName>
    <definedName name="K_PO4_BIO_AS">Parameters!$D$217</definedName>
    <definedName name="K_PO4_PAO">'Calculated variables'!$E$231</definedName>
    <definedName name="K_PO4_PAO_AS">Parameters!$D$56</definedName>
    <definedName name="K_PP">Parameters!$D$66</definedName>
    <definedName name="K_PP_lim">Parameters!$D$75</definedName>
    <definedName name="K_Prop_param">systemcode_constants!$D$302</definedName>
    <definedName name="K_S1_param">systemcode_constants!$D$305</definedName>
    <definedName name="K_S2_param">systemcode_constants!$D$306</definedName>
    <definedName name="K_SB">'Calculated variables'!$E$188</definedName>
    <definedName name="K_SB_ana">'Calculated variables'!$E$204</definedName>
    <definedName name="K_SB_ana_AS">Parameters!$D$24</definedName>
    <definedName name="K_SB_ana_DIG">Parameters!$D$25</definedName>
    <definedName name="K_SB_AS">Parameters!$D$12</definedName>
    <definedName name="K_SO41_param">systemcode_constants!$D$307</definedName>
    <definedName name="K_SO42_param">systemcode_constants!$D$308</definedName>
    <definedName name="K_sp_ACP">'Calculated variables'!$E$549</definedName>
    <definedName name="K_sp_ACP_param">systemcode_constants!$D$315</definedName>
    <definedName name="K_sp_BSH">'Calculated variables'!$E$550</definedName>
    <definedName name="K_sp_BSH_param">systemcode_constants!$D$316</definedName>
    <definedName name="K_sp_CaCO3">'Calculated variables'!$E$546</definedName>
    <definedName name="K_sp_CaCO3_param">systemcode_constants!$D$313</definedName>
    <definedName name="K_sp_FeS_param">systemcode_constants!$D$318</definedName>
    <definedName name="K_sp_HDP_param">systemcode_constants!$D$319</definedName>
    <definedName name="K_sp_MKP_param">systemcode_constants!$D$320</definedName>
    <definedName name="K_sp_STR">'Calculated variables'!$E$547</definedName>
    <definedName name="K_sp_STR_param">systemcode_constants!$D$314</definedName>
    <definedName name="K_sp_Vivi">'Calculated variables'!$E$548</definedName>
    <definedName name="K_sp_Vivi_param">systemcode_constants!$D$317</definedName>
    <definedName name="K_STC">Parameters!$D$61</definedName>
    <definedName name="K_STR_DISS">Parameters!$D$176</definedName>
    <definedName name="k_transfer_GCO2_bub">'Calculated variables'!$E$690</definedName>
    <definedName name="k_transfer_GCO2_sur">'Calculated variables'!$E$692</definedName>
    <definedName name="k_transfer_GNH3_bub">'Calculated variables'!$E$691</definedName>
    <definedName name="k_transfer_GNH3_sur">'Calculated variables'!$E$693</definedName>
    <definedName name="K_Val_param">systemcode_constants!$D$304</definedName>
    <definedName name="K_VFA">'Calculated variables'!$E$190</definedName>
    <definedName name="K_VFA_AMETO">'Calculated variables'!$E$244</definedName>
    <definedName name="K_VFA_AMETO_AS">Parameters!$D$135</definedName>
    <definedName name="K_VFA_AS">Parameters!$D$14</definedName>
    <definedName name="K_VFA_CASTO">'Calculated variables'!$E$229</definedName>
    <definedName name="K_VFA_CASTO_AS">Parameters!$D$65</definedName>
    <definedName name="K_VFA_FERM">'Calculated variables'!$E$202</definedName>
    <definedName name="K_VFA_FERM_AS">Parameters!$D$22</definedName>
    <definedName name="K_VFA_OHO_SNO2">'Calculated variables'!$E$198</definedName>
    <definedName name="K_VFA_OHO_SNO2_AS">Parameters!$D$20</definedName>
    <definedName name="K_Vivi_DISS">Parameters!$D$180</definedName>
    <definedName name="K_W">'Calculated variables'!$E$534</definedName>
    <definedName name="K_W_param">systemcode_constants!$D$293</definedName>
    <definedName name="K_W_T">'Calculated variables'!$E$522</definedName>
    <definedName name="K_XB_HYD">Parameters!$D$253</definedName>
    <definedName name="K_XBe_HYD">Parameters!$D$254</definedName>
    <definedName name="K_XEana_HYD">Parameters!$D$255</definedName>
    <definedName name="K_XTSS_lightextinction">'other parameters'!$D$90</definedName>
    <definedName name="K_XU">Parameters!$D$260</definedName>
    <definedName name="L_ightSwitch">'Calculated variables'!$E$98</definedName>
    <definedName name="L_oginhORP_HFO">'Calculated variables'!$E$94</definedName>
    <definedName name="L_oginhORP_PAO">'Calculated variables'!$E$89</definedName>
    <definedName name="L_oginhpHNH3_AMETO">'Calculated variables'!$E$335</definedName>
    <definedName name="L_oginhSMEOL_KMEOL_SNO2">'Calculated variables'!$E$371</definedName>
    <definedName name="L_oginhSNO3_KNO3_MEOLO">'Calculated variables'!$E$373</definedName>
    <definedName name="L_oginhSNO3_KNO3_OHO">'Calculated variables'!$E$359</definedName>
    <definedName name="L_oginhSPO4_KiP_HAO_DISS">'Calculated variables'!$E$455</definedName>
    <definedName name="L_oginhSPO4_KiP_HFO_DISS">'Calculated variables'!$E$452</definedName>
    <definedName name="L_oginhSVFA_KVFA_FERM">'Calculated variables'!$E$358</definedName>
    <definedName name="L_oginhSVFA_KVFA_OHO_SNO2">'Calculated variables'!$E$362</definedName>
    <definedName name="L_oginhXHET_HYD_lim">'Calculated variables'!$E$447</definedName>
    <definedName name="L_oginhXPHA_XGAO_max">'Calculated variables'!$E$413</definedName>
    <definedName name="L_oginhXPHA_XPAO_max">'Calculated variables'!$E$411</definedName>
    <definedName name="L_oginhXPP_XPAO_max">'Calculated variables'!$E$412</definedName>
    <definedName name="L_ograngeCO2_AMX_pH_AS">Parameters!$D$126</definedName>
    <definedName name="L_ograngeCO2_AOB_pH_AS">Parameters!$D$95</definedName>
    <definedName name="L_ograngeCO2_AOB_pH_sidestream">Parameters!$D$97</definedName>
    <definedName name="L_ograngeCO2_NOB_pH_AS">Parameters!$D$111</definedName>
    <definedName name="L_ograngeKMEOL_SNO2">Parameters!$D$37</definedName>
    <definedName name="L_ograngeKSNO3">Parameters!$D$18</definedName>
    <definedName name="L_ograngeKVFA_SNO2">Parameters!$D$21</definedName>
    <definedName name="L_ograngeNH3_AMETO">Parameters!$D$138</definedName>
    <definedName name="L_ograngeP_HAO_DISS">Parameters!$D$211</definedName>
    <definedName name="L_ograngeP_HFO_DISS">Parameters!$D$196</definedName>
    <definedName name="L_ograngePHA_GAO_inh">Parameters!$D$82</definedName>
    <definedName name="L_ograngePHA_PAO_inh">Parameters!$D$71</definedName>
    <definedName name="L_ograngePO4_PAO_AS_sat">Parameters!$D$57</definedName>
    <definedName name="L_ograngePP_PAO_AS_sat">Parameters!$D$58</definedName>
    <definedName name="L_ograngePP_PAO_inh">Parameters!$D$68</definedName>
    <definedName name="L_ograngeSNO3">Parameters!$D$17</definedName>
    <definedName name="L_ograngeVFA_FERM_AS">Parameters!$D$23</definedName>
    <definedName name="L_ograngeXHET_HYD_lim">Parameters!$D$246</definedName>
    <definedName name="L_ogsatORP_GAO_Half_15">Parameters!$D$83</definedName>
    <definedName name="L_ogsatORP_GAO_Half_25">Parameters!$D$84</definedName>
    <definedName name="L_ogsatORP_GAO_Half_T">'Calculated variables'!$E$92</definedName>
    <definedName name="L_ogsatORP_GAO_Slope">Parameters!$D$85</definedName>
    <definedName name="L_ogsatORP_GAO_T">'Calculated variables'!$E$93</definedName>
    <definedName name="L_ogsatORP_HFO_Half">Parameters!$D$192</definedName>
    <definedName name="L_ogsatORP_HFO_Slope">Parameters!$D$193</definedName>
    <definedName name="L_ogsatORP_PAO_Half">Parameters!$D$77</definedName>
    <definedName name="L_ogsatORP_PAO_Slope">Parameters!$D$78</definedName>
    <definedName name="L_ogsatpHCO2_AMX">'Calculated variables'!$E$333</definedName>
    <definedName name="L_ogsatpHCO2_AOB">'Calculated variables'!$E$330</definedName>
    <definedName name="L_ogsatpHCO2_NOB">'Calculated variables'!$E$332</definedName>
    <definedName name="L_ogsatSMEOL_KMEOL_SNO2">'Calculated variables'!$E$370</definedName>
    <definedName name="L_ogsatSNO3_KNO3_MEOLO">'Calculated variables'!$E$372</definedName>
    <definedName name="L_ogsatSNO3_KNO3_OHO">'Calculated variables'!$E$360</definedName>
    <definedName name="L_ogsatSPO4_KPO4_PAO">'Calculated variables'!$E$406</definedName>
    <definedName name="L_ogsatSVFA_KVFA_FERM">'Calculated variables'!$E$357</definedName>
    <definedName name="L_ogsatSVFA_KVFA_OHO_SNO2">'Calculated variables'!$E$361</definedName>
    <definedName name="L_ogsatXHET_HYD_lim">'Calculated variables'!$E$446</definedName>
    <definedName name="L_ogsatXPP_KPO4_PAO">'Calculated variables'!$E$409</definedName>
    <definedName name="L_ogslopeCO2_AMX_pH">'Calculated variables'!$E$301</definedName>
    <definedName name="L_ogslopeCO2_AOB_pH">'Calculated variables'!$E$298</definedName>
    <definedName name="L_ogslopeCO2_NOB_pH">'Calculated variables'!$E$300</definedName>
    <definedName name="L_ogslopeKMEOL_SNO2">'Calculated variables'!$E$296</definedName>
    <definedName name="L_ogslopeKSNO3">'Calculated variables'!$E$292</definedName>
    <definedName name="L_ogslopeKSNO3_MEOLO">'Calculated variables'!$E$297</definedName>
    <definedName name="L_ogslopeKVFA_SNO2">'Calculated variables'!$E$293</definedName>
    <definedName name="L_ogslopeNH3_AMETO_pH">'Calculated variables'!$E$309</definedName>
    <definedName name="L_ogslopeP_HAO_DISS">'Calculated variables'!$E$311</definedName>
    <definedName name="L_ogslopeP_HFO_DISS">'Calculated variables'!$E$310</definedName>
    <definedName name="L_ogslopePHA_GAO_inh">'Calculated variables'!$E$308</definedName>
    <definedName name="L_ogslopePHA_PAO_inh">'Calculated variables'!$E$306</definedName>
    <definedName name="L_ogslopePO4_PAO_sat">'Calculated variables'!$E$302</definedName>
    <definedName name="L_ogslopePP_PAO_inh">'Calculated variables'!$E$307</definedName>
    <definedName name="L_ogslopePP_PAO_sat">'Calculated variables'!$E$304</definedName>
    <definedName name="L_ogslopeSNO3">'Calculated variables'!$E$291</definedName>
    <definedName name="L_ogslopeVFA_FERM">'Calculated variables'!$E$294</definedName>
    <definedName name="L_ogslopeXHET_HYD_lim">'Calculated variables'!$E$445</definedName>
    <definedName name="M_inhpHHNO2_AMX">'Calculated variables'!$E$334</definedName>
    <definedName name="M_inhpHHNO2_AOB">'Calculated variables'!$E$329</definedName>
    <definedName name="M_inhpHNH3_NOB">'Calculated variables'!$E$331</definedName>
    <definedName name="M_inhSNHx_KiNHx_ALGAE">'Calculated variables'!$E$431</definedName>
    <definedName name="M_inhSNHx_KiNHx_ASSIM">'Calculated variables'!$E$432</definedName>
    <definedName name="M_inhSNO2_KNO2_ASSIM">'Calculated variables'!$E$451</definedName>
    <definedName name="M_inhSNO2_KNO2_CASTO">'Calculated variables'!$E$390</definedName>
    <definedName name="M_inhSNO2_KNO2_MEOLO">'Calculated variables'!$E$364</definedName>
    <definedName name="M_inhSNO2_KNO2_OHO">'Calculated variables'!$E$346</definedName>
    <definedName name="M_inhSNO3_KNO3_CASTO">'Calculated variables'!$E$391</definedName>
    <definedName name="M_inhSNO3_KNO3_MEOLO">'Calculated variables'!$E$365</definedName>
    <definedName name="M_inhSNO3_KNO3_OHO">'Calculated variables'!$E$347</definedName>
    <definedName name="M_inhSNOx_KNO3_AMETO">'Calculated variables'!$E$416</definedName>
    <definedName name="M_inhSNOx_KNO3_HMETO">'Calculated variables'!$E$421</definedName>
    <definedName name="M_inhSNOx_KNOx_AMX">'Calculated variables'!$E$384</definedName>
    <definedName name="M_inhSNOx_KNOx_AOB">'Calculated variables'!$E$374</definedName>
    <definedName name="M_inhSNOx_KNOx_NOB">'Calculated variables'!$E$379</definedName>
    <definedName name="M_inhSO2_KiO2_AMETO">'Calculated variables'!$E$417</definedName>
    <definedName name="M_inhSO2_KiO2_AMX">'Calculated variables'!$E$385</definedName>
    <definedName name="M_inhSO2_KiO2_HMETO">'Calculated variables'!$E$422</definedName>
    <definedName name="M_inhSO2_KiO2_MEOLO">'Calculated variables'!$E$363</definedName>
    <definedName name="M_inhSO2_KO2_ALGAE">'Calculated variables'!$E$430</definedName>
    <definedName name="M_inhSO2_KO2_AOB">'Calculated variables'!$E$375</definedName>
    <definedName name="M_inhSO2_KO2_CASTO">'Calculated variables'!$E$392</definedName>
    <definedName name="M_inhSO2_KO2_NOB">'Calculated variables'!$E$380</definedName>
    <definedName name="M_inhSO2_KO2_OHO">'Calculated variables'!$E$348</definedName>
    <definedName name="M_inhSPO4_KiP_HAO_DESORP">'Calculated variables'!$E$456</definedName>
    <definedName name="M_inhSPO4_KiP_HFO_DESORP">'Calculated variables'!$E$453</definedName>
    <definedName name="M_inhSPO4_KiPO4_lim">'Calculated variables'!$E$393</definedName>
    <definedName name="M_inhSVFA_KVFA">'Calculated variables'!$E$349</definedName>
    <definedName name="M_MACP">systemcode_constants!$D$212</definedName>
    <definedName name="M_Mair">systemcode_constants!$D$199</definedName>
    <definedName name="M_MAl2SO43">systemcode_constants!$D$213</definedName>
    <definedName name="M_MAlCl3">systemcode_constants!$D$214</definedName>
    <definedName name="M_MAlOH3">systemcode_constants!$D$215</definedName>
    <definedName name="M_MAlPO4">systemcode_constants!$D$216</definedName>
    <definedName name="M_MBSH">systemcode_constants!$D$217</definedName>
    <definedName name="M_MCaCl2">systemcode_constants!$D$218</definedName>
    <definedName name="M_MCaCO3">systemcode_constants!$D$219</definedName>
    <definedName name="M_MCaH2PO4">systemcode_constants!$D$220</definedName>
    <definedName name="M_MCaHCO3">systemcode_constants!$D$221</definedName>
    <definedName name="M_MCaHPO4">systemcode_constants!$D$222</definedName>
    <definedName name="M_MCaOH">systemcode_constants!$D$223</definedName>
    <definedName name="M_MCaOH2">systemcode_constants!$D$224</definedName>
    <definedName name="M_MCaPO4">systemcode_constants!$D$225</definedName>
    <definedName name="M_MCH3COOH">systemcode_constants!$D$226</definedName>
    <definedName name="M_MCH3OH">systemcode_constants!$D$227</definedName>
    <definedName name="M_MCO2">systemcode_constants!$D$228</definedName>
    <definedName name="M_MCO3">systemcode_constants!$D$229</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systemcode_constants!$D$230</definedName>
    <definedName name="M_MFe2SO43">systemcode_constants!$D$231</definedName>
    <definedName name="M_MFeCl2">systemcode_constants!$D$232</definedName>
    <definedName name="M_MFeCl3">systemcode_constants!$D$233</definedName>
    <definedName name="M_MFeOH3">systemcode_constants!$D$234</definedName>
    <definedName name="M_MFeS">systemcode_constants!$D$235</definedName>
    <definedName name="M_MFeSO4">systemcode_constants!$D$236</definedName>
    <definedName name="M_MGCH4">systemcode_constants!$D$201</definedName>
    <definedName name="M_MGCO2">systemcode_constants!$D$202</definedName>
    <definedName name="M_MGH2">systemcode_constants!$D$200</definedName>
    <definedName name="M_MGH2S">systemcode_constants!$D$208</definedName>
    <definedName name="M_MGN2">systemcode_constants!$D$204</definedName>
    <definedName name="M_MGN2O">systemcode_constants!$D$207</definedName>
    <definedName name="M_MGNH3">systemcode_constants!$D$203</definedName>
    <definedName name="M_MGNO">systemcode_constants!$D$206</definedName>
    <definedName name="M_MGO2">systemcode_constants!$D$205</definedName>
    <definedName name="M_MH2CO3">systemcode_constants!$D$237</definedName>
    <definedName name="M_MH2O">systemcode_constants!$D$238</definedName>
    <definedName name="M_MH2S">systemcode_constants!$D$240</definedName>
    <definedName name="M_MH2SO4">systemcode_constants!$D$241</definedName>
    <definedName name="M_MH3PO4">systemcode_constants!$D$239</definedName>
    <definedName name="M_MHAP">systemcode_constants!$D$242</definedName>
    <definedName name="M_MHCl">systemcode_constants!$D$243</definedName>
    <definedName name="M_MHCO3">systemcode_constants!$D$244</definedName>
    <definedName name="M_MHDP">systemcode_constants!$D$245</definedName>
    <definedName name="M_MHNO3">systemcode_constants!$D$246</definedName>
    <definedName name="M_MHSO4">systemcode_constants!$D$247</definedName>
    <definedName name="M_MKNO2">systemcode_constants!$D$263</definedName>
    <definedName name="M_MKNO3">systemcode_constants!$D$264</definedName>
    <definedName name="M_MMgCO3">systemcode_constants!$D$248</definedName>
    <definedName name="M_MMgH2PO4">systemcode_constants!$D$249</definedName>
    <definedName name="M_MMgHCO3">systemcode_constants!$D$250</definedName>
    <definedName name="M_MMgHPO4">systemcode_constants!$D$251</definedName>
    <definedName name="M_MMgOH">systemcode_constants!$D$252</definedName>
    <definedName name="M_MMgOH2">systemcode_constants!$D$253</definedName>
    <definedName name="M_MMgPO4">systemcode_constants!$D$254</definedName>
    <definedName name="M_MMKP">systemcode_constants!$D$255</definedName>
    <definedName name="M_MMMC">systemcode_constants!$D$256</definedName>
    <definedName name="M_MN2">systemcode_constants!$D$257</definedName>
    <definedName name="M_MN2O">systemcode_constants!$D$258</definedName>
    <definedName name="M_MNa2CO3">systemcode_constants!$D$259</definedName>
    <definedName name="M_MNaCl">systemcode_constants!$D$260</definedName>
    <definedName name="M_MNaHCO3">systemcode_constants!$D$261</definedName>
    <definedName name="M_MNaHPO4">systemcode_constants!$D$262</definedName>
    <definedName name="M_MNaOH">systemcode_constants!$D$265</definedName>
    <definedName name="M_MNH3">systemcode_constants!$D$266</definedName>
    <definedName name="M_MNH4">systemcode_constants!$D$267</definedName>
    <definedName name="M_MNH4HCO3">systemcode_constants!$D$268</definedName>
    <definedName name="M_MNO">systemcode_constants!$D$269</definedName>
    <definedName name="M_MNO2">systemcode_constants!$D$270</definedName>
    <definedName name="M_MNO3">systemcode_constants!$D$271</definedName>
    <definedName name="M_MO2">systemcode_constants!$D$272</definedName>
    <definedName name="M_MPO4">systemcode_constants!$D$273</definedName>
    <definedName name="M_MSiO2">systemcode_constants!$D$274</definedName>
    <definedName name="M_MSO4">systemcode_constants!$D$275</definedName>
    <definedName name="M_MSTR">systemcode_constants!$D$276</definedName>
    <definedName name="M_MVivi">systemcode_constants!$D$277</definedName>
    <definedName name="M_RinhXPHA_XGAO_KPHA">'Calculated variables'!$E$414</definedName>
    <definedName name="M_RinhXPHA_XPAO_KPHA_cle">'Calculated variables'!$E$396</definedName>
    <definedName name="M_RinhXPP_XPAO_KPP">'Calculated variables'!$E$398</definedName>
    <definedName name="M_RinhXSTC_XCASTO_KSTC">'Calculated variables'!$E$397</definedName>
    <definedName name="M_RsatXB_XHET_KHYD">'Calculated variables'!$E$439</definedName>
    <definedName name="M_RsatXBe_XHET_KHYD">'Calculated variables'!$E$440</definedName>
    <definedName name="M_RsatXEana_XHET_KHYD">'Calculated variables'!$E$441</definedName>
    <definedName name="M_RsatXPHA_XGAO_KPHA">'Calculated variables'!$E$415</definedName>
    <definedName name="M_RsatXPHA_XPAO_KPHA">'Calculated variables'!$E$395</definedName>
    <definedName name="M_RsatXPP_XPAO_KPP">'Calculated variables'!$E$399</definedName>
    <definedName name="M_RsatXSTC_XCASTO_KSTC">'Calculated variables'!$E$394</definedName>
    <definedName name="M_satCB_KCB_FLOC">'Calculated variables'!$E$433</definedName>
    <definedName name="M_satCB_KCB_FLOC_HAO">'Calculated variables'!$E$437</definedName>
    <definedName name="M_satCB_KCB_FLOC_HFO">'Calculated variables'!$E$435</definedName>
    <definedName name="M_satCU_KCU_FLOC">'Calculated variables'!$E$434</definedName>
    <definedName name="M_satCU_KCU_FLOC_HAO">'Calculated variables'!$E$438</definedName>
    <definedName name="M_satCU_KCU_FLOC_HFO">'Calculated variables'!$E$436</definedName>
    <definedName name="M_satSAN_KAN">'Calculated variables'!$E$339</definedName>
    <definedName name="M_satSB_KSB">'Calculated variables'!$E$350</definedName>
    <definedName name="M_satSB_KSB_ana">'Calculated variables'!$E$351</definedName>
    <definedName name="M_satSCa_KCa">'Calculated variables'!$E$341</definedName>
    <definedName name="M_satSCa_KCa_PAO">'Calculated variables'!$E$400</definedName>
    <definedName name="M_satSCAT_KCAT">'Calculated variables'!$E$340</definedName>
    <definedName name="M_satSCO2_KCO2_ALGAE">'Calculated variables'!$E$426</definedName>
    <definedName name="M_satSCO2_KCO2_BIO">'Calculated variables'!$E$343</definedName>
    <definedName name="M_satSH2_KH2_HMETO">'Calculated variables'!$E$423</definedName>
    <definedName name="M_satSK_KK_PAO">'Calculated variables'!$E$401</definedName>
    <definedName name="M_satSMEOL_KMEOL">'Calculated variables'!$E$366</definedName>
    <definedName name="M_satSMEOL_KMEOL_OHO">'Calculated variables'!$E$352</definedName>
    <definedName name="M_satSMg_KMg">'Calculated variables'!$E$342</definedName>
    <definedName name="M_satSMg_KMg_PAO">'Calculated variables'!$E$402</definedName>
    <definedName name="M_satSNHx_KNHx_ALGAE">'Calculated variables'!$E$428</definedName>
    <definedName name="M_satSNHx_KNHx_AMX">'Calculated variables'!$E$386</definedName>
    <definedName name="M_satSNHx_KNHx_AOB">'Calculated variables'!$E$376</definedName>
    <definedName name="M_satSNHx_KNHx_BIO">'Calculated variables'!$E$344</definedName>
    <definedName name="M_satSNO2_KNO2_AMX">'Calculated variables'!$E$387</definedName>
    <definedName name="M_satSNO2_KNO2_ASSIM">'Calculated variables'!$E$449</definedName>
    <definedName name="M_satSNO2_KNO2_CASTO">'Calculated variables'!$E$403</definedName>
    <definedName name="M_satSNO2_KNO2_MEOLO">'Calculated variables'!$E$367</definedName>
    <definedName name="M_satSNO2_KNO2_NOB">'Calculated variables'!$E$381</definedName>
    <definedName name="M_satSNO2_KNO2_OHO">'Calculated variables'!$E$353</definedName>
    <definedName name="M_satSNO3_KNO3_ASSIM">'Calculated variables'!$E$450</definedName>
    <definedName name="M_satSNO3_KNO3_CASTO">'Calculated variables'!$E$404</definedName>
    <definedName name="M_satSNO3_KNO3_MEOLO">'Calculated variables'!$E$368</definedName>
    <definedName name="M_satSNO3_KNO3_OHO">'Calculated variables'!$E$354</definedName>
    <definedName name="M_satSNOx_KNO3_AMETO">'Calculated variables'!$E$418</definedName>
    <definedName name="M_satSNOx_KNO3_HMETO">'Calculated variables'!$E$424</definedName>
    <definedName name="M_satSNOx_KNOx_ALGAE">'Calculated variables'!$E$427</definedName>
    <definedName name="M_satSNOx_KNOx_AMX">'Calculated variables'!$E$388</definedName>
    <definedName name="M_satSNOx_KNOx_AOB">'Calculated variables'!$E$377</definedName>
    <definedName name="M_satSNOx_KNOx_NOB">'Calculated variables'!$E$382</definedName>
    <definedName name="M_satSO2_KiO2_AMETO">'Calculated variables'!$E$419</definedName>
    <definedName name="M_satSO2_KiO2_AMX">'Calculated variables'!$E$389</definedName>
    <definedName name="M_satSO2_KiO2_HMETO">'Calculated variables'!$E$425</definedName>
    <definedName name="M_satSO2_KiO2_MEOLO">'Calculated variables'!$E$369</definedName>
    <definedName name="M_satSO2_KO2_ALGAE">'Calculated variables'!$E$429</definedName>
    <definedName name="M_satSO2_KO2_AOB">'Calculated variables'!$E$378</definedName>
    <definedName name="M_satSO2_KO2_CASTO">'Calculated variables'!$E$405</definedName>
    <definedName name="M_satSO2_KO2_NOB">'Calculated variables'!$E$383</definedName>
    <definedName name="M_satSO2_KO2_OHO">'Calculated variables'!$E$355</definedName>
    <definedName name="M_satSPO4_KP_HAO_BIND">'Calculated variables'!$E$457</definedName>
    <definedName name="M_satSPO4_KP_HFO_BIND">'Calculated variables'!$E$454</definedName>
    <definedName name="M_satSPO4_KPO4_BIO">'Calculated variables'!$E$345</definedName>
    <definedName name="M_satSPO4_KPO4_PAO">'Calculated variables'!$E$407</definedName>
    <definedName name="M_satSVFA_KVFA">'Calculated variables'!$E$356</definedName>
    <definedName name="M_satSVFA_KVFA_CASTO">'Calculated variables'!$E$408</definedName>
    <definedName name="M_satXACP_KACP_DISS">'Calculated variables'!$E$458</definedName>
    <definedName name="M_satXB_KXB_HYD">'Calculated variables'!$E$442</definedName>
    <definedName name="M_satXBe_KXBe_HYD">'Calculated variables'!$E$443</definedName>
    <definedName name="M_satXBSH_KBSH_DISS">'Calculated variables'!$E$459</definedName>
    <definedName name="M_satXCaCO3_KCaCO3_DISS">'Calculated variables'!$E$460</definedName>
    <definedName name="M_satXEana_KXEana_HYD">'Calculated variables'!$E$444</definedName>
    <definedName name="M_satXPP_KPP_lim">'Calculated variables'!$E$410</definedName>
    <definedName name="M_satXSTR_KSTR_DISS">'Calculated variables'!$E$461</definedName>
    <definedName name="M_satXU_KXU">'Calculated variables'!$E$448</definedName>
    <definedName name="M_satXVivi_KVivi_DISS">'Calculated variables'!$E$462</definedName>
    <definedName name="m_tox_aer">Parameters!$D$226</definedName>
    <definedName name="m_tox_ana">'Calculated variables'!$E$143</definedName>
    <definedName name="m_tox_ana_max">Parameters!$D$227</definedName>
    <definedName name="m_tox_anox">Parameters!$D$225</definedName>
    <definedName name="N_2UR">'Calculated variables'!$E$129</definedName>
    <definedName name="N_3UR">'Calculated variables'!$E$128</definedName>
    <definedName name="N_OUR">'Calculated variables'!$E$127</definedName>
    <definedName name="N_URAMX">'Calculated variables'!$E$131</definedName>
    <definedName name="o_ffsetORPswitch">Parameters!$D$87</definedName>
    <definedName name="O_RP">'Calculated variables'!$E$85</definedName>
    <definedName name="O_RPana">'Calculated variables'!$E$84</definedName>
    <definedName name="O_RPbase">Parameters!$D$436</definedName>
    <definedName name="O_RPmax_SNOx">Parameters!$D$438</definedName>
    <definedName name="O_RPmax_SO2">Parameters!$D$437</definedName>
    <definedName name="O_RPNOx">'Calculated variables'!$E$82</definedName>
    <definedName name="O_RPO2">'Calculated variables'!$E$81</definedName>
    <definedName name="O_UR">'Calculated variables'!$E$125</definedName>
    <definedName name="p_H">'Calculated variables'!$E$574</definedName>
    <definedName name="p_Hfield">Parameters!$D$445</definedName>
    <definedName name="p_Hhigh">Parameters!$D$229</definedName>
    <definedName name="p_Hhigh_AMETO">Parameters!$D$142</definedName>
    <definedName name="p_Hhigh_AOB">Parameters!$D$103</definedName>
    <definedName name="p_Hhigh_FLOC_HAO">Parameters!$D$243</definedName>
    <definedName name="p_Hhigh_FLOC_HFO">Parameters!$D$241</definedName>
    <definedName name="p_Hhigh_HMETO">Parameters!$D$152</definedName>
    <definedName name="p_Hhigh_NOB">Parameters!$D$117</definedName>
    <definedName name="p_Hlow">Parameters!$D$228</definedName>
    <definedName name="p_Hlow_AMETO">Parameters!$D$141</definedName>
    <definedName name="p_Hlow_AOB">Parameters!$D$102</definedName>
    <definedName name="p_Hlow_FLOC_HAO">Parameters!$D$242</definedName>
    <definedName name="p_Hlow_FLOC_HFO">Parameters!$D$240</definedName>
    <definedName name="p_Hlow_HMETO">Parameters!$D$151</definedName>
    <definedName name="p_Hlow_NOB">Parameters!$D$116</definedName>
    <definedName name="p_i">systemcode_constants!$D$74</definedName>
    <definedName name="p_NTP">systemcode_constants!$D$52</definedName>
    <definedName name="p_owdamp_ALPHA">Parameters!$D$426</definedName>
    <definedName name="P_recipDrivingForceACP">'Calculated variables'!$E$106</definedName>
    <definedName name="P_recipDrivingForceBSH">'Calculated variables'!$E$110</definedName>
    <definedName name="P_recipDrivingForceCaCO3">'Calculated variables'!$E$114</definedName>
    <definedName name="P_recipDrivingForceSTR">'Calculated variables'!$E$102</definedName>
    <definedName name="P_recipDrivingForceVivi">'Calculated variables'!$E$118</definedName>
    <definedName name="P_RR">'Calculated variables'!$E$136</definedName>
    <definedName name="p_STP">systemcode_constants!$D$51</definedName>
    <definedName name="P_UR">'Calculated variables'!$E$132</definedName>
    <definedName name="P_URBIO">'Calculated variables'!$E$133</definedName>
    <definedName name="P_URBIOP">'Calculated variables'!$E$134</definedName>
    <definedName name="P_URCHEM">'Calculated variables'!$E$135</definedName>
    <definedName name="q_ACP">'Calculated variables'!$E$109</definedName>
    <definedName name="q_ACP_DISS">Parameters!$D$171</definedName>
    <definedName name="q_ACP_PREC">Parameters!$D$170</definedName>
    <definedName name="q_ALPHA">Parameters!$D$421</definedName>
    <definedName name="q_ALPHA_O2">'Calculated variables'!$E$710</definedName>
    <definedName name="q_AMMON">Parameters!$D$256</definedName>
    <definedName name="q_AMMON_T">'Calculated variables'!$E$497</definedName>
    <definedName name="q_ASSIM">Parameters!$D$261</definedName>
    <definedName name="q_ASSIM_T">'Calculated variables'!$E$501</definedName>
    <definedName name="q_BSH">'Calculated variables'!$E$113</definedName>
    <definedName name="q_BSH_DISS">Parameters!$D$173</definedName>
    <definedName name="q_BSH_PREC">Parameters!$D$172</definedName>
    <definedName name="q_CaCO3">'Calculated variables'!$E$117</definedName>
    <definedName name="q_CaCO3_DISS">Parameters!$D$167</definedName>
    <definedName name="q_CaCO3_PREC">Parameters!$D$166</definedName>
    <definedName name="q_Fe2_OX">Parameters!$D$194</definedName>
    <definedName name="q_Fe2_OX_T">'Calculated variables'!$E$502</definedName>
    <definedName name="q_FLOC">Parameters!$D$237</definedName>
    <definedName name="q_FLOC_HAO">Parameters!$D$239</definedName>
    <definedName name="q_FLOC_HAO_T">'Calculated variables'!$E$494</definedName>
    <definedName name="q_FLOC_HFO">Parameters!$D$238</definedName>
    <definedName name="q_FLOC_HFO_T">'Calculated variables'!$E$493</definedName>
    <definedName name="q_FLOC_T">'Calculated variables'!$E$492</definedName>
    <definedName name="q_GAO_PHA">Parameters!$D$49</definedName>
    <definedName name="q_GAO_PHA_T">'Calculated variables'!$E$476</definedName>
    <definedName name="q_HAO_DISS">Parameters!$D$208</definedName>
    <definedName name="q_HAOH_AGING">Parameters!$D$202</definedName>
    <definedName name="q_HAOH_DESORP">Parameters!$D$206</definedName>
    <definedName name="q_HAOL_AGING">Parameters!$D$203</definedName>
    <definedName name="q_HAOL_DESORP">Parameters!$D$207</definedName>
    <definedName name="q_HFO_DISS">Parameters!$D$190</definedName>
    <definedName name="q_HFO_RED">Parameters!$D$191</definedName>
    <definedName name="q_HFO_RED_T">'Calculated variables'!$E$503</definedName>
    <definedName name="q_HFOH_AGING">Parameters!$D$184</definedName>
    <definedName name="q_HFOH_DESORP">Parameters!$D$188</definedName>
    <definedName name="q_HFOL_AGING">Parameters!$D$185</definedName>
    <definedName name="q_HFOL_DESORP">Parameters!$D$189</definedName>
    <definedName name="q_HYD_XB">Parameters!$D$233</definedName>
    <definedName name="q_HYD_XB_T">'Calculated variables'!$E$495</definedName>
    <definedName name="q_HYD_XBe">Parameters!$D$234</definedName>
    <definedName name="q_HYD_XBe_T">'Calculated variables'!$E$496</definedName>
    <definedName name="q_MEOL">Parameters!$D$31</definedName>
    <definedName name="q_P_HAO_BIND">Parameters!$D$205</definedName>
    <definedName name="q_P_HAO_COPREC">Parameters!$D$204</definedName>
    <definedName name="q_P_HFO_BIND">Parameters!$D$187</definedName>
    <definedName name="q_P_HFO_COPREC">Parameters!$D$186</definedName>
    <definedName name="q_PAO_PHA">Parameters!$D$48</definedName>
    <definedName name="q_PAO_PHA_T">'Calculated variables'!$E$475</definedName>
    <definedName name="q_PAO_PP">Parameters!$D$42</definedName>
    <definedName name="q_PAO_PP_T">'Calculated variables'!$E$474</definedName>
    <definedName name="q_PFOA_SORP">Parameters!$D$265</definedName>
    <definedName name="q_PFOS_SORP">Parameters!$D$266</definedName>
    <definedName name="q_SPB">Parameters!$D$257</definedName>
    <definedName name="q_SPB_T">'Calculated variables'!$E$498</definedName>
    <definedName name="q_STR">'Calculated variables'!$E$105</definedName>
    <definedName name="q_STR_DISS">Parameters!$D$169</definedName>
    <definedName name="q_STR_PREC">Parameters!$D$168</definedName>
    <definedName name="q_Vivi">'Calculated variables'!$E$121</definedName>
    <definedName name="q_Vivi_DISS">Parameters!$D$175</definedName>
    <definedName name="q_Vivi_PREC">Parameters!$D$174</definedName>
    <definedName name="q_XE">Parameters!$D$258</definedName>
    <definedName name="q_XE_T">'Calculated variables'!$E$499</definedName>
    <definedName name="q_XU">Parameters!$D$259</definedName>
    <definedName name="q_XU_T">'Calculated variables'!$E$500</definedName>
    <definedName name="R__">systemcode_constants!$D$60</definedName>
    <definedName name="r_1">Model!$CL$128</definedName>
    <definedName name="r_10">Model!$CL$137</definedName>
    <definedName name="r_100">Model!$CL$227</definedName>
    <definedName name="r_101">Model!$CL$228</definedName>
    <definedName name="r_102">Model!$CL$229</definedName>
    <definedName name="r_103">Model!$CL$230</definedName>
    <definedName name="r_104">Model!$CL$231</definedName>
    <definedName name="r_105">Model!$CL$232</definedName>
    <definedName name="r_11">Model!$CL$138</definedName>
    <definedName name="r_12">Model!$CL$139</definedName>
    <definedName name="r_13">Model!$CL$140</definedName>
    <definedName name="r_14">Model!$CL$141</definedName>
    <definedName name="r_15">Model!$CL$142</definedName>
    <definedName name="r_16">Model!$CL$143</definedName>
    <definedName name="r_17">Model!$CL$144</definedName>
    <definedName name="r_18">Model!$CL$145</definedName>
    <definedName name="r_19">Model!$CL$146</definedName>
    <definedName name="r_2">Model!$CL$129</definedName>
    <definedName name="r_20">Model!$CL$147</definedName>
    <definedName name="r_21">Model!$CL$148</definedName>
    <definedName name="r_22">Model!$CL$149</definedName>
    <definedName name="r_23">Model!$CL$150</definedName>
    <definedName name="r_24">Model!$CL$151</definedName>
    <definedName name="r_25">Model!$CL$152</definedName>
    <definedName name="r_26">Model!$CL$153</definedName>
    <definedName name="r_27">Model!$CL$154</definedName>
    <definedName name="r_28">Model!$CL$155</definedName>
    <definedName name="r_29">Model!$CL$156</definedName>
    <definedName name="r_3">Model!$CL$130</definedName>
    <definedName name="r_30">Model!$CL$157</definedName>
    <definedName name="r_31">Model!$CL$158</definedName>
    <definedName name="r_32">Model!$CL$159</definedName>
    <definedName name="r_33">Model!$CL$160</definedName>
    <definedName name="r_34">Model!$CL$161</definedName>
    <definedName name="r_35">Model!$CL$162</definedName>
    <definedName name="r_36">Model!$CL$163</definedName>
    <definedName name="r_37">Model!$CL$164</definedName>
    <definedName name="r_38">Model!$CL$165</definedName>
    <definedName name="r_39">Model!$CL$166</definedName>
    <definedName name="r_4">Model!$CL$131</definedName>
    <definedName name="r_40">Model!$CL$167</definedName>
    <definedName name="r_41">Model!$CL$168</definedName>
    <definedName name="r_42">Model!$CL$169</definedName>
    <definedName name="r_43">Model!$CL$170</definedName>
    <definedName name="r_44">Model!$CL$171</definedName>
    <definedName name="r_45">Model!$CL$172</definedName>
    <definedName name="r_46">Model!$CL$173</definedName>
    <definedName name="r_47">Model!$CL$174</definedName>
    <definedName name="r_48">Model!$CL$175</definedName>
    <definedName name="r_49">Model!$CL$176</definedName>
    <definedName name="r_5">Model!$CL$132</definedName>
    <definedName name="r_50">Model!$CL$177</definedName>
    <definedName name="r_51">Model!$CL$178</definedName>
    <definedName name="r_52">Model!$CL$179</definedName>
    <definedName name="r_53">Model!$CL$180</definedName>
    <definedName name="r_54">Model!$CL$181</definedName>
    <definedName name="r_55">Model!$CL$182</definedName>
    <definedName name="r_56">Model!$CL$183</definedName>
    <definedName name="r_57">Model!$CL$184</definedName>
    <definedName name="r_58">Model!$CL$185</definedName>
    <definedName name="r_59">Model!$CL$186</definedName>
    <definedName name="r_6">Model!$CL$133</definedName>
    <definedName name="r_60">Model!$CL$187</definedName>
    <definedName name="r_61">Model!$CL$188</definedName>
    <definedName name="r_62">Model!$CL$189</definedName>
    <definedName name="r_63">Model!$CL$190</definedName>
    <definedName name="r_64">Model!$CL$191</definedName>
    <definedName name="r_65">Model!$CL$192</definedName>
    <definedName name="r_66">Model!$CL$193</definedName>
    <definedName name="r_67">Model!$CL$194</definedName>
    <definedName name="r_68">Model!$CL$195</definedName>
    <definedName name="r_69">Model!$CL$196</definedName>
    <definedName name="r_7">Model!$CL$134</definedName>
    <definedName name="r_70">Model!$CL$197</definedName>
    <definedName name="r_71">Model!$CL$198</definedName>
    <definedName name="r_72">Model!$CL$199</definedName>
    <definedName name="r_73">Model!$CL$200</definedName>
    <definedName name="r_74">Model!$CL$201</definedName>
    <definedName name="r_75">Model!$CL$202</definedName>
    <definedName name="r_76">Model!$CL$203</definedName>
    <definedName name="r_77">Model!$CL$204</definedName>
    <definedName name="r_78">Model!$CL$205</definedName>
    <definedName name="r_79">Model!$CL$206</definedName>
    <definedName name="r_8">Model!$CL$135</definedName>
    <definedName name="r_80">Model!$CL$207</definedName>
    <definedName name="r_81">Model!$CL$208</definedName>
    <definedName name="r_82">Model!$CL$209</definedName>
    <definedName name="r_83">Model!$CL$210</definedName>
    <definedName name="r_84">Model!$CL$211</definedName>
    <definedName name="r_85">Model!$CL$212</definedName>
    <definedName name="r_86">Model!$CL$213</definedName>
    <definedName name="r_87">Model!$CL$214</definedName>
    <definedName name="r_88">Model!$CL$215</definedName>
    <definedName name="r_89">Model!$CL$216</definedName>
    <definedName name="r_9">Model!$CL$136</definedName>
    <definedName name="r_90">Model!$CL$217</definedName>
    <definedName name="r_91">Model!$CL$218</definedName>
    <definedName name="r_92">Model!$CL$219</definedName>
    <definedName name="r_93">Model!$CL$220</definedName>
    <definedName name="r_94">Model!$CL$221</definedName>
    <definedName name="r_95">Model!$CL$222</definedName>
    <definedName name="r_96">Model!$CL$223</definedName>
    <definedName name="r_97">Model!$CL$224</definedName>
    <definedName name="r_98">Model!$CL$225</definedName>
    <definedName name="r_99">Model!$CL$226</definedName>
    <definedName name="R_air">systemcode_constants!$D$61</definedName>
    <definedName name="r_ate_DiffAer_ox_transf">'Calculated variables'!$E$784</definedName>
    <definedName name="r_ate_Hbio">'Calculated variables'!$E$727</definedName>
    <definedName name="r_ate_SCO2_ALGAE">'Calculated variables'!$E$778</definedName>
    <definedName name="r_ate_SCO2_Hydrolysis">'Calculated variables'!$E$779</definedName>
    <definedName name="r_ate_SCO2_NITOs">'Calculated variables'!$E$777</definedName>
    <definedName name="r_ate_SCO2_OHOs">'Calculated variables'!$E$776</definedName>
    <definedName name="r_ate_SCO2_Precipitation">'Calculated variables'!$E$780</definedName>
    <definedName name="r_ate_SCO2_stripping">'Calculated variables'!$E$775</definedName>
    <definedName name="r_ate_SNHx_ALGAE">'Calculated variables'!$E$756</definedName>
    <definedName name="r_ate_SNHx_Hydrolysis">'Calculated variables'!$E$757</definedName>
    <definedName name="r_ate_SNHx_NITOs">'Calculated variables'!$E$755</definedName>
    <definedName name="r_ate_SNHx_OHOs">'Calculated variables'!$E$754</definedName>
    <definedName name="r_ate_SNHx_stripping">'Calculated variables'!$E$739</definedName>
    <definedName name="r_ate_SNOx_ALGAE">'Calculated variables'!$E$763</definedName>
    <definedName name="r_ate_SNOx_NITOs">'Calculated variables'!$E$762</definedName>
    <definedName name="r_ate_SNOx_OHOs">'Calculated variables'!$E$761</definedName>
    <definedName name="r_ate_SO2_aerator">'Calculated variables'!$E$744</definedName>
    <definedName name="r_ate_SO2_ALGAE_resp">'Calculated variables'!$E$750</definedName>
    <definedName name="r_ate_SO2_C_oxidation">'Calculated variables'!$E$746</definedName>
    <definedName name="r_ate_SO2_Fe_oxidation">'Calculated variables'!$E$748</definedName>
    <definedName name="r_ate_SO2_nitrif">'Calculated variables'!$E$747</definedName>
    <definedName name="r_ate_SO2_photosynt">'Calculated variables'!$E$749</definedName>
    <definedName name="r_ate_SO2_sur">'Calculated variables'!$E$745</definedName>
    <definedName name="r_ate_SPO4_ALGAE">'Calculated variables'!$E$769</definedName>
    <definedName name="r_ate_SPO4_Hydrolysis">'Calculated variables'!$E$770</definedName>
    <definedName name="r_ate_SPO4_NITOs">'Calculated variables'!$E$768</definedName>
    <definedName name="r_ate_SPO4_OHOs">'Calculated variables'!$E$767</definedName>
    <definedName name="r_ate_SPO4_Precipitation">'Calculated variables'!$E$771</definedName>
    <definedName name="r_ate_SurfAer_ox_transf">'Calculated variables'!$E$785</definedName>
    <definedName name="r_ate_TCOD_autotrophs">'Calculated variables'!$E$735</definedName>
    <definedName name="r_ate_TCOD_oxydation_NO3">'Calculated variables'!$E$733</definedName>
    <definedName name="r_ate_TCOD_oxydation_O2">'Calculated variables'!$E$732</definedName>
    <definedName name="r_ate_TCOD_photosynt">'Calculated variables'!$E$734</definedName>
    <definedName name="r_ate_TCOD_stripping">'Calculated variables'!$E$731</definedName>
    <definedName name="r_ate_TN_denit">'Calculated variables'!$E$740</definedName>
    <definedName name="r_ateFLOC_CB_polymer">'other parameters'!$D$53</definedName>
    <definedName name="r_ateFLOC_CU_polymer">'other parameters'!$D$54</definedName>
    <definedName name="r_atioAAR_rbCODDR">'Calculated variables'!$E$83</definedName>
    <definedName name="r_atioVSS_TSS">'Calculated variables'!$E$56</definedName>
    <definedName name="r_bCODDR">'Calculated variables'!$E$137</definedName>
    <definedName name="S_ALK">'Calculated variables'!$E$558</definedName>
    <definedName name="S_ALK_calc">'Calculated variables'!$E$57</definedName>
    <definedName name="S_ALK_input">'other parameters'!$D$55</definedName>
    <definedName name="S_ALPHA">Components!$E$75</definedName>
    <definedName name="S_ALPHA_sat">Parameters!$D$422</definedName>
    <definedName name="S_AN">Components!$E$46</definedName>
    <definedName name="S_AN_ini">'other parameters'!$D$57</definedName>
    <definedName name="S_B">Components!$E$5</definedName>
    <definedName name="S_BOD_5">'Calculated variables'!$E$29</definedName>
    <definedName name="S_BOD_ult">'Calculated variables'!$E$26</definedName>
    <definedName name="S_Ca">Components!$E$47</definedName>
    <definedName name="S_CAT">Components!$E$45</definedName>
    <definedName name="S_CAT_ini">'other parameters'!$D$56</definedName>
    <definedName name="S_CCOD">'Calculated variables'!$E$33</definedName>
    <definedName name="S_CH4">Components!$E$41</definedName>
    <definedName name="S_CO2">Components!$E$43</definedName>
    <definedName name="S_COD">'Calculated variables'!$E$32</definedName>
    <definedName name="S_Fe2">Components!$E$50</definedName>
    <definedName name="S_GCH4_bub_sat">'other parameters'!$D$23</definedName>
    <definedName name="S_GCH4_sur_sat">'other parameters'!$D$40</definedName>
    <definedName name="S_GCO2_bub_sat">'other parameters'!$D$22</definedName>
    <definedName name="S_GCO2_sur_sat">'other parameters'!$D$39</definedName>
    <definedName name="S_GH2_bub_sat">'other parameters'!$D$24</definedName>
    <definedName name="S_GH2_sur_sat">'other parameters'!$D$41</definedName>
    <definedName name="S_GH2S_bub_sat">'other parameters'!$D$20</definedName>
    <definedName name="S_GH2S_sur_sat">'other parameters'!$D$37</definedName>
    <definedName name="S_GN2_bub_sat">'other parameters'!$D$26</definedName>
    <definedName name="S_GN2_sur_sat">'other parameters'!$D$43</definedName>
    <definedName name="S_GNH3_bub_sat">'other parameters'!$D$25</definedName>
    <definedName name="S_GNH3_sur_sat">'other parameters'!$D$42</definedName>
    <definedName name="S_GO2_bub_sat">'other parameters'!$D$21</definedName>
    <definedName name="S_GO2_sur_sat">'other parameters'!$D$38</definedName>
    <definedName name="S_H">Components!$E$74</definedName>
    <definedName name="S_H2">Components!$E$42</definedName>
    <definedName name="S_K">Components!$E$49</definedName>
    <definedName name="S_KN">'Calculated variables'!$E$42</definedName>
    <definedName name="s_lh_diff_α">Parameters!$D$427</definedName>
    <definedName name="S_lopeIS_corr">Parameters!$D$450</definedName>
    <definedName name="s_lORP_GAO_Half_T">'Calculated variables'!$E$90</definedName>
    <definedName name="s_lTSS_α_coarse">Parameters!$D$429</definedName>
    <definedName name="s_lTSS_α_def">Parameters!$D$428</definedName>
    <definedName name="S_MEOL">Components!$E$6</definedName>
    <definedName name="S_Mg">Components!$E$48</definedName>
    <definedName name="S_N_B">Components!$E$30</definedName>
    <definedName name="S_N2">Components!$E$29</definedName>
    <definedName name="S_NHx">Components!$E$26</definedName>
    <definedName name="S_NO2">Components!$E$27</definedName>
    <definedName name="S_NO3">Components!$E$28</definedName>
    <definedName name="S_NOx">'Calculated variables'!$E$38</definedName>
    <definedName name="S_O2">Components!$E$40</definedName>
    <definedName name="S_ORPswitch">Components!$E$76</definedName>
    <definedName name="S_OTRaerator">'other parameters'!$D$47</definedName>
    <definedName name="S_OTRsur">'other parameters'!$D$48</definedName>
    <definedName name="S_OTRsur_min">'other parameters'!$D$49</definedName>
    <definedName name="S_P">'Calculated variables'!$E$46</definedName>
    <definedName name="S_P_B">Components!$E$36</definedName>
    <definedName name="S_PFOA">Components!$E$70</definedName>
    <definedName name="S_PFOS">Components!$E$72</definedName>
    <definedName name="S_PO4">Components!$E$34</definedName>
    <definedName name="S_rbCOD">'Calculated variables'!$E$8</definedName>
    <definedName name="S_U">Components!$E$10</definedName>
    <definedName name="S_U_N">'Calculated variables'!$E$43</definedName>
    <definedName name="S_umo__MSatMin">'other parameters'!$D$4</definedName>
    <definedName name="S_umo__pHEffects">'other parameters'!$D$61</definedName>
    <definedName name="S_VFA">Components!$E$4</definedName>
    <definedName name="T__">'Calculated variables'!$E$723</definedName>
    <definedName name="T_Al">'Calculated variables'!$E$50</definedName>
    <definedName name="T_base">Parameters!$D$313</definedName>
    <definedName name="T_BOD_5">'Calculated variables'!$E$31</definedName>
    <definedName name="T_BOD_ult">'Calculated variables'!$E$28</definedName>
    <definedName name="T_Ca">'Calculated variables'!$E$51</definedName>
    <definedName name="T_COD">'Calculated variables'!$E$34</definedName>
    <definedName name="T_COD_Th">'Calculated variables'!$E$35</definedName>
    <definedName name="T_Fe">'Calculated variables'!$E$49</definedName>
    <definedName name="T_IN">'Calculated variables'!$E$39</definedName>
    <definedName name="T_K">'Calculated variables'!$E$722</definedName>
    <definedName name="T_KN">'Calculated variables'!$E$36</definedName>
    <definedName name="T_KN_B">'Calculated variables'!$E$37</definedName>
    <definedName name="T_Mg">'Calculated variables'!$E$52</definedName>
    <definedName name="T_N">'Calculated variables'!$E$40</definedName>
    <definedName name="T_NTP_K">systemcode_constants!$D$68</definedName>
    <definedName name="T_OC">'Calculated variables'!$E$58</definedName>
    <definedName name="T_P">'Calculated variables'!$E$44</definedName>
    <definedName name="T_PFOA">'Calculated variables'!$E$61</definedName>
    <definedName name="T_PFOS">'Calculated variables'!$E$62</definedName>
    <definedName name="T_st_K">systemcode_constants!$D$67</definedName>
    <definedName name="T_STP_K">systemcode_constants!$D$69</definedName>
    <definedName name="v_1_CB">Model!$H$128</definedName>
    <definedName name="v_1_CU">Model!$L$128</definedName>
    <definedName name="v_1_GCH4">Model!$CA$128</definedName>
    <definedName name="v_1_GCH4_atm">Model!$CG$128</definedName>
    <definedName name="v_1_GCO2">Model!$BZ$128</definedName>
    <definedName name="v_1_GCO2_atm">Model!$CF$128</definedName>
    <definedName name="v_1_GH2">Model!$CB$128</definedName>
    <definedName name="v_1_GH2_atm">Model!$CH$128</definedName>
    <definedName name="v_1_GN2">Model!$CE$128</definedName>
    <definedName name="v_1_GN2_atm">Model!$CK$128</definedName>
    <definedName name="v_1_GNH3">Model!$CD$128</definedName>
    <definedName name="v_1_GNH3_atm">Model!$CJ$128</definedName>
    <definedName name="v_1_GO2">Model!$CC$128</definedName>
    <definedName name="v_1_GO2_atm">Model!$CI$128</definedName>
    <definedName name="v_1_SALPHA">Model!$BX$128</definedName>
    <definedName name="v_1_SAN">Model!$AU$128</definedName>
    <definedName name="v_1_SB">Model!$F$128</definedName>
    <definedName name="v_1_SCa">Model!$AV$128</definedName>
    <definedName name="v_1_SCAT">Model!$AT$128</definedName>
    <definedName name="v_1_SCH4">Model!$AP$128</definedName>
    <definedName name="v_1_SCO2">Model!$AR$128</definedName>
    <definedName name="v_1_SFe2">Model!$AY$128</definedName>
    <definedName name="v_1_SH">Model!$BW$128</definedName>
    <definedName name="v_1_SH2">Model!$AQ$128</definedName>
    <definedName name="v_1_SK">Model!$AX$128</definedName>
    <definedName name="v_1_SMEOL">Model!$G$128</definedName>
    <definedName name="v_1_SMg">Model!$AW$128</definedName>
    <definedName name="v_1_SN_B">Model!$AE$128</definedName>
    <definedName name="v_1_SN2">Model!$AD$128</definedName>
    <definedName name="v_1_SNHx">Model!$AA$128</definedName>
    <definedName name="v_1_SNO2">Model!$AB$128</definedName>
    <definedName name="v_1_SNO3">Model!$AC$128</definedName>
    <definedName name="v_1_SO2">Model!$AO$128</definedName>
    <definedName name="v_1_SORPswitch">Model!$BY$128</definedName>
    <definedName name="v_1_SP_B">Model!$AK$128</definedName>
    <definedName name="v_1_SPFOA">Model!$BS$128</definedName>
    <definedName name="v_1_SPFOS">Model!$BU$128</definedName>
    <definedName name="v_1_SPO4">Model!$AI$128</definedName>
    <definedName name="v_1_SU">Model!$K$128</definedName>
    <definedName name="v_1_SVFA">Model!$E$128</definedName>
    <definedName name="v_1_XACP">Model!$BO$128</definedName>
    <definedName name="v_1_XALGAE">Model!$Z$128</definedName>
    <definedName name="v_1_XAMETO">Model!$X$128</definedName>
    <definedName name="v_1_XAMX">Model!$W$128</definedName>
    <definedName name="v_1_XAOB">Model!$U$128</definedName>
    <definedName name="v_1_XB">Model!$I$128</definedName>
    <definedName name="v_1_XB_e">Model!$J$128</definedName>
    <definedName name="v_1_XBSH">Model!$BP$128</definedName>
    <definedName name="v_1_XCaCO3">Model!$BN$128</definedName>
    <definedName name="v_1_XCASTO">Model!$S$128</definedName>
    <definedName name="v_1_XE">Model!$P$128</definedName>
    <definedName name="v_1_XE_ana">Model!$Q$128</definedName>
    <definedName name="v_1_XHAO_H">Model!$BG$128</definedName>
    <definedName name="v_1_XHAO_H_P">Model!$BJ$128</definedName>
    <definedName name="v_1_XHAO_H_P_old">Model!$BL$128</definedName>
    <definedName name="v_1_XHAO_L">Model!$BH$128</definedName>
    <definedName name="v_1_XHAO_L_P">Model!$BK$128</definedName>
    <definedName name="v_1_XHAO_L_P_old">Model!$BM$128</definedName>
    <definedName name="v_1_XHAO_old">Model!$BI$128</definedName>
    <definedName name="v_1_XHFO_H">Model!$AZ$128</definedName>
    <definedName name="v_1_XHFO_H_P">Model!$BC$128</definedName>
    <definedName name="v_1_XHFO_H_P_old">Model!$BE$128</definedName>
    <definedName name="v_1_XHFO_L">Model!$BA$128</definedName>
    <definedName name="v_1_XHFO_L_P">Model!$BD$128</definedName>
    <definedName name="v_1_XHFO_L_P_old">Model!$BF$128</definedName>
    <definedName name="v_1_XHFO_old">Model!$BB$128</definedName>
    <definedName name="v_1_XHMETO">Model!$Y$128</definedName>
    <definedName name="v_1_XINORG">Model!$AS$128</definedName>
    <definedName name="v_1_XMEOLO">Model!$T$128</definedName>
    <definedName name="v_1_XN_B">Model!$AF$128</definedName>
    <definedName name="v_1_XN_Be">Model!$AG$128</definedName>
    <definedName name="v_1_XN_U">Model!$AH$128</definedName>
    <definedName name="v_1_XNOB">Model!$V$128</definedName>
    <definedName name="v_1_XOHO">Model!$R$128</definedName>
    <definedName name="v_1_XP_B">Model!$AL$128</definedName>
    <definedName name="v_1_XP_Be">Model!$AM$128</definedName>
    <definedName name="v_1_XP_U">Model!$AN$128</definedName>
    <definedName name="v_1_XPFOA">Model!$BT$128</definedName>
    <definedName name="v_1_XPFOS">Model!$BV$128</definedName>
    <definedName name="v_1_XPHA_GAO">Model!$O$128</definedName>
    <definedName name="v_1_XPHA_PAO">Model!$N$128</definedName>
    <definedName name="v_1_XPP">Model!$AJ$128</definedName>
    <definedName name="v_1_XSTR">Model!$BQ$128</definedName>
    <definedName name="v_1_XU">Model!$M$128</definedName>
    <definedName name="v_1_XVivi">Model!$BR$128</definedName>
    <definedName name="v_10_CB">Model!$H$137</definedName>
    <definedName name="v_10_CU">Model!$L$137</definedName>
    <definedName name="v_10_GCH4">Model!$CA$137</definedName>
    <definedName name="v_10_GCH4_atm">Model!$CG$137</definedName>
    <definedName name="v_10_GCO2">Model!$BZ$137</definedName>
    <definedName name="v_10_GCO2_atm">Model!$CF$137</definedName>
    <definedName name="v_10_GH2">Model!$CB$137</definedName>
    <definedName name="v_10_GH2_atm">Model!$CH$137</definedName>
    <definedName name="v_10_GN2">Model!$CE$137</definedName>
    <definedName name="v_10_GN2_atm">Model!$CK$137</definedName>
    <definedName name="v_10_GNH3">Model!$CD$137</definedName>
    <definedName name="v_10_GNH3_atm">Model!$CJ$137</definedName>
    <definedName name="v_10_GO2">Model!$CC$137</definedName>
    <definedName name="v_10_GO2_atm">Model!$CI$137</definedName>
    <definedName name="v_10_SALPHA">Model!$BX$137</definedName>
    <definedName name="v_10_SAN">Model!$AU$137</definedName>
    <definedName name="v_10_SB">Model!$F$137</definedName>
    <definedName name="v_10_SCa">Model!$AV$137</definedName>
    <definedName name="v_10_SCAT">Model!$AT$137</definedName>
    <definedName name="v_10_SCH4">Model!$AP$137</definedName>
    <definedName name="v_10_SCO2">Model!$AR$137</definedName>
    <definedName name="v_10_SFe2">Model!$AY$137</definedName>
    <definedName name="v_10_SH">Model!$BW$137</definedName>
    <definedName name="v_10_SH2">Model!$AQ$137</definedName>
    <definedName name="v_10_SK">Model!$AX$137</definedName>
    <definedName name="v_10_SMEOL">Model!$G$137</definedName>
    <definedName name="v_10_SMg">Model!$AW$137</definedName>
    <definedName name="v_10_SN_B">Model!$AE$137</definedName>
    <definedName name="v_10_SN2">Model!$AD$137</definedName>
    <definedName name="v_10_SNHx">Model!$AA$137</definedName>
    <definedName name="v_10_SNO2">Model!$AB$137</definedName>
    <definedName name="v_10_SNO3">Model!$AC$137</definedName>
    <definedName name="v_10_SO2">Model!$AO$137</definedName>
    <definedName name="v_10_SORPswitch">Model!$BY$137</definedName>
    <definedName name="v_10_SP_B">Model!$AK$137</definedName>
    <definedName name="v_10_SPFOA">Model!$BS$137</definedName>
    <definedName name="v_10_SPFOS">Model!$BU$137</definedName>
    <definedName name="v_10_SPO4">Model!$AI$137</definedName>
    <definedName name="v_10_SU">Model!$K$137</definedName>
    <definedName name="v_10_SVFA">Model!$E$137</definedName>
    <definedName name="v_10_XACP">Model!$BO$137</definedName>
    <definedName name="v_10_XALGAE">Model!$Z$137</definedName>
    <definedName name="v_10_XAMETO">Model!$X$137</definedName>
    <definedName name="v_10_XAMX">Model!$W$137</definedName>
    <definedName name="v_10_XAOB">Model!$U$137</definedName>
    <definedName name="v_10_XB">Model!$I$137</definedName>
    <definedName name="v_10_XB_e">Model!$J$137</definedName>
    <definedName name="v_10_XBSH">Model!$BP$137</definedName>
    <definedName name="v_10_XCaCO3">Model!$BN$137</definedName>
    <definedName name="v_10_XCASTO">Model!$S$137</definedName>
    <definedName name="v_10_XE">Model!$P$137</definedName>
    <definedName name="v_10_XE_ana">Model!$Q$137</definedName>
    <definedName name="v_10_XHAO_H">Model!$BG$137</definedName>
    <definedName name="v_10_XHAO_H_P">Model!$BJ$137</definedName>
    <definedName name="v_10_XHAO_H_P_old">Model!$BL$137</definedName>
    <definedName name="v_10_XHAO_L">Model!$BH$137</definedName>
    <definedName name="v_10_XHAO_L_P">Model!$BK$137</definedName>
    <definedName name="v_10_XHAO_L_P_old">Model!$BM$137</definedName>
    <definedName name="v_10_XHAO_old">Model!$BI$137</definedName>
    <definedName name="v_10_XHFO_H">Model!$AZ$137</definedName>
    <definedName name="v_10_XHFO_H_P">Model!$BC$137</definedName>
    <definedName name="v_10_XHFO_H_P_old">Model!$BE$137</definedName>
    <definedName name="v_10_XHFO_L">Model!$BA$137</definedName>
    <definedName name="v_10_XHFO_L_P">Model!$BD$137</definedName>
    <definedName name="v_10_XHFO_L_P_old">Model!$BF$137</definedName>
    <definedName name="v_10_XHFO_old">Model!$BB$137</definedName>
    <definedName name="v_10_XHMETO">Model!$Y$137</definedName>
    <definedName name="v_10_XINORG">Model!$AS$137</definedName>
    <definedName name="v_10_XMEOLO">Model!$T$137</definedName>
    <definedName name="v_10_XN_B">Model!$AF$137</definedName>
    <definedName name="v_10_XN_Be">Model!$AG$137</definedName>
    <definedName name="v_10_XN_U">Model!$AH$137</definedName>
    <definedName name="v_10_XNOB">Model!$V$137</definedName>
    <definedName name="v_10_XOHO">Model!$R$137</definedName>
    <definedName name="v_10_XP_B">Model!$AL$137</definedName>
    <definedName name="v_10_XP_Be">Model!$AM$137</definedName>
    <definedName name="v_10_XP_U">Model!$AN$137</definedName>
    <definedName name="v_10_XPFOA">Model!$BT$137</definedName>
    <definedName name="v_10_XPFOS">Model!$BV$137</definedName>
    <definedName name="v_10_XPHA_GAO">Model!$O$137</definedName>
    <definedName name="v_10_XPHA_PAO">Model!$N$137</definedName>
    <definedName name="v_10_XPP">Model!$AJ$137</definedName>
    <definedName name="v_10_XSTR">Model!$BQ$137</definedName>
    <definedName name="v_10_XU">Model!$M$137</definedName>
    <definedName name="v_10_XVivi">Model!$BR$137</definedName>
    <definedName name="v_100_CB">Model!$H$227</definedName>
    <definedName name="v_100_CU">Model!$L$227</definedName>
    <definedName name="v_100_GCH4">Model!$CA$227</definedName>
    <definedName name="v_100_GCH4_atm">Model!$CG$227</definedName>
    <definedName name="v_100_GCO2">Model!$BZ$227</definedName>
    <definedName name="v_100_GCO2_atm">Model!$CF$227</definedName>
    <definedName name="v_100_GH2">Model!$CB$227</definedName>
    <definedName name="v_100_GH2_atm">Model!$CH$227</definedName>
    <definedName name="v_100_GN2">Model!$CE$227</definedName>
    <definedName name="v_100_GN2_atm">Model!$CK$227</definedName>
    <definedName name="v_100_GNH3">Model!$CD$227</definedName>
    <definedName name="v_100_GNH3_atm">Model!$CJ$227</definedName>
    <definedName name="v_100_GO2">Model!$CC$227</definedName>
    <definedName name="v_100_GO2_atm">Model!$CI$227</definedName>
    <definedName name="v_100_SALPHA">Model!$BX$227</definedName>
    <definedName name="v_100_SAN">Model!$AU$227</definedName>
    <definedName name="v_100_SB">Model!$F$227</definedName>
    <definedName name="v_100_SCa">Model!$AV$227</definedName>
    <definedName name="v_100_SCAT">Model!$AT$227</definedName>
    <definedName name="v_100_SCH4">Model!$AP$227</definedName>
    <definedName name="v_100_SCO2">Model!$AR$227</definedName>
    <definedName name="v_100_SFe2">Model!$AY$227</definedName>
    <definedName name="v_100_SH">Model!$BW$227</definedName>
    <definedName name="v_100_SH2">Model!$AQ$227</definedName>
    <definedName name="v_100_SK">Model!$AX$227</definedName>
    <definedName name="v_100_SMEOL">Model!$G$227</definedName>
    <definedName name="v_100_SMg">Model!$AW$227</definedName>
    <definedName name="v_100_SN_B">Model!$AE$227</definedName>
    <definedName name="v_100_SN2">Model!$AD$227</definedName>
    <definedName name="v_100_SNHx">Model!$AA$227</definedName>
    <definedName name="v_100_SNO2">Model!$AB$227</definedName>
    <definedName name="v_100_SNO3">Model!$AC$227</definedName>
    <definedName name="v_100_SO2">Model!$AO$227</definedName>
    <definedName name="v_100_SORPswitch">Model!$BY$227</definedName>
    <definedName name="v_100_SP_B">Model!$AK$227</definedName>
    <definedName name="v_100_SPFOA">Model!$BS$227</definedName>
    <definedName name="v_100_SPFOS">Model!$BU$227</definedName>
    <definedName name="v_100_SPO4">Model!$AI$227</definedName>
    <definedName name="v_100_SU">Model!$K$227</definedName>
    <definedName name="v_100_SVFA">Model!$E$227</definedName>
    <definedName name="v_100_XACP">Model!$BO$227</definedName>
    <definedName name="v_100_XALGAE">Model!$Z$227</definedName>
    <definedName name="v_100_XAMETO">Model!$X$227</definedName>
    <definedName name="v_100_XAMX">Model!$W$227</definedName>
    <definedName name="v_100_XAOB">Model!$U$227</definedName>
    <definedName name="v_100_XB">Model!$I$227</definedName>
    <definedName name="v_100_XB_e">Model!$J$227</definedName>
    <definedName name="v_100_XBSH">Model!$BP$227</definedName>
    <definedName name="v_100_XCaCO3">Model!$BN$227</definedName>
    <definedName name="v_100_XCASTO">Model!$S$227</definedName>
    <definedName name="v_100_XE">Model!$P$227</definedName>
    <definedName name="v_100_XE_ana">Model!$Q$227</definedName>
    <definedName name="v_100_XHAO_H">Model!$BG$227</definedName>
    <definedName name="v_100_XHAO_H_P">Model!$BJ$227</definedName>
    <definedName name="v_100_XHAO_H_P_old">Model!$BL$227</definedName>
    <definedName name="v_100_XHAO_L">Model!$BH$227</definedName>
    <definedName name="v_100_XHAO_L_P">Model!$BK$227</definedName>
    <definedName name="v_100_XHAO_L_P_old">Model!$BM$227</definedName>
    <definedName name="v_100_XHAO_old">Model!$BI$227</definedName>
    <definedName name="v_100_XHFO_H">Model!$AZ$227</definedName>
    <definedName name="v_100_XHFO_H_P">Model!$BC$227</definedName>
    <definedName name="v_100_XHFO_H_P_old">Model!$BE$227</definedName>
    <definedName name="v_100_XHFO_L">Model!$BA$227</definedName>
    <definedName name="v_100_XHFO_L_P">Model!$BD$227</definedName>
    <definedName name="v_100_XHFO_L_P_old">Model!$BF$227</definedName>
    <definedName name="v_100_XHFO_old">Model!$BB$227</definedName>
    <definedName name="v_100_XHMETO">Model!$Y$227</definedName>
    <definedName name="v_100_XINORG">Model!$AS$227</definedName>
    <definedName name="v_100_XMEOLO">Model!$T$227</definedName>
    <definedName name="v_100_XN_B">Model!$AF$227</definedName>
    <definedName name="v_100_XN_Be">Model!$AG$227</definedName>
    <definedName name="v_100_XN_U">Model!$AH$227</definedName>
    <definedName name="v_100_XNOB">Model!$V$227</definedName>
    <definedName name="v_100_XOHO">Model!$R$227</definedName>
    <definedName name="v_100_XP_B">Model!$AL$227</definedName>
    <definedName name="v_100_XP_Be">Model!$AM$227</definedName>
    <definedName name="v_100_XP_U">Model!$AN$227</definedName>
    <definedName name="v_100_XPFOA">Model!$BT$227</definedName>
    <definedName name="v_100_XPFOS">Model!$BV$227</definedName>
    <definedName name="v_100_XPHA_GAO">Model!$O$227</definedName>
    <definedName name="v_100_XPHA_PAO">Model!$N$227</definedName>
    <definedName name="v_100_XPP">Model!$AJ$227</definedName>
    <definedName name="v_100_XSTR">Model!$BQ$227</definedName>
    <definedName name="v_100_XU">Model!$M$227</definedName>
    <definedName name="v_100_XVivi">Model!$BR$227</definedName>
    <definedName name="v_101_CB">Model!$H$228</definedName>
    <definedName name="v_101_CU">Model!$L$228</definedName>
    <definedName name="v_101_GCH4">Model!$CA$228</definedName>
    <definedName name="v_101_GCH4_atm">Model!$CG$228</definedName>
    <definedName name="v_101_GCO2">Model!$BZ$228</definedName>
    <definedName name="v_101_GCO2_atm">Model!$CF$228</definedName>
    <definedName name="v_101_GH2">Model!$CB$228</definedName>
    <definedName name="v_101_GH2_atm">Model!$CH$228</definedName>
    <definedName name="v_101_GN2">Model!$CE$228</definedName>
    <definedName name="v_101_GN2_atm">Model!$CK$228</definedName>
    <definedName name="v_101_GNH3">Model!$CD$228</definedName>
    <definedName name="v_101_GNH3_atm">Model!$CJ$228</definedName>
    <definedName name="v_101_GO2">Model!$CC$228</definedName>
    <definedName name="v_101_GO2_atm">Model!$CI$228</definedName>
    <definedName name="v_101_SALPHA">Model!$BX$228</definedName>
    <definedName name="v_101_SAN">Model!$AU$228</definedName>
    <definedName name="v_101_SB">Model!$F$228</definedName>
    <definedName name="v_101_SCa">Model!$AV$228</definedName>
    <definedName name="v_101_SCAT">Model!$AT$228</definedName>
    <definedName name="v_101_SCH4">Model!$AP$228</definedName>
    <definedName name="v_101_SCO2">Model!$AR$228</definedName>
    <definedName name="v_101_SFe2">Model!$AY$228</definedName>
    <definedName name="v_101_SH">Model!$BW$228</definedName>
    <definedName name="v_101_SH2">Model!$AQ$228</definedName>
    <definedName name="v_101_SK">Model!$AX$228</definedName>
    <definedName name="v_101_SMEOL">Model!$G$228</definedName>
    <definedName name="v_101_SMg">Model!$AW$228</definedName>
    <definedName name="v_101_SN_B">Model!$AE$228</definedName>
    <definedName name="v_101_SN2">Model!$AD$228</definedName>
    <definedName name="v_101_SNHx">Model!$AA$228</definedName>
    <definedName name="v_101_SNO2">Model!$AB$228</definedName>
    <definedName name="v_101_SNO3">Model!$AC$228</definedName>
    <definedName name="v_101_SO2">Model!$AO$228</definedName>
    <definedName name="v_101_SORPswitch">Model!$BY$228</definedName>
    <definedName name="v_101_SP_B">Model!$AK$228</definedName>
    <definedName name="v_101_SPFOA">Model!$BS$228</definedName>
    <definedName name="v_101_SPFOS">Model!$BU$228</definedName>
    <definedName name="v_101_SPO4">Model!$AI$228</definedName>
    <definedName name="v_101_SU">Model!$K$228</definedName>
    <definedName name="v_101_SVFA">Model!$E$228</definedName>
    <definedName name="v_101_XACP">Model!$BO$228</definedName>
    <definedName name="v_101_XALGAE">Model!$Z$228</definedName>
    <definedName name="v_101_XAMETO">Model!$X$228</definedName>
    <definedName name="v_101_XAMX">Model!$W$228</definedName>
    <definedName name="v_101_XAOB">Model!$U$228</definedName>
    <definedName name="v_101_XB">Model!$I$228</definedName>
    <definedName name="v_101_XB_e">Model!$J$228</definedName>
    <definedName name="v_101_XBSH">Model!$BP$228</definedName>
    <definedName name="v_101_XCaCO3">Model!$BN$228</definedName>
    <definedName name="v_101_XCASTO">Model!$S$228</definedName>
    <definedName name="v_101_XE">Model!$P$228</definedName>
    <definedName name="v_101_XE_ana">Model!$Q$228</definedName>
    <definedName name="v_101_XHAO_H">Model!$BG$228</definedName>
    <definedName name="v_101_XHAO_H_P">Model!$BJ$228</definedName>
    <definedName name="v_101_XHAO_H_P_old">Model!$BL$228</definedName>
    <definedName name="v_101_XHAO_L">Model!$BH$228</definedName>
    <definedName name="v_101_XHAO_L_P">Model!$BK$228</definedName>
    <definedName name="v_101_XHAO_L_P_old">Model!$BM$228</definedName>
    <definedName name="v_101_XHAO_old">Model!$BI$228</definedName>
    <definedName name="v_101_XHFO_H">Model!$AZ$228</definedName>
    <definedName name="v_101_XHFO_H_P">Model!$BC$228</definedName>
    <definedName name="v_101_XHFO_H_P_old">Model!$BE$228</definedName>
    <definedName name="v_101_XHFO_L">Model!$BA$228</definedName>
    <definedName name="v_101_XHFO_L_P">Model!$BD$228</definedName>
    <definedName name="v_101_XHFO_L_P_old">Model!$BF$228</definedName>
    <definedName name="v_101_XHFO_old">Model!$BB$228</definedName>
    <definedName name="v_101_XHMETO">Model!$Y$228</definedName>
    <definedName name="v_101_XINORG">Model!$AS$228</definedName>
    <definedName name="v_101_XMEOLO">Model!$T$228</definedName>
    <definedName name="v_101_XN_B">Model!$AF$228</definedName>
    <definedName name="v_101_XN_Be">Model!$AG$228</definedName>
    <definedName name="v_101_XN_U">Model!$AH$228</definedName>
    <definedName name="v_101_XNOB">Model!$V$228</definedName>
    <definedName name="v_101_XOHO">Model!$R$228</definedName>
    <definedName name="v_101_XP_B">Model!$AL$228</definedName>
    <definedName name="v_101_XP_Be">Model!$AM$228</definedName>
    <definedName name="v_101_XP_U">Model!$AN$228</definedName>
    <definedName name="v_101_XPFOA">Model!$BT$228</definedName>
    <definedName name="v_101_XPFOS">Model!$BV$228</definedName>
    <definedName name="v_101_XPHA_GAO">Model!$O$228</definedName>
    <definedName name="v_101_XPHA_PAO">Model!$N$228</definedName>
    <definedName name="v_101_XPP">Model!$AJ$228</definedName>
    <definedName name="v_101_XSTR">Model!$BQ$228</definedName>
    <definedName name="v_101_XU">Model!$M$228</definedName>
    <definedName name="v_101_XVivi">Model!$BR$228</definedName>
    <definedName name="v_102_CB">Model!$H$229</definedName>
    <definedName name="v_102_CU">Model!$L$229</definedName>
    <definedName name="v_102_GCH4">Model!$CA$229</definedName>
    <definedName name="v_102_GCH4_atm">Model!$CG$229</definedName>
    <definedName name="v_102_GCO2">Model!$BZ$229</definedName>
    <definedName name="v_102_GCO2_atm">Model!$CF$229</definedName>
    <definedName name="v_102_GH2">Model!$CB$229</definedName>
    <definedName name="v_102_GH2_atm">Model!$CH$229</definedName>
    <definedName name="v_102_GN2">Model!$CE$229</definedName>
    <definedName name="v_102_GN2_atm">Model!$CK$229</definedName>
    <definedName name="v_102_GNH3">Model!$CD$229</definedName>
    <definedName name="v_102_GNH3_atm">Model!$CJ$229</definedName>
    <definedName name="v_102_GO2">Model!$CC$229</definedName>
    <definedName name="v_102_GO2_atm">Model!$CI$229</definedName>
    <definedName name="v_102_SALPHA">Model!$BX$229</definedName>
    <definedName name="v_102_SAN">Model!$AU$229</definedName>
    <definedName name="v_102_SB">Model!$F$229</definedName>
    <definedName name="v_102_SCa">Model!$AV$229</definedName>
    <definedName name="v_102_SCAT">Model!$AT$229</definedName>
    <definedName name="v_102_SCH4">Model!$AP$229</definedName>
    <definedName name="v_102_SCO2">Model!$AR$229</definedName>
    <definedName name="v_102_SFe2">Model!$AY$229</definedName>
    <definedName name="v_102_SH">Model!$BW$229</definedName>
    <definedName name="v_102_SH2">Model!$AQ$229</definedName>
    <definedName name="v_102_SK">Model!$AX$229</definedName>
    <definedName name="v_102_SMEOL">Model!$G$229</definedName>
    <definedName name="v_102_SMg">Model!$AW$229</definedName>
    <definedName name="v_102_SN_B">Model!$AE$229</definedName>
    <definedName name="v_102_SN2">Model!$AD$229</definedName>
    <definedName name="v_102_SNHx">Model!$AA$229</definedName>
    <definedName name="v_102_SNO2">Model!$AB$229</definedName>
    <definedName name="v_102_SNO3">Model!$AC$229</definedName>
    <definedName name="v_102_SO2">Model!$AO$229</definedName>
    <definedName name="v_102_SORPswitch">Model!$BY$229</definedName>
    <definedName name="v_102_SP_B">Model!$AK$229</definedName>
    <definedName name="v_102_SPFOA">Model!$BS$229</definedName>
    <definedName name="v_102_SPFOS">Model!$BU$229</definedName>
    <definedName name="v_102_SPO4">Model!$AI$229</definedName>
    <definedName name="v_102_SU">Model!$K$229</definedName>
    <definedName name="v_102_SVFA">Model!$E$229</definedName>
    <definedName name="v_102_XACP">Model!$BO$229</definedName>
    <definedName name="v_102_XALGAE">Model!$Z$229</definedName>
    <definedName name="v_102_XAMETO">Model!$X$229</definedName>
    <definedName name="v_102_XAMX">Model!$W$229</definedName>
    <definedName name="v_102_XAOB">Model!$U$229</definedName>
    <definedName name="v_102_XB">Model!$I$229</definedName>
    <definedName name="v_102_XB_e">Model!$J$229</definedName>
    <definedName name="v_102_XBSH">Model!$BP$229</definedName>
    <definedName name="v_102_XCaCO3">Model!$BN$229</definedName>
    <definedName name="v_102_XCASTO">Model!$S$229</definedName>
    <definedName name="v_102_XE">Model!$P$229</definedName>
    <definedName name="v_102_XE_ana">Model!$Q$229</definedName>
    <definedName name="v_102_XHAO_H">Model!$BG$229</definedName>
    <definedName name="v_102_XHAO_H_P">Model!$BJ$229</definedName>
    <definedName name="v_102_XHAO_H_P_old">Model!$BL$229</definedName>
    <definedName name="v_102_XHAO_L">Model!$BH$229</definedName>
    <definedName name="v_102_XHAO_L_P">Model!$BK$229</definedName>
    <definedName name="v_102_XHAO_L_P_old">Model!$BM$229</definedName>
    <definedName name="v_102_XHAO_old">Model!$BI$229</definedName>
    <definedName name="v_102_XHFO_H">Model!$AZ$229</definedName>
    <definedName name="v_102_XHFO_H_P">Model!$BC$229</definedName>
    <definedName name="v_102_XHFO_H_P_old">Model!$BE$229</definedName>
    <definedName name="v_102_XHFO_L">Model!$BA$229</definedName>
    <definedName name="v_102_XHFO_L_P">Model!$BD$229</definedName>
    <definedName name="v_102_XHFO_L_P_old">Model!$BF$229</definedName>
    <definedName name="v_102_XHFO_old">Model!$BB$229</definedName>
    <definedName name="v_102_XHMETO">Model!$Y$229</definedName>
    <definedName name="v_102_XINORG">Model!$AS$229</definedName>
    <definedName name="v_102_XMEOLO">Model!$T$229</definedName>
    <definedName name="v_102_XN_B">Model!$AF$229</definedName>
    <definedName name="v_102_XN_Be">Model!$AG$229</definedName>
    <definedName name="v_102_XN_U">Model!$AH$229</definedName>
    <definedName name="v_102_XNOB">Model!$V$229</definedName>
    <definedName name="v_102_XOHO">Model!$R$229</definedName>
    <definedName name="v_102_XP_B">Model!$AL$229</definedName>
    <definedName name="v_102_XP_Be">Model!$AM$229</definedName>
    <definedName name="v_102_XP_U">Model!$AN$229</definedName>
    <definedName name="v_102_XPFOA">Model!$BT$229</definedName>
    <definedName name="v_102_XPFOS">Model!$BV$229</definedName>
    <definedName name="v_102_XPHA_GAO">Model!$O$229</definedName>
    <definedName name="v_102_XPHA_PAO">Model!$N$229</definedName>
    <definedName name="v_102_XPP">Model!$AJ$229</definedName>
    <definedName name="v_102_XSTR">Model!$BQ$229</definedName>
    <definedName name="v_102_XU">Model!$M$229</definedName>
    <definedName name="v_102_XVivi">Model!$BR$229</definedName>
    <definedName name="v_103_CB">Model!$H$230</definedName>
    <definedName name="v_103_CU">Model!$L$230</definedName>
    <definedName name="v_103_GCH4">Model!$CA$230</definedName>
    <definedName name="v_103_GCH4_atm">Model!$CG$230</definedName>
    <definedName name="v_103_GCO2">Model!$BZ$230</definedName>
    <definedName name="v_103_GCO2_atm">Model!$CF$230</definedName>
    <definedName name="v_103_GH2">Model!$CB$230</definedName>
    <definedName name="v_103_GH2_atm">Model!$CH$230</definedName>
    <definedName name="v_103_GN2">Model!$CE$230</definedName>
    <definedName name="v_103_GN2_atm">Model!$CK$230</definedName>
    <definedName name="v_103_GNH3">Model!$CD$230</definedName>
    <definedName name="v_103_GNH3_atm">Model!$CJ$230</definedName>
    <definedName name="v_103_GO2">Model!$CC$230</definedName>
    <definedName name="v_103_GO2_atm">Model!$CI$230</definedName>
    <definedName name="v_103_SALPHA">Model!$BX$230</definedName>
    <definedName name="v_103_SAN">Model!$AU$230</definedName>
    <definedName name="v_103_SB">Model!$F$230</definedName>
    <definedName name="v_103_SCa">Model!$AV$230</definedName>
    <definedName name="v_103_SCAT">Model!$AT$230</definedName>
    <definedName name="v_103_SCH4">Model!$AP$230</definedName>
    <definedName name="v_103_SCO2">Model!$AR$230</definedName>
    <definedName name="v_103_SFe2">Model!$AY$230</definedName>
    <definedName name="v_103_SH">Model!$BW$230</definedName>
    <definedName name="v_103_SH2">Model!$AQ$230</definedName>
    <definedName name="v_103_SK">Model!$AX$230</definedName>
    <definedName name="v_103_SMEOL">Model!$G$230</definedName>
    <definedName name="v_103_SMg">Model!$AW$230</definedName>
    <definedName name="v_103_SN_B">Model!$AE$230</definedName>
    <definedName name="v_103_SN2">Model!$AD$230</definedName>
    <definedName name="v_103_SNHx">Model!$AA$230</definedName>
    <definedName name="v_103_SNO2">Model!$AB$230</definedName>
    <definedName name="v_103_SNO3">Model!$AC$230</definedName>
    <definedName name="v_103_SO2">Model!$AO$230</definedName>
    <definedName name="v_103_SORPswitch">Model!$BY$230</definedName>
    <definedName name="v_103_SP_B">Model!$AK$230</definedName>
    <definedName name="v_103_SPFOA">Model!$BS$230</definedName>
    <definedName name="v_103_SPFOS">Model!$BU$230</definedName>
    <definedName name="v_103_SPO4">Model!$AI$230</definedName>
    <definedName name="v_103_SU">Model!$K$230</definedName>
    <definedName name="v_103_SVFA">Model!$E$230</definedName>
    <definedName name="v_103_XACP">Model!$BO$230</definedName>
    <definedName name="v_103_XALGAE">Model!$Z$230</definedName>
    <definedName name="v_103_XAMETO">Model!$X$230</definedName>
    <definedName name="v_103_XAMX">Model!$W$230</definedName>
    <definedName name="v_103_XAOB">Model!$U$230</definedName>
    <definedName name="v_103_XB">Model!$I$230</definedName>
    <definedName name="v_103_XB_e">Model!$J$230</definedName>
    <definedName name="v_103_XBSH">Model!$BP$230</definedName>
    <definedName name="v_103_XCaCO3">Model!$BN$230</definedName>
    <definedName name="v_103_XCASTO">Model!$S$230</definedName>
    <definedName name="v_103_XE">Model!$P$230</definedName>
    <definedName name="v_103_XE_ana">Model!$Q$230</definedName>
    <definedName name="v_103_XHAO_H">Model!$BG$230</definedName>
    <definedName name="v_103_XHAO_H_P">Model!$BJ$230</definedName>
    <definedName name="v_103_XHAO_H_P_old">Model!$BL$230</definedName>
    <definedName name="v_103_XHAO_L">Model!$BH$230</definedName>
    <definedName name="v_103_XHAO_L_P">Model!$BK$230</definedName>
    <definedName name="v_103_XHAO_L_P_old">Model!$BM$230</definedName>
    <definedName name="v_103_XHAO_old">Model!$BI$230</definedName>
    <definedName name="v_103_XHFO_H">Model!$AZ$230</definedName>
    <definedName name="v_103_XHFO_H_P">Model!$BC$230</definedName>
    <definedName name="v_103_XHFO_H_P_old">Model!$BE$230</definedName>
    <definedName name="v_103_XHFO_L">Model!$BA$230</definedName>
    <definedName name="v_103_XHFO_L_P">Model!$BD$230</definedName>
    <definedName name="v_103_XHFO_L_P_old">Model!$BF$230</definedName>
    <definedName name="v_103_XHFO_old">Model!$BB$230</definedName>
    <definedName name="v_103_XHMETO">Model!$Y$230</definedName>
    <definedName name="v_103_XINORG">Model!$AS$230</definedName>
    <definedName name="v_103_XMEOLO">Model!$T$230</definedName>
    <definedName name="v_103_XN_B">Model!$AF$230</definedName>
    <definedName name="v_103_XN_Be">Model!$AG$230</definedName>
    <definedName name="v_103_XN_U">Model!$AH$230</definedName>
    <definedName name="v_103_XNOB">Model!$V$230</definedName>
    <definedName name="v_103_XOHO">Model!$R$230</definedName>
    <definedName name="v_103_XP_B">Model!$AL$230</definedName>
    <definedName name="v_103_XP_Be">Model!$AM$230</definedName>
    <definedName name="v_103_XP_U">Model!$AN$230</definedName>
    <definedName name="v_103_XPFOA">Model!$BT$230</definedName>
    <definedName name="v_103_XPFOS">Model!$BV$230</definedName>
    <definedName name="v_103_XPHA_GAO">Model!$O$230</definedName>
    <definedName name="v_103_XPHA_PAO">Model!$N$230</definedName>
    <definedName name="v_103_XPP">Model!$AJ$230</definedName>
    <definedName name="v_103_XSTR">Model!$BQ$230</definedName>
    <definedName name="v_103_XU">Model!$M$230</definedName>
    <definedName name="v_103_XVivi">Model!$BR$230</definedName>
    <definedName name="v_104_CB">Model!$H$231</definedName>
    <definedName name="v_104_CU">Model!$L$231</definedName>
    <definedName name="v_104_GCH4">Model!$CA$231</definedName>
    <definedName name="v_104_GCH4_atm">Model!$CG$231</definedName>
    <definedName name="v_104_GCO2">Model!$BZ$231</definedName>
    <definedName name="v_104_GCO2_atm">Model!$CF$231</definedName>
    <definedName name="v_104_GH2">Model!$CB$231</definedName>
    <definedName name="v_104_GH2_atm">Model!$CH$231</definedName>
    <definedName name="v_104_GN2">Model!$CE$231</definedName>
    <definedName name="v_104_GN2_atm">Model!$CK$231</definedName>
    <definedName name="v_104_GNH3">Model!$CD$231</definedName>
    <definedName name="v_104_GNH3_atm">Model!$CJ$231</definedName>
    <definedName name="v_104_GO2">Model!$CC$231</definedName>
    <definedName name="v_104_GO2_atm">Model!$CI$231</definedName>
    <definedName name="v_104_SALPHA">Model!$BX$231</definedName>
    <definedName name="v_104_SAN">Model!$AU$231</definedName>
    <definedName name="v_104_SB">Model!$F$231</definedName>
    <definedName name="v_104_SCa">Model!$AV$231</definedName>
    <definedName name="v_104_SCAT">Model!$AT$231</definedName>
    <definedName name="v_104_SCH4">Model!$AP$231</definedName>
    <definedName name="v_104_SCO2">Model!$AR$231</definedName>
    <definedName name="v_104_SFe2">Model!$AY$231</definedName>
    <definedName name="v_104_SH">Model!$BW$231</definedName>
    <definedName name="v_104_SH2">Model!$AQ$231</definedName>
    <definedName name="v_104_SK">Model!$AX$231</definedName>
    <definedName name="v_104_SMEOL">Model!$G$231</definedName>
    <definedName name="v_104_SMg">Model!$AW$231</definedName>
    <definedName name="v_104_SN_B">Model!$AE$231</definedName>
    <definedName name="v_104_SN2">Model!$AD$231</definedName>
    <definedName name="v_104_SNHx">Model!$AA$231</definedName>
    <definedName name="v_104_SNO2">Model!$AB$231</definedName>
    <definedName name="v_104_SNO3">Model!$AC$231</definedName>
    <definedName name="v_104_SO2">Model!$AO$231</definedName>
    <definedName name="v_104_SORPswitch">Model!$BY$231</definedName>
    <definedName name="v_104_SP_B">Model!$AK$231</definedName>
    <definedName name="v_104_SPFOA">Model!$BS$231</definedName>
    <definedName name="v_104_SPFOS">Model!$BU$231</definedName>
    <definedName name="v_104_SPO4">Model!$AI$231</definedName>
    <definedName name="v_104_SU">Model!$K$231</definedName>
    <definedName name="v_104_SVFA">Model!$E$231</definedName>
    <definedName name="v_104_XACP">Model!$BO$231</definedName>
    <definedName name="v_104_XALGAE">Model!$Z$231</definedName>
    <definedName name="v_104_XAMETO">Model!$X$231</definedName>
    <definedName name="v_104_XAMX">Model!$W$231</definedName>
    <definedName name="v_104_XAOB">Model!$U$231</definedName>
    <definedName name="v_104_XB">Model!$I$231</definedName>
    <definedName name="v_104_XB_e">Model!$J$231</definedName>
    <definedName name="v_104_XBSH">Model!$BP$231</definedName>
    <definedName name="v_104_XCaCO3">Model!$BN$231</definedName>
    <definedName name="v_104_XCASTO">Model!$S$231</definedName>
    <definedName name="v_104_XE">Model!$P$231</definedName>
    <definedName name="v_104_XE_ana">Model!$Q$231</definedName>
    <definedName name="v_104_XHAO_H">Model!$BG$231</definedName>
    <definedName name="v_104_XHAO_H_P">Model!$BJ$231</definedName>
    <definedName name="v_104_XHAO_H_P_old">Model!$BL$231</definedName>
    <definedName name="v_104_XHAO_L">Model!$BH$231</definedName>
    <definedName name="v_104_XHAO_L_P">Model!$BK$231</definedName>
    <definedName name="v_104_XHAO_L_P_old">Model!$BM$231</definedName>
    <definedName name="v_104_XHAO_old">Model!$BI$231</definedName>
    <definedName name="v_104_XHFO_H">Model!$AZ$231</definedName>
    <definedName name="v_104_XHFO_H_P">Model!$BC$231</definedName>
    <definedName name="v_104_XHFO_H_P_old">Model!$BE$231</definedName>
    <definedName name="v_104_XHFO_L">Model!$BA$231</definedName>
    <definedName name="v_104_XHFO_L_P">Model!$BD$231</definedName>
    <definedName name="v_104_XHFO_L_P_old">Model!$BF$231</definedName>
    <definedName name="v_104_XHFO_old">Model!$BB$231</definedName>
    <definedName name="v_104_XHMETO">Model!$Y$231</definedName>
    <definedName name="v_104_XINORG">Model!$AS$231</definedName>
    <definedName name="v_104_XMEOLO">Model!$T$231</definedName>
    <definedName name="v_104_XN_B">Model!$AF$231</definedName>
    <definedName name="v_104_XN_Be">Model!$AG$231</definedName>
    <definedName name="v_104_XN_U">Model!$AH$231</definedName>
    <definedName name="v_104_XNOB">Model!$V$231</definedName>
    <definedName name="v_104_XOHO">Model!$R$231</definedName>
    <definedName name="v_104_XP_B">Model!$AL$231</definedName>
    <definedName name="v_104_XP_Be">Model!$AM$231</definedName>
    <definedName name="v_104_XP_U">Model!$AN$231</definedName>
    <definedName name="v_104_XPFOA">Model!$BT$231</definedName>
    <definedName name="v_104_XPFOS">Model!$BV$231</definedName>
    <definedName name="v_104_XPHA_GAO">Model!$O$231</definedName>
    <definedName name="v_104_XPHA_PAO">Model!$N$231</definedName>
    <definedName name="v_104_XPP">Model!$AJ$231</definedName>
    <definedName name="v_104_XSTR">Model!$BQ$231</definedName>
    <definedName name="v_104_XU">Model!$M$231</definedName>
    <definedName name="v_104_XVivi">Model!$BR$231</definedName>
    <definedName name="v_105_CB">Model!$H$232</definedName>
    <definedName name="v_105_CU">Model!$L$232</definedName>
    <definedName name="v_105_GCH4">Model!$CA$232</definedName>
    <definedName name="v_105_GCH4_atm">Model!$CG$232</definedName>
    <definedName name="v_105_GCO2">Model!$BZ$232</definedName>
    <definedName name="v_105_GCO2_atm">Model!$CF$232</definedName>
    <definedName name="v_105_GH2">Model!$CB$232</definedName>
    <definedName name="v_105_GH2_atm">Model!$CH$232</definedName>
    <definedName name="v_105_GN2">Model!$CE$232</definedName>
    <definedName name="v_105_GN2_atm">Model!$CK$232</definedName>
    <definedName name="v_105_GNH3">Model!$CD$232</definedName>
    <definedName name="v_105_GNH3_atm">Model!$CJ$232</definedName>
    <definedName name="v_105_GO2">Model!$CC$232</definedName>
    <definedName name="v_105_GO2_atm">Model!$CI$232</definedName>
    <definedName name="v_105_SALPHA">Model!$BX$232</definedName>
    <definedName name="v_105_SAN">Model!$AU$232</definedName>
    <definedName name="v_105_SB">Model!$F$232</definedName>
    <definedName name="v_105_SCa">Model!$AV$232</definedName>
    <definedName name="v_105_SCAT">Model!$AT$232</definedName>
    <definedName name="v_105_SCH4">Model!$AP$232</definedName>
    <definedName name="v_105_SCO2">Model!$AR$232</definedName>
    <definedName name="v_105_SFe2">Model!$AY$232</definedName>
    <definedName name="v_105_SH">Model!$BW$232</definedName>
    <definedName name="v_105_SH2">Model!$AQ$232</definedName>
    <definedName name="v_105_SK">Model!$AX$232</definedName>
    <definedName name="v_105_SMEOL">Model!$G$232</definedName>
    <definedName name="v_105_SMg">Model!$AW$232</definedName>
    <definedName name="v_105_SN_B">Model!$AE$232</definedName>
    <definedName name="v_105_SN2">Model!$AD$232</definedName>
    <definedName name="v_105_SNHx">Model!$AA$232</definedName>
    <definedName name="v_105_SNO2">Model!$AB$232</definedName>
    <definedName name="v_105_SNO3">Model!$AC$232</definedName>
    <definedName name="v_105_SO2">Model!$AO$232</definedName>
    <definedName name="v_105_SORPswitch">Model!$BY$232</definedName>
    <definedName name="v_105_SP_B">Model!$AK$232</definedName>
    <definedName name="v_105_SPFOA">Model!$BS$232</definedName>
    <definedName name="v_105_SPFOS">Model!$BU$232</definedName>
    <definedName name="v_105_SPO4">Model!$AI$232</definedName>
    <definedName name="v_105_SU">Model!$K$232</definedName>
    <definedName name="v_105_SVFA">Model!$E$232</definedName>
    <definedName name="v_105_XACP">Model!$BO$232</definedName>
    <definedName name="v_105_XALGAE">Model!$Z$232</definedName>
    <definedName name="v_105_XAMETO">Model!$X$232</definedName>
    <definedName name="v_105_XAMX">Model!$W$232</definedName>
    <definedName name="v_105_XAOB">Model!$U$232</definedName>
    <definedName name="v_105_XB">Model!$I$232</definedName>
    <definedName name="v_105_XB_e">Model!$J$232</definedName>
    <definedName name="v_105_XBSH">Model!$BP$232</definedName>
    <definedName name="v_105_XCaCO3">Model!$BN$232</definedName>
    <definedName name="v_105_XCASTO">Model!$S$232</definedName>
    <definedName name="v_105_XE">Model!$P$232</definedName>
    <definedName name="v_105_XE_ana">Model!$Q$232</definedName>
    <definedName name="v_105_XHAO_H">Model!$BG$232</definedName>
    <definedName name="v_105_XHAO_H_P">Model!$BJ$232</definedName>
    <definedName name="v_105_XHAO_H_P_old">Model!$BL$232</definedName>
    <definedName name="v_105_XHAO_L">Model!$BH$232</definedName>
    <definedName name="v_105_XHAO_L_P">Model!$BK$232</definedName>
    <definedName name="v_105_XHAO_L_P_old">Model!$BM$232</definedName>
    <definedName name="v_105_XHAO_old">Model!$BI$232</definedName>
    <definedName name="v_105_XHFO_H">Model!$AZ$232</definedName>
    <definedName name="v_105_XHFO_H_P">Model!$BC$232</definedName>
    <definedName name="v_105_XHFO_H_P_old">Model!$BE$232</definedName>
    <definedName name="v_105_XHFO_L">Model!$BA$232</definedName>
    <definedName name="v_105_XHFO_L_P">Model!$BD$232</definedName>
    <definedName name="v_105_XHFO_L_P_old">Model!$BF$232</definedName>
    <definedName name="v_105_XHFO_old">Model!$BB$232</definedName>
    <definedName name="v_105_XHMETO">Model!$Y$232</definedName>
    <definedName name="v_105_XINORG">Model!$AS$232</definedName>
    <definedName name="v_105_XMEOLO">Model!$T$232</definedName>
    <definedName name="v_105_XN_B">Model!$AF$232</definedName>
    <definedName name="v_105_XN_Be">Model!$AG$232</definedName>
    <definedName name="v_105_XN_U">Model!$AH$232</definedName>
    <definedName name="v_105_XNOB">Model!$V$232</definedName>
    <definedName name="v_105_XOHO">Model!$R$232</definedName>
    <definedName name="v_105_XP_B">Model!$AL$232</definedName>
    <definedName name="v_105_XP_Be">Model!$AM$232</definedName>
    <definedName name="v_105_XP_U">Model!$AN$232</definedName>
    <definedName name="v_105_XPFOA">Model!$BT$232</definedName>
    <definedName name="v_105_XPFOS">Model!$BV$232</definedName>
    <definedName name="v_105_XPHA_GAO">Model!$O$232</definedName>
    <definedName name="v_105_XPHA_PAO">Model!$N$232</definedName>
    <definedName name="v_105_XPP">Model!$AJ$232</definedName>
    <definedName name="v_105_XSTR">Model!$BQ$232</definedName>
    <definedName name="v_105_XU">Model!$M$232</definedName>
    <definedName name="v_105_XVivi">Model!$BR$232</definedName>
    <definedName name="v_11_CB">Model!$H$138</definedName>
    <definedName name="v_11_CU">Model!$L$138</definedName>
    <definedName name="v_11_GCH4">Model!$CA$138</definedName>
    <definedName name="v_11_GCH4_atm">Model!$CG$138</definedName>
    <definedName name="v_11_GCO2">Model!$BZ$138</definedName>
    <definedName name="v_11_GCO2_atm">Model!$CF$138</definedName>
    <definedName name="v_11_GH2">Model!$CB$138</definedName>
    <definedName name="v_11_GH2_atm">Model!$CH$138</definedName>
    <definedName name="v_11_GN2">Model!$CE$138</definedName>
    <definedName name="v_11_GN2_atm">Model!$CK$138</definedName>
    <definedName name="v_11_GNH3">Model!$CD$138</definedName>
    <definedName name="v_11_GNH3_atm">Model!$CJ$138</definedName>
    <definedName name="v_11_GO2">Model!$CC$138</definedName>
    <definedName name="v_11_GO2_atm">Model!$CI$138</definedName>
    <definedName name="v_11_SALPHA">Model!$BX$138</definedName>
    <definedName name="v_11_SAN">Model!$AU$138</definedName>
    <definedName name="v_11_SB">Model!$F$138</definedName>
    <definedName name="v_11_SCa">Model!$AV$138</definedName>
    <definedName name="v_11_SCAT">Model!$AT$138</definedName>
    <definedName name="v_11_SCH4">Model!$AP$138</definedName>
    <definedName name="v_11_SCO2">Model!$AR$138</definedName>
    <definedName name="v_11_SFe2">Model!$AY$138</definedName>
    <definedName name="v_11_SH">Model!$BW$138</definedName>
    <definedName name="v_11_SH2">Model!$AQ$138</definedName>
    <definedName name="v_11_SK">Model!$AX$138</definedName>
    <definedName name="v_11_SMEOL">Model!$G$138</definedName>
    <definedName name="v_11_SMg">Model!$AW$138</definedName>
    <definedName name="v_11_SN_B">Model!$AE$138</definedName>
    <definedName name="v_11_SN2">Model!$AD$138</definedName>
    <definedName name="v_11_SNHx">Model!$AA$138</definedName>
    <definedName name="v_11_SNO2">Model!$AB$138</definedName>
    <definedName name="v_11_SNO3">Model!$AC$138</definedName>
    <definedName name="v_11_SO2">Model!$AO$138</definedName>
    <definedName name="v_11_SORPswitch">Model!$BY$138</definedName>
    <definedName name="v_11_SP_B">Model!$AK$138</definedName>
    <definedName name="v_11_SPFOA">Model!$BS$138</definedName>
    <definedName name="v_11_SPFOS">Model!$BU$138</definedName>
    <definedName name="v_11_SPO4">Model!$AI$138</definedName>
    <definedName name="v_11_SU">Model!$K$138</definedName>
    <definedName name="v_11_SVFA">Model!$E$138</definedName>
    <definedName name="v_11_XACP">Model!$BO$138</definedName>
    <definedName name="v_11_XALGAE">Model!$Z$138</definedName>
    <definedName name="v_11_XAMETO">Model!$X$138</definedName>
    <definedName name="v_11_XAMX">Model!$W$138</definedName>
    <definedName name="v_11_XAOB">Model!$U$138</definedName>
    <definedName name="v_11_XB">Model!$I$138</definedName>
    <definedName name="v_11_XB_e">Model!$J$138</definedName>
    <definedName name="v_11_XBSH">Model!$BP$138</definedName>
    <definedName name="v_11_XCaCO3">Model!$BN$138</definedName>
    <definedName name="v_11_XCASTO">Model!$S$138</definedName>
    <definedName name="v_11_XE">Model!$P$138</definedName>
    <definedName name="v_11_XE_ana">Model!$Q$138</definedName>
    <definedName name="v_11_XHAO_H">Model!$BG$138</definedName>
    <definedName name="v_11_XHAO_H_P">Model!$BJ$138</definedName>
    <definedName name="v_11_XHAO_H_P_old">Model!$BL$138</definedName>
    <definedName name="v_11_XHAO_L">Model!$BH$138</definedName>
    <definedName name="v_11_XHAO_L_P">Model!$BK$138</definedName>
    <definedName name="v_11_XHAO_L_P_old">Model!$BM$138</definedName>
    <definedName name="v_11_XHAO_old">Model!$BI$138</definedName>
    <definedName name="v_11_XHFO_H">Model!$AZ$138</definedName>
    <definedName name="v_11_XHFO_H_P">Model!$BC$138</definedName>
    <definedName name="v_11_XHFO_H_P_old">Model!$BE$138</definedName>
    <definedName name="v_11_XHFO_L">Model!$BA$138</definedName>
    <definedName name="v_11_XHFO_L_P">Model!$BD$138</definedName>
    <definedName name="v_11_XHFO_L_P_old">Model!$BF$138</definedName>
    <definedName name="v_11_XHFO_old">Model!$BB$138</definedName>
    <definedName name="v_11_XHMETO">Model!$Y$138</definedName>
    <definedName name="v_11_XINORG">Model!$AS$138</definedName>
    <definedName name="v_11_XMEOLO">Model!$T$138</definedName>
    <definedName name="v_11_XN_B">Model!$AF$138</definedName>
    <definedName name="v_11_XN_Be">Model!$AG$138</definedName>
    <definedName name="v_11_XN_U">Model!$AH$138</definedName>
    <definedName name="v_11_XNOB">Model!$V$138</definedName>
    <definedName name="v_11_XOHO">Model!$R$138</definedName>
    <definedName name="v_11_XP_B">Model!$AL$138</definedName>
    <definedName name="v_11_XP_Be">Model!$AM$138</definedName>
    <definedName name="v_11_XP_U">Model!$AN$138</definedName>
    <definedName name="v_11_XPFOA">Model!$BT$138</definedName>
    <definedName name="v_11_XPFOS">Model!$BV$138</definedName>
    <definedName name="v_11_XPHA_GAO">Model!$O$138</definedName>
    <definedName name="v_11_XPHA_PAO">Model!$N$138</definedName>
    <definedName name="v_11_XPP">Model!$AJ$138</definedName>
    <definedName name="v_11_XSTR">Model!$BQ$138</definedName>
    <definedName name="v_11_XU">Model!$M$138</definedName>
    <definedName name="v_11_XVivi">Model!$BR$138</definedName>
    <definedName name="v_12_CB">Model!$H$139</definedName>
    <definedName name="v_12_CU">Model!$L$139</definedName>
    <definedName name="v_12_GCH4">Model!$CA$139</definedName>
    <definedName name="v_12_GCH4_atm">Model!$CG$139</definedName>
    <definedName name="v_12_GCO2">Model!$BZ$139</definedName>
    <definedName name="v_12_GCO2_atm">Model!$CF$139</definedName>
    <definedName name="v_12_GH2">Model!$CB$139</definedName>
    <definedName name="v_12_GH2_atm">Model!$CH$139</definedName>
    <definedName name="v_12_GN2">Model!$CE$139</definedName>
    <definedName name="v_12_GN2_atm">Model!$CK$139</definedName>
    <definedName name="v_12_GNH3">Model!$CD$139</definedName>
    <definedName name="v_12_GNH3_atm">Model!$CJ$139</definedName>
    <definedName name="v_12_GO2">Model!$CC$139</definedName>
    <definedName name="v_12_GO2_atm">Model!$CI$139</definedName>
    <definedName name="v_12_SALPHA">Model!$BX$139</definedName>
    <definedName name="v_12_SAN">Model!$AU$139</definedName>
    <definedName name="v_12_SB">Model!$F$139</definedName>
    <definedName name="v_12_SCa">Model!$AV$139</definedName>
    <definedName name="v_12_SCAT">Model!$AT$139</definedName>
    <definedName name="v_12_SCH4">Model!$AP$139</definedName>
    <definedName name="v_12_SCO2">Model!$AR$139</definedName>
    <definedName name="v_12_SFe2">Model!$AY$139</definedName>
    <definedName name="v_12_SH">Model!$BW$139</definedName>
    <definedName name="v_12_SH2">Model!$AQ$139</definedName>
    <definedName name="v_12_SK">Model!$AX$139</definedName>
    <definedName name="v_12_SMEOL">Model!$G$139</definedName>
    <definedName name="v_12_SMg">Model!$AW$139</definedName>
    <definedName name="v_12_SN_B">Model!$AE$139</definedName>
    <definedName name="v_12_SN2">Model!$AD$139</definedName>
    <definedName name="v_12_SNHx">Model!$AA$139</definedName>
    <definedName name="v_12_SNO2">Model!$AB$139</definedName>
    <definedName name="v_12_SNO3">Model!$AC$139</definedName>
    <definedName name="v_12_SO2">Model!$AO$139</definedName>
    <definedName name="v_12_SORPswitch">Model!$BY$139</definedName>
    <definedName name="v_12_SP_B">Model!$AK$139</definedName>
    <definedName name="v_12_SPFOA">Model!$BS$139</definedName>
    <definedName name="v_12_SPFOS">Model!$BU$139</definedName>
    <definedName name="v_12_SPO4">Model!$AI$139</definedName>
    <definedName name="v_12_SU">Model!$K$139</definedName>
    <definedName name="v_12_SVFA">Model!$E$139</definedName>
    <definedName name="v_12_XACP">Model!$BO$139</definedName>
    <definedName name="v_12_XALGAE">Model!$Z$139</definedName>
    <definedName name="v_12_XAMETO">Model!$X$139</definedName>
    <definedName name="v_12_XAMX">Model!$W$139</definedName>
    <definedName name="v_12_XAOB">Model!$U$139</definedName>
    <definedName name="v_12_XB">Model!$I$139</definedName>
    <definedName name="v_12_XB_e">Model!$J$139</definedName>
    <definedName name="v_12_XBSH">Model!$BP$139</definedName>
    <definedName name="v_12_XCaCO3">Model!$BN$139</definedName>
    <definedName name="v_12_XCASTO">Model!$S$139</definedName>
    <definedName name="v_12_XE">Model!$P$139</definedName>
    <definedName name="v_12_XE_ana">Model!$Q$139</definedName>
    <definedName name="v_12_XHAO_H">Model!$BG$139</definedName>
    <definedName name="v_12_XHAO_H_P">Model!$BJ$139</definedName>
    <definedName name="v_12_XHAO_H_P_old">Model!$BL$139</definedName>
    <definedName name="v_12_XHAO_L">Model!$BH$139</definedName>
    <definedName name="v_12_XHAO_L_P">Model!$BK$139</definedName>
    <definedName name="v_12_XHAO_L_P_old">Model!$BM$139</definedName>
    <definedName name="v_12_XHAO_old">Model!$BI$139</definedName>
    <definedName name="v_12_XHFO_H">Model!$AZ$139</definedName>
    <definedName name="v_12_XHFO_H_P">Model!$BC$139</definedName>
    <definedName name="v_12_XHFO_H_P_old">Model!$BE$139</definedName>
    <definedName name="v_12_XHFO_L">Model!$BA$139</definedName>
    <definedName name="v_12_XHFO_L_P">Model!$BD$139</definedName>
    <definedName name="v_12_XHFO_L_P_old">Model!$BF$139</definedName>
    <definedName name="v_12_XHFO_old">Model!$BB$139</definedName>
    <definedName name="v_12_XHMETO">Model!$Y$139</definedName>
    <definedName name="v_12_XINORG">Model!$AS$139</definedName>
    <definedName name="v_12_XMEOLO">Model!$T$139</definedName>
    <definedName name="v_12_XN_B">Model!$AF$139</definedName>
    <definedName name="v_12_XN_Be">Model!$AG$139</definedName>
    <definedName name="v_12_XN_U">Model!$AH$139</definedName>
    <definedName name="v_12_XNOB">Model!$V$139</definedName>
    <definedName name="v_12_XOHO">Model!$R$139</definedName>
    <definedName name="v_12_XP_B">Model!$AL$139</definedName>
    <definedName name="v_12_XP_Be">Model!$AM$139</definedName>
    <definedName name="v_12_XP_U">Model!$AN$139</definedName>
    <definedName name="v_12_XPFOA">Model!$BT$139</definedName>
    <definedName name="v_12_XPFOS">Model!$BV$139</definedName>
    <definedName name="v_12_XPHA_GAO">Model!$O$139</definedName>
    <definedName name="v_12_XPHA_PAO">Model!$N$139</definedName>
    <definedName name="v_12_XPP">Model!$AJ$139</definedName>
    <definedName name="v_12_XSTR">Model!$BQ$139</definedName>
    <definedName name="v_12_XU">Model!$M$139</definedName>
    <definedName name="v_12_XVivi">Model!$BR$139</definedName>
    <definedName name="v_13_CB">Model!$H$140</definedName>
    <definedName name="v_13_CU">Model!$L$140</definedName>
    <definedName name="v_13_GCH4">Model!$CA$140</definedName>
    <definedName name="v_13_GCH4_atm">Model!$CG$140</definedName>
    <definedName name="v_13_GCO2">Model!$BZ$140</definedName>
    <definedName name="v_13_GCO2_atm">Model!$CF$140</definedName>
    <definedName name="v_13_GH2">Model!$CB$140</definedName>
    <definedName name="v_13_GH2_atm">Model!$CH$140</definedName>
    <definedName name="v_13_GN2">Model!$CE$140</definedName>
    <definedName name="v_13_GN2_atm">Model!$CK$140</definedName>
    <definedName name="v_13_GNH3">Model!$CD$140</definedName>
    <definedName name="v_13_GNH3_atm">Model!$CJ$140</definedName>
    <definedName name="v_13_GO2">Model!$CC$140</definedName>
    <definedName name="v_13_GO2_atm">Model!$CI$140</definedName>
    <definedName name="v_13_SALPHA">Model!$BX$140</definedName>
    <definedName name="v_13_SAN">Model!$AU$140</definedName>
    <definedName name="v_13_SB">Model!$F$140</definedName>
    <definedName name="v_13_SCa">Model!$AV$140</definedName>
    <definedName name="v_13_SCAT">Model!$AT$140</definedName>
    <definedName name="v_13_SCH4">Model!$AP$140</definedName>
    <definedName name="v_13_SCO2">Model!$AR$140</definedName>
    <definedName name="v_13_SFe2">Model!$AY$140</definedName>
    <definedName name="v_13_SH">Model!$BW$140</definedName>
    <definedName name="v_13_SH2">Model!$AQ$140</definedName>
    <definedName name="v_13_SK">Model!$AX$140</definedName>
    <definedName name="v_13_SMEOL">Model!$G$140</definedName>
    <definedName name="v_13_SMg">Model!$AW$140</definedName>
    <definedName name="v_13_SN_B">Model!$AE$140</definedName>
    <definedName name="v_13_SN2">Model!$AD$140</definedName>
    <definedName name="v_13_SNHx">Model!$AA$140</definedName>
    <definedName name="v_13_SNO2">Model!$AB$140</definedName>
    <definedName name="v_13_SNO3">Model!$AC$140</definedName>
    <definedName name="v_13_SO2">Model!$AO$140</definedName>
    <definedName name="v_13_SORPswitch">Model!$BY$140</definedName>
    <definedName name="v_13_SP_B">Model!$AK$140</definedName>
    <definedName name="v_13_SPFOA">Model!$BS$140</definedName>
    <definedName name="v_13_SPFOS">Model!$BU$140</definedName>
    <definedName name="v_13_SPO4">Model!$AI$140</definedName>
    <definedName name="v_13_SU">Model!$K$140</definedName>
    <definedName name="v_13_SVFA">Model!$E$140</definedName>
    <definedName name="v_13_XACP">Model!$BO$140</definedName>
    <definedName name="v_13_XALGAE">Model!$Z$140</definedName>
    <definedName name="v_13_XAMETO">Model!$X$140</definedName>
    <definedName name="v_13_XAMX">Model!$W$140</definedName>
    <definedName name="v_13_XAOB">Model!$U$140</definedName>
    <definedName name="v_13_XB">Model!$I$140</definedName>
    <definedName name="v_13_XB_e">Model!$J$140</definedName>
    <definedName name="v_13_XBSH">Model!$BP$140</definedName>
    <definedName name="v_13_XCaCO3">Model!$BN$140</definedName>
    <definedName name="v_13_XCASTO">Model!$S$140</definedName>
    <definedName name="v_13_XE">Model!$P$140</definedName>
    <definedName name="v_13_XE_ana">Model!$Q$140</definedName>
    <definedName name="v_13_XHAO_H">Model!$BG$140</definedName>
    <definedName name="v_13_XHAO_H_P">Model!$BJ$140</definedName>
    <definedName name="v_13_XHAO_H_P_old">Model!$BL$140</definedName>
    <definedName name="v_13_XHAO_L">Model!$BH$140</definedName>
    <definedName name="v_13_XHAO_L_P">Model!$BK$140</definedName>
    <definedName name="v_13_XHAO_L_P_old">Model!$BM$140</definedName>
    <definedName name="v_13_XHAO_old">Model!$BI$140</definedName>
    <definedName name="v_13_XHFO_H">Model!$AZ$140</definedName>
    <definedName name="v_13_XHFO_H_P">Model!$BC$140</definedName>
    <definedName name="v_13_XHFO_H_P_old">Model!$BE$140</definedName>
    <definedName name="v_13_XHFO_L">Model!$BA$140</definedName>
    <definedName name="v_13_XHFO_L_P">Model!$BD$140</definedName>
    <definedName name="v_13_XHFO_L_P_old">Model!$BF$140</definedName>
    <definedName name="v_13_XHFO_old">Model!$BB$140</definedName>
    <definedName name="v_13_XHMETO">Model!$Y$140</definedName>
    <definedName name="v_13_XINORG">Model!$AS$140</definedName>
    <definedName name="v_13_XMEOLO">Model!$T$140</definedName>
    <definedName name="v_13_XN_B">Model!$AF$140</definedName>
    <definedName name="v_13_XN_Be">Model!$AG$140</definedName>
    <definedName name="v_13_XN_U">Model!$AH$140</definedName>
    <definedName name="v_13_XNOB">Model!$V$140</definedName>
    <definedName name="v_13_XOHO">Model!$R$140</definedName>
    <definedName name="v_13_XP_B">Model!$AL$140</definedName>
    <definedName name="v_13_XP_Be">Model!$AM$140</definedName>
    <definedName name="v_13_XP_U">Model!$AN$140</definedName>
    <definedName name="v_13_XPFOA">Model!$BT$140</definedName>
    <definedName name="v_13_XPFOS">Model!$BV$140</definedName>
    <definedName name="v_13_XPHA_GAO">Model!$O$140</definedName>
    <definedName name="v_13_XPHA_PAO">Model!$N$140</definedName>
    <definedName name="v_13_XPP">Model!$AJ$140</definedName>
    <definedName name="v_13_XSTR">Model!$BQ$140</definedName>
    <definedName name="v_13_XU">Model!$M$140</definedName>
    <definedName name="v_13_XVivi">Model!$BR$140</definedName>
    <definedName name="v_14_CB">Model!$H$141</definedName>
    <definedName name="v_14_CU">Model!$L$141</definedName>
    <definedName name="v_14_GCH4">Model!$CA$141</definedName>
    <definedName name="v_14_GCH4_atm">Model!$CG$141</definedName>
    <definedName name="v_14_GCO2">Model!$BZ$141</definedName>
    <definedName name="v_14_GCO2_atm">Model!$CF$141</definedName>
    <definedName name="v_14_GH2">Model!$CB$141</definedName>
    <definedName name="v_14_GH2_atm">Model!$CH$141</definedName>
    <definedName name="v_14_GN2">Model!$CE$141</definedName>
    <definedName name="v_14_GN2_atm">Model!$CK$141</definedName>
    <definedName name="v_14_GNH3">Model!$CD$141</definedName>
    <definedName name="v_14_GNH3_atm">Model!$CJ$141</definedName>
    <definedName name="v_14_GO2">Model!$CC$141</definedName>
    <definedName name="v_14_GO2_atm">Model!$CI$141</definedName>
    <definedName name="v_14_SALPHA">Model!$BX$141</definedName>
    <definedName name="v_14_SAN">Model!$AU$141</definedName>
    <definedName name="v_14_SB">Model!$F$141</definedName>
    <definedName name="v_14_SCa">Model!$AV$141</definedName>
    <definedName name="v_14_SCAT">Model!$AT$141</definedName>
    <definedName name="v_14_SCH4">Model!$AP$141</definedName>
    <definedName name="v_14_SCO2">Model!$AR$141</definedName>
    <definedName name="v_14_SFe2">Model!$AY$141</definedName>
    <definedName name="v_14_SH">Model!$BW$141</definedName>
    <definedName name="v_14_SH2">Model!$AQ$141</definedName>
    <definedName name="v_14_SK">Model!$AX$141</definedName>
    <definedName name="v_14_SMEOL">Model!$G$141</definedName>
    <definedName name="v_14_SMg">Model!$AW$141</definedName>
    <definedName name="v_14_SN_B">Model!$AE$141</definedName>
    <definedName name="v_14_SN2">Model!$AD$141</definedName>
    <definedName name="v_14_SNHx">Model!$AA$141</definedName>
    <definedName name="v_14_SNO2">Model!$AB$141</definedName>
    <definedName name="v_14_SNO3">Model!$AC$141</definedName>
    <definedName name="v_14_SO2">Model!$AO$141</definedName>
    <definedName name="v_14_SORPswitch">Model!$BY$141</definedName>
    <definedName name="v_14_SP_B">Model!$AK$141</definedName>
    <definedName name="v_14_SPFOA">Model!$BS$141</definedName>
    <definedName name="v_14_SPFOS">Model!$BU$141</definedName>
    <definedName name="v_14_SPO4">Model!$AI$141</definedName>
    <definedName name="v_14_SU">Model!$K$141</definedName>
    <definedName name="v_14_SVFA">Model!$E$141</definedName>
    <definedName name="v_14_XACP">Model!$BO$141</definedName>
    <definedName name="v_14_XALGAE">Model!$Z$141</definedName>
    <definedName name="v_14_XAMETO">Model!$X$141</definedName>
    <definedName name="v_14_XAMX">Model!$W$141</definedName>
    <definedName name="v_14_XAOB">Model!$U$141</definedName>
    <definedName name="v_14_XB">Model!$I$141</definedName>
    <definedName name="v_14_XB_e">Model!$J$141</definedName>
    <definedName name="v_14_XBSH">Model!$BP$141</definedName>
    <definedName name="v_14_XCaCO3">Model!$BN$141</definedName>
    <definedName name="v_14_XCASTO">Model!$S$141</definedName>
    <definedName name="v_14_XE">Model!$P$141</definedName>
    <definedName name="v_14_XE_ana">Model!$Q$141</definedName>
    <definedName name="v_14_XHAO_H">Model!$BG$141</definedName>
    <definedName name="v_14_XHAO_H_P">Model!$BJ$141</definedName>
    <definedName name="v_14_XHAO_H_P_old">Model!$BL$141</definedName>
    <definedName name="v_14_XHAO_L">Model!$BH$141</definedName>
    <definedName name="v_14_XHAO_L_P">Model!$BK$141</definedName>
    <definedName name="v_14_XHAO_L_P_old">Model!$BM$141</definedName>
    <definedName name="v_14_XHAO_old">Model!$BI$141</definedName>
    <definedName name="v_14_XHFO_H">Model!$AZ$141</definedName>
    <definedName name="v_14_XHFO_H_P">Model!$BC$141</definedName>
    <definedName name="v_14_XHFO_H_P_old">Model!$BE$141</definedName>
    <definedName name="v_14_XHFO_L">Model!$BA$141</definedName>
    <definedName name="v_14_XHFO_L_P">Model!$BD$141</definedName>
    <definedName name="v_14_XHFO_L_P_old">Model!$BF$141</definedName>
    <definedName name="v_14_XHFO_old">Model!$BB$141</definedName>
    <definedName name="v_14_XHMETO">Model!$Y$141</definedName>
    <definedName name="v_14_XINORG">Model!$AS$141</definedName>
    <definedName name="v_14_XMEOLO">Model!$T$141</definedName>
    <definedName name="v_14_XN_B">Model!$AF$141</definedName>
    <definedName name="v_14_XN_Be">Model!$AG$141</definedName>
    <definedName name="v_14_XN_U">Model!$AH$141</definedName>
    <definedName name="v_14_XNOB">Model!$V$141</definedName>
    <definedName name="v_14_XOHO">Model!$R$141</definedName>
    <definedName name="v_14_XP_B">Model!$AL$141</definedName>
    <definedName name="v_14_XP_Be">Model!$AM$141</definedName>
    <definedName name="v_14_XP_U">Model!$AN$141</definedName>
    <definedName name="v_14_XPFOA">Model!$BT$141</definedName>
    <definedName name="v_14_XPFOS">Model!$BV$141</definedName>
    <definedName name="v_14_XPHA_GAO">Model!$O$141</definedName>
    <definedName name="v_14_XPHA_PAO">Model!$N$141</definedName>
    <definedName name="v_14_XPP">Model!$AJ$141</definedName>
    <definedName name="v_14_XSTR">Model!$BQ$141</definedName>
    <definedName name="v_14_XU">Model!$M$141</definedName>
    <definedName name="v_14_XVivi">Model!$BR$141</definedName>
    <definedName name="v_15_CB">Model!$H$142</definedName>
    <definedName name="v_15_CU">Model!$L$142</definedName>
    <definedName name="v_15_GCH4">Model!$CA$142</definedName>
    <definedName name="v_15_GCH4_atm">Model!$CG$142</definedName>
    <definedName name="v_15_GCO2">Model!$BZ$142</definedName>
    <definedName name="v_15_GCO2_atm">Model!$CF$142</definedName>
    <definedName name="v_15_GH2">Model!$CB$142</definedName>
    <definedName name="v_15_GH2_atm">Model!$CH$142</definedName>
    <definedName name="v_15_GN2">Model!$CE$142</definedName>
    <definedName name="v_15_GN2_atm">Model!$CK$142</definedName>
    <definedName name="v_15_GNH3">Model!$CD$142</definedName>
    <definedName name="v_15_GNH3_atm">Model!$CJ$142</definedName>
    <definedName name="v_15_GO2">Model!$CC$142</definedName>
    <definedName name="v_15_GO2_atm">Model!$CI$142</definedName>
    <definedName name="v_15_SALPHA">Model!$BX$142</definedName>
    <definedName name="v_15_SAN">Model!$AU$142</definedName>
    <definedName name="v_15_SB">Model!$F$142</definedName>
    <definedName name="v_15_SCa">Model!$AV$142</definedName>
    <definedName name="v_15_SCAT">Model!$AT$142</definedName>
    <definedName name="v_15_SCH4">Model!$AP$142</definedName>
    <definedName name="v_15_SCO2">Model!$AR$142</definedName>
    <definedName name="v_15_SFe2">Model!$AY$142</definedName>
    <definedName name="v_15_SH">Model!$BW$142</definedName>
    <definedName name="v_15_SH2">Model!$AQ$142</definedName>
    <definedName name="v_15_SK">Model!$AX$142</definedName>
    <definedName name="v_15_SMEOL">Model!$G$142</definedName>
    <definedName name="v_15_SMg">Model!$AW$142</definedName>
    <definedName name="v_15_SN_B">Model!$AE$142</definedName>
    <definedName name="v_15_SN2">Model!$AD$142</definedName>
    <definedName name="v_15_SNHx">Model!$AA$142</definedName>
    <definedName name="v_15_SNO2">Model!$AB$142</definedName>
    <definedName name="v_15_SNO3">Model!$AC$142</definedName>
    <definedName name="v_15_SO2">Model!$AO$142</definedName>
    <definedName name="v_15_SORPswitch">Model!$BY$142</definedName>
    <definedName name="v_15_SP_B">Model!$AK$142</definedName>
    <definedName name="v_15_SPFOA">Model!$BS$142</definedName>
    <definedName name="v_15_SPFOS">Model!$BU$142</definedName>
    <definedName name="v_15_SPO4">Model!$AI$142</definedName>
    <definedName name="v_15_SU">Model!$K$142</definedName>
    <definedName name="v_15_SVFA">Model!$E$142</definedName>
    <definedName name="v_15_XACP">Model!$BO$142</definedName>
    <definedName name="v_15_XALGAE">Model!$Z$142</definedName>
    <definedName name="v_15_XAMETO">Model!$X$142</definedName>
    <definedName name="v_15_XAMX">Model!$W$142</definedName>
    <definedName name="v_15_XAOB">Model!$U$142</definedName>
    <definedName name="v_15_XB">Model!$I$142</definedName>
    <definedName name="v_15_XB_e">Model!$J$142</definedName>
    <definedName name="v_15_XBSH">Model!$BP$142</definedName>
    <definedName name="v_15_XCaCO3">Model!$BN$142</definedName>
    <definedName name="v_15_XCASTO">Model!$S$142</definedName>
    <definedName name="v_15_XE">Model!$P$142</definedName>
    <definedName name="v_15_XE_ana">Model!$Q$142</definedName>
    <definedName name="v_15_XHAO_H">Model!$BG$142</definedName>
    <definedName name="v_15_XHAO_H_P">Model!$BJ$142</definedName>
    <definedName name="v_15_XHAO_H_P_old">Model!$BL$142</definedName>
    <definedName name="v_15_XHAO_L">Model!$BH$142</definedName>
    <definedName name="v_15_XHAO_L_P">Model!$BK$142</definedName>
    <definedName name="v_15_XHAO_L_P_old">Model!$BM$142</definedName>
    <definedName name="v_15_XHAO_old">Model!$BI$142</definedName>
    <definedName name="v_15_XHFO_H">Model!$AZ$142</definedName>
    <definedName name="v_15_XHFO_H_P">Model!$BC$142</definedName>
    <definedName name="v_15_XHFO_H_P_old">Model!$BE$142</definedName>
    <definedName name="v_15_XHFO_L">Model!$BA$142</definedName>
    <definedName name="v_15_XHFO_L_P">Model!$BD$142</definedName>
    <definedName name="v_15_XHFO_L_P_old">Model!$BF$142</definedName>
    <definedName name="v_15_XHFO_old">Model!$BB$142</definedName>
    <definedName name="v_15_XHMETO">Model!$Y$142</definedName>
    <definedName name="v_15_XINORG">Model!$AS$142</definedName>
    <definedName name="v_15_XMEOLO">Model!$T$142</definedName>
    <definedName name="v_15_XN_B">Model!$AF$142</definedName>
    <definedName name="v_15_XN_Be">Model!$AG$142</definedName>
    <definedName name="v_15_XN_U">Model!$AH$142</definedName>
    <definedName name="v_15_XNOB">Model!$V$142</definedName>
    <definedName name="v_15_XOHO">Model!$R$142</definedName>
    <definedName name="v_15_XP_B">Model!$AL$142</definedName>
    <definedName name="v_15_XP_Be">Model!$AM$142</definedName>
    <definedName name="v_15_XP_U">Model!$AN$142</definedName>
    <definedName name="v_15_XPFOA">Model!$BT$142</definedName>
    <definedName name="v_15_XPFOS">Model!$BV$142</definedName>
    <definedName name="v_15_XPHA_GAO">Model!$O$142</definedName>
    <definedName name="v_15_XPHA_PAO">Model!$N$142</definedName>
    <definedName name="v_15_XPP">Model!$AJ$142</definedName>
    <definedName name="v_15_XSTR">Model!$BQ$142</definedName>
    <definedName name="v_15_XU">Model!$M$142</definedName>
    <definedName name="v_15_XVivi">Model!$BR$142</definedName>
    <definedName name="v_16_CB">Model!$H$143</definedName>
    <definedName name="v_16_CU">Model!$L$143</definedName>
    <definedName name="v_16_GCH4">Model!$CA$143</definedName>
    <definedName name="v_16_GCH4_atm">Model!$CG$143</definedName>
    <definedName name="v_16_GCO2">Model!$BZ$143</definedName>
    <definedName name="v_16_GCO2_atm">Model!$CF$143</definedName>
    <definedName name="v_16_GH2">Model!$CB$143</definedName>
    <definedName name="v_16_GH2_atm">Model!$CH$143</definedName>
    <definedName name="v_16_GN2">Model!$CE$143</definedName>
    <definedName name="v_16_GN2_atm">Model!$CK$143</definedName>
    <definedName name="v_16_GNH3">Model!$CD$143</definedName>
    <definedName name="v_16_GNH3_atm">Model!$CJ$143</definedName>
    <definedName name="v_16_GO2">Model!$CC$143</definedName>
    <definedName name="v_16_GO2_atm">Model!$CI$143</definedName>
    <definedName name="v_16_SALPHA">Model!$BX$143</definedName>
    <definedName name="v_16_SAN">Model!$AU$143</definedName>
    <definedName name="v_16_SB">Model!$F$143</definedName>
    <definedName name="v_16_SCa">Model!$AV$143</definedName>
    <definedName name="v_16_SCAT">Model!$AT$143</definedName>
    <definedName name="v_16_SCH4">Model!$AP$143</definedName>
    <definedName name="v_16_SCO2">Model!$AR$143</definedName>
    <definedName name="v_16_SFe2">Model!$AY$143</definedName>
    <definedName name="v_16_SH">Model!$BW$143</definedName>
    <definedName name="v_16_SH2">Model!$AQ$143</definedName>
    <definedName name="v_16_SK">Model!$AX$143</definedName>
    <definedName name="v_16_SMEOL">Model!$G$143</definedName>
    <definedName name="v_16_SMg">Model!$AW$143</definedName>
    <definedName name="v_16_SN_B">Model!$AE$143</definedName>
    <definedName name="v_16_SN2">Model!$AD$143</definedName>
    <definedName name="v_16_SNHx">Model!$AA$143</definedName>
    <definedName name="v_16_SNO2">Model!$AB$143</definedName>
    <definedName name="v_16_SNO3">Model!$AC$143</definedName>
    <definedName name="v_16_SO2">Model!$AO$143</definedName>
    <definedName name="v_16_SORPswitch">Model!$BY$143</definedName>
    <definedName name="v_16_SP_B">Model!$AK$143</definedName>
    <definedName name="v_16_SPFOA">Model!$BS$143</definedName>
    <definedName name="v_16_SPFOS">Model!$BU$143</definedName>
    <definedName name="v_16_SPO4">Model!$AI$143</definedName>
    <definedName name="v_16_SU">Model!$K$143</definedName>
    <definedName name="v_16_SVFA">Model!$E$143</definedName>
    <definedName name="v_16_XACP">Model!$BO$143</definedName>
    <definedName name="v_16_XALGAE">Model!$Z$143</definedName>
    <definedName name="v_16_XAMETO">Model!$X$143</definedName>
    <definedName name="v_16_XAMX">Model!$W$143</definedName>
    <definedName name="v_16_XAOB">Model!$U$143</definedName>
    <definedName name="v_16_XB">Model!$I$143</definedName>
    <definedName name="v_16_XB_e">Model!$J$143</definedName>
    <definedName name="v_16_XBSH">Model!$BP$143</definedName>
    <definedName name="v_16_XCaCO3">Model!$BN$143</definedName>
    <definedName name="v_16_XCASTO">Model!$S$143</definedName>
    <definedName name="v_16_XE">Model!$P$143</definedName>
    <definedName name="v_16_XE_ana">Model!$Q$143</definedName>
    <definedName name="v_16_XHAO_H">Model!$BG$143</definedName>
    <definedName name="v_16_XHAO_H_P">Model!$BJ$143</definedName>
    <definedName name="v_16_XHAO_H_P_old">Model!$BL$143</definedName>
    <definedName name="v_16_XHAO_L">Model!$BH$143</definedName>
    <definedName name="v_16_XHAO_L_P">Model!$BK$143</definedName>
    <definedName name="v_16_XHAO_L_P_old">Model!$BM$143</definedName>
    <definedName name="v_16_XHAO_old">Model!$BI$143</definedName>
    <definedName name="v_16_XHFO_H">Model!$AZ$143</definedName>
    <definedName name="v_16_XHFO_H_P">Model!$BC$143</definedName>
    <definedName name="v_16_XHFO_H_P_old">Model!$BE$143</definedName>
    <definedName name="v_16_XHFO_L">Model!$BA$143</definedName>
    <definedName name="v_16_XHFO_L_P">Model!$BD$143</definedName>
    <definedName name="v_16_XHFO_L_P_old">Model!$BF$143</definedName>
    <definedName name="v_16_XHFO_old">Model!$BB$143</definedName>
    <definedName name="v_16_XHMETO">Model!$Y$143</definedName>
    <definedName name="v_16_XINORG">Model!$AS$143</definedName>
    <definedName name="v_16_XMEOLO">Model!$T$143</definedName>
    <definedName name="v_16_XN_B">Model!$AF$143</definedName>
    <definedName name="v_16_XN_Be">Model!$AG$143</definedName>
    <definedName name="v_16_XN_U">Model!$AH$143</definedName>
    <definedName name="v_16_XNOB">Model!$V$143</definedName>
    <definedName name="v_16_XOHO">Model!$R$143</definedName>
    <definedName name="v_16_XP_B">Model!$AL$143</definedName>
    <definedName name="v_16_XP_Be">Model!$AM$143</definedName>
    <definedName name="v_16_XP_U">Model!$AN$143</definedName>
    <definedName name="v_16_XPFOA">Model!$BT$143</definedName>
    <definedName name="v_16_XPFOS">Model!$BV$143</definedName>
    <definedName name="v_16_XPHA_GAO">Model!$O$143</definedName>
    <definedName name="v_16_XPHA_PAO">Model!$N$143</definedName>
    <definedName name="v_16_XPP">Model!$AJ$143</definedName>
    <definedName name="v_16_XSTR">Model!$BQ$143</definedName>
    <definedName name="v_16_XU">Model!$M$143</definedName>
    <definedName name="v_16_XVivi">Model!$BR$143</definedName>
    <definedName name="v_17_CB">Model!$H$144</definedName>
    <definedName name="v_17_CU">Model!$L$144</definedName>
    <definedName name="v_17_GCH4">Model!$CA$144</definedName>
    <definedName name="v_17_GCH4_atm">Model!$CG$144</definedName>
    <definedName name="v_17_GCO2">Model!$BZ$144</definedName>
    <definedName name="v_17_GCO2_atm">Model!$CF$144</definedName>
    <definedName name="v_17_GH2">Model!$CB$144</definedName>
    <definedName name="v_17_GH2_atm">Model!$CH$144</definedName>
    <definedName name="v_17_GN2">Model!$CE$144</definedName>
    <definedName name="v_17_GN2_atm">Model!$CK$144</definedName>
    <definedName name="v_17_GNH3">Model!$CD$144</definedName>
    <definedName name="v_17_GNH3_atm">Model!$CJ$144</definedName>
    <definedName name="v_17_GO2">Model!$CC$144</definedName>
    <definedName name="v_17_GO2_atm">Model!$CI$144</definedName>
    <definedName name="v_17_SALPHA">Model!$BX$144</definedName>
    <definedName name="v_17_SAN">Model!$AU$144</definedName>
    <definedName name="v_17_SB">Model!$F$144</definedName>
    <definedName name="v_17_SCa">Model!$AV$144</definedName>
    <definedName name="v_17_SCAT">Model!$AT$144</definedName>
    <definedName name="v_17_SCH4">Model!$AP$144</definedName>
    <definedName name="v_17_SCO2">Model!$AR$144</definedName>
    <definedName name="v_17_SFe2">Model!$AY$144</definedName>
    <definedName name="v_17_SH">Model!$BW$144</definedName>
    <definedName name="v_17_SH2">Model!$AQ$144</definedName>
    <definedName name="v_17_SK">Model!$AX$144</definedName>
    <definedName name="v_17_SMEOL">Model!$G$144</definedName>
    <definedName name="v_17_SMg">Model!$AW$144</definedName>
    <definedName name="v_17_SN_B">Model!$AE$144</definedName>
    <definedName name="v_17_SN2">Model!$AD$144</definedName>
    <definedName name="v_17_SNHx">Model!$AA$144</definedName>
    <definedName name="v_17_SNO2">Model!$AB$144</definedName>
    <definedName name="v_17_SNO3">Model!$AC$144</definedName>
    <definedName name="v_17_SO2">Model!$AO$144</definedName>
    <definedName name="v_17_SORPswitch">Model!$BY$144</definedName>
    <definedName name="v_17_SP_B">Model!$AK$144</definedName>
    <definedName name="v_17_SPFOA">Model!$BS$144</definedName>
    <definedName name="v_17_SPFOS">Model!$BU$144</definedName>
    <definedName name="v_17_SPO4">Model!$AI$144</definedName>
    <definedName name="v_17_SU">Model!$K$144</definedName>
    <definedName name="v_17_SVFA">Model!$E$144</definedName>
    <definedName name="v_17_XACP">Model!$BO$144</definedName>
    <definedName name="v_17_XALGAE">Model!$Z$144</definedName>
    <definedName name="v_17_XAMETO">Model!$X$144</definedName>
    <definedName name="v_17_XAMX">Model!$W$144</definedName>
    <definedName name="v_17_XAOB">Model!$U$144</definedName>
    <definedName name="v_17_XB">Model!$I$144</definedName>
    <definedName name="v_17_XB_e">Model!$J$144</definedName>
    <definedName name="v_17_XBSH">Model!$BP$144</definedName>
    <definedName name="v_17_XCaCO3">Model!$BN$144</definedName>
    <definedName name="v_17_XCASTO">Model!$S$144</definedName>
    <definedName name="v_17_XE">Model!$P$144</definedName>
    <definedName name="v_17_XE_ana">Model!$Q$144</definedName>
    <definedName name="v_17_XHAO_H">Model!$BG$144</definedName>
    <definedName name="v_17_XHAO_H_P">Model!$BJ$144</definedName>
    <definedName name="v_17_XHAO_H_P_old">Model!$BL$144</definedName>
    <definedName name="v_17_XHAO_L">Model!$BH$144</definedName>
    <definedName name="v_17_XHAO_L_P">Model!$BK$144</definedName>
    <definedName name="v_17_XHAO_L_P_old">Model!$BM$144</definedName>
    <definedName name="v_17_XHAO_old">Model!$BI$144</definedName>
    <definedName name="v_17_XHFO_H">Model!$AZ$144</definedName>
    <definedName name="v_17_XHFO_H_P">Model!$BC$144</definedName>
    <definedName name="v_17_XHFO_H_P_old">Model!$BE$144</definedName>
    <definedName name="v_17_XHFO_L">Model!$BA$144</definedName>
    <definedName name="v_17_XHFO_L_P">Model!$BD$144</definedName>
    <definedName name="v_17_XHFO_L_P_old">Model!$BF$144</definedName>
    <definedName name="v_17_XHFO_old">Model!$BB$144</definedName>
    <definedName name="v_17_XHMETO">Model!$Y$144</definedName>
    <definedName name="v_17_XINORG">Model!$AS$144</definedName>
    <definedName name="v_17_XMEOLO">Model!$T$144</definedName>
    <definedName name="v_17_XN_B">Model!$AF$144</definedName>
    <definedName name="v_17_XN_Be">Model!$AG$144</definedName>
    <definedName name="v_17_XN_U">Model!$AH$144</definedName>
    <definedName name="v_17_XNOB">Model!$V$144</definedName>
    <definedName name="v_17_XOHO">Model!$R$144</definedName>
    <definedName name="v_17_XP_B">Model!$AL$144</definedName>
    <definedName name="v_17_XP_Be">Model!$AM$144</definedName>
    <definedName name="v_17_XP_U">Model!$AN$144</definedName>
    <definedName name="v_17_XPFOA">Model!$BT$144</definedName>
    <definedName name="v_17_XPFOS">Model!$BV$144</definedName>
    <definedName name="v_17_XPHA_GAO">Model!$O$144</definedName>
    <definedName name="v_17_XPHA_PAO">Model!$N$144</definedName>
    <definedName name="v_17_XPP">Model!$AJ$144</definedName>
    <definedName name="v_17_XSTR">Model!$BQ$144</definedName>
    <definedName name="v_17_XU">Model!$M$144</definedName>
    <definedName name="v_17_XVivi">Model!$BR$144</definedName>
    <definedName name="v_18_CB">Model!$H$145</definedName>
    <definedName name="v_18_CU">Model!$L$145</definedName>
    <definedName name="v_18_GCH4">Model!$CA$145</definedName>
    <definedName name="v_18_GCH4_atm">Model!$CG$145</definedName>
    <definedName name="v_18_GCO2">Model!$BZ$145</definedName>
    <definedName name="v_18_GCO2_atm">Model!$CF$145</definedName>
    <definedName name="v_18_GH2">Model!$CB$145</definedName>
    <definedName name="v_18_GH2_atm">Model!$CH$145</definedName>
    <definedName name="v_18_GN2">Model!$CE$145</definedName>
    <definedName name="v_18_GN2_atm">Model!$CK$145</definedName>
    <definedName name="v_18_GNH3">Model!$CD$145</definedName>
    <definedName name="v_18_GNH3_atm">Model!$CJ$145</definedName>
    <definedName name="v_18_GO2">Model!$CC$145</definedName>
    <definedName name="v_18_GO2_atm">Model!$CI$145</definedName>
    <definedName name="v_18_SALPHA">Model!$BX$145</definedName>
    <definedName name="v_18_SAN">Model!$AU$145</definedName>
    <definedName name="v_18_SB">Model!$F$145</definedName>
    <definedName name="v_18_SCa">Model!$AV$145</definedName>
    <definedName name="v_18_SCAT">Model!$AT$145</definedName>
    <definedName name="v_18_SCH4">Model!$AP$145</definedName>
    <definedName name="v_18_SCO2">Model!$AR$145</definedName>
    <definedName name="v_18_SFe2">Model!$AY$145</definedName>
    <definedName name="v_18_SH">Model!$BW$145</definedName>
    <definedName name="v_18_SH2">Model!$AQ$145</definedName>
    <definedName name="v_18_SK">Model!$AX$145</definedName>
    <definedName name="v_18_SMEOL">Model!$G$145</definedName>
    <definedName name="v_18_SMg">Model!$AW$145</definedName>
    <definedName name="v_18_SN_B">Model!$AE$145</definedName>
    <definedName name="v_18_SN2">Model!$AD$145</definedName>
    <definedName name="v_18_SNHx">Model!$AA$145</definedName>
    <definedName name="v_18_SNO2">Model!$AB$145</definedName>
    <definedName name="v_18_SNO3">Model!$AC$145</definedName>
    <definedName name="v_18_SO2">Model!$AO$145</definedName>
    <definedName name="v_18_SORPswitch">Model!$BY$145</definedName>
    <definedName name="v_18_SP_B">Model!$AK$145</definedName>
    <definedName name="v_18_SPFOA">Model!$BS$145</definedName>
    <definedName name="v_18_SPFOS">Model!$BU$145</definedName>
    <definedName name="v_18_SPO4">Model!$AI$145</definedName>
    <definedName name="v_18_SU">Model!$K$145</definedName>
    <definedName name="v_18_SVFA">Model!$E$145</definedName>
    <definedName name="v_18_XACP">Model!$BO$145</definedName>
    <definedName name="v_18_XALGAE">Model!$Z$145</definedName>
    <definedName name="v_18_XAMETO">Model!$X$145</definedName>
    <definedName name="v_18_XAMX">Model!$W$145</definedName>
    <definedName name="v_18_XAOB">Model!$U$145</definedName>
    <definedName name="v_18_XB">Model!$I$145</definedName>
    <definedName name="v_18_XB_e">Model!$J$145</definedName>
    <definedName name="v_18_XBSH">Model!$BP$145</definedName>
    <definedName name="v_18_XCaCO3">Model!$BN$145</definedName>
    <definedName name="v_18_XCASTO">Model!$S$145</definedName>
    <definedName name="v_18_XE">Model!$P$145</definedName>
    <definedName name="v_18_XE_ana">Model!$Q$145</definedName>
    <definedName name="v_18_XHAO_H">Model!$BG$145</definedName>
    <definedName name="v_18_XHAO_H_P">Model!$BJ$145</definedName>
    <definedName name="v_18_XHAO_H_P_old">Model!$BL$145</definedName>
    <definedName name="v_18_XHAO_L">Model!$BH$145</definedName>
    <definedName name="v_18_XHAO_L_P">Model!$BK$145</definedName>
    <definedName name="v_18_XHAO_L_P_old">Model!$BM$145</definedName>
    <definedName name="v_18_XHAO_old">Model!$BI$145</definedName>
    <definedName name="v_18_XHFO_H">Model!$AZ$145</definedName>
    <definedName name="v_18_XHFO_H_P">Model!$BC$145</definedName>
    <definedName name="v_18_XHFO_H_P_old">Model!$BE$145</definedName>
    <definedName name="v_18_XHFO_L">Model!$BA$145</definedName>
    <definedName name="v_18_XHFO_L_P">Model!$BD$145</definedName>
    <definedName name="v_18_XHFO_L_P_old">Model!$BF$145</definedName>
    <definedName name="v_18_XHFO_old">Model!$BB$145</definedName>
    <definedName name="v_18_XHMETO">Model!$Y$145</definedName>
    <definedName name="v_18_XINORG">Model!$AS$145</definedName>
    <definedName name="v_18_XMEOLO">Model!$T$145</definedName>
    <definedName name="v_18_XN_B">Model!$AF$145</definedName>
    <definedName name="v_18_XN_Be">Model!$AG$145</definedName>
    <definedName name="v_18_XN_U">Model!$AH$145</definedName>
    <definedName name="v_18_XNOB">Model!$V$145</definedName>
    <definedName name="v_18_XOHO">Model!$R$145</definedName>
    <definedName name="v_18_XP_B">Model!$AL$145</definedName>
    <definedName name="v_18_XP_Be">Model!$AM$145</definedName>
    <definedName name="v_18_XP_U">Model!$AN$145</definedName>
    <definedName name="v_18_XPFOA">Model!$BT$145</definedName>
    <definedName name="v_18_XPFOS">Model!$BV$145</definedName>
    <definedName name="v_18_XPHA_GAO">Model!$O$145</definedName>
    <definedName name="v_18_XPHA_PAO">Model!$N$145</definedName>
    <definedName name="v_18_XPP">Model!$AJ$145</definedName>
    <definedName name="v_18_XSTR">Model!$BQ$145</definedName>
    <definedName name="v_18_XU">Model!$M$145</definedName>
    <definedName name="v_18_XVivi">Model!$BR$145</definedName>
    <definedName name="v_19_CB">Model!$H$146</definedName>
    <definedName name="v_19_CU">Model!$L$146</definedName>
    <definedName name="v_19_GCH4">Model!$CA$146</definedName>
    <definedName name="v_19_GCH4_atm">Model!$CG$146</definedName>
    <definedName name="v_19_GCO2">Model!$BZ$146</definedName>
    <definedName name="v_19_GCO2_atm">Model!$CF$146</definedName>
    <definedName name="v_19_GH2">Model!$CB$146</definedName>
    <definedName name="v_19_GH2_atm">Model!$CH$146</definedName>
    <definedName name="v_19_GN2">Model!$CE$146</definedName>
    <definedName name="v_19_GN2_atm">Model!$CK$146</definedName>
    <definedName name="v_19_GNH3">Model!$CD$146</definedName>
    <definedName name="v_19_GNH3_atm">Model!$CJ$146</definedName>
    <definedName name="v_19_GO2">Model!$CC$146</definedName>
    <definedName name="v_19_GO2_atm">Model!$CI$146</definedName>
    <definedName name="v_19_SALPHA">Model!$BX$146</definedName>
    <definedName name="v_19_SAN">Model!$AU$146</definedName>
    <definedName name="v_19_SB">Model!$F$146</definedName>
    <definedName name="v_19_SCa">Model!$AV$146</definedName>
    <definedName name="v_19_SCAT">Model!$AT$146</definedName>
    <definedName name="v_19_SCH4">Model!$AP$146</definedName>
    <definedName name="v_19_SCO2">Model!$AR$146</definedName>
    <definedName name="v_19_SFe2">Model!$AY$146</definedName>
    <definedName name="v_19_SH">Model!$BW$146</definedName>
    <definedName name="v_19_SH2">Model!$AQ$146</definedName>
    <definedName name="v_19_SK">Model!$AX$146</definedName>
    <definedName name="v_19_SMEOL">Model!$G$146</definedName>
    <definedName name="v_19_SMg">Model!$AW$146</definedName>
    <definedName name="v_19_SN_B">Model!$AE$146</definedName>
    <definedName name="v_19_SN2">Model!$AD$146</definedName>
    <definedName name="v_19_SNHx">Model!$AA$146</definedName>
    <definedName name="v_19_SNO2">Model!$AB$146</definedName>
    <definedName name="v_19_SNO3">Model!$AC$146</definedName>
    <definedName name="v_19_SO2">Model!$AO$146</definedName>
    <definedName name="v_19_SORPswitch">Model!$BY$146</definedName>
    <definedName name="v_19_SP_B">Model!$AK$146</definedName>
    <definedName name="v_19_SPFOA">Model!$BS$146</definedName>
    <definedName name="v_19_SPFOS">Model!$BU$146</definedName>
    <definedName name="v_19_SPO4">Model!$AI$146</definedName>
    <definedName name="v_19_SU">Model!$K$146</definedName>
    <definedName name="v_19_SVFA">Model!$E$146</definedName>
    <definedName name="v_19_XACP">Model!$BO$146</definedName>
    <definedName name="v_19_XALGAE">Model!$Z$146</definedName>
    <definedName name="v_19_XAMETO">Model!$X$146</definedName>
    <definedName name="v_19_XAMX">Model!$W$146</definedName>
    <definedName name="v_19_XAOB">Model!$U$146</definedName>
    <definedName name="v_19_XB">Model!$I$146</definedName>
    <definedName name="v_19_XB_e">Model!$J$146</definedName>
    <definedName name="v_19_XBSH">Model!$BP$146</definedName>
    <definedName name="v_19_XCaCO3">Model!$BN$146</definedName>
    <definedName name="v_19_XCASTO">Model!$S$146</definedName>
    <definedName name="v_19_XE">Model!$P$146</definedName>
    <definedName name="v_19_XE_ana">Model!$Q$146</definedName>
    <definedName name="v_19_XHAO_H">Model!$BG$146</definedName>
    <definedName name="v_19_XHAO_H_P">Model!$BJ$146</definedName>
    <definedName name="v_19_XHAO_H_P_old">Model!$BL$146</definedName>
    <definedName name="v_19_XHAO_L">Model!$BH$146</definedName>
    <definedName name="v_19_XHAO_L_P">Model!$BK$146</definedName>
    <definedName name="v_19_XHAO_L_P_old">Model!$BM$146</definedName>
    <definedName name="v_19_XHAO_old">Model!$BI$146</definedName>
    <definedName name="v_19_XHFO_H">Model!$AZ$146</definedName>
    <definedName name="v_19_XHFO_H_P">Model!$BC$146</definedName>
    <definedName name="v_19_XHFO_H_P_old">Model!$BE$146</definedName>
    <definedName name="v_19_XHFO_L">Model!$BA$146</definedName>
    <definedName name="v_19_XHFO_L_P">Model!$BD$146</definedName>
    <definedName name="v_19_XHFO_L_P_old">Model!$BF$146</definedName>
    <definedName name="v_19_XHFO_old">Model!$BB$146</definedName>
    <definedName name="v_19_XHMETO">Model!$Y$146</definedName>
    <definedName name="v_19_XINORG">Model!$AS$146</definedName>
    <definedName name="v_19_XMEOLO">Model!$T$146</definedName>
    <definedName name="v_19_XN_B">Model!$AF$146</definedName>
    <definedName name="v_19_XN_Be">Model!$AG$146</definedName>
    <definedName name="v_19_XN_U">Model!$AH$146</definedName>
    <definedName name="v_19_XNOB">Model!$V$146</definedName>
    <definedName name="v_19_XOHO">Model!$R$146</definedName>
    <definedName name="v_19_XP_B">Model!$AL$146</definedName>
    <definedName name="v_19_XP_Be">Model!$AM$146</definedName>
    <definedName name="v_19_XP_U">Model!$AN$146</definedName>
    <definedName name="v_19_XPFOA">Model!$BT$146</definedName>
    <definedName name="v_19_XPFOS">Model!$BV$146</definedName>
    <definedName name="v_19_XPHA_GAO">Model!$O$146</definedName>
    <definedName name="v_19_XPHA_PAO">Model!$N$146</definedName>
    <definedName name="v_19_XPP">Model!$AJ$146</definedName>
    <definedName name="v_19_XSTR">Model!$BQ$146</definedName>
    <definedName name="v_19_XU">Model!$M$146</definedName>
    <definedName name="v_19_XVivi">Model!$BR$146</definedName>
    <definedName name="v_2_CB">Model!$H$129</definedName>
    <definedName name="v_2_CU">Model!$L$129</definedName>
    <definedName name="v_2_GCH4">Model!$CA$129</definedName>
    <definedName name="v_2_GCH4_atm">Model!$CG$129</definedName>
    <definedName name="v_2_GCO2">Model!$BZ$129</definedName>
    <definedName name="v_2_GCO2_atm">Model!$CF$129</definedName>
    <definedName name="v_2_GH2">Model!$CB$129</definedName>
    <definedName name="v_2_GH2_atm">Model!$CH$129</definedName>
    <definedName name="v_2_GN2">Model!$CE$129</definedName>
    <definedName name="v_2_GN2_atm">Model!$CK$129</definedName>
    <definedName name="v_2_GNH3">Model!$CD$129</definedName>
    <definedName name="v_2_GNH3_atm">Model!$CJ$129</definedName>
    <definedName name="v_2_GO2">Model!$CC$129</definedName>
    <definedName name="v_2_GO2_atm">Model!$CI$129</definedName>
    <definedName name="v_2_SALPHA">Model!$BX$129</definedName>
    <definedName name="v_2_SAN">Model!$AU$129</definedName>
    <definedName name="v_2_SB">Model!$F$129</definedName>
    <definedName name="v_2_SCa">Model!$AV$129</definedName>
    <definedName name="v_2_SCAT">Model!$AT$129</definedName>
    <definedName name="v_2_SCH4">Model!$AP$129</definedName>
    <definedName name="v_2_SCO2">Model!$AR$129</definedName>
    <definedName name="v_2_SFe2">Model!$AY$129</definedName>
    <definedName name="v_2_SH">Model!$BW$129</definedName>
    <definedName name="v_2_SH2">Model!$AQ$129</definedName>
    <definedName name="v_2_SK">Model!$AX$129</definedName>
    <definedName name="v_2_SMEOL">Model!$G$129</definedName>
    <definedName name="v_2_SMg">Model!$AW$129</definedName>
    <definedName name="v_2_SN_B">Model!$AE$129</definedName>
    <definedName name="v_2_SN2">Model!$AD$129</definedName>
    <definedName name="v_2_SNHx">Model!$AA$129</definedName>
    <definedName name="v_2_SNO2">Model!$AB$129</definedName>
    <definedName name="v_2_SNO3">Model!$AC$129</definedName>
    <definedName name="v_2_SO2">Model!$AO$129</definedName>
    <definedName name="v_2_SORPswitch">Model!$BY$129</definedName>
    <definedName name="v_2_SP_B">Model!$AK$129</definedName>
    <definedName name="v_2_SPFOA">Model!$BS$129</definedName>
    <definedName name="v_2_SPFOS">Model!$BU$129</definedName>
    <definedName name="v_2_SPO4">Model!$AI$129</definedName>
    <definedName name="v_2_SU">Model!$K$129</definedName>
    <definedName name="v_2_SVFA">Model!$E$129</definedName>
    <definedName name="v_2_XACP">Model!$BO$129</definedName>
    <definedName name="v_2_XALGAE">Model!$Z$129</definedName>
    <definedName name="v_2_XAMETO">Model!$X$129</definedName>
    <definedName name="v_2_XAMX">Model!$W$129</definedName>
    <definedName name="v_2_XAOB">Model!$U$129</definedName>
    <definedName name="v_2_XB">Model!$I$129</definedName>
    <definedName name="v_2_XB_e">Model!$J$129</definedName>
    <definedName name="v_2_XBSH">Model!$BP$129</definedName>
    <definedName name="v_2_XCaCO3">Model!$BN$129</definedName>
    <definedName name="v_2_XCASTO">Model!$S$129</definedName>
    <definedName name="v_2_XE">Model!$P$129</definedName>
    <definedName name="v_2_XE_ana">Model!$Q$129</definedName>
    <definedName name="v_2_XHAO_H">Model!$BG$129</definedName>
    <definedName name="v_2_XHAO_H_P">Model!$BJ$129</definedName>
    <definedName name="v_2_XHAO_H_P_old">Model!$BL$129</definedName>
    <definedName name="v_2_XHAO_L">Model!$BH$129</definedName>
    <definedName name="v_2_XHAO_L_P">Model!$BK$129</definedName>
    <definedName name="v_2_XHAO_L_P_old">Model!$BM$129</definedName>
    <definedName name="v_2_XHAO_old">Model!$BI$129</definedName>
    <definedName name="v_2_XHFO_H">Model!$AZ$129</definedName>
    <definedName name="v_2_XHFO_H_P">Model!$BC$129</definedName>
    <definedName name="v_2_XHFO_H_P_old">Model!$BE$129</definedName>
    <definedName name="v_2_XHFO_L">Model!$BA$129</definedName>
    <definedName name="v_2_XHFO_L_P">Model!$BD$129</definedName>
    <definedName name="v_2_XHFO_L_P_old">Model!$BF$129</definedName>
    <definedName name="v_2_XHFO_old">Model!$BB$129</definedName>
    <definedName name="v_2_XHMETO">Model!$Y$129</definedName>
    <definedName name="v_2_XINORG">Model!$AS$129</definedName>
    <definedName name="v_2_XMEOLO">Model!$T$129</definedName>
    <definedName name="v_2_XN_B">Model!$AF$129</definedName>
    <definedName name="v_2_XN_Be">Model!$AG$129</definedName>
    <definedName name="v_2_XN_U">Model!$AH$129</definedName>
    <definedName name="v_2_XNOB">Model!$V$129</definedName>
    <definedName name="v_2_XOHO">Model!$R$129</definedName>
    <definedName name="v_2_XP_B">Model!$AL$129</definedName>
    <definedName name="v_2_XP_Be">Model!$AM$129</definedName>
    <definedName name="v_2_XP_U">Model!$AN$129</definedName>
    <definedName name="v_2_XPFOA">Model!$BT$129</definedName>
    <definedName name="v_2_XPFOS">Model!$BV$129</definedName>
    <definedName name="v_2_XPHA_GAO">Model!$O$129</definedName>
    <definedName name="v_2_XPHA_PAO">Model!$N$129</definedName>
    <definedName name="v_2_XPP">Model!$AJ$129</definedName>
    <definedName name="v_2_XSTR">Model!$BQ$129</definedName>
    <definedName name="v_2_XU">Model!$M$129</definedName>
    <definedName name="v_2_XVivi">Model!$BR$129</definedName>
    <definedName name="v_20_CB">Model!$H$147</definedName>
    <definedName name="v_20_CU">Model!$L$147</definedName>
    <definedName name="v_20_GCH4">Model!$CA$147</definedName>
    <definedName name="v_20_GCH4_atm">Model!$CG$147</definedName>
    <definedName name="v_20_GCO2">Model!$BZ$147</definedName>
    <definedName name="v_20_GCO2_atm">Model!$CF$147</definedName>
    <definedName name="v_20_GH2">Model!$CB$147</definedName>
    <definedName name="v_20_GH2_atm">Model!$CH$147</definedName>
    <definedName name="v_20_GN2">Model!$CE$147</definedName>
    <definedName name="v_20_GN2_atm">Model!$CK$147</definedName>
    <definedName name="v_20_GNH3">Model!$CD$147</definedName>
    <definedName name="v_20_GNH3_atm">Model!$CJ$147</definedName>
    <definedName name="v_20_GO2">Model!$CC$147</definedName>
    <definedName name="v_20_GO2_atm">Model!$CI$147</definedName>
    <definedName name="v_20_SALPHA">Model!$BX$147</definedName>
    <definedName name="v_20_SAN">Model!$AU$147</definedName>
    <definedName name="v_20_SB">Model!$F$147</definedName>
    <definedName name="v_20_SCa">Model!$AV$147</definedName>
    <definedName name="v_20_SCAT">Model!$AT$147</definedName>
    <definedName name="v_20_SCH4">Model!$AP$147</definedName>
    <definedName name="v_20_SCO2">Model!$AR$147</definedName>
    <definedName name="v_20_SFe2">Model!$AY$147</definedName>
    <definedName name="v_20_SH">Model!$BW$147</definedName>
    <definedName name="v_20_SH2">Model!$AQ$147</definedName>
    <definedName name="v_20_SK">Model!$AX$147</definedName>
    <definedName name="v_20_SMEOL">Model!$G$147</definedName>
    <definedName name="v_20_SMg">Model!$AW$147</definedName>
    <definedName name="v_20_SN_B">Model!$AE$147</definedName>
    <definedName name="v_20_SN2">Model!$AD$147</definedName>
    <definedName name="v_20_SNHx">Model!$AA$147</definedName>
    <definedName name="v_20_SNO2">Model!$AB$147</definedName>
    <definedName name="v_20_SNO3">Model!$AC$147</definedName>
    <definedName name="v_20_SO2">Model!$AO$147</definedName>
    <definedName name="v_20_SORPswitch">Model!$BY$147</definedName>
    <definedName name="v_20_SP_B">Model!$AK$147</definedName>
    <definedName name="v_20_SPFOA">Model!$BS$147</definedName>
    <definedName name="v_20_SPFOS">Model!$BU$147</definedName>
    <definedName name="v_20_SPO4">Model!$AI$147</definedName>
    <definedName name="v_20_SU">Model!$K$147</definedName>
    <definedName name="v_20_SVFA">Model!$E$147</definedName>
    <definedName name="v_20_XACP">Model!$BO$147</definedName>
    <definedName name="v_20_XALGAE">Model!$Z$147</definedName>
    <definedName name="v_20_XAMETO">Model!$X$147</definedName>
    <definedName name="v_20_XAMX">Model!$W$147</definedName>
    <definedName name="v_20_XAOB">Model!$U$147</definedName>
    <definedName name="v_20_XB">Model!$I$147</definedName>
    <definedName name="v_20_XB_e">Model!$J$147</definedName>
    <definedName name="v_20_XBSH">Model!$BP$147</definedName>
    <definedName name="v_20_XCaCO3">Model!$BN$147</definedName>
    <definedName name="v_20_XCASTO">Model!$S$147</definedName>
    <definedName name="v_20_XE">Model!$P$147</definedName>
    <definedName name="v_20_XE_ana">Model!$Q$147</definedName>
    <definedName name="v_20_XHAO_H">Model!$BG$147</definedName>
    <definedName name="v_20_XHAO_H_P">Model!$BJ$147</definedName>
    <definedName name="v_20_XHAO_H_P_old">Model!$BL$147</definedName>
    <definedName name="v_20_XHAO_L">Model!$BH$147</definedName>
    <definedName name="v_20_XHAO_L_P">Model!$BK$147</definedName>
    <definedName name="v_20_XHAO_L_P_old">Model!$BM$147</definedName>
    <definedName name="v_20_XHAO_old">Model!$BI$147</definedName>
    <definedName name="v_20_XHFO_H">Model!$AZ$147</definedName>
    <definedName name="v_20_XHFO_H_P">Model!$BC$147</definedName>
    <definedName name="v_20_XHFO_H_P_old">Model!$BE$147</definedName>
    <definedName name="v_20_XHFO_L">Model!$BA$147</definedName>
    <definedName name="v_20_XHFO_L_P">Model!$BD$147</definedName>
    <definedName name="v_20_XHFO_L_P_old">Model!$BF$147</definedName>
    <definedName name="v_20_XHFO_old">Model!$BB$147</definedName>
    <definedName name="v_20_XHMETO">Model!$Y$147</definedName>
    <definedName name="v_20_XINORG">Model!$AS$147</definedName>
    <definedName name="v_20_XMEOLO">Model!$T$147</definedName>
    <definedName name="v_20_XN_B">Model!$AF$147</definedName>
    <definedName name="v_20_XN_Be">Model!$AG$147</definedName>
    <definedName name="v_20_XN_U">Model!$AH$147</definedName>
    <definedName name="v_20_XNOB">Model!$V$147</definedName>
    <definedName name="v_20_XOHO">Model!$R$147</definedName>
    <definedName name="v_20_XP_B">Model!$AL$147</definedName>
    <definedName name="v_20_XP_Be">Model!$AM$147</definedName>
    <definedName name="v_20_XP_U">Model!$AN$147</definedName>
    <definedName name="v_20_XPFOA">Model!$BT$147</definedName>
    <definedName name="v_20_XPFOS">Model!$BV$147</definedName>
    <definedName name="v_20_XPHA_GAO">Model!$O$147</definedName>
    <definedName name="v_20_XPHA_PAO">Model!$N$147</definedName>
    <definedName name="v_20_XPP">Model!$AJ$147</definedName>
    <definedName name="v_20_XSTR">Model!$BQ$147</definedName>
    <definedName name="v_20_XU">Model!$M$147</definedName>
    <definedName name="v_20_XVivi">Model!$BR$147</definedName>
    <definedName name="v_21_CB">Model!$H$148</definedName>
    <definedName name="v_21_CU">Model!$L$148</definedName>
    <definedName name="v_21_GCH4">Model!$CA$148</definedName>
    <definedName name="v_21_GCH4_atm">Model!$CG$148</definedName>
    <definedName name="v_21_GCO2">Model!$BZ$148</definedName>
    <definedName name="v_21_GCO2_atm">Model!$CF$148</definedName>
    <definedName name="v_21_GH2">Model!$CB$148</definedName>
    <definedName name="v_21_GH2_atm">Model!$CH$148</definedName>
    <definedName name="v_21_GN2">Model!$CE$148</definedName>
    <definedName name="v_21_GN2_atm">Model!$CK$148</definedName>
    <definedName name="v_21_GNH3">Model!$CD$148</definedName>
    <definedName name="v_21_GNH3_atm">Model!$CJ$148</definedName>
    <definedName name="v_21_GO2">Model!$CC$148</definedName>
    <definedName name="v_21_GO2_atm">Model!$CI$148</definedName>
    <definedName name="v_21_SALPHA">Model!$BX$148</definedName>
    <definedName name="v_21_SAN">Model!$AU$148</definedName>
    <definedName name="v_21_SB">Model!$F$148</definedName>
    <definedName name="v_21_SCa">Model!$AV$148</definedName>
    <definedName name="v_21_SCAT">Model!$AT$148</definedName>
    <definedName name="v_21_SCH4">Model!$AP$148</definedName>
    <definedName name="v_21_SCO2">Model!$AR$148</definedName>
    <definedName name="v_21_SFe2">Model!$AY$148</definedName>
    <definedName name="v_21_SH">Model!$BW$148</definedName>
    <definedName name="v_21_SH2">Model!$AQ$148</definedName>
    <definedName name="v_21_SK">Model!$AX$148</definedName>
    <definedName name="v_21_SMEOL">Model!$G$148</definedName>
    <definedName name="v_21_SMg">Model!$AW$148</definedName>
    <definedName name="v_21_SN_B">Model!$AE$148</definedName>
    <definedName name="v_21_SN2">Model!$AD$148</definedName>
    <definedName name="v_21_SNHx">Model!$AA$148</definedName>
    <definedName name="v_21_SNO2">Model!$AB$148</definedName>
    <definedName name="v_21_SNO3">Model!$AC$148</definedName>
    <definedName name="v_21_SO2">Model!$AO$148</definedName>
    <definedName name="v_21_SORPswitch">Model!$BY$148</definedName>
    <definedName name="v_21_SP_B">Model!$AK$148</definedName>
    <definedName name="v_21_SPFOA">Model!$BS$148</definedName>
    <definedName name="v_21_SPFOS">Model!$BU$148</definedName>
    <definedName name="v_21_SPO4">Model!$AI$148</definedName>
    <definedName name="v_21_SU">Model!$K$148</definedName>
    <definedName name="v_21_SVFA">Model!$E$148</definedName>
    <definedName name="v_21_XACP">Model!$BO$148</definedName>
    <definedName name="v_21_XALGAE">Model!$Z$148</definedName>
    <definedName name="v_21_XAMETO">Model!$X$148</definedName>
    <definedName name="v_21_XAMX">Model!$W$148</definedName>
    <definedName name="v_21_XAOB">Model!$U$148</definedName>
    <definedName name="v_21_XB">Model!$I$148</definedName>
    <definedName name="v_21_XB_e">Model!$J$148</definedName>
    <definedName name="v_21_XBSH">Model!$BP$148</definedName>
    <definedName name="v_21_XCaCO3">Model!$BN$148</definedName>
    <definedName name="v_21_XCASTO">Model!$S$148</definedName>
    <definedName name="v_21_XE">Model!$P$148</definedName>
    <definedName name="v_21_XE_ana">Model!$Q$148</definedName>
    <definedName name="v_21_XHAO_H">Model!$BG$148</definedName>
    <definedName name="v_21_XHAO_H_P">Model!$BJ$148</definedName>
    <definedName name="v_21_XHAO_H_P_old">Model!$BL$148</definedName>
    <definedName name="v_21_XHAO_L">Model!$BH$148</definedName>
    <definedName name="v_21_XHAO_L_P">Model!$BK$148</definedName>
    <definedName name="v_21_XHAO_L_P_old">Model!$BM$148</definedName>
    <definedName name="v_21_XHAO_old">Model!$BI$148</definedName>
    <definedName name="v_21_XHFO_H">Model!$AZ$148</definedName>
    <definedName name="v_21_XHFO_H_P">Model!$BC$148</definedName>
    <definedName name="v_21_XHFO_H_P_old">Model!$BE$148</definedName>
    <definedName name="v_21_XHFO_L">Model!$BA$148</definedName>
    <definedName name="v_21_XHFO_L_P">Model!$BD$148</definedName>
    <definedName name="v_21_XHFO_L_P_old">Model!$BF$148</definedName>
    <definedName name="v_21_XHFO_old">Model!$BB$148</definedName>
    <definedName name="v_21_XHMETO">Model!$Y$148</definedName>
    <definedName name="v_21_XINORG">Model!$AS$148</definedName>
    <definedName name="v_21_XMEOLO">Model!$T$148</definedName>
    <definedName name="v_21_XN_B">Model!$AF$148</definedName>
    <definedName name="v_21_XN_Be">Model!$AG$148</definedName>
    <definedName name="v_21_XN_U">Model!$AH$148</definedName>
    <definedName name="v_21_XNOB">Model!$V$148</definedName>
    <definedName name="v_21_XOHO">Model!$R$148</definedName>
    <definedName name="v_21_XP_B">Model!$AL$148</definedName>
    <definedName name="v_21_XP_Be">Model!$AM$148</definedName>
    <definedName name="v_21_XP_U">Model!$AN$148</definedName>
    <definedName name="v_21_XPFOA">Model!$BT$148</definedName>
    <definedName name="v_21_XPFOS">Model!$BV$148</definedName>
    <definedName name="v_21_XPHA_GAO">Model!$O$148</definedName>
    <definedName name="v_21_XPHA_PAO">Model!$N$148</definedName>
    <definedName name="v_21_XPP">Model!$AJ$148</definedName>
    <definedName name="v_21_XSTR">Model!$BQ$148</definedName>
    <definedName name="v_21_XU">Model!$M$148</definedName>
    <definedName name="v_21_XVivi">Model!$BR$148</definedName>
    <definedName name="v_22_CB">Model!$H$149</definedName>
    <definedName name="v_22_CU">Model!$L$149</definedName>
    <definedName name="v_22_GCH4">Model!$CA$149</definedName>
    <definedName name="v_22_GCH4_atm">Model!$CG$149</definedName>
    <definedName name="v_22_GCO2">Model!$BZ$149</definedName>
    <definedName name="v_22_GCO2_atm">Model!$CF$149</definedName>
    <definedName name="v_22_GH2">Model!$CB$149</definedName>
    <definedName name="v_22_GH2_atm">Model!$CH$149</definedName>
    <definedName name="v_22_GN2">Model!$CE$149</definedName>
    <definedName name="v_22_GN2_atm">Model!$CK$149</definedName>
    <definedName name="v_22_GNH3">Model!$CD$149</definedName>
    <definedName name="v_22_GNH3_atm">Model!$CJ$149</definedName>
    <definedName name="v_22_GO2">Model!$CC$149</definedName>
    <definedName name="v_22_GO2_atm">Model!$CI$149</definedName>
    <definedName name="v_22_SALPHA">Model!$BX$149</definedName>
    <definedName name="v_22_SAN">Model!$AU$149</definedName>
    <definedName name="v_22_SB">Model!$F$149</definedName>
    <definedName name="v_22_SCa">Model!$AV$149</definedName>
    <definedName name="v_22_SCAT">Model!$AT$149</definedName>
    <definedName name="v_22_SCH4">Model!$AP$149</definedName>
    <definedName name="v_22_SCO2">Model!$AR$149</definedName>
    <definedName name="v_22_SFe2">Model!$AY$149</definedName>
    <definedName name="v_22_SH">Model!$BW$149</definedName>
    <definedName name="v_22_SH2">Model!$AQ$149</definedName>
    <definedName name="v_22_SK">Model!$AX$149</definedName>
    <definedName name="v_22_SMEOL">Model!$G$149</definedName>
    <definedName name="v_22_SMg">Model!$AW$149</definedName>
    <definedName name="v_22_SN_B">Model!$AE$149</definedName>
    <definedName name="v_22_SN2">Model!$AD$149</definedName>
    <definedName name="v_22_SNHx">Model!$AA$149</definedName>
    <definedName name="v_22_SNO2">Model!$AB$149</definedName>
    <definedName name="v_22_SNO3">Model!$AC$149</definedName>
    <definedName name="v_22_SO2">Model!$AO$149</definedName>
    <definedName name="v_22_SORPswitch">Model!$BY$149</definedName>
    <definedName name="v_22_SP_B">Model!$AK$149</definedName>
    <definedName name="v_22_SPFOA">Model!$BS$149</definedName>
    <definedName name="v_22_SPFOS">Model!$BU$149</definedName>
    <definedName name="v_22_SPO4">Model!$AI$149</definedName>
    <definedName name="v_22_SU">Model!$K$149</definedName>
    <definedName name="v_22_SVFA">Model!$E$149</definedName>
    <definedName name="v_22_XACP">Model!$BO$149</definedName>
    <definedName name="v_22_XALGAE">Model!$Z$149</definedName>
    <definedName name="v_22_XAMETO">Model!$X$149</definedName>
    <definedName name="v_22_XAMX">Model!$W$149</definedName>
    <definedName name="v_22_XAOB">Model!$U$149</definedName>
    <definedName name="v_22_XB">Model!$I$149</definedName>
    <definedName name="v_22_XB_e">Model!$J$149</definedName>
    <definedName name="v_22_XBSH">Model!$BP$149</definedName>
    <definedName name="v_22_XCaCO3">Model!$BN$149</definedName>
    <definedName name="v_22_XCASTO">Model!$S$149</definedName>
    <definedName name="v_22_XE">Model!$P$149</definedName>
    <definedName name="v_22_XE_ana">Model!$Q$149</definedName>
    <definedName name="v_22_XHAO_H">Model!$BG$149</definedName>
    <definedName name="v_22_XHAO_H_P">Model!$BJ$149</definedName>
    <definedName name="v_22_XHAO_H_P_old">Model!$BL$149</definedName>
    <definedName name="v_22_XHAO_L">Model!$BH$149</definedName>
    <definedName name="v_22_XHAO_L_P">Model!$BK$149</definedName>
    <definedName name="v_22_XHAO_L_P_old">Model!$BM$149</definedName>
    <definedName name="v_22_XHAO_old">Model!$BI$149</definedName>
    <definedName name="v_22_XHFO_H">Model!$AZ$149</definedName>
    <definedName name="v_22_XHFO_H_P">Model!$BC$149</definedName>
    <definedName name="v_22_XHFO_H_P_old">Model!$BE$149</definedName>
    <definedName name="v_22_XHFO_L">Model!$BA$149</definedName>
    <definedName name="v_22_XHFO_L_P">Model!$BD$149</definedName>
    <definedName name="v_22_XHFO_L_P_old">Model!$BF$149</definedName>
    <definedName name="v_22_XHFO_old">Model!$BB$149</definedName>
    <definedName name="v_22_XHMETO">Model!$Y$149</definedName>
    <definedName name="v_22_XINORG">Model!$AS$149</definedName>
    <definedName name="v_22_XMEOLO">Model!$T$149</definedName>
    <definedName name="v_22_XN_B">Model!$AF$149</definedName>
    <definedName name="v_22_XN_Be">Model!$AG$149</definedName>
    <definedName name="v_22_XN_U">Model!$AH$149</definedName>
    <definedName name="v_22_XNOB">Model!$V$149</definedName>
    <definedName name="v_22_XOHO">Model!$R$149</definedName>
    <definedName name="v_22_XP_B">Model!$AL$149</definedName>
    <definedName name="v_22_XP_Be">Model!$AM$149</definedName>
    <definedName name="v_22_XP_U">Model!$AN$149</definedName>
    <definedName name="v_22_XPFOA">Model!$BT$149</definedName>
    <definedName name="v_22_XPFOS">Model!$BV$149</definedName>
    <definedName name="v_22_XPHA_GAO">Model!$O$149</definedName>
    <definedName name="v_22_XPHA_PAO">Model!$N$149</definedName>
    <definedName name="v_22_XPP">Model!$AJ$149</definedName>
    <definedName name="v_22_XSTR">Model!$BQ$149</definedName>
    <definedName name="v_22_XU">Model!$M$149</definedName>
    <definedName name="v_22_XVivi">Model!$BR$149</definedName>
    <definedName name="v_23_CB">Model!$H$150</definedName>
    <definedName name="v_23_CU">Model!$L$150</definedName>
    <definedName name="v_23_GCH4">Model!$CA$150</definedName>
    <definedName name="v_23_GCH4_atm">Model!$CG$150</definedName>
    <definedName name="v_23_GCO2">Model!$BZ$150</definedName>
    <definedName name="v_23_GCO2_atm">Model!$CF$150</definedName>
    <definedName name="v_23_GH2">Model!$CB$150</definedName>
    <definedName name="v_23_GH2_atm">Model!$CH$150</definedName>
    <definedName name="v_23_GN2">Model!$CE$150</definedName>
    <definedName name="v_23_GN2_atm">Model!$CK$150</definedName>
    <definedName name="v_23_GNH3">Model!$CD$150</definedName>
    <definedName name="v_23_GNH3_atm">Model!$CJ$150</definedName>
    <definedName name="v_23_GO2">Model!$CC$150</definedName>
    <definedName name="v_23_GO2_atm">Model!$CI$150</definedName>
    <definedName name="v_23_SALPHA">Model!$BX$150</definedName>
    <definedName name="v_23_SAN">Model!$AU$150</definedName>
    <definedName name="v_23_SB">Model!$F$150</definedName>
    <definedName name="v_23_SCa">Model!$AV$150</definedName>
    <definedName name="v_23_SCAT">Model!$AT$150</definedName>
    <definedName name="v_23_SCH4">Model!$AP$150</definedName>
    <definedName name="v_23_SCO2">Model!$AR$150</definedName>
    <definedName name="v_23_SFe2">Model!$AY$150</definedName>
    <definedName name="v_23_SH">Model!$BW$150</definedName>
    <definedName name="v_23_SH2">Model!$AQ$150</definedName>
    <definedName name="v_23_SK">Model!$AX$150</definedName>
    <definedName name="v_23_SMEOL">Model!$G$150</definedName>
    <definedName name="v_23_SMg">Model!$AW$150</definedName>
    <definedName name="v_23_SN_B">Model!$AE$150</definedName>
    <definedName name="v_23_SN2">Model!$AD$150</definedName>
    <definedName name="v_23_SNHx">Model!$AA$150</definedName>
    <definedName name="v_23_SNO2">Model!$AB$150</definedName>
    <definedName name="v_23_SNO3">Model!$AC$150</definedName>
    <definedName name="v_23_SO2">Model!$AO$150</definedName>
    <definedName name="v_23_SORPswitch">Model!$BY$150</definedName>
    <definedName name="v_23_SP_B">Model!$AK$150</definedName>
    <definedName name="v_23_SPFOA">Model!$BS$150</definedName>
    <definedName name="v_23_SPFOS">Model!$BU$150</definedName>
    <definedName name="v_23_SPO4">Model!$AI$150</definedName>
    <definedName name="v_23_SU">Model!$K$150</definedName>
    <definedName name="v_23_SVFA">Model!$E$150</definedName>
    <definedName name="v_23_XACP">Model!$BO$150</definedName>
    <definedName name="v_23_XALGAE">Model!$Z$150</definedName>
    <definedName name="v_23_XAMETO">Model!$X$150</definedName>
    <definedName name="v_23_XAMX">Model!$W$150</definedName>
    <definedName name="v_23_XAOB">Model!$U$150</definedName>
    <definedName name="v_23_XB">Model!$I$150</definedName>
    <definedName name="v_23_XB_e">Model!$J$150</definedName>
    <definedName name="v_23_XBSH">Model!$BP$150</definedName>
    <definedName name="v_23_XCaCO3">Model!$BN$150</definedName>
    <definedName name="v_23_XCASTO">Model!$S$150</definedName>
    <definedName name="v_23_XE">Model!$P$150</definedName>
    <definedName name="v_23_XE_ana">Model!$Q$150</definedName>
    <definedName name="v_23_XHAO_H">Model!$BG$150</definedName>
    <definedName name="v_23_XHAO_H_P">Model!$BJ$150</definedName>
    <definedName name="v_23_XHAO_H_P_old">Model!$BL$150</definedName>
    <definedName name="v_23_XHAO_L">Model!$BH$150</definedName>
    <definedName name="v_23_XHAO_L_P">Model!$BK$150</definedName>
    <definedName name="v_23_XHAO_L_P_old">Model!$BM$150</definedName>
    <definedName name="v_23_XHAO_old">Model!$BI$150</definedName>
    <definedName name="v_23_XHFO_H">Model!$AZ$150</definedName>
    <definedName name="v_23_XHFO_H_P">Model!$BC$150</definedName>
    <definedName name="v_23_XHFO_H_P_old">Model!$BE$150</definedName>
    <definedName name="v_23_XHFO_L">Model!$BA$150</definedName>
    <definedName name="v_23_XHFO_L_P">Model!$BD$150</definedName>
    <definedName name="v_23_XHFO_L_P_old">Model!$BF$150</definedName>
    <definedName name="v_23_XHFO_old">Model!$BB$150</definedName>
    <definedName name="v_23_XHMETO">Model!$Y$150</definedName>
    <definedName name="v_23_XINORG">Model!$AS$150</definedName>
    <definedName name="v_23_XMEOLO">Model!$T$150</definedName>
    <definedName name="v_23_XN_B">Model!$AF$150</definedName>
    <definedName name="v_23_XN_Be">Model!$AG$150</definedName>
    <definedName name="v_23_XN_U">Model!$AH$150</definedName>
    <definedName name="v_23_XNOB">Model!$V$150</definedName>
    <definedName name="v_23_XOHO">Model!$R$150</definedName>
    <definedName name="v_23_XP_B">Model!$AL$150</definedName>
    <definedName name="v_23_XP_Be">Model!$AM$150</definedName>
    <definedName name="v_23_XP_U">Model!$AN$150</definedName>
    <definedName name="v_23_XPFOA">Model!$BT$150</definedName>
    <definedName name="v_23_XPFOS">Model!$BV$150</definedName>
    <definedName name="v_23_XPHA_GAO">Model!$O$150</definedName>
    <definedName name="v_23_XPHA_PAO">Model!$N$150</definedName>
    <definedName name="v_23_XPP">Model!$AJ$150</definedName>
    <definedName name="v_23_XSTR">Model!$BQ$150</definedName>
    <definedName name="v_23_XU">Model!$M$150</definedName>
    <definedName name="v_23_XVivi">Model!$BR$150</definedName>
    <definedName name="v_24_CB">Model!$H$151</definedName>
    <definedName name="v_24_CU">Model!$L$151</definedName>
    <definedName name="v_24_GCH4">Model!$CA$151</definedName>
    <definedName name="v_24_GCH4_atm">Model!$CG$151</definedName>
    <definedName name="v_24_GCO2">Model!$BZ$151</definedName>
    <definedName name="v_24_GCO2_atm">Model!$CF$151</definedName>
    <definedName name="v_24_GH2">Model!$CB$151</definedName>
    <definedName name="v_24_GH2_atm">Model!$CH$151</definedName>
    <definedName name="v_24_GN2">Model!$CE$151</definedName>
    <definedName name="v_24_GN2_atm">Model!$CK$151</definedName>
    <definedName name="v_24_GNH3">Model!$CD$151</definedName>
    <definedName name="v_24_GNH3_atm">Model!$CJ$151</definedName>
    <definedName name="v_24_GO2">Model!$CC$151</definedName>
    <definedName name="v_24_GO2_atm">Model!$CI$151</definedName>
    <definedName name="v_24_SALPHA">Model!$BX$151</definedName>
    <definedName name="v_24_SAN">Model!$AU$151</definedName>
    <definedName name="v_24_SB">Model!$F$151</definedName>
    <definedName name="v_24_SCa">Model!$AV$151</definedName>
    <definedName name="v_24_SCAT">Model!$AT$151</definedName>
    <definedName name="v_24_SCH4">Model!$AP$151</definedName>
    <definedName name="v_24_SCO2">Model!$AR$151</definedName>
    <definedName name="v_24_SFe2">Model!$AY$151</definedName>
    <definedName name="v_24_SH">Model!$BW$151</definedName>
    <definedName name="v_24_SH2">Model!$AQ$151</definedName>
    <definedName name="v_24_SK">Model!$AX$151</definedName>
    <definedName name="v_24_SMEOL">Model!$G$151</definedName>
    <definedName name="v_24_SMg">Model!$AW$151</definedName>
    <definedName name="v_24_SN_B">Model!$AE$151</definedName>
    <definedName name="v_24_SN2">Model!$AD$151</definedName>
    <definedName name="v_24_SNHx">Model!$AA$151</definedName>
    <definedName name="v_24_SNO2">Model!$AB$151</definedName>
    <definedName name="v_24_SNO3">Model!$AC$151</definedName>
    <definedName name="v_24_SO2">Model!$AO$151</definedName>
    <definedName name="v_24_SORPswitch">Model!$BY$151</definedName>
    <definedName name="v_24_SP_B">Model!$AK$151</definedName>
    <definedName name="v_24_SPFOA">Model!$BS$151</definedName>
    <definedName name="v_24_SPFOS">Model!$BU$151</definedName>
    <definedName name="v_24_SPO4">Model!$AI$151</definedName>
    <definedName name="v_24_SU">Model!$K$151</definedName>
    <definedName name="v_24_SVFA">Model!$E$151</definedName>
    <definedName name="v_24_XACP">Model!$BO$151</definedName>
    <definedName name="v_24_XALGAE">Model!$Z$151</definedName>
    <definedName name="v_24_XAMETO">Model!$X$151</definedName>
    <definedName name="v_24_XAMX">Model!$W$151</definedName>
    <definedName name="v_24_XAOB">Model!$U$151</definedName>
    <definedName name="v_24_XB">Model!$I$151</definedName>
    <definedName name="v_24_XB_e">Model!$J$151</definedName>
    <definedName name="v_24_XBSH">Model!$BP$151</definedName>
    <definedName name="v_24_XCaCO3">Model!$BN$151</definedName>
    <definedName name="v_24_XCASTO">Model!$S$151</definedName>
    <definedName name="v_24_XE">Model!$P$151</definedName>
    <definedName name="v_24_XE_ana">Model!$Q$151</definedName>
    <definedName name="v_24_XHAO_H">Model!$BG$151</definedName>
    <definedName name="v_24_XHAO_H_P">Model!$BJ$151</definedName>
    <definedName name="v_24_XHAO_H_P_old">Model!$BL$151</definedName>
    <definedName name="v_24_XHAO_L">Model!$BH$151</definedName>
    <definedName name="v_24_XHAO_L_P">Model!$BK$151</definedName>
    <definedName name="v_24_XHAO_L_P_old">Model!$BM$151</definedName>
    <definedName name="v_24_XHAO_old">Model!$BI$151</definedName>
    <definedName name="v_24_XHFO_H">Model!$AZ$151</definedName>
    <definedName name="v_24_XHFO_H_P">Model!$BC$151</definedName>
    <definedName name="v_24_XHFO_H_P_old">Model!$BE$151</definedName>
    <definedName name="v_24_XHFO_L">Model!$BA$151</definedName>
    <definedName name="v_24_XHFO_L_P">Model!$BD$151</definedName>
    <definedName name="v_24_XHFO_L_P_old">Model!$BF$151</definedName>
    <definedName name="v_24_XHFO_old">Model!$BB$151</definedName>
    <definedName name="v_24_XHMETO">Model!$Y$151</definedName>
    <definedName name="v_24_XINORG">Model!$AS$151</definedName>
    <definedName name="v_24_XMEOLO">Model!$T$151</definedName>
    <definedName name="v_24_XN_B">Model!$AF$151</definedName>
    <definedName name="v_24_XN_Be">Model!$AG$151</definedName>
    <definedName name="v_24_XN_U">Model!$AH$151</definedName>
    <definedName name="v_24_XNOB">Model!$V$151</definedName>
    <definedName name="v_24_XOHO">Model!$R$151</definedName>
    <definedName name="v_24_XP_B">Model!$AL$151</definedName>
    <definedName name="v_24_XP_Be">Model!$AM$151</definedName>
    <definedName name="v_24_XP_U">Model!$AN$151</definedName>
    <definedName name="v_24_XPFOA">Model!$BT$151</definedName>
    <definedName name="v_24_XPFOS">Model!$BV$151</definedName>
    <definedName name="v_24_XPHA_GAO">Model!$O$151</definedName>
    <definedName name="v_24_XPHA_PAO">Model!$N$151</definedName>
    <definedName name="v_24_XPP">Model!$AJ$151</definedName>
    <definedName name="v_24_XSTR">Model!$BQ$151</definedName>
    <definedName name="v_24_XU">Model!$M$151</definedName>
    <definedName name="v_24_XVivi">Model!$BR$151</definedName>
    <definedName name="v_25_CB">Model!$H$152</definedName>
    <definedName name="v_25_CU">Model!$L$152</definedName>
    <definedName name="v_25_GCH4">Model!$CA$152</definedName>
    <definedName name="v_25_GCH4_atm">Model!$CG$152</definedName>
    <definedName name="v_25_GCO2">Model!$BZ$152</definedName>
    <definedName name="v_25_GCO2_atm">Model!$CF$152</definedName>
    <definedName name="v_25_GH2">Model!$CB$152</definedName>
    <definedName name="v_25_GH2_atm">Model!$CH$152</definedName>
    <definedName name="v_25_GN2">Model!$CE$152</definedName>
    <definedName name="v_25_GN2_atm">Model!$CK$152</definedName>
    <definedName name="v_25_GNH3">Model!$CD$152</definedName>
    <definedName name="v_25_GNH3_atm">Model!$CJ$152</definedName>
    <definedName name="v_25_GO2">Model!$CC$152</definedName>
    <definedName name="v_25_GO2_atm">Model!$CI$152</definedName>
    <definedName name="v_25_SALPHA">Model!$BX$152</definedName>
    <definedName name="v_25_SAN">Model!$AU$152</definedName>
    <definedName name="v_25_SB">Model!$F$152</definedName>
    <definedName name="v_25_SCa">Model!$AV$152</definedName>
    <definedName name="v_25_SCAT">Model!$AT$152</definedName>
    <definedName name="v_25_SCH4">Model!$AP$152</definedName>
    <definedName name="v_25_SCO2">Model!$AR$152</definedName>
    <definedName name="v_25_SFe2">Model!$AY$152</definedName>
    <definedName name="v_25_SH">Model!$BW$152</definedName>
    <definedName name="v_25_SH2">Model!$AQ$152</definedName>
    <definedName name="v_25_SK">Model!$AX$152</definedName>
    <definedName name="v_25_SMEOL">Model!$G$152</definedName>
    <definedName name="v_25_SMg">Model!$AW$152</definedName>
    <definedName name="v_25_SN_B">Model!$AE$152</definedName>
    <definedName name="v_25_SN2">Model!$AD$152</definedName>
    <definedName name="v_25_SNHx">Model!$AA$152</definedName>
    <definedName name="v_25_SNO2">Model!$AB$152</definedName>
    <definedName name="v_25_SNO3">Model!$AC$152</definedName>
    <definedName name="v_25_SO2">Model!$AO$152</definedName>
    <definedName name="v_25_SORPswitch">Model!$BY$152</definedName>
    <definedName name="v_25_SP_B">Model!$AK$152</definedName>
    <definedName name="v_25_SPFOA">Model!$BS$152</definedName>
    <definedName name="v_25_SPFOS">Model!$BU$152</definedName>
    <definedName name="v_25_SPO4">Model!$AI$152</definedName>
    <definedName name="v_25_SU">Model!$K$152</definedName>
    <definedName name="v_25_SVFA">Model!$E$152</definedName>
    <definedName name="v_25_XACP">Model!$BO$152</definedName>
    <definedName name="v_25_XALGAE">Model!$Z$152</definedName>
    <definedName name="v_25_XAMETO">Model!$X$152</definedName>
    <definedName name="v_25_XAMX">Model!$W$152</definedName>
    <definedName name="v_25_XAOB">Model!$U$152</definedName>
    <definedName name="v_25_XB">Model!$I$152</definedName>
    <definedName name="v_25_XB_e">Model!$J$152</definedName>
    <definedName name="v_25_XBSH">Model!$BP$152</definedName>
    <definedName name="v_25_XCaCO3">Model!$BN$152</definedName>
    <definedName name="v_25_XCASTO">Model!$S$152</definedName>
    <definedName name="v_25_XE">Model!$P$152</definedName>
    <definedName name="v_25_XE_ana">Model!$Q$152</definedName>
    <definedName name="v_25_XHAO_H">Model!$BG$152</definedName>
    <definedName name="v_25_XHAO_H_P">Model!$BJ$152</definedName>
    <definedName name="v_25_XHAO_H_P_old">Model!$BL$152</definedName>
    <definedName name="v_25_XHAO_L">Model!$BH$152</definedName>
    <definedName name="v_25_XHAO_L_P">Model!$BK$152</definedName>
    <definedName name="v_25_XHAO_L_P_old">Model!$BM$152</definedName>
    <definedName name="v_25_XHAO_old">Model!$BI$152</definedName>
    <definedName name="v_25_XHFO_H">Model!$AZ$152</definedName>
    <definedName name="v_25_XHFO_H_P">Model!$BC$152</definedName>
    <definedName name="v_25_XHFO_H_P_old">Model!$BE$152</definedName>
    <definedName name="v_25_XHFO_L">Model!$BA$152</definedName>
    <definedName name="v_25_XHFO_L_P">Model!$BD$152</definedName>
    <definedName name="v_25_XHFO_L_P_old">Model!$BF$152</definedName>
    <definedName name="v_25_XHFO_old">Model!$BB$152</definedName>
    <definedName name="v_25_XHMETO">Model!$Y$152</definedName>
    <definedName name="v_25_XINORG">Model!$AS$152</definedName>
    <definedName name="v_25_XMEOLO">Model!$T$152</definedName>
    <definedName name="v_25_XN_B">Model!$AF$152</definedName>
    <definedName name="v_25_XN_Be">Model!$AG$152</definedName>
    <definedName name="v_25_XN_U">Model!$AH$152</definedName>
    <definedName name="v_25_XNOB">Model!$V$152</definedName>
    <definedName name="v_25_XOHO">Model!$R$152</definedName>
    <definedName name="v_25_XP_B">Model!$AL$152</definedName>
    <definedName name="v_25_XP_Be">Model!$AM$152</definedName>
    <definedName name="v_25_XP_U">Model!$AN$152</definedName>
    <definedName name="v_25_XPFOA">Model!$BT$152</definedName>
    <definedName name="v_25_XPFOS">Model!$BV$152</definedName>
    <definedName name="v_25_XPHA_GAO">Model!$O$152</definedName>
    <definedName name="v_25_XPHA_PAO">Model!$N$152</definedName>
    <definedName name="v_25_XPP">Model!$AJ$152</definedName>
    <definedName name="v_25_XSTR">Model!$BQ$152</definedName>
    <definedName name="v_25_XU">Model!$M$152</definedName>
    <definedName name="v_25_XVivi">Model!$BR$152</definedName>
    <definedName name="v_26_CB">Model!$H$153</definedName>
    <definedName name="v_26_CU">Model!$L$153</definedName>
    <definedName name="v_26_GCH4">Model!$CA$153</definedName>
    <definedName name="v_26_GCH4_atm">Model!$CG$153</definedName>
    <definedName name="v_26_GCO2">Model!$BZ$153</definedName>
    <definedName name="v_26_GCO2_atm">Model!$CF$153</definedName>
    <definedName name="v_26_GH2">Model!$CB$153</definedName>
    <definedName name="v_26_GH2_atm">Model!$CH$153</definedName>
    <definedName name="v_26_GN2">Model!$CE$153</definedName>
    <definedName name="v_26_GN2_atm">Model!$CK$153</definedName>
    <definedName name="v_26_GNH3">Model!$CD$153</definedName>
    <definedName name="v_26_GNH3_atm">Model!$CJ$153</definedName>
    <definedName name="v_26_GO2">Model!$CC$153</definedName>
    <definedName name="v_26_GO2_atm">Model!$CI$153</definedName>
    <definedName name="v_26_SALPHA">Model!$BX$153</definedName>
    <definedName name="v_26_SAN">Model!$AU$153</definedName>
    <definedName name="v_26_SB">Model!$F$153</definedName>
    <definedName name="v_26_SCa">Model!$AV$153</definedName>
    <definedName name="v_26_SCAT">Model!$AT$153</definedName>
    <definedName name="v_26_SCH4">Model!$AP$153</definedName>
    <definedName name="v_26_SCO2">Model!$AR$153</definedName>
    <definedName name="v_26_SFe2">Model!$AY$153</definedName>
    <definedName name="v_26_SH">Model!$BW$153</definedName>
    <definedName name="v_26_SH2">Model!$AQ$153</definedName>
    <definedName name="v_26_SK">Model!$AX$153</definedName>
    <definedName name="v_26_SMEOL">Model!$G$153</definedName>
    <definedName name="v_26_SMg">Model!$AW$153</definedName>
    <definedName name="v_26_SN_B">Model!$AE$153</definedName>
    <definedName name="v_26_SN2">Model!$AD$153</definedName>
    <definedName name="v_26_SNHx">Model!$AA$153</definedName>
    <definedName name="v_26_SNO2">Model!$AB$153</definedName>
    <definedName name="v_26_SNO3">Model!$AC$153</definedName>
    <definedName name="v_26_SO2">Model!$AO$153</definedName>
    <definedName name="v_26_SORPswitch">Model!$BY$153</definedName>
    <definedName name="v_26_SP_B">Model!$AK$153</definedName>
    <definedName name="v_26_SPFOA">Model!$BS$153</definedName>
    <definedName name="v_26_SPFOS">Model!$BU$153</definedName>
    <definedName name="v_26_SPO4">Model!$AI$153</definedName>
    <definedName name="v_26_SU">Model!$K$153</definedName>
    <definedName name="v_26_SVFA">Model!$E$153</definedName>
    <definedName name="v_26_XACP">Model!$BO$153</definedName>
    <definedName name="v_26_XALGAE">Model!$Z$153</definedName>
    <definedName name="v_26_XAMETO">Model!$X$153</definedName>
    <definedName name="v_26_XAMX">Model!$W$153</definedName>
    <definedName name="v_26_XAOB">Model!$U$153</definedName>
    <definedName name="v_26_XB">Model!$I$153</definedName>
    <definedName name="v_26_XB_e">Model!$J$153</definedName>
    <definedName name="v_26_XBSH">Model!$BP$153</definedName>
    <definedName name="v_26_XCaCO3">Model!$BN$153</definedName>
    <definedName name="v_26_XCASTO">Model!$S$153</definedName>
    <definedName name="v_26_XE">Model!$P$153</definedName>
    <definedName name="v_26_XE_ana">Model!$Q$153</definedName>
    <definedName name="v_26_XHAO_H">Model!$BG$153</definedName>
    <definedName name="v_26_XHAO_H_P">Model!$BJ$153</definedName>
    <definedName name="v_26_XHAO_H_P_old">Model!$BL$153</definedName>
    <definedName name="v_26_XHAO_L">Model!$BH$153</definedName>
    <definedName name="v_26_XHAO_L_P">Model!$BK$153</definedName>
    <definedName name="v_26_XHAO_L_P_old">Model!$BM$153</definedName>
    <definedName name="v_26_XHAO_old">Model!$BI$153</definedName>
    <definedName name="v_26_XHFO_H">Model!$AZ$153</definedName>
    <definedName name="v_26_XHFO_H_P">Model!$BC$153</definedName>
    <definedName name="v_26_XHFO_H_P_old">Model!$BE$153</definedName>
    <definedName name="v_26_XHFO_L">Model!$BA$153</definedName>
    <definedName name="v_26_XHFO_L_P">Model!$BD$153</definedName>
    <definedName name="v_26_XHFO_L_P_old">Model!$BF$153</definedName>
    <definedName name="v_26_XHFO_old">Model!$BB$153</definedName>
    <definedName name="v_26_XHMETO">Model!$Y$153</definedName>
    <definedName name="v_26_XINORG">Model!$AS$153</definedName>
    <definedName name="v_26_XMEOLO">Model!$T$153</definedName>
    <definedName name="v_26_XN_B">Model!$AF$153</definedName>
    <definedName name="v_26_XN_Be">Model!$AG$153</definedName>
    <definedName name="v_26_XN_U">Model!$AH$153</definedName>
    <definedName name="v_26_XNOB">Model!$V$153</definedName>
    <definedName name="v_26_XOHO">Model!$R$153</definedName>
    <definedName name="v_26_XP_B">Model!$AL$153</definedName>
    <definedName name="v_26_XP_Be">Model!$AM$153</definedName>
    <definedName name="v_26_XP_U">Model!$AN$153</definedName>
    <definedName name="v_26_XPFOA">Model!$BT$153</definedName>
    <definedName name="v_26_XPFOS">Model!$BV$153</definedName>
    <definedName name="v_26_XPHA_GAO">Model!$O$153</definedName>
    <definedName name="v_26_XPHA_PAO">Model!$N$153</definedName>
    <definedName name="v_26_XPP">Model!$AJ$153</definedName>
    <definedName name="v_26_XSTR">Model!$BQ$153</definedName>
    <definedName name="v_26_XU">Model!$M$153</definedName>
    <definedName name="v_26_XVivi">Model!$BR$153</definedName>
    <definedName name="v_27_CB">Model!$H$154</definedName>
    <definedName name="v_27_CU">Model!$L$154</definedName>
    <definedName name="v_27_GCH4">Model!$CA$154</definedName>
    <definedName name="v_27_GCH4_atm">Model!$CG$154</definedName>
    <definedName name="v_27_GCO2">Model!$BZ$154</definedName>
    <definedName name="v_27_GCO2_atm">Model!$CF$154</definedName>
    <definedName name="v_27_GH2">Model!$CB$154</definedName>
    <definedName name="v_27_GH2_atm">Model!$CH$154</definedName>
    <definedName name="v_27_GN2">Model!$CE$154</definedName>
    <definedName name="v_27_GN2_atm">Model!$CK$154</definedName>
    <definedName name="v_27_GNH3">Model!$CD$154</definedName>
    <definedName name="v_27_GNH3_atm">Model!$CJ$154</definedName>
    <definedName name="v_27_GO2">Model!$CC$154</definedName>
    <definedName name="v_27_GO2_atm">Model!$CI$154</definedName>
    <definedName name="v_27_SALPHA">Model!$BX$154</definedName>
    <definedName name="v_27_SAN">Model!$AU$154</definedName>
    <definedName name="v_27_SB">Model!$F$154</definedName>
    <definedName name="v_27_SCa">Model!$AV$154</definedName>
    <definedName name="v_27_SCAT">Model!$AT$154</definedName>
    <definedName name="v_27_SCH4">Model!$AP$154</definedName>
    <definedName name="v_27_SCO2">Model!$AR$154</definedName>
    <definedName name="v_27_SFe2">Model!$AY$154</definedName>
    <definedName name="v_27_SH">Model!$BW$154</definedName>
    <definedName name="v_27_SH2">Model!$AQ$154</definedName>
    <definedName name="v_27_SK">Model!$AX$154</definedName>
    <definedName name="v_27_SMEOL">Model!$G$154</definedName>
    <definedName name="v_27_SMg">Model!$AW$154</definedName>
    <definedName name="v_27_SN_B">Model!$AE$154</definedName>
    <definedName name="v_27_SN2">Model!$AD$154</definedName>
    <definedName name="v_27_SNHx">Model!$AA$154</definedName>
    <definedName name="v_27_SNO2">Model!$AB$154</definedName>
    <definedName name="v_27_SNO3">Model!$AC$154</definedName>
    <definedName name="v_27_SO2">Model!$AO$154</definedName>
    <definedName name="v_27_SORPswitch">Model!$BY$154</definedName>
    <definedName name="v_27_SP_B">Model!$AK$154</definedName>
    <definedName name="v_27_SPFOA">Model!$BS$154</definedName>
    <definedName name="v_27_SPFOS">Model!$BU$154</definedName>
    <definedName name="v_27_SPO4">Model!$AI$154</definedName>
    <definedName name="v_27_SU">Model!$K$154</definedName>
    <definedName name="v_27_SVFA">Model!$E$154</definedName>
    <definedName name="v_27_XACP">Model!$BO$154</definedName>
    <definedName name="v_27_XALGAE">Model!$Z$154</definedName>
    <definedName name="v_27_XAMETO">Model!$X$154</definedName>
    <definedName name="v_27_XAMX">Model!$W$154</definedName>
    <definedName name="v_27_XAOB">Model!$U$154</definedName>
    <definedName name="v_27_XB">Model!$I$154</definedName>
    <definedName name="v_27_XB_e">Model!$J$154</definedName>
    <definedName name="v_27_XBSH">Model!$BP$154</definedName>
    <definedName name="v_27_XCaCO3">Model!$BN$154</definedName>
    <definedName name="v_27_XCASTO">Model!$S$154</definedName>
    <definedName name="v_27_XE">Model!$P$154</definedName>
    <definedName name="v_27_XE_ana">Model!$Q$154</definedName>
    <definedName name="v_27_XHAO_H">Model!$BG$154</definedName>
    <definedName name="v_27_XHAO_H_P">Model!$BJ$154</definedName>
    <definedName name="v_27_XHAO_H_P_old">Model!$BL$154</definedName>
    <definedName name="v_27_XHAO_L">Model!$BH$154</definedName>
    <definedName name="v_27_XHAO_L_P">Model!$BK$154</definedName>
    <definedName name="v_27_XHAO_L_P_old">Model!$BM$154</definedName>
    <definedName name="v_27_XHAO_old">Model!$BI$154</definedName>
    <definedName name="v_27_XHFO_H">Model!$AZ$154</definedName>
    <definedName name="v_27_XHFO_H_P">Model!$BC$154</definedName>
    <definedName name="v_27_XHFO_H_P_old">Model!$BE$154</definedName>
    <definedName name="v_27_XHFO_L">Model!$BA$154</definedName>
    <definedName name="v_27_XHFO_L_P">Model!$BD$154</definedName>
    <definedName name="v_27_XHFO_L_P_old">Model!$BF$154</definedName>
    <definedName name="v_27_XHFO_old">Model!$BB$154</definedName>
    <definedName name="v_27_XHMETO">Model!$Y$154</definedName>
    <definedName name="v_27_XINORG">Model!$AS$154</definedName>
    <definedName name="v_27_XMEOLO">Model!$T$154</definedName>
    <definedName name="v_27_XN_B">Model!$AF$154</definedName>
    <definedName name="v_27_XN_Be">Model!$AG$154</definedName>
    <definedName name="v_27_XN_U">Model!$AH$154</definedName>
    <definedName name="v_27_XNOB">Model!$V$154</definedName>
    <definedName name="v_27_XOHO">Model!$R$154</definedName>
    <definedName name="v_27_XP_B">Model!$AL$154</definedName>
    <definedName name="v_27_XP_Be">Model!$AM$154</definedName>
    <definedName name="v_27_XP_U">Model!$AN$154</definedName>
    <definedName name="v_27_XPFOA">Model!$BT$154</definedName>
    <definedName name="v_27_XPFOS">Model!$BV$154</definedName>
    <definedName name="v_27_XPHA_GAO">Model!$O$154</definedName>
    <definedName name="v_27_XPHA_PAO">Model!$N$154</definedName>
    <definedName name="v_27_XPP">Model!$AJ$154</definedName>
    <definedName name="v_27_XSTR">Model!$BQ$154</definedName>
    <definedName name="v_27_XU">Model!$M$154</definedName>
    <definedName name="v_27_XVivi">Model!$BR$154</definedName>
    <definedName name="v_28_CB">Model!$H$155</definedName>
    <definedName name="v_28_CU">Model!$L$155</definedName>
    <definedName name="v_28_GCH4">Model!$CA$155</definedName>
    <definedName name="v_28_GCH4_atm">Model!$CG$155</definedName>
    <definedName name="v_28_GCO2">Model!$BZ$155</definedName>
    <definedName name="v_28_GCO2_atm">Model!$CF$155</definedName>
    <definedName name="v_28_GH2">Model!$CB$155</definedName>
    <definedName name="v_28_GH2_atm">Model!$CH$155</definedName>
    <definedName name="v_28_GN2">Model!$CE$155</definedName>
    <definedName name="v_28_GN2_atm">Model!$CK$155</definedName>
    <definedName name="v_28_GNH3">Model!$CD$155</definedName>
    <definedName name="v_28_GNH3_atm">Model!$CJ$155</definedName>
    <definedName name="v_28_GO2">Model!$CC$155</definedName>
    <definedName name="v_28_GO2_atm">Model!$CI$155</definedName>
    <definedName name="v_28_SALPHA">Model!$BX$155</definedName>
    <definedName name="v_28_SAN">Model!$AU$155</definedName>
    <definedName name="v_28_SB">Model!$F$155</definedName>
    <definedName name="v_28_SCa">Model!$AV$155</definedName>
    <definedName name="v_28_SCAT">Model!$AT$155</definedName>
    <definedName name="v_28_SCH4">Model!$AP$155</definedName>
    <definedName name="v_28_SCO2">Model!$AR$155</definedName>
    <definedName name="v_28_SFe2">Model!$AY$155</definedName>
    <definedName name="v_28_SH">Model!$BW$155</definedName>
    <definedName name="v_28_SH2">Model!$AQ$155</definedName>
    <definedName name="v_28_SK">Model!$AX$155</definedName>
    <definedName name="v_28_SMEOL">Model!$G$155</definedName>
    <definedName name="v_28_SMg">Model!$AW$155</definedName>
    <definedName name="v_28_SN_B">Model!$AE$155</definedName>
    <definedName name="v_28_SN2">Model!$AD$155</definedName>
    <definedName name="v_28_SNHx">Model!$AA$155</definedName>
    <definedName name="v_28_SNO2">Model!$AB$155</definedName>
    <definedName name="v_28_SNO3">Model!$AC$155</definedName>
    <definedName name="v_28_SO2">Model!$AO$155</definedName>
    <definedName name="v_28_SORPswitch">Model!$BY$155</definedName>
    <definedName name="v_28_SP_B">Model!$AK$155</definedName>
    <definedName name="v_28_SPFOA">Model!$BS$155</definedName>
    <definedName name="v_28_SPFOS">Model!$BU$155</definedName>
    <definedName name="v_28_SPO4">Model!$AI$155</definedName>
    <definedName name="v_28_SU">Model!$K$155</definedName>
    <definedName name="v_28_SVFA">Model!$E$155</definedName>
    <definedName name="v_28_XACP">Model!$BO$155</definedName>
    <definedName name="v_28_XALGAE">Model!$Z$155</definedName>
    <definedName name="v_28_XAMETO">Model!$X$155</definedName>
    <definedName name="v_28_XAMX">Model!$W$155</definedName>
    <definedName name="v_28_XAOB">Model!$U$155</definedName>
    <definedName name="v_28_XB">Model!$I$155</definedName>
    <definedName name="v_28_XB_e">Model!$J$155</definedName>
    <definedName name="v_28_XBSH">Model!$BP$155</definedName>
    <definedName name="v_28_XCaCO3">Model!$BN$155</definedName>
    <definedName name="v_28_XCASTO">Model!$S$155</definedName>
    <definedName name="v_28_XE">Model!$P$155</definedName>
    <definedName name="v_28_XE_ana">Model!$Q$155</definedName>
    <definedName name="v_28_XHAO_H">Model!$BG$155</definedName>
    <definedName name="v_28_XHAO_H_P">Model!$BJ$155</definedName>
    <definedName name="v_28_XHAO_H_P_old">Model!$BL$155</definedName>
    <definedName name="v_28_XHAO_L">Model!$BH$155</definedName>
    <definedName name="v_28_XHAO_L_P">Model!$BK$155</definedName>
    <definedName name="v_28_XHAO_L_P_old">Model!$BM$155</definedName>
    <definedName name="v_28_XHAO_old">Model!$BI$155</definedName>
    <definedName name="v_28_XHFO_H">Model!$AZ$155</definedName>
    <definedName name="v_28_XHFO_H_P">Model!$BC$155</definedName>
    <definedName name="v_28_XHFO_H_P_old">Model!$BE$155</definedName>
    <definedName name="v_28_XHFO_L">Model!$BA$155</definedName>
    <definedName name="v_28_XHFO_L_P">Model!$BD$155</definedName>
    <definedName name="v_28_XHFO_L_P_old">Model!$BF$155</definedName>
    <definedName name="v_28_XHFO_old">Model!$BB$155</definedName>
    <definedName name="v_28_XHMETO">Model!$Y$155</definedName>
    <definedName name="v_28_XINORG">Model!$AS$155</definedName>
    <definedName name="v_28_XMEOLO">Model!$T$155</definedName>
    <definedName name="v_28_XN_B">Model!$AF$155</definedName>
    <definedName name="v_28_XN_Be">Model!$AG$155</definedName>
    <definedName name="v_28_XN_U">Model!$AH$155</definedName>
    <definedName name="v_28_XNOB">Model!$V$155</definedName>
    <definedName name="v_28_XOHO">Model!$R$155</definedName>
    <definedName name="v_28_XP_B">Model!$AL$155</definedName>
    <definedName name="v_28_XP_Be">Model!$AM$155</definedName>
    <definedName name="v_28_XP_U">Model!$AN$155</definedName>
    <definedName name="v_28_XPFOA">Model!$BT$155</definedName>
    <definedName name="v_28_XPFOS">Model!$BV$155</definedName>
    <definedName name="v_28_XPHA_GAO">Model!$O$155</definedName>
    <definedName name="v_28_XPHA_PAO">Model!$N$155</definedName>
    <definedName name="v_28_XPP">Model!$AJ$155</definedName>
    <definedName name="v_28_XSTR">Model!$BQ$155</definedName>
    <definedName name="v_28_XU">Model!$M$155</definedName>
    <definedName name="v_28_XVivi">Model!$BR$155</definedName>
    <definedName name="v_29_CB">Model!$H$156</definedName>
    <definedName name="v_29_CU">Model!$L$156</definedName>
    <definedName name="v_29_GCH4">Model!$CA$156</definedName>
    <definedName name="v_29_GCH4_atm">Model!$CG$156</definedName>
    <definedName name="v_29_GCO2">Model!$BZ$156</definedName>
    <definedName name="v_29_GCO2_atm">Model!$CF$156</definedName>
    <definedName name="v_29_GH2">Model!$CB$156</definedName>
    <definedName name="v_29_GH2_atm">Model!$CH$156</definedName>
    <definedName name="v_29_GN2">Model!$CE$156</definedName>
    <definedName name="v_29_GN2_atm">Model!$CK$156</definedName>
    <definedName name="v_29_GNH3">Model!$CD$156</definedName>
    <definedName name="v_29_GNH3_atm">Model!$CJ$156</definedName>
    <definedName name="v_29_GO2">Model!$CC$156</definedName>
    <definedName name="v_29_GO2_atm">Model!$CI$156</definedName>
    <definedName name="v_29_SALPHA">Model!$BX$156</definedName>
    <definedName name="v_29_SAN">Model!$AU$156</definedName>
    <definedName name="v_29_SB">Model!$F$156</definedName>
    <definedName name="v_29_SCa">Model!$AV$156</definedName>
    <definedName name="v_29_SCAT">Model!$AT$156</definedName>
    <definedName name="v_29_SCH4">Model!$AP$156</definedName>
    <definedName name="v_29_SCO2">Model!$AR$156</definedName>
    <definedName name="v_29_SFe2">Model!$AY$156</definedName>
    <definedName name="v_29_SH">Model!$BW$156</definedName>
    <definedName name="v_29_SH2">Model!$AQ$156</definedName>
    <definedName name="v_29_SK">Model!$AX$156</definedName>
    <definedName name="v_29_SMEOL">Model!$G$156</definedName>
    <definedName name="v_29_SMg">Model!$AW$156</definedName>
    <definedName name="v_29_SN_B">Model!$AE$156</definedName>
    <definedName name="v_29_SN2">Model!$AD$156</definedName>
    <definedName name="v_29_SNHx">Model!$AA$156</definedName>
    <definedName name="v_29_SNO2">Model!$AB$156</definedName>
    <definedName name="v_29_SNO3">Model!$AC$156</definedName>
    <definedName name="v_29_SO2">Model!$AO$156</definedName>
    <definedName name="v_29_SORPswitch">Model!$BY$156</definedName>
    <definedName name="v_29_SP_B">Model!$AK$156</definedName>
    <definedName name="v_29_SPFOA">Model!$BS$156</definedName>
    <definedName name="v_29_SPFOS">Model!$BU$156</definedName>
    <definedName name="v_29_SPO4">Model!$AI$156</definedName>
    <definedName name="v_29_SU">Model!$K$156</definedName>
    <definedName name="v_29_SVFA">Model!$E$156</definedName>
    <definedName name="v_29_XACP">Model!$BO$156</definedName>
    <definedName name="v_29_XALGAE">Model!$Z$156</definedName>
    <definedName name="v_29_XAMETO">Model!$X$156</definedName>
    <definedName name="v_29_XAMX">Model!$W$156</definedName>
    <definedName name="v_29_XAOB">Model!$U$156</definedName>
    <definedName name="v_29_XB">Model!$I$156</definedName>
    <definedName name="v_29_XB_e">Model!$J$156</definedName>
    <definedName name="v_29_XBSH">Model!$BP$156</definedName>
    <definedName name="v_29_XCaCO3">Model!$BN$156</definedName>
    <definedName name="v_29_XCASTO">Model!$S$156</definedName>
    <definedName name="v_29_XE">Model!$P$156</definedName>
    <definedName name="v_29_XE_ana">Model!$Q$156</definedName>
    <definedName name="v_29_XHAO_H">Model!$BG$156</definedName>
    <definedName name="v_29_XHAO_H_P">Model!$BJ$156</definedName>
    <definedName name="v_29_XHAO_H_P_old">Model!$BL$156</definedName>
    <definedName name="v_29_XHAO_L">Model!$BH$156</definedName>
    <definedName name="v_29_XHAO_L_P">Model!$BK$156</definedName>
    <definedName name="v_29_XHAO_L_P_old">Model!$BM$156</definedName>
    <definedName name="v_29_XHAO_old">Model!$BI$156</definedName>
    <definedName name="v_29_XHFO_H">Model!$AZ$156</definedName>
    <definedName name="v_29_XHFO_H_P">Model!$BC$156</definedName>
    <definedName name="v_29_XHFO_H_P_old">Model!$BE$156</definedName>
    <definedName name="v_29_XHFO_L">Model!$BA$156</definedName>
    <definedName name="v_29_XHFO_L_P">Model!$BD$156</definedName>
    <definedName name="v_29_XHFO_L_P_old">Model!$BF$156</definedName>
    <definedName name="v_29_XHFO_old">Model!$BB$156</definedName>
    <definedName name="v_29_XHMETO">Model!$Y$156</definedName>
    <definedName name="v_29_XINORG">Model!$AS$156</definedName>
    <definedName name="v_29_XMEOLO">Model!$T$156</definedName>
    <definedName name="v_29_XN_B">Model!$AF$156</definedName>
    <definedName name="v_29_XN_Be">Model!$AG$156</definedName>
    <definedName name="v_29_XN_U">Model!$AH$156</definedName>
    <definedName name="v_29_XNOB">Model!$V$156</definedName>
    <definedName name="v_29_XOHO">Model!$R$156</definedName>
    <definedName name="v_29_XP_B">Model!$AL$156</definedName>
    <definedName name="v_29_XP_Be">Model!$AM$156</definedName>
    <definedName name="v_29_XP_U">Model!$AN$156</definedName>
    <definedName name="v_29_XPFOA">Model!$BT$156</definedName>
    <definedName name="v_29_XPFOS">Model!$BV$156</definedName>
    <definedName name="v_29_XPHA_GAO">Model!$O$156</definedName>
    <definedName name="v_29_XPHA_PAO">Model!$N$156</definedName>
    <definedName name="v_29_XPP">Model!$AJ$156</definedName>
    <definedName name="v_29_XSTR">Model!$BQ$156</definedName>
    <definedName name="v_29_XU">Model!$M$156</definedName>
    <definedName name="v_29_XVivi">Model!$BR$156</definedName>
    <definedName name="v_3_CB">Model!$H$130</definedName>
    <definedName name="v_3_CU">Model!$L$130</definedName>
    <definedName name="v_3_GCH4">Model!$CA$130</definedName>
    <definedName name="v_3_GCH4_atm">Model!$CG$130</definedName>
    <definedName name="v_3_GCO2">Model!$BZ$130</definedName>
    <definedName name="v_3_GCO2_atm">Model!$CF$130</definedName>
    <definedName name="v_3_GH2">Model!$CB$130</definedName>
    <definedName name="v_3_GH2_atm">Model!$CH$130</definedName>
    <definedName name="v_3_GN2">Model!$CE$130</definedName>
    <definedName name="v_3_GN2_atm">Model!$CK$130</definedName>
    <definedName name="v_3_GNH3">Model!$CD$130</definedName>
    <definedName name="v_3_GNH3_atm">Model!$CJ$130</definedName>
    <definedName name="v_3_GO2">Model!$CC$130</definedName>
    <definedName name="v_3_GO2_atm">Model!$CI$130</definedName>
    <definedName name="v_3_SALPHA">Model!$BX$130</definedName>
    <definedName name="v_3_SAN">Model!$AU$130</definedName>
    <definedName name="v_3_SB">Model!$F$130</definedName>
    <definedName name="v_3_SCa">Model!$AV$130</definedName>
    <definedName name="v_3_SCAT">Model!$AT$130</definedName>
    <definedName name="v_3_SCH4">Model!$AP$130</definedName>
    <definedName name="v_3_SCO2">Model!$AR$130</definedName>
    <definedName name="v_3_SFe2">Model!$AY$130</definedName>
    <definedName name="v_3_SH">Model!$BW$130</definedName>
    <definedName name="v_3_SH2">Model!$AQ$130</definedName>
    <definedName name="v_3_SK">Model!$AX$130</definedName>
    <definedName name="v_3_SMEOL">Model!$G$130</definedName>
    <definedName name="v_3_SMg">Model!$AW$130</definedName>
    <definedName name="v_3_SN_B">Model!$AE$130</definedName>
    <definedName name="v_3_SN2">Model!$AD$130</definedName>
    <definedName name="v_3_SNHx">Model!$AA$130</definedName>
    <definedName name="v_3_SNO2">Model!$AB$130</definedName>
    <definedName name="v_3_SNO3">Model!$AC$130</definedName>
    <definedName name="v_3_SO2">Model!$AO$130</definedName>
    <definedName name="v_3_SORPswitch">Model!$BY$130</definedName>
    <definedName name="v_3_SP_B">Model!$AK$130</definedName>
    <definedName name="v_3_SPFOA">Model!$BS$130</definedName>
    <definedName name="v_3_SPFOS">Model!$BU$130</definedName>
    <definedName name="v_3_SPO4">Model!$AI$130</definedName>
    <definedName name="v_3_SU">Model!$K$130</definedName>
    <definedName name="v_3_SVFA">Model!$E$130</definedName>
    <definedName name="v_3_XACP">Model!$BO$130</definedName>
    <definedName name="v_3_XALGAE">Model!$Z$130</definedName>
    <definedName name="v_3_XAMETO">Model!$X$130</definedName>
    <definedName name="v_3_XAMX">Model!$W$130</definedName>
    <definedName name="v_3_XAOB">Model!$U$130</definedName>
    <definedName name="v_3_XB">Model!$I$130</definedName>
    <definedName name="v_3_XB_e">Model!$J$130</definedName>
    <definedName name="v_3_XBSH">Model!$BP$130</definedName>
    <definedName name="v_3_XCaCO3">Model!$BN$130</definedName>
    <definedName name="v_3_XCASTO">Model!$S$130</definedName>
    <definedName name="v_3_XE">Model!$P$130</definedName>
    <definedName name="v_3_XE_ana">Model!$Q$130</definedName>
    <definedName name="v_3_XHAO_H">Model!$BG$130</definedName>
    <definedName name="v_3_XHAO_H_P">Model!$BJ$130</definedName>
    <definedName name="v_3_XHAO_H_P_old">Model!$BL$130</definedName>
    <definedName name="v_3_XHAO_L">Model!$BH$130</definedName>
    <definedName name="v_3_XHAO_L_P">Model!$BK$130</definedName>
    <definedName name="v_3_XHAO_L_P_old">Model!$BM$130</definedName>
    <definedName name="v_3_XHAO_old">Model!$BI$130</definedName>
    <definedName name="v_3_XHFO_H">Model!$AZ$130</definedName>
    <definedName name="v_3_XHFO_H_P">Model!$BC$130</definedName>
    <definedName name="v_3_XHFO_H_P_old">Model!$BE$130</definedName>
    <definedName name="v_3_XHFO_L">Model!$BA$130</definedName>
    <definedName name="v_3_XHFO_L_P">Model!$BD$130</definedName>
    <definedName name="v_3_XHFO_L_P_old">Model!$BF$130</definedName>
    <definedName name="v_3_XHFO_old">Model!$BB$130</definedName>
    <definedName name="v_3_XHMETO">Model!$Y$130</definedName>
    <definedName name="v_3_XINORG">Model!$AS$130</definedName>
    <definedName name="v_3_XMEOLO">Model!$T$130</definedName>
    <definedName name="v_3_XN_B">Model!$AF$130</definedName>
    <definedName name="v_3_XN_Be">Model!$AG$130</definedName>
    <definedName name="v_3_XN_U">Model!$AH$130</definedName>
    <definedName name="v_3_XNOB">Model!$V$130</definedName>
    <definedName name="v_3_XOHO">Model!$R$130</definedName>
    <definedName name="v_3_XP_B">Model!$AL$130</definedName>
    <definedName name="v_3_XP_Be">Model!$AM$130</definedName>
    <definedName name="v_3_XP_U">Model!$AN$130</definedName>
    <definedName name="v_3_XPFOA">Model!$BT$130</definedName>
    <definedName name="v_3_XPFOS">Model!$BV$130</definedName>
    <definedName name="v_3_XPHA_GAO">Model!$O$130</definedName>
    <definedName name="v_3_XPHA_PAO">Model!$N$130</definedName>
    <definedName name="v_3_XPP">Model!$AJ$130</definedName>
    <definedName name="v_3_XSTR">Model!$BQ$130</definedName>
    <definedName name="v_3_XU">Model!$M$130</definedName>
    <definedName name="v_3_XVivi">Model!$BR$130</definedName>
    <definedName name="v_30_CB">Model!$H$157</definedName>
    <definedName name="v_30_CU">Model!$L$157</definedName>
    <definedName name="v_30_GCH4">Model!$CA$157</definedName>
    <definedName name="v_30_GCH4_atm">Model!$CG$157</definedName>
    <definedName name="v_30_GCO2">Model!$BZ$157</definedName>
    <definedName name="v_30_GCO2_atm">Model!$CF$157</definedName>
    <definedName name="v_30_GH2">Model!$CB$157</definedName>
    <definedName name="v_30_GH2_atm">Model!$CH$157</definedName>
    <definedName name="v_30_GN2">Model!$CE$157</definedName>
    <definedName name="v_30_GN2_atm">Model!$CK$157</definedName>
    <definedName name="v_30_GNH3">Model!$CD$157</definedName>
    <definedName name="v_30_GNH3_atm">Model!$CJ$157</definedName>
    <definedName name="v_30_GO2">Model!$CC$157</definedName>
    <definedName name="v_30_GO2_atm">Model!$CI$157</definedName>
    <definedName name="v_30_SALPHA">Model!$BX$157</definedName>
    <definedName name="v_30_SAN">Model!$AU$157</definedName>
    <definedName name="v_30_SB">Model!$F$157</definedName>
    <definedName name="v_30_SCa">Model!$AV$157</definedName>
    <definedName name="v_30_SCAT">Model!$AT$157</definedName>
    <definedName name="v_30_SCH4">Model!$AP$157</definedName>
    <definedName name="v_30_SCO2">Model!$AR$157</definedName>
    <definedName name="v_30_SFe2">Model!$AY$157</definedName>
    <definedName name="v_30_SH">Model!$BW$157</definedName>
    <definedName name="v_30_SH2">Model!$AQ$157</definedName>
    <definedName name="v_30_SK">Model!$AX$157</definedName>
    <definedName name="v_30_SMEOL">Model!$G$157</definedName>
    <definedName name="v_30_SMg">Model!$AW$157</definedName>
    <definedName name="v_30_SN_B">Model!$AE$157</definedName>
    <definedName name="v_30_SN2">Model!$AD$157</definedName>
    <definedName name="v_30_SNHx">Model!$AA$157</definedName>
    <definedName name="v_30_SNO2">Model!$AB$157</definedName>
    <definedName name="v_30_SNO3">Model!$AC$157</definedName>
    <definedName name="v_30_SO2">Model!$AO$157</definedName>
    <definedName name="v_30_SORPswitch">Model!$BY$157</definedName>
    <definedName name="v_30_SP_B">Model!$AK$157</definedName>
    <definedName name="v_30_SPFOA">Model!$BS$157</definedName>
    <definedName name="v_30_SPFOS">Model!$BU$157</definedName>
    <definedName name="v_30_SPO4">Model!$AI$157</definedName>
    <definedName name="v_30_SU">Model!$K$157</definedName>
    <definedName name="v_30_SVFA">Model!$E$157</definedName>
    <definedName name="v_30_XACP">Model!$BO$157</definedName>
    <definedName name="v_30_XALGAE">Model!$Z$157</definedName>
    <definedName name="v_30_XAMETO">Model!$X$157</definedName>
    <definedName name="v_30_XAMX">Model!$W$157</definedName>
    <definedName name="v_30_XAOB">Model!$U$157</definedName>
    <definedName name="v_30_XB">Model!$I$157</definedName>
    <definedName name="v_30_XB_e">Model!$J$157</definedName>
    <definedName name="v_30_XBSH">Model!$BP$157</definedName>
    <definedName name="v_30_XCaCO3">Model!$BN$157</definedName>
    <definedName name="v_30_XCASTO">Model!$S$157</definedName>
    <definedName name="v_30_XE">Model!$P$157</definedName>
    <definedName name="v_30_XE_ana">Model!$Q$157</definedName>
    <definedName name="v_30_XHAO_H">Model!$BG$157</definedName>
    <definedName name="v_30_XHAO_H_P">Model!$BJ$157</definedName>
    <definedName name="v_30_XHAO_H_P_old">Model!$BL$157</definedName>
    <definedName name="v_30_XHAO_L">Model!$BH$157</definedName>
    <definedName name="v_30_XHAO_L_P">Model!$BK$157</definedName>
    <definedName name="v_30_XHAO_L_P_old">Model!$BM$157</definedName>
    <definedName name="v_30_XHAO_old">Model!$BI$157</definedName>
    <definedName name="v_30_XHFO_H">Model!$AZ$157</definedName>
    <definedName name="v_30_XHFO_H_P">Model!$BC$157</definedName>
    <definedName name="v_30_XHFO_H_P_old">Model!$BE$157</definedName>
    <definedName name="v_30_XHFO_L">Model!$BA$157</definedName>
    <definedName name="v_30_XHFO_L_P">Model!$BD$157</definedName>
    <definedName name="v_30_XHFO_L_P_old">Model!$BF$157</definedName>
    <definedName name="v_30_XHFO_old">Model!$BB$157</definedName>
    <definedName name="v_30_XHMETO">Model!$Y$157</definedName>
    <definedName name="v_30_XINORG">Model!$AS$157</definedName>
    <definedName name="v_30_XMEOLO">Model!$T$157</definedName>
    <definedName name="v_30_XN_B">Model!$AF$157</definedName>
    <definedName name="v_30_XN_Be">Model!$AG$157</definedName>
    <definedName name="v_30_XN_U">Model!$AH$157</definedName>
    <definedName name="v_30_XNOB">Model!$V$157</definedName>
    <definedName name="v_30_XOHO">Model!$R$157</definedName>
    <definedName name="v_30_XP_B">Model!$AL$157</definedName>
    <definedName name="v_30_XP_Be">Model!$AM$157</definedName>
    <definedName name="v_30_XP_U">Model!$AN$157</definedName>
    <definedName name="v_30_XPFOA">Model!$BT$157</definedName>
    <definedName name="v_30_XPFOS">Model!$BV$157</definedName>
    <definedName name="v_30_XPHA_GAO">Model!$O$157</definedName>
    <definedName name="v_30_XPHA_PAO">Model!$N$157</definedName>
    <definedName name="v_30_XPP">Model!$AJ$157</definedName>
    <definedName name="v_30_XSTR">Model!$BQ$157</definedName>
    <definedName name="v_30_XU">Model!$M$157</definedName>
    <definedName name="v_30_XVivi">Model!$BR$157</definedName>
    <definedName name="v_31_CB">Model!$H$158</definedName>
    <definedName name="v_31_CU">Model!$L$158</definedName>
    <definedName name="v_31_GCH4">Model!$CA$158</definedName>
    <definedName name="v_31_GCH4_atm">Model!$CG$158</definedName>
    <definedName name="v_31_GCO2">Model!$BZ$158</definedName>
    <definedName name="v_31_GCO2_atm">Model!$CF$158</definedName>
    <definedName name="v_31_GH2">Model!$CB$158</definedName>
    <definedName name="v_31_GH2_atm">Model!$CH$158</definedName>
    <definedName name="v_31_GN2">Model!$CE$158</definedName>
    <definedName name="v_31_GN2_atm">Model!$CK$158</definedName>
    <definedName name="v_31_GNH3">Model!$CD$158</definedName>
    <definedName name="v_31_GNH3_atm">Model!$CJ$158</definedName>
    <definedName name="v_31_GO2">Model!$CC$158</definedName>
    <definedName name="v_31_GO2_atm">Model!$CI$158</definedName>
    <definedName name="v_31_SALPHA">Model!$BX$158</definedName>
    <definedName name="v_31_SAN">Model!$AU$158</definedName>
    <definedName name="v_31_SB">Model!$F$158</definedName>
    <definedName name="v_31_SCa">Model!$AV$158</definedName>
    <definedName name="v_31_SCAT">Model!$AT$158</definedName>
    <definedName name="v_31_SCH4">Model!$AP$158</definedName>
    <definedName name="v_31_SCO2">Model!$AR$158</definedName>
    <definedName name="v_31_SFe2">Model!$AY$158</definedName>
    <definedName name="v_31_SH">Model!$BW$158</definedName>
    <definedName name="v_31_SH2">Model!$AQ$158</definedName>
    <definedName name="v_31_SK">Model!$AX$158</definedName>
    <definedName name="v_31_SMEOL">Model!$G$158</definedName>
    <definedName name="v_31_SMg">Model!$AW$158</definedName>
    <definedName name="v_31_SN_B">Model!$AE$158</definedName>
    <definedName name="v_31_SN2">Model!$AD$158</definedName>
    <definedName name="v_31_SNHx">Model!$AA$158</definedName>
    <definedName name="v_31_SNO2">Model!$AB$158</definedName>
    <definedName name="v_31_SNO3">Model!$AC$158</definedName>
    <definedName name="v_31_SO2">Model!$AO$158</definedName>
    <definedName name="v_31_SORPswitch">Model!$BY$158</definedName>
    <definedName name="v_31_SP_B">Model!$AK$158</definedName>
    <definedName name="v_31_SPFOA">Model!$BS$158</definedName>
    <definedName name="v_31_SPFOS">Model!$BU$158</definedName>
    <definedName name="v_31_SPO4">Model!$AI$158</definedName>
    <definedName name="v_31_SU">Model!$K$158</definedName>
    <definedName name="v_31_SVFA">Model!$E$158</definedName>
    <definedName name="v_31_XACP">Model!$BO$158</definedName>
    <definedName name="v_31_XALGAE">Model!$Z$158</definedName>
    <definedName name="v_31_XAMETO">Model!$X$158</definedName>
    <definedName name="v_31_XAMX">Model!$W$158</definedName>
    <definedName name="v_31_XAOB">Model!$U$158</definedName>
    <definedName name="v_31_XB">Model!$I$158</definedName>
    <definedName name="v_31_XB_e">Model!$J$158</definedName>
    <definedName name="v_31_XBSH">Model!$BP$158</definedName>
    <definedName name="v_31_XCaCO3">Model!$BN$158</definedName>
    <definedName name="v_31_XCASTO">Model!$S$158</definedName>
    <definedName name="v_31_XE">Model!$P$158</definedName>
    <definedName name="v_31_XE_ana">Model!$Q$158</definedName>
    <definedName name="v_31_XHAO_H">Model!$BG$158</definedName>
    <definedName name="v_31_XHAO_H_P">Model!$BJ$158</definedName>
    <definedName name="v_31_XHAO_H_P_old">Model!$BL$158</definedName>
    <definedName name="v_31_XHAO_L">Model!$BH$158</definedName>
    <definedName name="v_31_XHAO_L_P">Model!$BK$158</definedName>
    <definedName name="v_31_XHAO_L_P_old">Model!$BM$158</definedName>
    <definedName name="v_31_XHAO_old">Model!$BI$158</definedName>
    <definedName name="v_31_XHFO_H">Model!$AZ$158</definedName>
    <definedName name="v_31_XHFO_H_P">Model!$BC$158</definedName>
    <definedName name="v_31_XHFO_H_P_old">Model!$BE$158</definedName>
    <definedName name="v_31_XHFO_L">Model!$BA$158</definedName>
    <definedName name="v_31_XHFO_L_P">Model!$BD$158</definedName>
    <definedName name="v_31_XHFO_L_P_old">Model!$BF$158</definedName>
    <definedName name="v_31_XHFO_old">Model!$BB$158</definedName>
    <definedName name="v_31_XHMETO">Model!$Y$158</definedName>
    <definedName name="v_31_XINORG">Model!$AS$158</definedName>
    <definedName name="v_31_XMEOLO">Model!$T$158</definedName>
    <definedName name="v_31_XN_B">Model!$AF$158</definedName>
    <definedName name="v_31_XN_Be">Model!$AG$158</definedName>
    <definedName name="v_31_XN_U">Model!$AH$158</definedName>
    <definedName name="v_31_XNOB">Model!$V$158</definedName>
    <definedName name="v_31_XOHO">Model!$R$158</definedName>
    <definedName name="v_31_XP_B">Model!$AL$158</definedName>
    <definedName name="v_31_XP_Be">Model!$AM$158</definedName>
    <definedName name="v_31_XP_U">Model!$AN$158</definedName>
    <definedName name="v_31_XPFOA">Model!$BT$158</definedName>
    <definedName name="v_31_XPFOS">Model!$BV$158</definedName>
    <definedName name="v_31_XPHA_GAO">Model!$O$158</definedName>
    <definedName name="v_31_XPHA_PAO">Model!$N$158</definedName>
    <definedName name="v_31_XPP">Model!$AJ$158</definedName>
    <definedName name="v_31_XSTR">Model!$BQ$158</definedName>
    <definedName name="v_31_XU">Model!$M$158</definedName>
    <definedName name="v_31_XVivi">Model!$BR$158</definedName>
    <definedName name="v_32_CB">Model!$H$159</definedName>
    <definedName name="v_32_CU">Model!$L$159</definedName>
    <definedName name="v_32_GCH4">Model!$CA$159</definedName>
    <definedName name="v_32_GCH4_atm">Model!$CG$159</definedName>
    <definedName name="v_32_GCO2">Model!$BZ$159</definedName>
    <definedName name="v_32_GCO2_atm">Model!$CF$159</definedName>
    <definedName name="v_32_GH2">Model!$CB$159</definedName>
    <definedName name="v_32_GH2_atm">Model!$CH$159</definedName>
    <definedName name="v_32_GN2">Model!$CE$159</definedName>
    <definedName name="v_32_GN2_atm">Model!$CK$159</definedName>
    <definedName name="v_32_GNH3">Model!$CD$159</definedName>
    <definedName name="v_32_GNH3_atm">Model!$CJ$159</definedName>
    <definedName name="v_32_GO2">Model!$CC$159</definedName>
    <definedName name="v_32_GO2_atm">Model!$CI$159</definedName>
    <definedName name="v_32_SALPHA">Model!$BX$159</definedName>
    <definedName name="v_32_SAN">Model!$AU$159</definedName>
    <definedName name="v_32_SB">Model!$F$159</definedName>
    <definedName name="v_32_SCa">Model!$AV$159</definedName>
    <definedName name="v_32_SCAT">Model!$AT$159</definedName>
    <definedName name="v_32_SCH4">Model!$AP$159</definedName>
    <definedName name="v_32_SCO2">Model!$AR$159</definedName>
    <definedName name="v_32_SFe2">Model!$AY$159</definedName>
    <definedName name="v_32_SH">Model!$BW$159</definedName>
    <definedName name="v_32_SH2">Model!$AQ$159</definedName>
    <definedName name="v_32_SK">Model!$AX$159</definedName>
    <definedName name="v_32_SMEOL">Model!$G$159</definedName>
    <definedName name="v_32_SMg">Model!$AW$159</definedName>
    <definedName name="v_32_SN_B">Model!$AE$159</definedName>
    <definedName name="v_32_SN2">Model!$AD$159</definedName>
    <definedName name="v_32_SNHx">Model!$AA$159</definedName>
    <definedName name="v_32_SNO2">Model!$AB$159</definedName>
    <definedName name="v_32_SNO3">Model!$AC$159</definedName>
    <definedName name="v_32_SO2">Model!$AO$159</definedName>
    <definedName name="v_32_SORPswitch">Model!$BY$159</definedName>
    <definedName name="v_32_SP_B">Model!$AK$159</definedName>
    <definedName name="v_32_SPFOA">Model!$BS$159</definedName>
    <definedName name="v_32_SPFOS">Model!$BU$159</definedName>
    <definedName name="v_32_SPO4">Model!$AI$159</definedName>
    <definedName name="v_32_SU">Model!$K$159</definedName>
    <definedName name="v_32_SVFA">Model!$E$159</definedName>
    <definedName name="v_32_XACP">Model!$BO$159</definedName>
    <definedName name="v_32_XALGAE">Model!$Z$159</definedName>
    <definedName name="v_32_XAMETO">Model!$X$159</definedName>
    <definedName name="v_32_XAMX">Model!$W$159</definedName>
    <definedName name="v_32_XAOB">Model!$U$159</definedName>
    <definedName name="v_32_XB">Model!$I$159</definedName>
    <definedName name="v_32_XB_e">Model!$J$159</definedName>
    <definedName name="v_32_XBSH">Model!$BP$159</definedName>
    <definedName name="v_32_XCaCO3">Model!$BN$159</definedName>
    <definedName name="v_32_XCASTO">Model!$S$159</definedName>
    <definedName name="v_32_XE">Model!$P$159</definedName>
    <definedName name="v_32_XE_ana">Model!$Q$159</definedName>
    <definedName name="v_32_XHAO_H">Model!$BG$159</definedName>
    <definedName name="v_32_XHAO_H_P">Model!$BJ$159</definedName>
    <definedName name="v_32_XHAO_H_P_old">Model!$BL$159</definedName>
    <definedName name="v_32_XHAO_L">Model!$BH$159</definedName>
    <definedName name="v_32_XHAO_L_P">Model!$BK$159</definedName>
    <definedName name="v_32_XHAO_L_P_old">Model!$BM$159</definedName>
    <definedName name="v_32_XHAO_old">Model!$BI$159</definedName>
    <definedName name="v_32_XHFO_H">Model!$AZ$159</definedName>
    <definedName name="v_32_XHFO_H_P">Model!$BC$159</definedName>
    <definedName name="v_32_XHFO_H_P_old">Model!$BE$159</definedName>
    <definedName name="v_32_XHFO_L">Model!$BA$159</definedName>
    <definedName name="v_32_XHFO_L_P">Model!$BD$159</definedName>
    <definedName name="v_32_XHFO_L_P_old">Model!$BF$159</definedName>
    <definedName name="v_32_XHFO_old">Model!$BB$159</definedName>
    <definedName name="v_32_XHMETO">Model!$Y$159</definedName>
    <definedName name="v_32_XINORG">Model!$AS$159</definedName>
    <definedName name="v_32_XMEOLO">Model!$T$159</definedName>
    <definedName name="v_32_XN_B">Model!$AF$159</definedName>
    <definedName name="v_32_XN_Be">Model!$AG$159</definedName>
    <definedName name="v_32_XN_U">Model!$AH$159</definedName>
    <definedName name="v_32_XNOB">Model!$V$159</definedName>
    <definedName name="v_32_XOHO">Model!$R$159</definedName>
    <definedName name="v_32_XP_B">Model!$AL$159</definedName>
    <definedName name="v_32_XP_Be">Model!$AM$159</definedName>
    <definedName name="v_32_XP_U">Model!$AN$159</definedName>
    <definedName name="v_32_XPFOA">Model!$BT$159</definedName>
    <definedName name="v_32_XPFOS">Model!$BV$159</definedName>
    <definedName name="v_32_XPHA_GAO">Model!$O$159</definedName>
    <definedName name="v_32_XPHA_PAO">Model!$N$159</definedName>
    <definedName name="v_32_XPP">Model!$AJ$159</definedName>
    <definedName name="v_32_XSTR">Model!$BQ$159</definedName>
    <definedName name="v_32_XU">Model!$M$159</definedName>
    <definedName name="v_32_XVivi">Model!$BR$159</definedName>
    <definedName name="v_33_CB">Model!$H$160</definedName>
    <definedName name="v_33_CU">Model!$L$160</definedName>
    <definedName name="v_33_GCH4">Model!$CA$160</definedName>
    <definedName name="v_33_GCH4_atm">Model!$CG$160</definedName>
    <definedName name="v_33_GCO2">Model!$BZ$160</definedName>
    <definedName name="v_33_GCO2_atm">Model!$CF$160</definedName>
    <definedName name="v_33_GH2">Model!$CB$160</definedName>
    <definedName name="v_33_GH2_atm">Model!$CH$160</definedName>
    <definedName name="v_33_GN2">Model!$CE$160</definedName>
    <definedName name="v_33_GN2_atm">Model!$CK$160</definedName>
    <definedName name="v_33_GNH3">Model!$CD$160</definedName>
    <definedName name="v_33_GNH3_atm">Model!$CJ$160</definedName>
    <definedName name="v_33_GO2">Model!$CC$160</definedName>
    <definedName name="v_33_GO2_atm">Model!$CI$160</definedName>
    <definedName name="v_33_SALPHA">Model!$BX$160</definedName>
    <definedName name="v_33_SAN">Model!$AU$160</definedName>
    <definedName name="v_33_SB">Model!$F$160</definedName>
    <definedName name="v_33_SCa">Model!$AV$160</definedName>
    <definedName name="v_33_SCAT">Model!$AT$160</definedName>
    <definedName name="v_33_SCH4">Model!$AP$160</definedName>
    <definedName name="v_33_SCO2">Model!$AR$160</definedName>
    <definedName name="v_33_SFe2">Model!$AY$160</definedName>
    <definedName name="v_33_SH">Model!$BW$160</definedName>
    <definedName name="v_33_SH2">Model!$AQ$160</definedName>
    <definedName name="v_33_SK">Model!$AX$160</definedName>
    <definedName name="v_33_SMEOL">Model!$G$160</definedName>
    <definedName name="v_33_SMg">Model!$AW$160</definedName>
    <definedName name="v_33_SN_B">Model!$AE$160</definedName>
    <definedName name="v_33_SN2">Model!$AD$160</definedName>
    <definedName name="v_33_SNHx">Model!$AA$160</definedName>
    <definedName name="v_33_SNO2">Model!$AB$160</definedName>
    <definedName name="v_33_SNO3">Model!$AC$160</definedName>
    <definedName name="v_33_SO2">Model!$AO$160</definedName>
    <definedName name="v_33_SORPswitch">Model!$BY$160</definedName>
    <definedName name="v_33_SP_B">Model!$AK$160</definedName>
    <definedName name="v_33_SPFOA">Model!$BS$160</definedName>
    <definedName name="v_33_SPFOS">Model!$BU$160</definedName>
    <definedName name="v_33_SPO4">Model!$AI$160</definedName>
    <definedName name="v_33_SU">Model!$K$160</definedName>
    <definedName name="v_33_SVFA">Model!$E$160</definedName>
    <definedName name="v_33_XACP">Model!$BO$160</definedName>
    <definedName name="v_33_XALGAE">Model!$Z$160</definedName>
    <definedName name="v_33_XAMETO">Model!$X$160</definedName>
    <definedName name="v_33_XAMX">Model!$W$160</definedName>
    <definedName name="v_33_XAOB">Model!$U$160</definedName>
    <definedName name="v_33_XB">Model!$I$160</definedName>
    <definedName name="v_33_XB_e">Model!$J$160</definedName>
    <definedName name="v_33_XBSH">Model!$BP$160</definedName>
    <definedName name="v_33_XCaCO3">Model!$BN$160</definedName>
    <definedName name="v_33_XCASTO">Model!$S$160</definedName>
    <definedName name="v_33_XE">Model!$P$160</definedName>
    <definedName name="v_33_XE_ana">Model!$Q$160</definedName>
    <definedName name="v_33_XHAO_H">Model!$BG$160</definedName>
    <definedName name="v_33_XHAO_H_P">Model!$BJ$160</definedName>
    <definedName name="v_33_XHAO_H_P_old">Model!$BL$160</definedName>
    <definedName name="v_33_XHAO_L">Model!$BH$160</definedName>
    <definedName name="v_33_XHAO_L_P">Model!$BK$160</definedName>
    <definedName name="v_33_XHAO_L_P_old">Model!$BM$160</definedName>
    <definedName name="v_33_XHAO_old">Model!$BI$160</definedName>
    <definedName name="v_33_XHFO_H">Model!$AZ$160</definedName>
    <definedName name="v_33_XHFO_H_P">Model!$BC$160</definedName>
    <definedName name="v_33_XHFO_H_P_old">Model!$BE$160</definedName>
    <definedName name="v_33_XHFO_L">Model!$BA$160</definedName>
    <definedName name="v_33_XHFO_L_P">Model!$BD$160</definedName>
    <definedName name="v_33_XHFO_L_P_old">Model!$BF$160</definedName>
    <definedName name="v_33_XHFO_old">Model!$BB$160</definedName>
    <definedName name="v_33_XHMETO">Model!$Y$160</definedName>
    <definedName name="v_33_XINORG">Model!$AS$160</definedName>
    <definedName name="v_33_XMEOLO">Model!$T$160</definedName>
    <definedName name="v_33_XN_B">Model!$AF$160</definedName>
    <definedName name="v_33_XN_Be">Model!$AG$160</definedName>
    <definedName name="v_33_XN_U">Model!$AH$160</definedName>
    <definedName name="v_33_XNOB">Model!$V$160</definedName>
    <definedName name="v_33_XOHO">Model!$R$160</definedName>
    <definedName name="v_33_XP_B">Model!$AL$160</definedName>
    <definedName name="v_33_XP_Be">Model!$AM$160</definedName>
    <definedName name="v_33_XP_U">Model!$AN$160</definedName>
    <definedName name="v_33_XPFOA">Model!$BT$160</definedName>
    <definedName name="v_33_XPFOS">Model!$BV$160</definedName>
    <definedName name="v_33_XPHA_GAO">Model!$O$160</definedName>
    <definedName name="v_33_XPHA_PAO">Model!$N$160</definedName>
    <definedName name="v_33_XPP">Model!$AJ$160</definedName>
    <definedName name="v_33_XSTR">Model!$BQ$160</definedName>
    <definedName name="v_33_XU">Model!$M$160</definedName>
    <definedName name="v_33_XVivi">Model!$BR$160</definedName>
    <definedName name="v_34_CB">Model!$H$161</definedName>
    <definedName name="v_34_CU">Model!$L$161</definedName>
    <definedName name="v_34_GCH4">Model!$CA$161</definedName>
    <definedName name="v_34_GCH4_atm">Model!$CG$161</definedName>
    <definedName name="v_34_GCO2">Model!$BZ$161</definedName>
    <definedName name="v_34_GCO2_atm">Model!$CF$161</definedName>
    <definedName name="v_34_GH2">Model!$CB$161</definedName>
    <definedName name="v_34_GH2_atm">Model!$CH$161</definedName>
    <definedName name="v_34_GN2">Model!$CE$161</definedName>
    <definedName name="v_34_GN2_atm">Model!$CK$161</definedName>
    <definedName name="v_34_GNH3">Model!$CD$161</definedName>
    <definedName name="v_34_GNH3_atm">Model!$CJ$161</definedName>
    <definedName name="v_34_GO2">Model!$CC$161</definedName>
    <definedName name="v_34_GO2_atm">Model!$CI$161</definedName>
    <definedName name="v_34_SALPHA">Model!$BX$161</definedName>
    <definedName name="v_34_SAN">Model!$AU$161</definedName>
    <definedName name="v_34_SB">Model!$F$161</definedName>
    <definedName name="v_34_SCa">Model!$AV$161</definedName>
    <definedName name="v_34_SCAT">Model!$AT$161</definedName>
    <definedName name="v_34_SCH4">Model!$AP$161</definedName>
    <definedName name="v_34_SCO2">Model!$AR$161</definedName>
    <definedName name="v_34_SFe2">Model!$AY$161</definedName>
    <definedName name="v_34_SH">Model!$BW$161</definedName>
    <definedName name="v_34_SH2">Model!$AQ$161</definedName>
    <definedName name="v_34_SK">Model!$AX$161</definedName>
    <definedName name="v_34_SMEOL">Model!$G$161</definedName>
    <definedName name="v_34_SMg">Model!$AW$161</definedName>
    <definedName name="v_34_SN_B">Model!$AE$161</definedName>
    <definedName name="v_34_SN2">Model!$AD$161</definedName>
    <definedName name="v_34_SNHx">Model!$AA$161</definedName>
    <definedName name="v_34_SNO2">Model!$AB$161</definedName>
    <definedName name="v_34_SNO3">Model!$AC$161</definedName>
    <definedName name="v_34_SO2">Model!$AO$161</definedName>
    <definedName name="v_34_SORPswitch">Model!$BY$161</definedName>
    <definedName name="v_34_SP_B">Model!$AK$161</definedName>
    <definedName name="v_34_SPFOA">Model!$BS$161</definedName>
    <definedName name="v_34_SPFOS">Model!$BU$161</definedName>
    <definedName name="v_34_SPO4">Model!$AI$161</definedName>
    <definedName name="v_34_SU">Model!$K$161</definedName>
    <definedName name="v_34_SVFA">Model!$E$161</definedName>
    <definedName name="v_34_XACP">Model!$BO$161</definedName>
    <definedName name="v_34_XALGAE">Model!$Z$161</definedName>
    <definedName name="v_34_XAMETO">Model!$X$161</definedName>
    <definedName name="v_34_XAMX">Model!$W$161</definedName>
    <definedName name="v_34_XAOB">Model!$U$161</definedName>
    <definedName name="v_34_XB">Model!$I$161</definedName>
    <definedName name="v_34_XB_e">Model!$J$161</definedName>
    <definedName name="v_34_XBSH">Model!$BP$161</definedName>
    <definedName name="v_34_XCaCO3">Model!$BN$161</definedName>
    <definedName name="v_34_XCASTO">Model!$S$161</definedName>
    <definedName name="v_34_XE">Model!$P$161</definedName>
    <definedName name="v_34_XE_ana">Model!$Q$161</definedName>
    <definedName name="v_34_XHAO_H">Model!$BG$161</definedName>
    <definedName name="v_34_XHAO_H_P">Model!$BJ$161</definedName>
    <definedName name="v_34_XHAO_H_P_old">Model!$BL$161</definedName>
    <definedName name="v_34_XHAO_L">Model!$BH$161</definedName>
    <definedName name="v_34_XHAO_L_P">Model!$BK$161</definedName>
    <definedName name="v_34_XHAO_L_P_old">Model!$BM$161</definedName>
    <definedName name="v_34_XHAO_old">Model!$BI$161</definedName>
    <definedName name="v_34_XHFO_H">Model!$AZ$161</definedName>
    <definedName name="v_34_XHFO_H_P">Model!$BC$161</definedName>
    <definedName name="v_34_XHFO_H_P_old">Model!$BE$161</definedName>
    <definedName name="v_34_XHFO_L">Model!$BA$161</definedName>
    <definedName name="v_34_XHFO_L_P">Model!$BD$161</definedName>
    <definedName name="v_34_XHFO_L_P_old">Model!$BF$161</definedName>
    <definedName name="v_34_XHFO_old">Model!$BB$161</definedName>
    <definedName name="v_34_XHMETO">Model!$Y$161</definedName>
    <definedName name="v_34_XINORG">Model!$AS$161</definedName>
    <definedName name="v_34_XMEOLO">Model!$T$161</definedName>
    <definedName name="v_34_XN_B">Model!$AF$161</definedName>
    <definedName name="v_34_XN_Be">Model!$AG$161</definedName>
    <definedName name="v_34_XN_U">Model!$AH$161</definedName>
    <definedName name="v_34_XNOB">Model!$V$161</definedName>
    <definedName name="v_34_XOHO">Model!$R$161</definedName>
    <definedName name="v_34_XP_B">Model!$AL$161</definedName>
    <definedName name="v_34_XP_Be">Model!$AM$161</definedName>
    <definedName name="v_34_XP_U">Model!$AN$161</definedName>
    <definedName name="v_34_XPFOA">Model!$BT$161</definedName>
    <definedName name="v_34_XPFOS">Model!$BV$161</definedName>
    <definedName name="v_34_XPHA_GAO">Model!$O$161</definedName>
    <definedName name="v_34_XPHA_PAO">Model!$N$161</definedName>
    <definedName name="v_34_XPP">Model!$AJ$161</definedName>
    <definedName name="v_34_XSTR">Model!$BQ$161</definedName>
    <definedName name="v_34_XU">Model!$M$161</definedName>
    <definedName name="v_34_XVivi">Model!$BR$161</definedName>
    <definedName name="v_35_CB">Model!$H$162</definedName>
    <definedName name="v_35_CU">Model!$L$162</definedName>
    <definedName name="v_35_GCH4">Model!$CA$162</definedName>
    <definedName name="v_35_GCH4_atm">Model!$CG$162</definedName>
    <definedName name="v_35_GCO2">Model!$BZ$162</definedName>
    <definedName name="v_35_GCO2_atm">Model!$CF$162</definedName>
    <definedName name="v_35_GH2">Model!$CB$162</definedName>
    <definedName name="v_35_GH2_atm">Model!$CH$162</definedName>
    <definedName name="v_35_GN2">Model!$CE$162</definedName>
    <definedName name="v_35_GN2_atm">Model!$CK$162</definedName>
    <definedName name="v_35_GNH3">Model!$CD$162</definedName>
    <definedName name="v_35_GNH3_atm">Model!$CJ$162</definedName>
    <definedName name="v_35_GO2">Model!$CC$162</definedName>
    <definedName name="v_35_GO2_atm">Model!$CI$162</definedName>
    <definedName name="v_35_SALPHA">Model!$BX$162</definedName>
    <definedName name="v_35_SAN">Model!$AU$162</definedName>
    <definedName name="v_35_SB">Model!$F$162</definedName>
    <definedName name="v_35_SCa">Model!$AV$162</definedName>
    <definedName name="v_35_SCAT">Model!$AT$162</definedName>
    <definedName name="v_35_SCH4">Model!$AP$162</definedName>
    <definedName name="v_35_SCO2">Model!$AR$162</definedName>
    <definedName name="v_35_SFe2">Model!$AY$162</definedName>
    <definedName name="v_35_SH">Model!$BW$162</definedName>
    <definedName name="v_35_SH2">Model!$AQ$162</definedName>
    <definedName name="v_35_SK">Model!$AX$162</definedName>
    <definedName name="v_35_SMEOL">Model!$G$162</definedName>
    <definedName name="v_35_SMg">Model!$AW$162</definedName>
    <definedName name="v_35_SN_B">Model!$AE$162</definedName>
    <definedName name="v_35_SN2">Model!$AD$162</definedName>
    <definedName name="v_35_SNHx">Model!$AA$162</definedName>
    <definedName name="v_35_SNO2">Model!$AB$162</definedName>
    <definedName name="v_35_SNO3">Model!$AC$162</definedName>
    <definedName name="v_35_SO2">Model!$AO$162</definedName>
    <definedName name="v_35_SORPswitch">Model!$BY$162</definedName>
    <definedName name="v_35_SP_B">Model!$AK$162</definedName>
    <definedName name="v_35_SPFOA">Model!$BS$162</definedName>
    <definedName name="v_35_SPFOS">Model!$BU$162</definedName>
    <definedName name="v_35_SPO4">Model!$AI$162</definedName>
    <definedName name="v_35_SU">Model!$K$162</definedName>
    <definedName name="v_35_SVFA">Model!$E$162</definedName>
    <definedName name="v_35_XACP">Model!$BO$162</definedName>
    <definedName name="v_35_XALGAE">Model!$Z$162</definedName>
    <definedName name="v_35_XAMETO">Model!$X$162</definedName>
    <definedName name="v_35_XAMX">Model!$W$162</definedName>
    <definedName name="v_35_XAOB">Model!$U$162</definedName>
    <definedName name="v_35_XB">Model!$I$162</definedName>
    <definedName name="v_35_XB_e">Model!$J$162</definedName>
    <definedName name="v_35_XBSH">Model!$BP$162</definedName>
    <definedName name="v_35_XCaCO3">Model!$BN$162</definedName>
    <definedName name="v_35_XCASTO">Model!$S$162</definedName>
    <definedName name="v_35_XE">Model!$P$162</definedName>
    <definedName name="v_35_XE_ana">Model!$Q$162</definedName>
    <definedName name="v_35_XHAO_H">Model!$BG$162</definedName>
    <definedName name="v_35_XHAO_H_P">Model!$BJ$162</definedName>
    <definedName name="v_35_XHAO_H_P_old">Model!$BL$162</definedName>
    <definedName name="v_35_XHAO_L">Model!$BH$162</definedName>
    <definedName name="v_35_XHAO_L_P">Model!$BK$162</definedName>
    <definedName name="v_35_XHAO_L_P_old">Model!$BM$162</definedName>
    <definedName name="v_35_XHAO_old">Model!$BI$162</definedName>
    <definedName name="v_35_XHFO_H">Model!$AZ$162</definedName>
    <definedName name="v_35_XHFO_H_P">Model!$BC$162</definedName>
    <definedName name="v_35_XHFO_H_P_old">Model!$BE$162</definedName>
    <definedName name="v_35_XHFO_L">Model!$BA$162</definedName>
    <definedName name="v_35_XHFO_L_P">Model!$BD$162</definedName>
    <definedName name="v_35_XHFO_L_P_old">Model!$BF$162</definedName>
    <definedName name="v_35_XHFO_old">Model!$BB$162</definedName>
    <definedName name="v_35_XHMETO">Model!$Y$162</definedName>
    <definedName name="v_35_XINORG">Model!$AS$162</definedName>
    <definedName name="v_35_XMEOLO">Model!$T$162</definedName>
    <definedName name="v_35_XN_B">Model!$AF$162</definedName>
    <definedName name="v_35_XN_Be">Model!$AG$162</definedName>
    <definedName name="v_35_XN_U">Model!$AH$162</definedName>
    <definedName name="v_35_XNOB">Model!$V$162</definedName>
    <definedName name="v_35_XOHO">Model!$R$162</definedName>
    <definedName name="v_35_XP_B">Model!$AL$162</definedName>
    <definedName name="v_35_XP_Be">Model!$AM$162</definedName>
    <definedName name="v_35_XP_U">Model!$AN$162</definedName>
    <definedName name="v_35_XPFOA">Model!$BT$162</definedName>
    <definedName name="v_35_XPFOS">Model!$BV$162</definedName>
    <definedName name="v_35_XPHA_GAO">Model!$O$162</definedName>
    <definedName name="v_35_XPHA_PAO">Model!$N$162</definedName>
    <definedName name="v_35_XPP">Model!$AJ$162</definedName>
    <definedName name="v_35_XSTR">Model!$BQ$162</definedName>
    <definedName name="v_35_XU">Model!$M$162</definedName>
    <definedName name="v_35_XVivi">Model!$BR$162</definedName>
    <definedName name="v_36_CB">Model!$H$163</definedName>
    <definedName name="v_36_CU">Model!$L$163</definedName>
    <definedName name="v_36_GCH4">Model!$CA$163</definedName>
    <definedName name="v_36_GCH4_atm">Model!$CG$163</definedName>
    <definedName name="v_36_GCO2">Model!$BZ$163</definedName>
    <definedName name="v_36_GCO2_atm">Model!$CF$163</definedName>
    <definedName name="v_36_GH2">Model!$CB$163</definedName>
    <definedName name="v_36_GH2_atm">Model!$CH$163</definedName>
    <definedName name="v_36_GN2">Model!$CE$163</definedName>
    <definedName name="v_36_GN2_atm">Model!$CK$163</definedName>
    <definedName name="v_36_GNH3">Model!$CD$163</definedName>
    <definedName name="v_36_GNH3_atm">Model!$CJ$163</definedName>
    <definedName name="v_36_GO2">Model!$CC$163</definedName>
    <definedName name="v_36_GO2_atm">Model!$CI$163</definedName>
    <definedName name="v_36_SALPHA">Model!$BX$163</definedName>
    <definedName name="v_36_SAN">Model!$AU$163</definedName>
    <definedName name="v_36_SB">Model!$F$163</definedName>
    <definedName name="v_36_SCa">Model!$AV$163</definedName>
    <definedName name="v_36_SCAT">Model!$AT$163</definedName>
    <definedName name="v_36_SCH4">Model!$AP$163</definedName>
    <definedName name="v_36_SCO2">Model!$AR$163</definedName>
    <definedName name="v_36_SFe2">Model!$AY$163</definedName>
    <definedName name="v_36_SH">Model!$BW$163</definedName>
    <definedName name="v_36_SH2">Model!$AQ$163</definedName>
    <definedName name="v_36_SK">Model!$AX$163</definedName>
    <definedName name="v_36_SMEOL">Model!$G$163</definedName>
    <definedName name="v_36_SMg">Model!$AW$163</definedName>
    <definedName name="v_36_SN_B">Model!$AE$163</definedName>
    <definedName name="v_36_SN2">Model!$AD$163</definedName>
    <definedName name="v_36_SNHx">Model!$AA$163</definedName>
    <definedName name="v_36_SNO2">Model!$AB$163</definedName>
    <definedName name="v_36_SNO3">Model!$AC$163</definedName>
    <definedName name="v_36_SO2">Model!$AO$163</definedName>
    <definedName name="v_36_SORPswitch">Model!$BY$163</definedName>
    <definedName name="v_36_SP_B">Model!$AK$163</definedName>
    <definedName name="v_36_SPFOA">Model!$BS$163</definedName>
    <definedName name="v_36_SPFOS">Model!$BU$163</definedName>
    <definedName name="v_36_SPO4">Model!$AI$163</definedName>
    <definedName name="v_36_SU">Model!$K$163</definedName>
    <definedName name="v_36_SVFA">Model!$E$163</definedName>
    <definedName name="v_36_XACP">Model!$BO$163</definedName>
    <definedName name="v_36_XALGAE">Model!$Z$163</definedName>
    <definedName name="v_36_XAMETO">Model!$X$163</definedName>
    <definedName name="v_36_XAMX">Model!$W$163</definedName>
    <definedName name="v_36_XAOB">Model!$U$163</definedName>
    <definedName name="v_36_XB">Model!$I$163</definedName>
    <definedName name="v_36_XB_e">Model!$J$163</definedName>
    <definedName name="v_36_XBSH">Model!$BP$163</definedName>
    <definedName name="v_36_XCaCO3">Model!$BN$163</definedName>
    <definedName name="v_36_XCASTO">Model!$S$163</definedName>
    <definedName name="v_36_XE">Model!$P$163</definedName>
    <definedName name="v_36_XE_ana">Model!$Q$163</definedName>
    <definedName name="v_36_XHAO_H">Model!$BG$163</definedName>
    <definedName name="v_36_XHAO_H_P">Model!$BJ$163</definedName>
    <definedName name="v_36_XHAO_H_P_old">Model!$BL$163</definedName>
    <definedName name="v_36_XHAO_L">Model!$BH$163</definedName>
    <definedName name="v_36_XHAO_L_P">Model!$BK$163</definedName>
    <definedName name="v_36_XHAO_L_P_old">Model!$BM$163</definedName>
    <definedName name="v_36_XHAO_old">Model!$BI$163</definedName>
    <definedName name="v_36_XHFO_H">Model!$AZ$163</definedName>
    <definedName name="v_36_XHFO_H_P">Model!$BC$163</definedName>
    <definedName name="v_36_XHFO_H_P_old">Model!$BE$163</definedName>
    <definedName name="v_36_XHFO_L">Model!$BA$163</definedName>
    <definedName name="v_36_XHFO_L_P">Model!$BD$163</definedName>
    <definedName name="v_36_XHFO_L_P_old">Model!$BF$163</definedName>
    <definedName name="v_36_XHFO_old">Model!$BB$163</definedName>
    <definedName name="v_36_XHMETO">Model!$Y$163</definedName>
    <definedName name="v_36_XINORG">Model!$AS$163</definedName>
    <definedName name="v_36_XMEOLO">Model!$T$163</definedName>
    <definedName name="v_36_XN_B">Model!$AF$163</definedName>
    <definedName name="v_36_XN_Be">Model!$AG$163</definedName>
    <definedName name="v_36_XN_U">Model!$AH$163</definedName>
    <definedName name="v_36_XNOB">Model!$V$163</definedName>
    <definedName name="v_36_XOHO">Model!$R$163</definedName>
    <definedName name="v_36_XP_B">Model!$AL$163</definedName>
    <definedName name="v_36_XP_Be">Model!$AM$163</definedName>
    <definedName name="v_36_XP_U">Model!$AN$163</definedName>
    <definedName name="v_36_XPFOA">Model!$BT$163</definedName>
    <definedName name="v_36_XPFOS">Model!$BV$163</definedName>
    <definedName name="v_36_XPHA_GAO">Model!$O$163</definedName>
    <definedName name="v_36_XPHA_PAO">Model!$N$163</definedName>
    <definedName name="v_36_XPP">Model!$AJ$163</definedName>
    <definedName name="v_36_XSTR">Model!$BQ$163</definedName>
    <definedName name="v_36_XU">Model!$M$163</definedName>
    <definedName name="v_36_XVivi">Model!$BR$163</definedName>
    <definedName name="v_37_CB">Model!$H$164</definedName>
    <definedName name="v_37_CU">Model!$L$164</definedName>
    <definedName name="v_37_GCH4">Model!$CA$164</definedName>
    <definedName name="v_37_GCH4_atm">Model!$CG$164</definedName>
    <definedName name="v_37_GCO2">Model!$BZ$164</definedName>
    <definedName name="v_37_GCO2_atm">Model!$CF$164</definedName>
    <definedName name="v_37_GH2">Model!$CB$164</definedName>
    <definedName name="v_37_GH2_atm">Model!$CH$164</definedName>
    <definedName name="v_37_GN2">Model!$CE$164</definedName>
    <definedName name="v_37_GN2_atm">Model!$CK$164</definedName>
    <definedName name="v_37_GNH3">Model!$CD$164</definedName>
    <definedName name="v_37_GNH3_atm">Model!$CJ$164</definedName>
    <definedName name="v_37_GO2">Model!$CC$164</definedName>
    <definedName name="v_37_GO2_atm">Model!$CI$164</definedName>
    <definedName name="v_37_SALPHA">Model!$BX$164</definedName>
    <definedName name="v_37_SAN">Model!$AU$164</definedName>
    <definedName name="v_37_SB">Model!$F$164</definedName>
    <definedName name="v_37_SCa">Model!$AV$164</definedName>
    <definedName name="v_37_SCAT">Model!$AT$164</definedName>
    <definedName name="v_37_SCH4">Model!$AP$164</definedName>
    <definedName name="v_37_SCO2">Model!$AR$164</definedName>
    <definedName name="v_37_SFe2">Model!$AY$164</definedName>
    <definedName name="v_37_SH">Model!$BW$164</definedName>
    <definedName name="v_37_SH2">Model!$AQ$164</definedName>
    <definedName name="v_37_SK">Model!$AX$164</definedName>
    <definedName name="v_37_SMEOL">Model!$G$164</definedName>
    <definedName name="v_37_SMg">Model!$AW$164</definedName>
    <definedName name="v_37_SN_B">Model!$AE$164</definedName>
    <definedName name="v_37_SN2">Model!$AD$164</definedName>
    <definedName name="v_37_SNHx">Model!$AA$164</definedName>
    <definedName name="v_37_SNO2">Model!$AB$164</definedName>
    <definedName name="v_37_SNO3">Model!$AC$164</definedName>
    <definedName name="v_37_SO2">Model!$AO$164</definedName>
    <definedName name="v_37_SORPswitch">Model!$BY$164</definedName>
    <definedName name="v_37_SP_B">Model!$AK$164</definedName>
    <definedName name="v_37_SPFOA">Model!$BS$164</definedName>
    <definedName name="v_37_SPFOS">Model!$BU$164</definedName>
    <definedName name="v_37_SPO4">Model!$AI$164</definedName>
    <definedName name="v_37_SU">Model!$K$164</definedName>
    <definedName name="v_37_SVFA">Model!$E$164</definedName>
    <definedName name="v_37_XACP">Model!$BO$164</definedName>
    <definedName name="v_37_XALGAE">Model!$Z$164</definedName>
    <definedName name="v_37_XAMETO">Model!$X$164</definedName>
    <definedName name="v_37_XAMX">Model!$W$164</definedName>
    <definedName name="v_37_XAOB">Model!$U$164</definedName>
    <definedName name="v_37_XB">Model!$I$164</definedName>
    <definedName name="v_37_XB_e">Model!$J$164</definedName>
    <definedName name="v_37_XBSH">Model!$BP$164</definedName>
    <definedName name="v_37_XCaCO3">Model!$BN$164</definedName>
    <definedName name="v_37_XCASTO">Model!$S$164</definedName>
    <definedName name="v_37_XE">Model!$P$164</definedName>
    <definedName name="v_37_XE_ana">Model!$Q$164</definedName>
    <definedName name="v_37_XHAO_H">Model!$BG$164</definedName>
    <definedName name="v_37_XHAO_H_P">Model!$BJ$164</definedName>
    <definedName name="v_37_XHAO_H_P_old">Model!$BL$164</definedName>
    <definedName name="v_37_XHAO_L">Model!$BH$164</definedName>
    <definedName name="v_37_XHAO_L_P">Model!$BK$164</definedName>
    <definedName name="v_37_XHAO_L_P_old">Model!$BM$164</definedName>
    <definedName name="v_37_XHAO_old">Model!$BI$164</definedName>
    <definedName name="v_37_XHFO_H">Model!$AZ$164</definedName>
    <definedName name="v_37_XHFO_H_P">Model!$BC$164</definedName>
    <definedName name="v_37_XHFO_H_P_old">Model!$BE$164</definedName>
    <definedName name="v_37_XHFO_L">Model!$BA$164</definedName>
    <definedName name="v_37_XHFO_L_P">Model!$BD$164</definedName>
    <definedName name="v_37_XHFO_L_P_old">Model!$BF$164</definedName>
    <definedName name="v_37_XHFO_old">Model!$BB$164</definedName>
    <definedName name="v_37_XHMETO">Model!$Y$164</definedName>
    <definedName name="v_37_XINORG">Model!$AS$164</definedName>
    <definedName name="v_37_XMEOLO">Model!$T$164</definedName>
    <definedName name="v_37_XN_B">Model!$AF$164</definedName>
    <definedName name="v_37_XN_Be">Model!$AG$164</definedName>
    <definedName name="v_37_XN_U">Model!$AH$164</definedName>
    <definedName name="v_37_XNOB">Model!$V$164</definedName>
    <definedName name="v_37_XOHO">Model!$R$164</definedName>
    <definedName name="v_37_XP_B">Model!$AL$164</definedName>
    <definedName name="v_37_XP_Be">Model!$AM$164</definedName>
    <definedName name="v_37_XP_U">Model!$AN$164</definedName>
    <definedName name="v_37_XPFOA">Model!$BT$164</definedName>
    <definedName name="v_37_XPFOS">Model!$BV$164</definedName>
    <definedName name="v_37_XPHA_GAO">Model!$O$164</definedName>
    <definedName name="v_37_XPHA_PAO">Model!$N$164</definedName>
    <definedName name="v_37_XPP">Model!$AJ$164</definedName>
    <definedName name="v_37_XSTR">Model!$BQ$164</definedName>
    <definedName name="v_37_XU">Model!$M$164</definedName>
    <definedName name="v_37_XVivi">Model!$BR$164</definedName>
    <definedName name="v_38_CB">Model!$H$165</definedName>
    <definedName name="v_38_CU">Model!$L$165</definedName>
    <definedName name="v_38_GCH4">Model!$CA$165</definedName>
    <definedName name="v_38_GCH4_atm">Model!$CG$165</definedName>
    <definedName name="v_38_GCO2">Model!$BZ$165</definedName>
    <definedName name="v_38_GCO2_atm">Model!$CF$165</definedName>
    <definedName name="v_38_GH2">Model!$CB$165</definedName>
    <definedName name="v_38_GH2_atm">Model!$CH$165</definedName>
    <definedName name="v_38_GN2">Model!$CE$165</definedName>
    <definedName name="v_38_GN2_atm">Model!$CK$165</definedName>
    <definedName name="v_38_GNH3">Model!$CD$165</definedName>
    <definedName name="v_38_GNH3_atm">Model!$CJ$165</definedName>
    <definedName name="v_38_GO2">Model!$CC$165</definedName>
    <definedName name="v_38_GO2_atm">Model!$CI$165</definedName>
    <definedName name="v_38_SALPHA">Model!$BX$165</definedName>
    <definedName name="v_38_SAN">Model!$AU$165</definedName>
    <definedName name="v_38_SB">Model!$F$165</definedName>
    <definedName name="v_38_SCa">Model!$AV$165</definedName>
    <definedName name="v_38_SCAT">Model!$AT$165</definedName>
    <definedName name="v_38_SCH4">Model!$AP$165</definedName>
    <definedName name="v_38_SCO2">Model!$AR$165</definedName>
    <definedName name="v_38_SFe2">Model!$AY$165</definedName>
    <definedName name="v_38_SH">Model!$BW$165</definedName>
    <definedName name="v_38_SH2">Model!$AQ$165</definedName>
    <definedName name="v_38_SK">Model!$AX$165</definedName>
    <definedName name="v_38_SMEOL">Model!$G$165</definedName>
    <definedName name="v_38_SMg">Model!$AW$165</definedName>
    <definedName name="v_38_SN_B">Model!$AE$165</definedName>
    <definedName name="v_38_SN2">Model!$AD$165</definedName>
    <definedName name="v_38_SNHx">Model!$AA$165</definedName>
    <definedName name="v_38_SNO2">Model!$AB$165</definedName>
    <definedName name="v_38_SNO3">Model!$AC$165</definedName>
    <definedName name="v_38_SO2">Model!$AO$165</definedName>
    <definedName name="v_38_SORPswitch">Model!$BY$165</definedName>
    <definedName name="v_38_SP_B">Model!$AK$165</definedName>
    <definedName name="v_38_SPFOA">Model!$BS$165</definedName>
    <definedName name="v_38_SPFOS">Model!$BU$165</definedName>
    <definedName name="v_38_SPO4">Model!$AI$165</definedName>
    <definedName name="v_38_SU">Model!$K$165</definedName>
    <definedName name="v_38_SVFA">Model!$E$165</definedName>
    <definedName name="v_38_XACP">Model!$BO$165</definedName>
    <definedName name="v_38_XALGAE">Model!$Z$165</definedName>
    <definedName name="v_38_XAMETO">Model!$X$165</definedName>
    <definedName name="v_38_XAMX">Model!$W$165</definedName>
    <definedName name="v_38_XAOB">Model!$U$165</definedName>
    <definedName name="v_38_XB">Model!$I$165</definedName>
    <definedName name="v_38_XB_e">Model!$J$165</definedName>
    <definedName name="v_38_XBSH">Model!$BP$165</definedName>
    <definedName name="v_38_XCaCO3">Model!$BN$165</definedName>
    <definedName name="v_38_XCASTO">Model!$S$165</definedName>
    <definedName name="v_38_XE">Model!$P$165</definedName>
    <definedName name="v_38_XE_ana">Model!$Q$165</definedName>
    <definedName name="v_38_XHAO_H">Model!$BG$165</definedName>
    <definedName name="v_38_XHAO_H_P">Model!$BJ$165</definedName>
    <definedName name="v_38_XHAO_H_P_old">Model!$BL$165</definedName>
    <definedName name="v_38_XHAO_L">Model!$BH$165</definedName>
    <definedName name="v_38_XHAO_L_P">Model!$BK$165</definedName>
    <definedName name="v_38_XHAO_L_P_old">Model!$BM$165</definedName>
    <definedName name="v_38_XHAO_old">Model!$BI$165</definedName>
    <definedName name="v_38_XHFO_H">Model!$AZ$165</definedName>
    <definedName name="v_38_XHFO_H_P">Model!$BC$165</definedName>
    <definedName name="v_38_XHFO_H_P_old">Model!$BE$165</definedName>
    <definedName name="v_38_XHFO_L">Model!$BA$165</definedName>
    <definedName name="v_38_XHFO_L_P">Model!$BD$165</definedName>
    <definedName name="v_38_XHFO_L_P_old">Model!$BF$165</definedName>
    <definedName name="v_38_XHFO_old">Model!$BB$165</definedName>
    <definedName name="v_38_XHMETO">Model!$Y$165</definedName>
    <definedName name="v_38_XINORG">Model!$AS$165</definedName>
    <definedName name="v_38_XMEOLO">Model!$T$165</definedName>
    <definedName name="v_38_XN_B">Model!$AF$165</definedName>
    <definedName name="v_38_XN_Be">Model!$AG$165</definedName>
    <definedName name="v_38_XN_U">Model!$AH$165</definedName>
    <definedName name="v_38_XNOB">Model!$V$165</definedName>
    <definedName name="v_38_XOHO">Model!$R$165</definedName>
    <definedName name="v_38_XP_B">Model!$AL$165</definedName>
    <definedName name="v_38_XP_Be">Model!$AM$165</definedName>
    <definedName name="v_38_XP_U">Model!$AN$165</definedName>
    <definedName name="v_38_XPFOA">Model!$BT$165</definedName>
    <definedName name="v_38_XPFOS">Model!$BV$165</definedName>
    <definedName name="v_38_XPHA_GAO">Model!$O$165</definedName>
    <definedName name="v_38_XPHA_PAO">Model!$N$165</definedName>
    <definedName name="v_38_XPP">Model!$AJ$165</definedName>
    <definedName name="v_38_XSTR">Model!$BQ$165</definedName>
    <definedName name="v_38_XU">Model!$M$165</definedName>
    <definedName name="v_38_XVivi">Model!$BR$165</definedName>
    <definedName name="v_39_CB">Model!$H$166</definedName>
    <definedName name="v_39_CU">Model!$L$166</definedName>
    <definedName name="v_39_GCH4">Model!$CA$166</definedName>
    <definedName name="v_39_GCH4_atm">Model!$CG$166</definedName>
    <definedName name="v_39_GCO2">Model!$BZ$166</definedName>
    <definedName name="v_39_GCO2_atm">Model!$CF$166</definedName>
    <definedName name="v_39_GH2">Model!$CB$166</definedName>
    <definedName name="v_39_GH2_atm">Model!$CH$166</definedName>
    <definedName name="v_39_GN2">Model!$CE$166</definedName>
    <definedName name="v_39_GN2_atm">Model!$CK$166</definedName>
    <definedName name="v_39_GNH3">Model!$CD$166</definedName>
    <definedName name="v_39_GNH3_atm">Model!$CJ$166</definedName>
    <definedName name="v_39_GO2">Model!$CC$166</definedName>
    <definedName name="v_39_GO2_atm">Model!$CI$166</definedName>
    <definedName name="v_39_SALPHA">Model!$BX$166</definedName>
    <definedName name="v_39_SAN">Model!$AU$166</definedName>
    <definedName name="v_39_SB">Model!$F$166</definedName>
    <definedName name="v_39_SCa">Model!$AV$166</definedName>
    <definedName name="v_39_SCAT">Model!$AT$166</definedName>
    <definedName name="v_39_SCH4">Model!$AP$166</definedName>
    <definedName name="v_39_SCO2">Model!$AR$166</definedName>
    <definedName name="v_39_SFe2">Model!$AY$166</definedName>
    <definedName name="v_39_SH">Model!$BW$166</definedName>
    <definedName name="v_39_SH2">Model!$AQ$166</definedName>
    <definedName name="v_39_SK">Model!$AX$166</definedName>
    <definedName name="v_39_SMEOL">Model!$G$166</definedName>
    <definedName name="v_39_SMg">Model!$AW$166</definedName>
    <definedName name="v_39_SN_B">Model!$AE$166</definedName>
    <definedName name="v_39_SN2">Model!$AD$166</definedName>
    <definedName name="v_39_SNHx">Model!$AA$166</definedName>
    <definedName name="v_39_SNO2">Model!$AB$166</definedName>
    <definedName name="v_39_SNO3">Model!$AC$166</definedName>
    <definedName name="v_39_SO2">Model!$AO$166</definedName>
    <definedName name="v_39_SORPswitch">Model!$BY$166</definedName>
    <definedName name="v_39_SP_B">Model!$AK$166</definedName>
    <definedName name="v_39_SPFOA">Model!$BS$166</definedName>
    <definedName name="v_39_SPFOS">Model!$BU$166</definedName>
    <definedName name="v_39_SPO4">Model!$AI$166</definedName>
    <definedName name="v_39_SU">Model!$K$166</definedName>
    <definedName name="v_39_SVFA">Model!$E$166</definedName>
    <definedName name="v_39_XACP">Model!$BO$166</definedName>
    <definedName name="v_39_XALGAE">Model!$Z$166</definedName>
    <definedName name="v_39_XAMETO">Model!$X$166</definedName>
    <definedName name="v_39_XAMX">Model!$W$166</definedName>
    <definedName name="v_39_XAOB">Model!$U$166</definedName>
    <definedName name="v_39_XB">Model!$I$166</definedName>
    <definedName name="v_39_XB_e">Model!$J$166</definedName>
    <definedName name="v_39_XBSH">Model!$BP$166</definedName>
    <definedName name="v_39_XCaCO3">Model!$BN$166</definedName>
    <definedName name="v_39_XCASTO">Model!$S$166</definedName>
    <definedName name="v_39_XE">Model!$P$166</definedName>
    <definedName name="v_39_XE_ana">Model!$Q$166</definedName>
    <definedName name="v_39_XHAO_H">Model!$BG$166</definedName>
    <definedName name="v_39_XHAO_H_P">Model!$BJ$166</definedName>
    <definedName name="v_39_XHAO_H_P_old">Model!$BL$166</definedName>
    <definedName name="v_39_XHAO_L">Model!$BH$166</definedName>
    <definedName name="v_39_XHAO_L_P">Model!$BK$166</definedName>
    <definedName name="v_39_XHAO_L_P_old">Model!$BM$166</definedName>
    <definedName name="v_39_XHAO_old">Model!$BI$166</definedName>
    <definedName name="v_39_XHFO_H">Model!$AZ$166</definedName>
    <definedName name="v_39_XHFO_H_P">Model!$BC$166</definedName>
    <definedName name="v_39_XHFO_H_P_old">Model!$BE$166</definedName>
    <definedName name="v_39_XHFO_L">Model!$BA$166</definedName>
    <definedName name="v_39_XHFO_L_P">Model!$BD$166</definedName>
    <definedName name="v_39_XHFO_L_P_old">Model!$BF$166</definedName>
    <definedName name="v_39_XHFO_old">Model!$BB$166</definedName>
    <definedName name="v_39_XHMETO">Model!$Y$166</definedName>
    <definedName name="v_39_XINORG">Model!$AS$166</definedName>
    <definedName name="v_39_XMEOLO">Model!$T$166</definedName>
    <definedName name="v_39_XN_B">Model!$AF$166</definedName>
    <definedName name="v_39_XN_Be">Model!$AG$166</definedName>
    <definedName name="v_39_XN_U">Model!$AH$166</definedName>
    <definedName name="v_39_XNOB">Model!$V$166</definedName>
    <definedName name="v_39_XOHO">Model!$R$166</definedName>
    <definedName name="v_39_XP_B">Model!$AL$166</definedName>
    <definedName name="v_39_XP_Be">Model!$AM$166</definedName>
    <definedName name="v_39_XP_U">Model!$AN$166</definedName>
    <definedName name="v_39_XPFOA">Model!$BT$166</definedName>
    <definedName name="v_39_XPFOS">Model!$BV$166</definedName>
    <definedName name="v_39_XPHA_GAO">Model!$O$166</definedName>
    <definedName name="v_39_XPHA_PAO">Model!$N$166</definedName>
    <definedName name="v_39_XPP">Model!$AJ$166</definedName>
    <definedName name="v_39_XSTR">Model!$BQ$166</definedName>
    <definedName name="v_39_XU">Model!$M$166</definedName>
    <definedName name="v_39_XVivi">Model!$BR$166</definedName>
    <definedName name="v_4_CB">Model!$H$131</definedName>
    <definedName name="v_4_CU">Model!$L$131</definedName>
    <definedName name="v_4_GCH4">Model!$CA$131</definedName>
    <definedName name="v_4_GCH4_atm">Model!$CG$131</definedName>
    <definedName name="v_4_GCO2">Model!$BZ$131</definedName>
    <definedName name="v_4_GCO2_atm">Model!$CF$131</definedName>
    <definedName name="v_4_GH2">Model!$CB$131</definedName>
    <definedName name="v_4_GH2_atm">Model!$CH$131</definedName>
    <definedName name="v_4_GN2">Model!$CE$131</definedName>
    <definedName name="v_4_GN2_atm">Model!$CK$131</definedName>
    <definedName name="v_4_GNH3">Model!$CD$131</definedName>
    <definedName name="v_4_GNH3_atm">Model!$CJ$131</definedName>
    <definedName name="v_4_GO2">Model!$CC$131</definedName>
    <definedName name="v_4_GO2_atm">Model!$CI$131</definedName>
    <definedName name="v_4_SALPHA">Model!$BX$131</definedName>
    <definedName name="v_4_SAN">Model!$AU$131</definedName>
    <definedName name="v_4_SB">Model!$F$131</definedName>
    <definedName name="v_4_SCa">Model!$AV$131</definedName>
    <definedName name="v_4_SCAT">Model!$AT$131</definedName>
    <definedName name="v_4_SCH4">Model!$AP$131</definedName>
    <definedName name="v_4_SCO2">Model!$AR$131</definedName>
    <definedName name="v_4_SFe2">Model!$AY$131</definedName>
    <definedName name="v_4_SH">Model!$BW$131</definedName>
    <definedName name="v_4_SH2">Model!$AQ$131</definedName>
    <definedName name="v_4_SK">Model!$AX$131</definedName>
    <definedName name="v_4_SMEOL">Model!$G$131</definedName>
    <definedName name="v_4_SMg">Model!$AW$131</definedName>
    <definedName name="v_4_SN_B">Model!$AE$131</definedName>
    <definedName name="v_4_SN2">Model!$AD$131</definedName>
    <definedName name="v_4_SNHx">Model!$AA$131</definedName>
    <definedName name="v_4_SNO2">Model!$AB$131</definedName>
    <definedName name="v_4_SNO3">Model!$AC$131</definedName>
    <definedName name="v_4_SO2">Model!$AO$131</definedName>
    <definedName name="v_4_SORPswitch">Model!$BY$131</definedName>
    <definedName name="v_4_SP_B">Model!$AK$131</definedName>
    <definedName name="v_4_SPFOA">Model!$BS$131</definedName>
    <definedName name="v_4_SPFOS">Model!$BU$131</definedName>
    <definedName name="v_4_SPO4">Model!$AI$131</definedName>
    <definedName name="v_4_SU">Model!$K$131</definedName>
    <definedName name="v_4_SVFA">Model!$E$131</definedName>
    <definedName name="v_4_XACP">Model!$BO$131</definedName>
    <definedName name="v_4_XALGAE">Model!$Z$131</definedName>
    <definedName name="v_4_XAMETO">Model!$X$131</definedName>
    <definedName name="v_4_XAMX">Model!$W$131</definedName>
    <definedName name="v_4_XAOB">Model!$U$131</definedName>
    <definedName name="v_4_XB">Model!$I$131</definedName>
    <definedName name="v_4_XB_e">Model!$J$131</definedName>
    <definedName name="v_4_XBSH">Model!$BP$131</definedName>
    <definedName name="v_4_XCaCO3">Model!$BN$131</definedName>
    <definedName name="v_4_XCASTO">Model!$S$131</definedName>
    <definedName name="v_4_XE">Model!$P$131</definedName>
    <definedName name="v_4_XE_ana">Model!$Q$131</definedName>
    <definedName name="v_4_XHAO_H">Model!$BG$131</definedName>
    <definedName name="v_4_XHAO_H_P">Model!$BJ$131</definedName>
    <definedName name="v_4_XHAO_H_P_old">Model!$BL$131</definedName>
    <definedName name="v_4_XHAO_L">Model!$BH$131</definedName>
    <definedName name="v_4_XHAO_L_P">Model!$BK$131</definedName>
    <definedName name="v_4_XHAO_L_P_old">Model!$BM$131</definedName>
    <definedName name="v_4_XHAO_old">Model!$BI$131</definedName>
    <definedName name="v_4_XHFO_H">Model!$AZ$131</definedName>
    <definedName name="v_4_XHFO_H_P">Model!$BC$131</definedName>
    <definedName name="v_4_XHFO_H_P_old">Model!$BE$131</definedName>
    <definedName name="v_4_XHFO_L">Model!$BA$131</definedName>
    <definedName name="v_4_XHFO_L_P">Model!$BD$131</definedName>
    <definedName name="v_4_XHFO_L_P_old">Model!$BF$131</definedName>
    <definedName name="v_4_XHFO_old">Model!$BB$131</definedName>
    <definedName name="v_4_XHMETO">Model!$Y$131</definedName>
    <definedName name="v_4_XINORG">Model!$AS$131</definedName>
    <definedName name="v_4_XMEOLO">Model!$T$131</definedName>
    <definedName name="v_4_XN_B">Model!$AF$131</definedName>
    <definedName name="v_4_XN_Be">Model!$AG$131</definedName>
    <definedName name="v_4_XN_U">Model!$AH$131</definedName>
    <definedName name="v_4_XNOB">Model!$V$131</definedName>
    <definedName name="v_4_XOHO">Model!$R$131</definedName>
    <definedName name="v_4_XP_B">Model!$AL$131</definedName>
    <definedName name="v_4_XP_Be">Model!$AM$131</definedName>
    <definedName name="v_4_XP_U">Model!$AN$131</definedName>
    <definedName name="v_4_XPFOA">Model!$BT$131</definedName>
    <definedName name="v_4_XPFOS">Model!$BV$131</definedName>
    <definedName name="v_4_XPHA_GAO">Model!$O$131</definedName>
    <definedName name="v_4_XPHA_PAO">Model!$N$131</definedName>
    <definedName name="v_4_XPP">Model!$AJ$131</definedName>
    <definedName name="v_4_XSTR">Model!$BQ$131</definedName>
    <definedName name="v_4_XU">Model!$M$131</definedName>
    <definedName name="v_4_XVivi">Model!$BR$131</definedName>
    <definedName name="v_40_CB">Model!$H$167</definedName>
    <definedName name="v_40_CU">Model!$L$167</definedName>
    <definedName name="v_40_GCH4">Model!$CA$167</definedName>
    <definedName name="v_40_GCH4_atm">Model!$CG$167</definedName>
    <definedName name="v_40_GCO2">Model!$BZ$167</definedName>
    <definedName name="v_40_GCO2_atm">Model!$CF$167</definedName>
    <definedName name="v_40_GH2">Model!$CB$167</definedName>
    <definedName name="v_40_GH2_atm">Model!$CH$167</definedName>
    <definedName name="v_40_GN2">Model!$CE$167</definedName>
    <definedName name="v_40_GN2_atm">Model!$CK$167</definedName>
    <definedName name="v_40_GNH3">Model!$CD$167</definedName>
    <definedName name="v_40_GNH3_atm">Model!$CJ$167</definedName>
    <definedName name="v_40_GO2">Model!$CC$167</definedName>
    <definedName name="v_40_GO2_atm">Model!$CI$167</definedName>
    <definedName name="v_40_SALPHA">Model!$BX$167</definedName>
    <definedName name="v_40_SAN">Model!$AU$167</definedName>
    <definedName name="v_40_SB">Model!$F$167</definedName>
    <definedName name="v_40_SCa">Model!$AV$167</definedName>
    <definedName name="v_40_SCAT">Model!$AT$167</definedName>
    <definedName name="v_40_SCH4">Model!$AP$167</definedName>
    <definedName name="v_40_SCO2">Model!$AR$167</definedName>
    <definedName name="v_40_SFe2">Model!$AY$167</definedName>
    <definedName name="v_40_SH">Model!$BW$167</definedName>
    <definedName name="v_40_SH2">Model!$AQ$167</definedName>
    <definedName name="v_40_SK">Model!$AX$167</definedName>
    <definedName name="v_40_SMEOL">Model!$G$167</definedName>
    <definedName name="v_40_SMg">Model!$AW$167</definedName>
    <definedName name="v_40_SN_B">Model!$AE$167</definedName>
    <definedName name="v_40_SN2">Model!$AD$167</definedName>
    <definedName name="v_40_SNHx">Model!$AA$167</definedName>
    <definedName name="v_40_SNO2">Model!$AB$167</definedName>
    <definedName name="v_40_SNO3">Model!$AC$167</definedName>
    <definedName name="v_40_SO2">Model!$AO$167</definedName>
    <definedName name="v_40_SORPswitch">Model!$BY$167</definedName>
    <definedName name="v_40_SP_B">Model!$AK$167</definedName>
    <definedName name="v_40_SPFOA">Model!$BS$167</definedName>
    <definedName name="v_40_SPFOS">Model!$BU$167</definedName>
    <definedName name="v_40_SPO4">Model!$AI$167</definedName>
    <definedName name="v_40_SU">Model!$K$167</definedName>
    <definedName name="v_40_SVFA">Model!$E$167</definedName>
    <definedName name="v_40_XACP">Model!$BO$167</definedName>
    <definedName name="v_40_XALGAE">Model!$Z$167</definedName>
    <definedName name="v_40_XAMETO">Model!$X$167</definedName>
    <definedName name="v_40_XAMX">Model!$W$167</definedName>
    <definedName name="v_40_XAOB">Model!$U$167</definedName>
    <definedName name="v_40_XB">Model!$I$167</definedName>
    <definedName name="v_40_XB_e">Model!$J$167</definedName>
    <definedName name="v_40_XBSH">Model!$BP$167</definedName>
    <definedName name="v_40_XCaCO3">Model!$BN$167</definedName>
    <definedName name="v_40_XCASTO">Model!$S$167</definedName>
    <definedName name="v_40_XE">Model!$P$167</definedName>
    <definedName name="v_40_XE_ana">Model!$Q$167</definedName>
    <definedName name="v_40_XHAO_H">Model!$BG$167</definedName>
    <definedName name="v_40_XHAO_H_P">Model!$BJ$167</definedName>
    <definedName name="v_40_XHAO_H_P_old">Model!$BL$167</definedName>
    <definedName name="v_40_XHAO_L">Model!$BH$167</definedName>
    <definedName name="v_40_XHAO_L_P">Model!$BK$167</definedName>
    <definedName name="v_40_XHAO_L_P_old">Model!$BM$167</definedName>
    <definedName name="v_40_XHAO_old">Model!$BI$167</definedName>
    <definedName name="v_40_XHFO_H">Model!$AZ$167</definedName>
    <definedName name="v_40_XHFO_H_P">Model!$BC$167</definedName>
    <definedName name="v_40_XHFO_H_P_old">Model!$BE$167</definedName>
    <definedName name="v_40_XHFO_L">Model!$BA$167</definedName>
    <definedName name="v_40_XHFO_L_P">Model!$BD$167</definedName>
    <definedName name="v_40_XHFO_L_P_old">Model!$BF$167</definedName>
    <definedName name="v_40_XHFO_old">Model!$BB$167</definedName>
    <definedName name="v_40_XHMETO">Model!$Y$167</definedName>
    <definedName name="v_40_XINORG">Model!$AS$167</definedName>
    <definedName name="v_40_XMEOLO">Model!$T$167</definedName>
    <definedName name="v_40_XN_B">Model!$AF$167</definedName>
    <definedName name="v_40_XN_Be">Model!$AG$167</definedName>
    <definedName name="v_40_XN_U">Model!$AH$167</definedName>
    <definedName name="v_40_XNOB">Model!$V$167</definedName>
    <definedName name="v_40_XOHO">Model!$R$167</definedName>
    <definedName name="v_40_XP_B">Model!$AL$167</definedName>
    <definedName name="v_40_XP_Be">Model!$AM$167</definedName>
    <definedName name="v_40_XP_U">Model!$AN$167</definedName>
    <definedName name="v_40_XPFOA">Model!$BT$167</definedName>
    <definedName name="v_40_XPFOS">Model!$BV$167</definedName>
    <definedName name="v_40_XPHA_GAO">Model!$O$167</definedName>
    <definedName name="v_40_XPHA_PAO">Model!$N$167</definedName>
    <definedName name="v_40_XPP">Model!$AJ$167</definedName>
    <definedName name="v_40_XSTR">Model!$BQ$167</definedName>
    <definedName name="v_40_XU">Model!$M$167</definedName>
    <definedName name="v_40_XVivi">Model!$BR$167</definedName>
    <definedName name="v_41_CB">Model!$H$168</definedName>
    <definedName name="v_41_CU">Model!$L$168</definedName>
    <definedName name="v_41_GCH4">Model!$CA$168</definedName>
    <definedName name="v_41_GCH4_atm">Model!$CG$168</definedName>
    <definedName name="v_41_GCO2">Model!$BZ$168</definedName>
    <definedName name="v_41_GCO2_atm">Model!$CF$168</definedName>
    <definedName name="v_41_GH2">Model!$CB$168</definedName>
    <definedName name="v_41_GH2_atm">Model!$CH$168</definedName>
    <definedName name="v_41_GN2">Model!$CE$168</definedName>
    <definedName name="v_41_GN2_atm">Model!$CK$168</definedName>
    <definedName name="v_41_GNH3">Model!$CD$168</definedName>
    <definedName name="v_41_GNH3_atm">Model!$CJ$168</definedName>
    <definedName name="v_41_GO2">Model!$CC$168</definedName>
    <definedName name="v_41_GO2_atm">Model!$CI$168</definedName>
    <definedName name="v_41_SALPHA">Model!$BX$168</definedName>
    <definedName name="v_41_SAN">Model!$AU$168</definedName>
    <definedName name="v_41_SB">Model!$F$168</definedName>
    <definedName name="v_41_SCa">Model!$AV$168</definedName>
    <definedName name="v_41_SCAT">Model!$AT$168</definedName>
    <definedName name="v_41_SCH4">Model!$AP$168</definedName>
    <definedName name="v_41_SCO2">Model!$AR$168</definedName>
    <definedName name="v_41_SFe2">Model!$AY$168</definedName>
    <definedName name="v_41_SH">Model!$BW$168</definedName>
    <definedName name="v_41_SH2">Model!$AQ$168</definedName>
    <definedName name="v_41_SK">Model!$AX$168</definedName>
    <definedName name="v_41_SMEOL">Model!$G$168</definedName>
    <definedName name="v_41_SMg">Model!$AW$168</definedName>
    <definedName name="v_41_SN_B">Model!$AE$168</definedName>
    <definedName name="v_41_SN2">Model!$AD$168</definedName>
    <definedName name="v_41_SNHx">Model!$AA$168</definedName>
    <definedName name="v_41_SNO2">Model!$AB$168</definedName>
    <definedName name="v_41_SNO3">Model!$AC$168</definedName>
    <definedName name="v_41_SO2">Model!$AO$168</definedName>
    <definedName name="v_41_SORPswitch">Model!$BY$168</definedName>
    <definedName name="v_41_SP_B">Model!$AK$168</definedName>
    <definedName name="v_41_SPFOA">Model!$BS$168</definedName>
    <definedName name="v_41_SPFOS">Model!$BU$168</definedName>
    <definedName name="v_41_SPO4">Model!$AI$168</definedName>
    <definedName name="v_41_SU">Model!$K$168</definedName>
    <definedName name="v_41_SVFA">Model!$E$168</definedName>
    <definedName name="v_41_XACP">Model!$BO$168</definedName>
    <definedName name="v_41_XALGAE">Model!$Z$168</definedName>
    <definedName name="v_41_XAMETO">Model!$X$168</definedName>
    <definedName name="v_41_XAMX">Model!$W$168</definedName>
    <definedName name="v_41_XAOB">Model!$U$168</definedName>
    <definedName name="v_41_XB">Model!$I$168</definedName>
    <definedName name="v_41_XB_e">Model!$J$168</definedName>
    <definedName name="v_41_XBSH">Model!$BP$168</definedName>
    <definedName name="v_41_XCaCO3">Model!$BN$168</definedName>
    <definedName name="v_41_XCASTO">Model!$S$168</definedName>
    <definedName name="v_41_XE">Model!$P$168</definedName>
    <definedName name="v_41_XE_ana">Model!$Q$168</definedName>
    <definedName name="v_41_XHAO_H">Model!$BG$168</definedName>
    <definedName name="v_41_XHAO_H_P">Model!$BJ$168</definedName>
    <definedName name="v_41_XHAO_H_P_old">Model!$BL$168</definedName>
    <definedName name="v_41_XHAO_L">Model!$BH$168</definedName>
    <definedName name="v_41_XHAO_L_P">Model!$BK$168</definedName>
    <definedName name="v_41_XHAO_L_P_old">Model!$BM$168</definedName>
    <definedName name="v_41_XHAO_old">Model!$BI$168</definedName>
    <definedName name="v_41_XHFO_H">Model!$AZ$168</definedName>
    <definedName name="v_41_XHFO_H_P">Model!$BC$168</definedName>
    <definedName name="v_41_XHFO_H_P_old">Model!$BE$168</definedName>
    <definedName name="v_41_XHFO_L">Model!$BA$168</definedName>
    <definedName name="v_41_XHFO_L_P">Model!$BD$168</definedName>
    <definedName name="v_41_XHFO_L_P_old">Model!$BF$168</definedName>
    <definedName name="v_41_XHFO_old">Model!$BB$168</definedName>
    <definedName name="v_41_XHMETO">Model!$Y$168</definedName>
    <definedName name="v_41_XINORG">Model!$AS$168</definedName>
    <definedName name="v_41_XMEOLO">Model!$T$168</definedName>
    <definedName name="v_41_XN_B">Model!$AF$168</definedName>
    <definedName name="v_41_XN_Be">Model!$AG$168</definedName>
    <definedName name="v_41_XN_U">Model!$AH$168</definedName>
    <definedName name="v_41_XNOB">Model!$V$168</definedName>
    <definedName name="v_41_XOHO">Model!$R$168</definedName>
    <definedName name="v_41_XP_B">Model!$AL$168</definedName>
    <definedName name="v_41_XP_Be">Model!$AM$168</definedName>
    <definedName name="v_41_XP_U">Model!$AN$168</definedName>
    <definedName name="v_41_XPFOA">Model!$BT$168</definedName>
    <definedName name="v_41_XPFOS">Model!$BV$168</definedName>
    <definedName name="v_41_XPHA_GAO">Model!$O$168</definedName>
    <definedName name="v_41_XPHA_PAO">Model!$N$168</definedName>
    <definedName name="v_41_XPP">Model!$AJ$168</definedName>
    <definedName name="v_41_XSTR">Model!$BQ$168</definedName>
    <definedName name="v_41_XU">Model!$M$168</definedName>
    <definedName name="v_41_XVivi">Model!$BR$168</definedName>
    <definedName name="v_42_CB">Model!$H$169</definedName>
    <definedName name="v_42_CU">Model!$L$169</definedName>
    <definedName name="v_42_GCH4">Model!$CA$169</definedName>
    <definedName name="v_42_GCH4_atm">Model!$CG$169</definedName>
    <definedName name="v_42_GCO2">Model!$BZ$169</definedName>
    <definedName name="v_42_GCO2_atm">Model!$CF$169</definedName>
    <definedName name="v_42_GH2">Model!$CB$169</definedName>
    <definedName name="v_42_GH2_atm">Model!$CH$169</definedName>
    <definedName name="v_42_GN2">Model!$CE$169</definedName>
    <definedName name="v_42_GN2_atm">Model!$CK$169</definedName>
    <definedName name="v_42_GNH3">Model!$CD$169</definedName>
    <definedName name="v_42_GNH3_atm">Model!$CJ$169</definedName>
    <definedName name="v_42_GO2">Model!$CC$169</definedName>
    <definedName name="v_42_GO2_atm">Model!$CI$169</definedName>
    <definedName name="v_42_SALPHA">Model!$BX$169</definedName>
    <definedName name="v_42_SAN">Model!$AU$169</definedName>
    <definedName name="v_42_SB">Model!$F$169</definedName>
    <definedName name="v_42_SCa">Model!$AV$169</definedName>
    <definedName name="v_42_SCAT">Model!$AT$169</definedName>
    <definedName name="v_42_SCH4">Model!$AP$169</definedName>
    <definedName name="v_42_SCO2">Model!$AR$169</definedName>
    <definedName name="v_42_SFe2">Model!$AY$169</definedName>
    <definedName name="v_42_SH">Model!$BW$169</definedName>
    <definedName name="v_42_SH2">Model!$AQ$169</definedName>
    <definedName name="v_42_SK">Model!$AX$169</definedName>
    <definedName name="v_42_SMEOL">Model!$G$169</definedName>
    <definedName name="v_42_SMg">Model!$AW$169</definedName>
    <definedName name="v_42_SN_B">Model!$AE$169</definedName>
    <definedName name="v_42_SN2">Model!$AD$169</definedName>
    <definedName name="v_42_SNHx">Model!$AA$169</definedName>
    <definedName name="v_42_SNO2">Model!$AB$169</definedName>
    <definedName name="v_42_SNO3">Model!$AC$169</definedName>
    <definedName name="v_42_SO2">Model!$AO$169</definedName>
    <definedName name="v_42_SORPswitch">Model!$BY$169</definedName>
    <definedName name="v_42_SP_B">Model!$AK$169</definedName>
    <definedName name="v_42_SPFOA">Model!$BS$169</definedName>
    <definedName name="v_42_SPFOS">Model!$BU$169</definedName>
    <definedName name="v_42_SPO4">Model!$AI$169</definedName>
    <definedName name="v_42_SU">Model!$K$169</definedName>
    <definedName name="v_42_SVFA">Model!$E$169</definedName>
    <definedName name="v_42_XACP">Model!$BO$169</definedName>
    <definedName name="v_42_XALGAE">Model!$Z$169</definedName>
    <definedName name="v_42_XAMETO">Model!$X$169</definedName>
    <definedName name="v_42_XAMX">Model!$W$169</definedName>
    <definedName name="v_42_XAOB">Model!$U$169</definedName>
    <definedName name="v_42_XB">Model!$I$169</definedName>
    <definedName name="v_42_XB_e">Model!$J$169</definedName>
    <definedName name="v_42_XBSH">Model!$BP$169</definedName>
    <definedName name="v_42_XCaCO3">Model!$BN$169</definedName>
    <definedName name="v_42_XCASTO">Model!$S$169</definedName>
    <definedName name="v_42_XE">Model!$P$169</definedName>
    <definedName name="v_42_XE_ana">Model!$Q$169</definedName>
    <definedName name="v_42_XHAO_H">Model!$BG$169</definedName>
    <definedName name="v_42_XHAO_H_P">Model!$BJ$169</definedName>
    <definedName name="v_42_XHAO_H_P_old">Model!$BL$169</definedName>
    <definedName name="v_42_XHAO_L">Model!$BH$169</definedName>
    <definedName name="v_42_XHAO_L_P">Model!$BK$169</definedName>
    <definedName name="v_42_XHAO_L_P_old">Model!$BM$169</definedName>
    <definedName name="v_42_XHAO_old">Model!$BI$169</definedName>
    <definedName name="v_42_XHFO_H">Model!$AZ$169</definedName>
    <definedName name="v_42_XHFO_H_P">Model!$BC$169</definedName>
    <definedName name="v_42_XHFO_H_P_old">Model!$BE$169</definedName>
    <definedName name="v_42_XHFO_L">Model!$BA$169</definedName>
    <definedName name="v_42_XHFO_L_P">Model!$BD$169</definedName>
    <definedName name="v_42_XHFO_L_P_old">Model!$BF$169</definedName>
    <definedName name="v_42_XHFO_old">Model!$BB$169</definedName>
    <definedName name="v_42_XHMETO">Model!$Y$169</definedName>
    <definedName name="v_42_XINORG">Model!$AS$169</definedName>
    <definedName name="v_42_XMEOLO">Model!$T$169</definedName>
    <definedName name="v_42_XN_B">Model!$AF$169</definedName>
    <definedName name="v_42_XN_Be">Model!$AG$169</definedName>
    <definedName name="v_42_XN_U">Model!$AH$169</definedName>
    <definedName name="v_42_XNOB">Model!$V$169</definedName>
    <definedName name="v_42_XOHO">Model!$R$169</definedName>
    <definedName name="v_42_XP_B">Model!$AL$169</definedName>
    <definedName name="v_42_XP_Be">Model!$AM$169</definedName>
    <definedName name="v_42_XP_U">Model!$AN$169</definedName>
    <definedName name="v_42_XPFOA">Model!$BT$169</definedName>
    <definedName name="v_42_XPFOS">Model!$BV$169</definedName>
    <definedName name="v_42_XPHA_GAO">Model!$O$169</definedName>
    <definedName name="v_42_XPHA_PAO">Model!$N$169</definedName>
    <definedName name="v_42_XPP">Model!$AJ$169</definedName>
    <definedName name="v_42_XSTR">Model!$BQ$169</definedName>
    <definedName name="v_42_XU">Model!$M$169</definedName>
    <definedName name="v_42_XVivi">Model!$BR$169</definedName>
    <definedName name="v_43_CB">Model!$H$170</definedName>
    <definedName name="v_43_CU">Model!$L$170</definedName>
    <definedName name="v_43_GCH4">Model!$CA$170</definedName>
    <definedName name="v_43_GCH4_atm">Model!$CG$170</definedName>
    <definedName name="v_43_GCO2">Model!$BZ$170</definedName>
    <definedName name="v_43_GCO2_atm">Model!$CF$170</definedName>
    <definedName name="v_43_GH2">Model!$CB$170</definedName>
    <definedName name="v_43_GH2_atm">Model!$CH$170</definedName>
    <definedName name="v_43_GN2">Model!$CE$170</definedName>
    <definedName name="v_43_GN2_atm">Model!$CK$170</definedName>
    <definedName name="v_43_GNH3">Model!$CD$170</definedName>
    <definedName name="v_43_GNH3_atm">Model!$CJ$170</definedName>
    <definedName name="v_43_GO2">Model!$CC$170</definedName>
    <definedName name="v_43_GO2_atm">Model!$CI$170</definedName>
    <definedName name="v_43_SALPHA">Model!$BX$170</definedName>
    <definedName name="v_43_SAN">Model!$AU$170</definedName>
    <definedName name="v_43_SB">Model!$F$170</definedName>
    <definedName name="v_43_SCa">Model!$AV$170</definedName>
    <definedName name="v_43_SCAT">Model!$AT$170</definedName>
    <definedName name="v_43_SCH4">Model!$AP$170</definedName>
    <definedName name="v_43_SCO2">Model!$AR$170</definedName>
    <definedName name="v_43_SFe2">Model!$AY$170</definedName>
    <definedName name="v_43_SH">Model!$BW$170</definedName>
    <definedName name="v_43_SH2">Model!$AQ$170</definedName>
    <definedName name="v_43_SK">Model!$AX$170</definedName>
    <definedName name="v_43_SMEOL">Model!$G$170</definedName>
    <definedName name="v_43_SMg">Model!$AW$170</definedName>
    <definedName name="v_43_SN_B">Model!$AE$170</definedName>
    <definedName name="v_43_SN2">Model!$AD$170</definedName>
    <definedName name="v_43_SNHx">Model!$AA$170</definedName>
    <definedName name="v_43_SNO2">Model!$AB$170</definedName>
    <definedName name="v_43_SNO3">Model!$AC$170</definedName>
    <definedName name="v_43_SO2">Model!$AO$170</definedName>
    <definedName name="v_43_SORPswitch">Model!$BY$170</definedName>
    <definedName name="v_43_SP_B">Model!$AK$170</definedName>
    <definedName name="v_43_SPFOA">Model!$BS$170</definedName>
    <definedName name="v_43_SPFOS">Model!$BU$170</definedName>
    <definedName name="v_43_SPO4">Model!$AI$170</definedName>
    <definedName name="v_43_SU">Model!$K$170</definedName>
    <definedName name="v_43_SVFA">Model!$E$170</definedName>
    <definedName name="v_43_XACP">Model!$BO$170</definedName>
    <definedName name="v_43_XALGAE">Model!$Z$170</definedName>
    <definedName name="v_43_XAMETO">Model!$X$170</definedName>
    <definedName name="v_43_XAMX">Model!$W$170</definedName>
    <definedName name="v_43_XAOB">Model!$U$170</definedName>
    <definedName name="v_43_XB">Model!$I$170</definedName>
    <definedName name="v_43_XB_e">Model!$J$170</definedName>
    <definedName name="v_43_XBSH">Model!$BP$170</definedName>
    <definedName name="v_43_XCaCO3">Model!$BN$170</definedName>
    <definedName name="v_43_XCASTO">Model!$S$170</definedName>
    <definedName name="v_43_XE">Model!$P$170</definedName>
    <definedName name="v_43_XE_ana">Model!$Q$170</definedName>
    <definedName name="v_43_XHAO_H">Model!$BG$170</definedName>
    <definedName name="v_43_XHAO_H_P">Model!$BJ$170</definedName>
    <definedName name="v_43_XHAO_H_P_old">Model!$BL$170</definedName>
    <definedName name="v_43_XHAO_L">Model!$BH$170</definedName>
    <definedName name="v_43_XHAO_L_P">Model!$BK$170</definedName>
    <definedName name="v_43_XHAO_L_P_old">Model!$BM$170</definedName>
    <definedName name="v_43_XHAO_old">Model!$BI$170</definedName>
    <definedName name="v_43_XHFO_H">Model!$AZ$170</definedName>
    <definedName name="v_43_XHFO_H_P">Model!$BC$170</definedName>
    <definedName name="v_43_XHFO_H_P_old">Model!$BE$170</definedName>
    <definedName name="v_43_XHFO_L">Model!$BA$170</definedName>
    <definedName name="v_43_XHFO_L_P">Model!$BD$170</definedName>
    <definedName name="v_43_XHFO_L_P_old">Model!$BF$170</definedName>
    <definedName name="v_43_XHFO_old">Model!$BB$170</definedName>
    <definedName name="v_43_XHMETO">Model!$Y$170</definedName>
    <definedName name="v_43_XINORG">Model!$AS$170</definedName>
    <definedName name="v_43_XMEOLO">Model!$T$170</definedName>
    <definedName name="v_43_XN_B">Model!$AF$170</definedName>
    <definedName name="v_43_XN_Be">Model!$AG$170</definedName>
    <definedName name="v_43_XN_U">Model!$AH$170</definedName>
    <definedName name="v_43_XNOB">Model!$V$170</definedName>
    <definedName name="v_43_XOHO">Model!$R$170</definedName>
    <definedName name="v_43_XP_B">Model!$AL$170</definedName>
    <definedName name="v_43_XP_Be">Model!$AM$170</definedName>
    <definedName name="v_43_XP_U">Model!$AN$170</definedName>
    <definedName name="v_43_XPFOA">Model!$BT$170</definedName>
    <definedName name="v_43_XPFOS">Model!$BV$170</definedName>
    <definedName name="v_43_XPHA_GAO">Model!$O$170</definedName>
    <definedName name="v_43_XPHA_PAO">Model!$N$170</definedName>
    <definedName name="v_43_XPP">Model!$AJ$170</definedName>
    <definedName name="v_43_XSTR">Model!$BQ$170</definedName>
    <definedName name="v_43_XU">Model!$M$170</definedName>
    <definedName name="v_43_XVivi">Model!$BR$170</definedName>
    <definedName name="v_44_CB">Model!$H$171</definedName>
    <definedName name="v_44_CU">Model!$L$171</definedName>
    <definedName name="v_44_GCH4">Model!$CA$171</definedName>
    <definedName name="v_44_GCH4_atm">Model!$CG$171</definedName>
    <definedName name="v_44_GCO2">Model!$BZ$171</definedName>
    <definedName name="v_44_GCO2_atm">Model!$CF$171</definedName>
    <definedName name="v_44_GH2">Model!$CB$171</definedName>
    <definedName name="v_44_GH2_atm">Model!$CH$171</definedName>
    <definedName name="v_44_GN2">Model!$CE$171</definedName>
    <definedName name="v_44_GN2_atm">Model!$CK$171</definedName>
    <definedName name="v_44_GNH3">Model!$CD$171</definedName>
    <definedName name="v_44_GNH3_atm">Model!$CJ$171</definedName>
    <definedName name="v_44_GO2">Model!$CC$171</definedName>
    <definedName name="v_44_GO2_atm">Model!$CI$171</definedName>
    <definedName name="v_44_SALPHA">Model!$BX$171</definedName>
    <definedName name="v_44_SAN">Model!$AU$171</definedName>
    <definedName name="v_44_SB">Model!$F$171</definedName>
    <definedName name="v_44_SCa">Model!$AV$171</definedName>
    <definedName name="v_44_SCAT">Model!$AT$171</definedName>
    <definedName name="v_44_SCH4">Model!$AP$171</definedName>
    <definedName name="v_44_SCO2">Model!$AR$171</definedName>
    <definedName name="v_44_SFe2">Model!$AY$171</definedName>
    <definedName name="v_44_SH">Model!$BW$171</definedName>
    <definedName name="v_44_SH2">Model!$AQ$171</definedName>
    <definedName name="v_44_SK">Model!$AX$171</definedName>
    <definedName name="v_44_SMEOL">Model!$G$171</definedName>
    <definedName name="v_44_SMg">Model!$AW$171</definedName>
    <definedName name="v_44_SN_B">Model!$AE$171</definedName>
    <definedName name="v_44_SN2">Model!$AD$171</definedName>
    <definedName name="v_44_SNHx">Model!$AA$171</definedName>
    <definedName name="v_44_SNO2">Model!$AB$171</definedName>
    <definedName name="v_44_SNO3">Model!$AC$171</definedName>
    <definedName name="v_44_SO2">Model!$AO$171</definedName>
    <definedName name="v_44_SORPswitch">Model!$BY$171</definedName>
    <definedName name="v_44_SP_B">Model!$AK$171</definedName>
    <definedName name="v_44_SPFOA">Model!$BS$171</definedName>
    <definedName name="v_44_SPFOS">Model!$BU$171</definedName>
    <definedName name="v_44_SPO4">Model!$AI$171</definedName>
    <definedName name="v_44_SU">Model!$K$171</definedName>
    <definedName name="v_44_SVFA">Model!$E$171</definedName>
    <definedName name="v_44_XACP">Model!$BO$171</definedName>
    <definedName name="v_44_XALGAE">Model!$Z$171</definedName>
    <definedName name="v_44_XAMETO">Model!$X$171</definedName>
    <definedName name="v_44_XAMX">Model!$W$171</definedName>
    <definedName name="v_44_XAOB">Model!$U$171</definedName>
    <definedName name="v_44_XB">Model!$I$171</definedName>
    <definedName name="v_44_XB_e">Model!$J$171</definedName>
    <definedName name="v_44_XBSH">Model!$BP$171</definedName>
    <definedName name="v_44_XCaCO3">Model!$BN$171</definedName>
    <definedName name="v_44_XCASTO">Model!$S$171</definedName>
    <definedName name="v_44_XE">Model!$P$171</definedName>
    <definedName name="v_44_XE_ana">Model!$Q$171</definedName>
    <definedName name="v_44_XHAO_H">Model!$BG$171</definedName>
    <definedName name="v_44_XHAO_H_P">Model!$BJ$171</definedName>
    <definedName name="v_44_XHAO_H_P_old">Model!$BL$171</definedName>
    <definedName name="v_44_XHAO_L">Model!$BH$171</definedName>
    <definedName name="v_44_XHAO_L_P">Model!$BK$171</definedName>
    <definedName name="v_44_XHAO_L_P_old">Model!$BM$171</definedName>
    <definedName name="v_44_XHAO_old">Model!$BI$171</definedName>
    <definedName name="v_44_XHFO_H">Model!$AZ$171</definedName>
    <definedName name="v_44_XHFO_H_P">Model!$BC$171</definedName>
    <definedName name="v_44_XHFO_H_P_old">Model!$BE$171</definedName>
    <definedName name="v_44_XHFO_L">Model!$BA$171</definedName>
    <definedName name="v_44_XHFO_L_P">Model!$BD$171</definedName>
    <definedName name="v_44_XHFO_L_P_old">Model!$BF$171</definedName>
    <definedName name="v_44_XHFO_old">Model!$BB$171</definedName>
    <definedName name="v_44_XHMETO">Model!$Y$171</definedName>
    <definedName name="v_44_XINORG">Model!$AS$171</definedName>
    <definedName name="v_44_XMEOLO">Model!$T$171</definedName>
    <definedName name="v_44_XN_B">Model!$AF$171</definedName>
    <definedName name="v_44_XN_Be">Model!$AG$171</definedName>
    <definedName name="v_44_XN_U">Model!$AH$171</definedName>
    <definedName name="v_44_XNOB">Model!$V$171</definedName>
    <definedName name="v_44_XOHO">Model!$R$171</definedName>
    <definedName name="v_44_XP_B">Model!$AL$171</definedName>
    <definedName name="v_44_XP_Be">Model!$AM$171</definedName>
    <definedName name="v_44_XP_U">Model!$AN$171</definedName>
    <definedName name="v_44_XPFOA">Model!$BT$171</definedName>
    <definedName name="v_44_XPFOS">Model!$BV$171</definedName>
    <definedName name="v_44_XPHA_GAO">Model!$O$171</definedName>
    <definedName name="v_44_XPHA_PAO">Model!$N$171</definedName>
    <definedName name="v_44_XPP">Model!$AJ$171</definedName>
    <definedName name="v_44_XSTR">Model!$BQ$171</definedName>
    <definedName name="v_44_XU">Model!$M$171</definedName>
    <definedName name="v_44_XVivi">Model!$BR$171</definedName>
    <definedName name="v_45_CB">Model!$H$172</definedName>
    <definedName name="v_45_CU">Model!$L$172</definedName>
    <definedName name="v_45_GCH4">Model!$CA$172</definedName>
    <definedName name="v_45_GCH4_atm">Model!$CG$172</definedName>
    <definedName name="v_45_GCO2">Model!$BZ$172</definedName>
    <definedName name="v_45_GCO2_atm">Model!$CF$172</definedName>
    <definedName name="v_45_GH2">Model!$CB$172</definedName>
    <definedName name="v_45_GH2_atm">Model!$CH$172</definedName>
    <definedName name="v_45_GN2">Model!$CE$172</definedName>
    <definedName name="v_45_GN2_atm">Model!$CK$172</definedName>
    <definedName name="v_45_GNH3">Model!$CD$172</definedName>
    <definedName name="v_45_GNH3_atm">Model!$CJ$172</definedName>
    <definedName name="v_45_GO2">Model!$CC$172</definedName>
    <definedName name="v_45_GO2_atm">Model!$CI$172</definedName>
    <definedName name="v_45_SALPHA">Model!$BX$172</definedName>
    <definedName name="v_45_SAN">Model!$AU$172</definedName>
    <definedName name="v_45_SB">Model!$F$172</definedName>
    <definedName name="v_45_SCa">Model!$AV$172</definedName>
    <definedName name="v_45_SCAT">Model!$AT$172</definedName>
    <definedName name="v_45_SCH4">Model!$AP$172</definedName>
    <definedName name="v_45_SCO2">Model!$AR$172</definedName>
    <definedName name="v_45_SFe2">Model!$AY$172</definedName>
    <definedName name="v_45_SH">Model!$BW$172</definedName>
    <definedName name="v_45_SH2">Model!$AQ$172</definedName>
    <definedName name="v_45_SK">Model!$AX$172</definedName>
    <definedName name="v_45_SMEOL">Model!$G$172</definedName>
    <definedName name="v_45_SMg">Model!$AW$172</definedName>
    <definedName name="v_45_SN_B">Model!$AE$172</definedName>
    <definedName name="v_45_SN2">Model!$AD$172</definedName>
    <definedName name="v_45_SNHx">Model!$AA$172</definedName>
    <definedName name="v_45_SNO2">Model!$AB$172</definedName>
    <definedName name="v_45_SNO3">Model!$AC$172</definedName>
    <definedName name="v_45_SO2">Model!$AO$172</definedName>
    <definedName name="v_45_SORPswitch">Model!$BY$172</definedName>
    <definedName name="v_45_SP_B">Model!$AK$172</definedName>
    <definedName name="v_45_SPFOA">Model!$BS$172</definedName>
    <definedName name="v_45_SPFOS">Model!$BU$172</definedName>
    <definedName name="v_45_SPO4">Model!$AI$172</definedName>
    <definedName name="v_45_SU">Model!$K$172</definedName>
    <definedName name="v_45_SVFA">Model!$E$172</definedName>
    <definedName name="v_45_XACP">Model!$BO$172</definedName>
    <definedName name="v_45_XALGAE">Model!$Z$172</definedName>
    <definedName name="v_45_XAMETO">Model!$X$172</definedName>
    <definedName name="v_45_XAMX">Model!$W$172</definedName>
    <definedName name="v_45_XAOB">Model!$U$172</definedName>
    <definedName name="v_45_XB">Model!$I$172</definedName>
    <definedName name="v_45_XB_e">Model!$J$172</definedName>
    <definedName name="v_45_XBSH">Model!$BP$172</definedName>
    <definedName name="v_45_XCaCO3">Model!$BN$172</definedName>
    <definedName name="v_45_XCASTO">Model!$S$172</definedName>
    <definedName name="v_45_XE">Model!$P$172</definedName>
    <definedName name="v_45_XE_ana">Model!$Q$172</definedName>
    <definedName name="v_45_XHAO_H">Model!$BG$172</definedName>
    <definedName name="v_45_XHAO_H_P">Model!$BJ$172</definedName>
    <definedName name="v_45_XHAO_H_P_old">Model!$BL$172</definedName>
    <definedName name="v_45_XHAO_L">Model!$BH$172</definedName>
    <definedName name="v_45_XHAO_L_P">Model!$BK$172</definedName>
    <definedName name="v_45_XHAO_L_P_old">Model!$BM$172</definedName>
    <definedName name="v_45_XHAO_old">Model!$BI$172</definedName>
    <definedName name="v_45_XHFO_H">Model!$AZ$172</definedName>
    <definedName name="v_45_XHFO_H_P">Model!$BC$172</definedName>
    <definedName name="v_45_XHFO_H_P_old">Model!$BE$172</definedName>
    <definedName name="v_45_XHFO_L">Model!$BA$172</definedName>
    <definedName name="v_45_XHFO_L_P">Model!$BD$172</definedName>
    <definedName name="v_45_XHFO_L_P_old">Model!$BF$172</definedName>
    <definedName name="v_45_XHFO_old">Model!$BB$172</definedName>
    <definedName name="v_45_XHMETO">Model!$Y$172</definedName>
    <definedName name="v_45_XINORG">Model!$AS$172</definedName>
    <definedName name="v_45_XMEOLO">Model!$T$172</definedName>
    <definedName name="v_45_XN_B">Model!$AF$172</definedName>
    <definedName name="v_45_XN_Be">Model!$AG$172</definedName>
    <definedName name="v_45_XN_U">Model!$AH$172</definedName>
    <definedName name="v_45_XNOB">Model!$V$172</definedName>
    <definedName name="v_45_XOHO">Model!$R$172</definedName>
    <definedName name="v_45_XP_B">Model!$AL$172</definedName>
    <definedName name="v_45_XP_Be">Model!$AM$172</definedName>
    <definedName name="v_45_XP_U">Model!$AN$172</definedName>
    <definedName name="v_45_XPFOA">Model!$BT$172</definedName>
    <definedName name="v_45_XPFOS">Model!$BV$172</definedName>
    <definedName name="v_45_XPHA_GAO">Model!$O$172</definedName>
    <definedName name="v_45_XPHA_PAO">Model!$N$172</definedName>
    <definedName name="v_45_XPP">Model!$AJ$172</definedName>
    <definedName name="v_45_XSTR">Model!$BQ$172</definedName>
    <definedName name="v_45_XU">Model!$M$172</definedName>
    <definedName name="v_45_XVivi">Model!$BR$172</definedName>
    <definedName name="v_46_CB">Model!$H$173</definedName>
    <definedName name="v_46_CU">Model!$L$173</definedName>
    <definedName name="v_46_GCH4">Model!$CA$173</definedName>
    <definedName name="v_46_GCH4_atm">Model!$CG$173</definedName>
    <definedName name="v_46_GCO2">Model!$BZ$173</definedName>
    <definedName name="v_46_GCO2_atm">Model!$CF$173</definedName>
    <definedName name="v_46_GH2">Model!$CB$173</definedName>
    <definedName name="v_46_GH2_atm">Model!$CH$173</definedName>
    <definedName name="v_46_GN2">Model!$CE$173</definedName>
    <definedName name="v_46_GN2_atm">Model!$CK$173</definedName>
    <definedName name="v_46_GNH3">Model!$CD$173</definedName>
    <definedName name="v_46_GNH3_atm">Model!$CJ$173</definedName>
    <definedName name="v_46_GO2">Model!$CC$173</definedName>
    <definedName name="v_46_GO2_atm">Model!$CI$173</definedName>
    <definedName name="v_46_SALPHA">Model!$BX$173</definedName>
    <definedName name="v_46_SAN">Model!$AU$173</definedName>
    <definedName name="v_46_SB">Model!$F$173</definedName>
    <definedName name="v_46_SCa">Model!$AV$173</definedName>
    <definedName name="v_46_SCAT">Model!$AT$173</definedName>
    <definedName name="v_46_SCH4">Model!$AP$173</definedName>
    <definedName name="v_46_SCO2">Model!$AR$173</definedName>
    <definedName name="v_46_SFe2">Model!$AY$173</definedName>
    <definedName name="v_46_SH">Model!$BW$173</definedName>
    <definedName name="v_46_SH2">Model!$AQ$173</definedName>
    <definedName name="v_46_SK">Model!$AX$173</definedName>
    <definedName name="v_46_SMEOL">Model!$G$173</definedName>
    <definedName name="v_46_SMg">Model!$AW$173</definedName>
    <definedName name="v_46_SN_B">Model!$AE$173</definedName>
    <definedName name="v_46_SN2">Model!$AD$173</definedName>
    <definedName name="v_46_SNHx">Model!$AA$173</definedName>
    <definedName name="v_46_SNO2">Model!$AB$173</definedName>
    <definedName name="v_46_SNO3">Model!$AC$173</definedName>
    <definedName name="v_46_SO2">Model!$AO$173</definedName>
    <definedName name="v_46_SORPswitch">Model!$BY$173</definedName>
    <definedName name="v_46_SP_B">Model!$AK$173</definedName>
    <definedName name="v_46_SPFOA">Model!$BS$173</definedName>
    <definedName name="v_46_SPFOS">Model!$BU$173</definedName>
    <definedName name="v_46_SPO4">Model!$AI$173</definedName>
    <definedName name="v_46_SU">Model!$K$173</definedName>
    <definedName name="v_46_SVFA">Model!$E$173</definedName>
    <definedName name="v_46_XACP">Model!$BO$173</definedName>
    <definedName name="v_46_XALGAE">Model!$Z$173</definedName>
    <definedName name="v_46_XAMETO">Model!$X$173</definedName>
    <definedName name="v_46_XAMX">Model!$W$173</definedName>
    <definedName name="v_46_XAOB">Model!$U$173</definedName>
    <definedName name="v_46_XB">Model!$I$173</definedName>
    <definedName name="v_46_XB_e">Model!$J$173</definedName>
    <definedName name="v_46_XBSH">Model!$BP$173</definedName>
    <definedName name="v_46_XCaCO3">Model!$BN$173</definedName>
    <definedName name="v_46_XCASTO">Model!$S$173</definedName>
    <definedName name="v_46_XE">Model!$P$173</definedName>
    <definedName name="v_46_XE_ana">Model!$Q$173</definedName>
    <definedName name="v_46_XHAO_H">Model!$BG$173</definedName>
    <definedName name="v_46_XHAO_H_P">Model!$BJ$173</definedName>
    <definedName name="v_46_XHAO_H_P_old">Model!$BL$173</definedName>
    <definedName name="v_46_XHAO_L">Model!$BH$173</definedName>
    <definedName name="v_46_XHAO_L_P">Model!$BK$173</definedName>
    <definedName name="v_46_XHAO_L_P_old">Model!$BM$173</definedName>
    <definedName name="v_46_XHAO_old">Model!$BI$173</definedName>
    <definedName name="v_46_XHFO_H">Model!$AZ$173</definedName>
    <definedName name="v_46_XHFO_H_P">Model!$BC$173</definedName>
    <definedName name="v_46_XHFO_H_P_old">Model!$BE$173</definedName>
    <definedName name="v_46_XHFO_L">Model!$BA$173</definedName>
    <definedName name="v_46_XHFO_L_P">Model!$BD$173</definedName>
    <definedName name="v_46_XHFO_L_P_old">Model!$BF$173</definedName>
    <definedName name="v_46_XHFO_old">Model!$BB$173</definedName>
    <definedName name="v_46_XHMETO">Model!$Y$173</definedName>
    <definedName name="v_46_XINORG">Model!$AS$173</definedName>
    <definedName name="v_46_XMEOLO">Model!$T$173</definedName>
    <definedName name="v_46_XN_B">Model!$AF$173</definedName>
    <definedName name="v_46_XN_Be">Model!$AG$173</definedName>
    <definedName name="v_46_XN_U">Model!$AH$173</definedName>
    <definedName name="v_46_XNOB">Model!$V$173</definedName>
    <definedName name="v_46_XOHO">Model!$R$173</definedName>
    <definedName name="v_46_XP_B">Model!$AL$173</definedName>
    <definedName name="v_46_XP_Be">Model!$AM$173</definedName>
    <definedName name="v_46_XP_U">Model!$AN$173</definedName>
    <definedName name="v_46_XPFOA">Model!$BT$173</definedName>
    <definedName name="v_46_XPFOS">Model!$BV$173</definedName>
    <definedName name="v_46_XPHA_GAO">Model!$O$173</definedName>
    <definedName name="v_46_XPHA_PAO">Model!$N$173</definedName>
    <definedName name="v_46_XPP">Model!$AJ$173</definedName>
    <definedName name="v_46_XSTR">Model!$BQ$173</definedName>
    <definedName name="v_46_XU">Model!$M$173</definedName>
    <definedName name="v_46_XVivi">Model!$BR$173</definedName>
    <definedName name="v_47_CB">Model!$H$174</definedName>
    <definedName name="v_47_CU">Model!$L$174</definedName>
    <definedName name="v_47_GCH4">Model!$CA$174</definedName>
    <definedName name="v_47_GCH4_atm">Model!$CG$174</definedName>
    <definedName name="v_47_GCO2">Model!$BZ$174</definedName>
    <definedName name="v_47_GCO2_atm">Model!$CF$174</definedName>
    <definedName name="v_47_GH2">Model!$CB$174</definedName>
    <definedName name="v_47_GH2_atm">Model!$CH$174</definedName>
    <definedName name="v_47_GN2">Model!$CE$174</definedName>
    <definedName name="v_47_GN2_atm">Model!$CK$174</definedName>
    <definedName name="v_47_GNH3">Model!$CD$174</definedName>
    <definedName name="v_47_GNH3_atm">Model!$CJ$174</definedName>
    <definedName name="v_47_GO2">Model!$CC$174</definedName>
    <definedName name="v_47_GO2_atm">Model!$CI$174</definedName>
    <definedName name="v_47_SALPHA">Model!$BX$174</definedName>
    <definedName name="v_47_SAN">Model!$AU$174</definedName>
    <definedName name="v_47_SB">Model!$F$174</definedName>
    <definedName name="v_47_SCa">Model!$AV$174</definedName>
    <definedName name="v_47_SCAT">Model!$AT$174</definedName>
    <definedName name="v_47_SCH4">Model!$AP$174</definedName>
    <definedName name="v_47_SCO2">Model!$AR$174</definedName>
    <definedName name="v_47_SFe2">Model!$AY$174</definedName>
    <definedName name="v_47_SH">Model!$BW$174</definedName>
    <definedName name="v_47_SH2">Model!$AQ$174</definedName>
    <definedName name="v_47_SK">Model!$AX$174</definedName>
    <definedName name="v_47_SMEOL">Model!$G$174</definedName>
    <definedName name="v_47_SMg">Model!$AW$174</definedName>
    <definedName name="v_47_SN_B">Model!$AE$174</definedName>
    <definedName name="v_47_SN2">Model!$AD$174</definedName>
    <definedName name="v_47_SNHx">Model!$AA$174</definedName>
    <definedName name="v_47_SNO2">Model!$AB$174</definedName>
    <definedName name="v_47_SNO3">Model!$AC$174</definedName>
    <definedName name="v_47_SO2">Model!$AO$174</definedName>
    <definedName name="v_47_SORPswitch">Model!$BY$174</definedName>
    <definedName name="v_47_SP_B">Model!$AK$174</definedName>
    <definedName name="v_47_SPFOA">Model!$BS$174</definedName>
    <definedName name="v_47_SPFOS">Model!$BU$174</definedName>
    <definedName name="v_47_SPO4">Model!$AI$174</definedName>
    <definedName name="v_47_SU">Model!$K$174</definedName>
    <definedName name="v_47_SVFA">Model!$E$174</definedName>
    <definedName name="v_47_XACP">Model!$BO$174</definedName>
    <definedName name="v_47_XALGAE">Model!$Z$174</definedName>
    <definedName name="v_47_XAMETO">Model!$X$174</definedName>
    <definedName name="v_47_XAMX">Model!$W$174</definedName>
    <definedName name="v_47_XAOB">Model!$U$174</definedName>
    <definedName name="v_47_XB">Model!$I$174</definedName>
    <definedName name="v_47_XB_e">Model!$J$174</definedName>
    <definedName name="v_47_XBSH">Model!$BP$174</definedName>
    <definedName name="v_47_XCaCO3">Model!$BN$174</definedName>
    <definedName name="v_47_XCASTO">Model!$S$174</definedName>
    <definedName name="v_47_XE">Model!$P$174</definedName>
    <definedName name="v_47_XE_ana">Model!$Q$174</definedName>
    <definedName name="v_47_XHAO_H">Model!$BG$174</definedName>
    <definedName name="v_47_XHAO_H_P">Model!$BJ$174</definedName>
    <definedName name="v_47_XHAO_H_P_old">Model!$BL$174</definedName>
    <definedName name="v_47_XHAO_L">Model!$BH$174</definedName>
    <definedName name="v_47_XHAO_L_P">Model!$BK$174</definedName>
    <definedName name="v_47_XHAO_L_P_old">Model!$BM$174</definedName>
    <definedName name="v_47_XHAO_old">Model!$BI$174</definedName>
    <definedName name="v_47_XHFO_H">Model!$AZ$174</definedName>
    <definedName name="v_47_XHFO_H_P">Model!$BC$174</definedName>
    <definedName name="v_47_XHFO_H_P_old">Model!$BE$174</definedName>
    <definedName name="v_47_XHFO_L">Model!$BA$174</definedName>
    <definedName name="v_47_XHFO_L_P">Model!$BD$174</definedName>
    <definedName name="v_47_XHFO_L_P_old">Model!$BF$174</definedName>
    <definedName name="v_47_XHFO_old">Model!$BB$174</definedName>
    <definedName name="v_47_XHMETO">Model!$Y$174</definedName>
    <definedName name="v_47_XINORG">Model!$AS$174</definedName>
    <definedName name="v_47_XMEOLO">Model!$T$174</definedName>
    <definedName name="v_47_XN_B">Model!$AF$174</definedName>
    <definedName name="v_47_XN_Be">Model!$AG$174</definedName>
    <definedName name="v_47_XN_U">Model!$AH$174</definedName>
    <definedName name="v_47_XNOB">Model!$V$174</definedName>
    <definedName name="v_47_XOHO">Model!$R$174</definedName>
    <definedName name="v_47_XP_B">Model!$AL$174</definedName>
    <definedName name="v_47_XP_Be">Model!$AM$174</definedName>
    <definedName name="v_47_XP_U">Model!$AN$174</definedName>
    <definedName name="v_47_XPFOA">Model!$BT$174</definedName>
    <definedName name="v_47_XPFOS">Model!$BV$174</definedName>
    <definedName name="v_47_XPHA_GAO">Model!$O$174</definedName>
    <definedName name="v_47_XPHA_PAO">Model!$N$174</definedName>
    <definedName name="v_47_XPP">Model!$AJ$174</definedName>
    <definedName name="v_47_XSTR">Model!$BQ$174</definedName>
    <definedName name="v_47_XU">Model!$M$174</definedName>
    <definedName name="v_47_XVivi">Model!$BR$174</definedName>
    <definedName name="v_48_CB">Model!$H$175</definedName>
    <definedName name="v_48_CU">Model!$L$175</definedName>
    <definedName name="v_48_GCH4">Model!$CA$175</definedName>
    <definedName name="v_48_GCH4_atm">Model!$CG$175</definedName>
    <definedName name="v_48_GCO2">Model!$BZ$175</definedName>
    <definedName name="v_48_GCO2_atm">Model!$CF$175</definedName>
    <definedName name="v_48_GH2">Model!$CB$175</definedName>
    <definedName name="v_48_GH2_atm">Model!$CH$175</definedName>
    <definedName name="v_48_GN2">Model!$CE$175</definedName>
    <definedName name="v_48_GN2_atm">Model!$CK$175</definedName>
    <definedName name="v_48_GNH3">Model!$CD$175</definedName>
    <definedName name="v_48_GNH3_atm">Model!$CJ$175</definedName>
    <definedName name="v_48_GO2">Model!$CC$175</definedName>
    <definedName name="v_48_GO2_atm">Model!$CI$175</definedName>
    <definedName name="v_48_SALPHA">Model!$BX$175</definedName>
    <definedName name="v_48_SAN">Model!$AU$175</definedName>
    <definedName name="v_48_SB">Model!$F$175</definedName>
    <definedName name="v_48_SCa">Model!$AV$175</definedName>
    <definedName name="v_48_SCAT">Model!$AT$175</definedName>
    <definedName name="v_48_SCH4">Model!$AP$175</definedName>
    <definedName name="v_48_SCO2">Model!$AR$175</definedName>
    <definedName name="v_48_SFe2">Model!$AY$175</definedName>
    <definedName name="v_48_SH">Model!$BW$175</definedName>
    <definedName name="v_48_SH2">Model!$AQ$175</definedName>
    <definedName name="v_48_SK">Model!$AX$175</definedName>
    <definedName name="v_48_SMEOL">Model!$G$175</definedName>
    <definedName name="v_48_SMg">Model!$AW$175</definedName>
    <definedName name="v_48_SN_B">Model!$AE$175</definedName>
    <definedName name="v_48_SN2">Model!$AD$175</definedName>
    <definedName name="v_48_SNHx">Model!$AA$175</definedName>
    <definedName name="v_48_SNO2">Model!$AB$175</definedName>
    <definedName name="v_48_SNO3">Model!$AC$175</definedName>
    <definedName name="v_48_SO2">Model!$AO$175</definedName>
    <definedName name="v_48_SORPswitch">Model!$BY$175</definedName>
    <definedName name="v_48_SP_B">Model!$AK$175</definedName>
    <definedName name="v_48_SPFOA">Model!$BS$175</definedName>
    <definedName name="v_48_SPFOS">Model!$BU$175</definedName>
    <definedName name="v_48_SPO4">Model!$AI$175</definedName>
    <definedName name="v_48_SU">Model!$K$175</definedName>
    <definedName name="v_48_SVFA">Model!$E$175</definedName>
    <definedName name="v_48_XACP">Model!$BO$175</definedName>
    <definedName name="v_48_XALGAE">Model!$Z$175</definedName>
    <definedName name="v_48_XAMETO">Model!$X$175</definedName>
    <definedName name="v_48_XAMX">Model!$W$175</definedName>
    <definedName name="v_48_XAOB">Model!$U$175</definedName>
    <definedName name="v_48_XB">Model!$I$175</definedName>
    <definedName name="v_48_XB_e">Model!$J$175</definedName>
    <definedName name="v_48_XBSH">Model!$BP$175</definedName>
    <definedName name="v_48_XCaCO3">Model!$BN$175</definedName>
    <definedName name="v_48_XCASTO">Model!$S$175</definedName>
    <definedName name="v_48_XE">Model!$P$175</definedName>
    <definedName name="v_48_XE_ana">Model!$Q$175</definedName>
    <definedName name="v_48_XHAO_H">Model!$BG$175</definedName>
    <definedName name="v_48_XHAO_H_P">Model!$BJ$175</definedName>
    <definedName name="v_48_XHAO_H_P_old">Model!$BL$175</definedName>
    <definedName name="v_48_XHAO_L">Model!$BH$175</definedName>
    <definedName name="v_48_XHAO_L_P">Model!$BK$175</definedName>
    <definedName name="v_48_XHAO_L_P_old">Model!$BM$175</definedName>
    <definedName name="v_48_XHAO_old">Model!$BI$175</definedName>
    <definedName name="v_48_XHFO_H">Model!$AZ$175</definedName>
    <definedName name="v_48_XHFO_H_P">Model!$BC$175</definedName>
    <definedName name="v_48_XHFO_H_P_old">Model!$BE$175</definedName>
    <definedName name="v_48_XHFO_L">Model!$BA$175</definedName>
    <definedName name="v_48_XHFO_L_P">Model!$BD$175</definedName>
    <definedName name="v_48_XHFO_L_P_old">Model!$BF$175</definedName>
    <definedName name="v_48_XHFO_old">Model!$BB$175</definedName>
    <definedName name="v_48_XHMETO">Model!$Y$175</definedName>
    <definedName name="v_48_XINORG">Model!$AS$175</definedName>
    <definedName name="v_48_XMEOLO">Model!$T$175</definedName>
    <definedName name="v_48_XN_B">Model!$AF$175</definedName>
    <definedName name="v_48_XN_Be">Model!$AG$175</definedName>
    <definedName name="v_48_XN_U">Model!$AH$175</definedName>
    <definedName name="v_48_XNOB">Model!$V$175</definedName>
    <definedName name="v_48_XOHO">Model!$R$175</definedName>
    <definedName name="v_48_XP_B">Model!$AL$175</definedName>
    <definedName name="v_48_XP_Be">Model!$AM$175</definedName>
    <definedName name="v_48_XP_U">Model!$AN$175</definedName>
    <definedName name="v_48_XPFOA">Model!$BT$175</definedName>
    <definedName name="v_48_XPFOS">Model!$BV$175</definedName>
    <definedName name="v_48_XPHA_GAO">Model!$O$175</definedName>
    <definedName name="v_48_XPHA_PAO">Model!$N$175</definedName>
    <definedName name="v_48_XPP">Model!$AJ$175</definedName>
    <definedName name="v_48_XSTR">Model!$BQ$175</definedName>
    <definedName name="v_48_XU">Model!$M$175</definedName>
    <definedName name="v_48_XVivi">Model!$BR$175</definedName>
    <definedName name="v_49_CB">Model!$H$176</definedName>
    <definedName name="v_49_CU">Model!$L$176</definedName>
    <definedName name="v_49_GCH4">Model!$CA$176</definedName>
    <definedName name="v_49_GCH4_atm">Model!$CG$176</definedName>
    <definedName name="v_49_GCO2">Model!$BZ$176</definedName>
    <definedName name="v_49_GCO2_atm">Model!$CF$176</definedName>
    <definedName name="v_49_GH2">Model!$CB$176</definedName>
    <definedName name="v_49_GH2_atm">Model!$CH$176</definedName>
    <definedName name="v_49_GN2">Model!$CE$176</definedName>
    <definedName name="v_49_GN2_atm">Model!$CK$176</definedName>
    <definedName name="v_49_GNH3">Model!$CD$176</definedName>
    <definedName name="v_49_GNH3_atm">Model!$CJ$176</definedName>
    <definedName name="v_49_GO2">Model!$CC$176</definedName>
    <definedName name="v_49_GO2_atm">Model!$CI$176</definedName>
    <definedName name="v_49_SALPHA">Model!$BX$176</definedName>
    <definedName name="v_49_SAN">Model!$AU$176</definedName>
    <definedName name="v_49_SB">Model!$F$176</definedName>
    <definedName name="v_49_SCa">Model!$AV$176</definedName>
    <definedName name="v_49_SCAT">Model!$AT$176</definedName>
    <definedName name="v_49_SCH4">Model!$AP$176</definedName>
    <definedName name="v_49_SCO2">Model!$AR$176</definedName>
    <definedName name="v_49_SFe2">Model!$AY$176</definedName>
    <definedName name="v_49_SH">Model!$BW$176</definedName>
    <definedName name="v_49_SH2">Model!$AQ$176</definedName>
    <definedName name="v_49_SK">Model!$AX$176</definedName>
    <definedName name="v_49_SMEOL">Model!$G$176</definedName>
    <definedName name="v_49_SMg">Model!$AW$176</definedName>
    <definedName name="v_49_SN_B">Model!$AE$176</definedName>
    <definedName name="v_49_SN2">Model!$AD$176</definedName>
    <definedName name="v_49_SNHx">Model!$AA$176</definedName>
    <definedName name="v_49_SNO2">Model!$AB$176</definedName>
    <definedName name="v_49_SNO3">Model!$AC$176</definedName>
    <definedName name="v_49_SO2">Model!$AO$176</definedName>
    <definedName name="v_49_SORPswitch">Model!$BY$176</definedName>
    <definedName name="v_49_SP_B">Model!$AK$176</definedName>
    <definedName name="v_49_SPFOA">Model!$BS$176</definedName>
    <definedName name="v_49_SPFOS">Model!$BU$176</definedName>
    <definedName name="v_49_SPO4">Model!$AI$176</definedName>
    <definedName name="v_49_SU">Model!$K$176</definedName>
    <definedName name="v_49_SVFA">Model!$E$176</definedName>
    <definedName name="v_49_XACP">Model!$BO$176</definedName>
    <definedName name="v_49_XALGAE">Model!$Z$176</definedName>
    <definedName name="v_49_XAMETO">Model!$X$176</definedName>
    <definedName name="v_49_XAMX">Model!$W$176</definedName>
    <definedName name="v_49_XAOB">Model!$U$176</definedName>
    <definedName name="v_49_XB">Model!$I$176</definedName>
    <definedName name="v_49_XB_e">Model!$J$176</definedName>
    <definedName name="v_49_XBSH">Model!$BP$176</definedName>
    <definedName name="v_49_XCaCO3">Model!$BN$176</definedName>
    <definedName name="v_49_XCASTO">Model!$S$176</definedName>
    <definedName name="v_49_XE">Model!$P$176</definedName>
    <definedName name="v_49_XE_ana">Model!$Q$176</definedName>
    <definedName name="v_49_XHAO_H">Model!$BG$176</definedName>
    <definedName name="v_49_XHAO_H_P">Model!$BJ$176</definedName>
    <definedName name="v_49_XHAO_H_P_old">Model!$BL$176</definedName>
    <definedName name="v_49_XHAO_L">Model!$BH$176</definedName>
    <definedName name="v_49_XHAO_L_P">Model!$BK$176</definedName>
    <definedName name="v_49_XHAO_L_P_old">Model!$BM$176</definedName>
    <definedName name="v_49_XHAO_old">Model!$BI$176</definedName>
    <definedName name="v_49_XHFO_H">Model!$AZ$176</definedName>
    <definedName name="v_49_XHFO_H_P">Model!$BC$176</definedName>
    <definedName name="v_49_XHFO_H_P_old">Model!$BE$176</definedName>
    <definedName name="v_49_XHFO_L">Model!$BA$176</definedName>
    <definedName name="v_49_XHFO_L_P">Model!$BD$176</definedName>
    <definedName name="v_49_XHFO_L_P_old">Model!$BF$176</definedName>
    <definedName name="v_49_XHFO_old">Model!$BB$176</definedName>
    <definedName name="v_49_XHMETO">Model!$Y$176</definedName>
    <definedName name="v_49_XINORG">Model!$AS$176</definedName>
    <definedName name="v_49_XMEOLO">Model!$T$176</definedName>
    <definedName name="v_49_XN_B">Model!$AF$176</definedName>
    <definedName name="v_49_XN_Be">Model!$AG$176</definedName>
    <definedName name="v_49_XN_U">Model!$AH$176</definedName>
    <definedName name="v_49_XNOB">Model!$V$176</definedName>
    <definedName name="v_49_XOHO">Model!$R$176</definedName>
    <definedName name="v_49_XP_B">Model!$AL$176</definedName>
    <definedName name="v_49_XP_Be">Model!$AM$176</definedName>
    <definedName name="v_49_XP_U">Model!$AN$176</definedName>
    <definedName name="v_49_XPFOA">Model!$BT$176</definedName>
    <definedName name="v_49_XPFOS">Model!$BV$176</definedName>
    <definedName name="v_49_XPHA_GAO">Model!$O$176</definedName>
    <definedName name="v_49_XPHA_PAO">Model!$N$176</definedName>
    <definedName name="v_49_XPP">Model!$AJ$176</definedName>
    <definedName name="v_49_XSTR">Model!$BQ$176</definedName>
    <definedName name="v_49_XU">Model!$M$176</definedName>
    <definedName name="v_49_XVivi">Model!$BR$176</definedName>
    <definedName name="v_5_CB">Model!$H$132</definedName>
    <definedName name="v_5_CU">Model!$L$132</definedName>
    <definedName name="v_5_GCH4">Model!$CA$132</definedName>
    <definedName name="v_5_GCH4_atm">Model!$CG$132</definedName>
    <definedName name="v_5_GCO2">Model!$BZ$132</definedName>
    <definedName name="v_5_GCO2_atm">Model!$CF$132</definedName>
    <definedName name="v_5_GH2">Model!$CB$132</definedName>
    <definedName name="v_5_GH2_atm">Model!$CH$132</definedName>
    <definedName name="v_5_GN2">Model!$CE$132</definedName>
    <definedName name="v_5_GN2_atm">Model!$CK$132</definedName>
    <definedName name="v_5_GNH3">Model!$CD$132</definedName>
    <definedName name="v_5_GNH3_atm">Model!$CJ$132</definedName>
    <definedName name="v_5_GO2">Model!$CC$132</definedName>
    <definedName name="v_5_GO2_atm">Model!$CI$132</definedName>
    <definedName name="v_5_SALPHA">Model!$BX$132</definedName>
    <definedName name="v_5_SAN">Model!$AU$132</definedName>
    <definedName name="v_5_SB">Model!$F$132</definedName>
    <definedName name="v_5_SCa">Model!$AV$132</definedName>
    <definedName name="v_5_SCAT">Model!$AT$132</definedName>
    <definedName name="v_5_SCH4">Model!$AP$132</definedName>
    <definedName name="v_5_SCO2">Model!$AR$132</definedName>
    <definedName name="v_5_SFe2">Model!$AY$132</definedName>
    <definedName name="v_5_SH">Model!$BW$132</definedName>
    <definedName name="v_5_SH2">Model!$AQ$132</definedName>
    <definedName name="v_5_SK">Model!$AX$132</definedName>
    <definedName name="v_5_SMEOL">Model!$G$132</definedName>
    <definedName name="v_5_SMg">Model!$AW$132</definedName>
    <definedName name="v_5_SN_B">Model!$AE$132</definedName>
    <definedName name="v_5_SN2">Model!$AD$132</definedName>
    <definedName name="v_5_SNHx">Model!$AA$132</definedName>
    <definedName name="v_5_SNO2">Model!$AB$132</definedName>
    <definedName name="v_5_SNO3">Model!$AC$132</definedName>
    <definedName name="v_5_SO2">Model!$AO$132</definedName>
    <definedName name="v_5_SORPswitch">Model!$BY$132</definedName>
    <definedName name="v_5_SP_B">Model!$AK$132</definedName>
    <definedName name="v_5_SPFOA">Model!$BS$132</definedName>
    <definedName name="v_5_SPFOS">Model!$BU$132</definedName>
    <definedName name="v_5_SPO4">Model!$AI$132</definedName>
    <definedName name="v_5_SU">Model!$K$132</definedName>
    <definedName name="v_5_SVFA">Model!$E$132</definedName>
    <definedName name="v_5_XACP">Model!$BO$132</definedName>
    <definedName name="v_5_XALGAE">Model!$Z$132</definedName>
    <definedName name="v_5_XAMETO">Model!$X$132</definedName>
    <definedName name="v_5_XAMX">Model!$W$132</definedName>
    <definedName name="v_5_XAOB">Model!$U$132</definedName>
    <definedName name="v_5_XB">Model!$I$132</definedName>
    <definedName name="v_5_XB_e">Model!$J$132</definedName>
    <definedName name="v_5_XBSH">Model!$BP$132</definedName>
    <definedName name="v_5_XCaCO3">Model!$BN$132</definedName>
    <definedName name="v_5_XCASTO">Model!$S$132</definedName>
    <definedName name="v_5_XE">Model!$P$132</definedName>
    <definedName name="v_5_XE_ana">Model!$Q$132</definedName>
    <definedName name="v_5_XHAO_H">Model!$BG$132</definedName>
    <definedName name="v_5_XHAO_H_P">Model!$BJ$132</definedName>
    <definedName name="v_5_XHAO_H_P_old">Model!$BL$132</definedName>
    <definedName name="v_5_XHAO_L">Model!$BH$132</definedName>
    <definedName name="v_5_XHAO_L_P">Model!$BK$132</definedName>
    <definedName name="v_5_XHAO_L_P_old">Model!$BM$132</definedName>
    <definedName name="v_5_XHAO_old">Model!$BI$132</definedName>
    <definedName name="v_5_XHFO_H">Model!$AZ$132</definedName>
    <definedName name="v_5_XHFO_H_P">Model!$BC$132</definedName>
    <definedName name="v_5_XHFO_H_P_old">Model!$BE$132</definedName>
    <definedName name="v_5_XHFO_L">Model!$BA$132</definedName>
    <definedName name="v_5_XHFO_L_P">Model!$BD$132</definedName>
    <definedName name="v_5_XHFO_L_P_old">Model!$BF$132</definedName>
    <definedName name="v_5_XHFO_old">Model!$BB$132</definedName>
    <definedName name="v_5_XHMETO">Model!$Y$132</definedName>
    <definedName name="v_5_XINORG">Model!$AS$132</definedName>
    <definedName name="v_5_XMEOLO">Model!$T$132</definedName>
    <definedName name="v_5_XN_B">Model!$AF$132</definedName>
    <definedName name="v_5_XN_Be">Model!$AG$132</definedName>
    <definedName name="v_5_XN_U">Model!$AH$132</definedName>
    <definedName name="v_5_XNOB">Model!$V$132</definedName>
    <definedName name="v_5_XOHO">Model!$R$132</definedName>
    <definedName name="v_5_XP_B">Model!$AL$132</definedName>
    <definedName name="v_5_XP_Be">Model!$AM$132</definedName>
    <definedName name="v_5_XP_U">Model!$AN$132</definedName>
    <definedName name="v_5_XPFOA">Model!$BT$132</definedName>
    <definedName name="v_5_XPFOS">Model!$BV$132</definedName>
    <definedName name="v_5_XPHA_GAO">Model!$O$132</definedName>
    <definedName name="v_5_XPHA_PAO">Model!$N$132</definedName>
    <definedName name="v_5_XPP">Model!$AJ$132</definedName>
    <definedName name="v_5_XSTR">Model!$BQ$132</definedName>
    <definedName name="v_5_XU">Model!$M$132</definedName>
    <definedName name="v_5_XVivi">Model!$BR$132</definedName>
    <definedName name="v_50_CB">Model!$H$177</definedName>
    <definedName name="v_50_CU">Model!$L$177</definedName>
    <definedName name="v_50_GCH4">Model!$CA$177</definedName>
    <definedName name="v_50_GCH4_atm">Model!$CG$177</definedName>
    <definedName name="v_50_GCO2">Model!$BZ$177</definedName>
    <definedName name="v_50_GCO2_atm">Model!$CF$177</definedName>
    <definedName name="v_50_GH2">Model!$CB$177</definedName>
    <definedName name="v_50_GH2_atm">Model!$CH$177</definedName>
    <definedName name="v_50_GN2">Model!$CE$177</definedName>
    <definedName name="v_50_GN2_atm">Model!$CK$177</definedName>
    <definedName name="v_50_GNH3">Model!$CD$177</definedName>
    <definedName name="v_50_GNH3_atm">Model!$CJ$177</definedName>
    <definedName name="v_50_GO2">Model!$CC$177</definedName>
    <definedName name="v_50_GO2_atm">Model!$CI$177</definedName>
    <definedName name="v_50_SALPHA">Model!$BX$177</definedName>
    <definedName name="v_50_SAN">Model!$AU$177</definedName>
    <definedName name="v_50_SB">Model!$F$177</definedName>
    <definedName name="v_50_SCa">Model!$AV$177</definedName>
    <definedName name="v_50_SCAT">Model!$AT$177</definedName>
    <definedName name="v_50_SCH4">Model!$AP$177</definedName>
    <definedName name="v_50_SCO2">Model!$AR$177</definedName>
    <definedName name="v_50_SFe2">Model!$AY$177</definedName>
    <definedName name="v_50_SH">Model!$BW$177</definedName>
    <definedName name="v_50_SH2">Model!$AQ$177</definedName>
    <definedName name="v_50_SK">Model!$AX$177</definedName>
    <definedName name="v_50_SMEOL">Model!$G$177</definedName>
    <definedName name="v_50_SMg">Model!$AW$177</definedName>
    <definedName name="v_50_SN_B">Model!$AE$177</definedName>
    <definedName name="v_50_SN2">Model!$AD$177</definedName>
    <definedName name="v_50_SNHx">Model!$AA$177</definedName>
    <definedName name="v_50_SNO2">Model!$AB$177</definedName>
    <definedName name="v_50_SNO3">Model!$AC$177</definedName>
    <definedName name="v_50_SO2">Model!$AO$177</definedName>
    <definedName name="v_50_SORPswitch">Model!$BY$177</definedName>
    <definedName name="v_50_SP_B">Model!$AK$177</definedName>
    <definedName name="v_50_SPFOA">Model!$BS$177</definedName>
    <definedName name="v_50_SPFOS">Model!$BU$177</definedName>
    <definedName name="v_50_SPO4">Model!$AI$177</definedName>
    <definedName name="v_50_SU">Model!$K$177</definedName>
    <definedName name="v_50_SVFA">Model!$E$177</definedName>
    <definedName name="v_50_XACP">Model!$BO$177</definedName>
    <definedName name="v_50_XALGAE">Model!$Z$177</definedName>
    <definedName name="v_50_XAMETO">Model!$X$177</definedName>
    <definedName name="v_50_XAMX">Model!$W$177</definedName>
    <definedName name="v_50_XAOB">Model!$U$177</definedName>
    <definedName name="v_50_XB">Model!$I$177</definedName>
    <definedName name="v_50_XB_e">Model!$J$177</definedName>
    <definedName name="v_50_XBSH">Model!$BP$177</definedName>
    <definedName name="v_50_XCaCO3">Model!$BN$177</definedName>
    <definedName name="v_50_XCASTO">Model!$S$177</definedName>
    <definedName name="v_50_XE">Model!$P$177</definedName>
    <definedName name="v_50_XE_ana">Model!$Q$177</definedName>
    <definedName name="v_50_XHAO_H">Model!$BG$177</definedName>
    <definedName name="v_50_XHAO_H_P">Model!$BJ$177</definedName>
    <definedName name="v_50_XHAO_H_P_old">Model!$BL$177</definedName>
    <definedName name="v_50_XHAO_L">Model!$BH$177</definedName>
    <definedName name="v_50_XHAO_L_P">Model!$BK$177</definedName>
    <definedName name="v_50_XHAO_L_P_old">Model!$BM$177</definedName>
    <definedName name="v_50_XHAO_old">Model!$BI$177</definedName>
    <definedName name="v_50_XHFO_H">Model!$AZ$177</definedName>
    <definedName name="v_50_XHFO_H_P">Model!$BC$177</definedName>
    <definedName name="v_50_XHFO_H_P_old">Model!$BE$177</definedName>
    <definedName name="v_50_XHFO_L">Model!$BA$177</definedName>
    <definedName name="v_50_XHFO_L_P">Model!$BD$177</definedName>
    <definedName name="v_50_XHFO_L_P_old">Model!$BF$177</definedName>
    <definedName name="v_50_XHFO_old">Model!$BB$177</definedName>
    <definedName name="v_50_XHMETO">Model!$Y$177</definedName>
    <definedName name="v_50_XINORG">Model!$AS$177</definedName>
    <definedName name="v_50_XMEOLO">Model!$T$177</definedName>
    <definedName name="v_50_XN_B">Model!$AF$177</definedName>
    <definedName name="v_50_XN_Be">Model!$AG$177</definedName>
    <definedName name="v_50_XN_U">Model!$AH$177</definedName>
    <definedName name="v_50_XNOB">Model!$V$177</definedName>
    <definedName name="v_50_XOHO">Model!$R$177</definedName>
    <definedName name="v_50_XP_B">Model!$AL$177</definedName>
    <definedName name="v_50_XP_Be">Model!$AM$177</definedName>
    <definedName name="v_50_XP_U">Model!$AN$177</definedName>
    <definedName name="v_50_XPFOA">Model!$BT$177</definedName>
    <definedName name="v_50_XPFOS">Model!$BV$177</definedName>
    <definedName name="v_50_XPHA_GAO">Model!$O$177</definedName>
    <definedName name="v_50_XPHA_PAO">Model!$N$177</definedName>
    <definedName name="v_50_XPP">Model!$AJ$177</definedName>
    <definedName name="v_50_XSTR">Model!$BQ$177</definedName>
    <definedName name="v_50_XU">Model!$M$177</definedName>
    <definedName name="v_50_XVivi">Model!$BR$177</definedName>
    <definedName name="v_51_CB">Model!$H$178</definedName>
    <definedName name="v_51_CU">Model!$L$178</definedName>
    <definedName name="v_51_GCH4">Model!$CA$178</definedName>
    <definedName name="v_51_GCH4_atm">Model!$CG$178</definedName>
    <definedName name="v_51_GCO2">Model!$BZ$178</definedName>
    <definedName name="v_51_GCO2_atm">Model!$CF$178</definedName>
    <definedName name="v_51_GH2">Model!$CB$178</definedName>
    <definedName name="v_51_GH2_atm">Model!$CH$178</definedName>
    <definedName name="v_51_GN2">Model!$CE$178</definedName>
    <definedName name="v_51_GN2_atm">Model!$CK$178</definedName>
    <definedName name="v_51_GNH3">Model!$CD$178</definedName>
    <definedName name="v_51_GNH3_atm">Model!$CJ$178</definedName>
    <definedName name="v_51_GO2">Model!$CC$178</definedName>
    <definedName name="v_51_GO2_atm">Model!$CI$178</definedName>
    <definedName name="v_51_SALPHA">Model!$BX$178</definedName>
    <definedName name="v_51_SAN">Model!$AU$178</definedName>
    <definedName name="v_51_SB">Model!$F$178</definedName>
    <definedName name="v_51_SCa">Model!$AV$178</definedName>
    <definedName name="v_51_SCAT">Model!$AT$178</definedName>
    <definedName name="v_51_SCH4">Model!$AP$178</definedName>
    <definedName name="v_51_SCO2">Model!$AR$178</definedName>
    <definedName name="v_51_SFe2">Model!$AY$178</definedName>
    <definedName name="v_51_SH">Model!$BW$178</definedName>
    <definedName name="v_51_SH2">Model!$AQ$178</definedName>
    <definedName name="v_51_SK">Model!$AX$178</definedName>
    <definedName name="v_51_SMEOL">Model!$G$178</definedName>
    <definedName name="v_51_SMg">Model!$AW$178</definedName>
    <definedName name="v_51_SN_B">Model!$AE$178</definedName>
    <definedName name="v_51_SN2">Model!$AD$178</definedName>
    <definedName name="v_51_SNHx">Model!$AA$178</definedName>
    <definedName name="v_51_SNO2">Model!$AB$178</definedName>
    <definedName name="v_51_SNO3">Model!$AC$178</definedName>
    <definedName name="v_51_SO2">Model!$AO$178</definedName>
    <definedName name="v_51_SORPswitch">Model!$BY$178</definedName>
    <definedName name="v_51_SP_B">Model!$AK$178</definedName>
    <definedName name="v_51_SPFOA">Model!$BS$178</definedName>
    <definedName name="v_51_SPFOS">Model!$BU$178</definedName>
    <definedName name="v_51_SPO4">Model!$AI$178</definedName>
    <definedName name="v_51_SU">Model!$K$178</definedName>
    <definedName name="v_51_SVFA">Model!$E$178</definedName>
    <definedName name="v_51_XACP">Model!$BO$178</definedName>
    <definedName name="v_51_XALGAE">Model!$Z$178</definedName>
    <definedName name="v_51_XAMETO">Model!$X$178</definedName>
    <definedName name="v_51_XAMX">Model!$W$178</definedName>
    <definedName name="v_51_XAOB">Model!$U$178</definedName>
    <definedName name="v_51_XB">Model!$I$178</definedName>
    <definedName name="v_51_XB_e">Model!$J$178</definedName>
    <definedName name="v_51_XBSH">Model!$BP$178</definedName>
    <definedName name="v_51_XCaCO3">Model!$BN$178</definedName>
    <definedName name="v_51_XCASTO">Model!$S$178</definedName>
    <definedName name="v_51_XE">Model!$P$178</definedName>
    <definedName name="v_51_XE_ana">Model!$Q$178</definedName>
    <definedName name="v_51_XHAO_H">Model!$BG$178</definedName>
    <definedName name="v_51_XHAO_H_P">Model!$BJ$178</definedName>
    <definedName name="v_51_XHAO_H_P_old">Model!$BL$178</definedName>
    <definedName name="v_51_XHAO_L">Model!$BH$178</definedName>
    <definedName name="v_51_XHAO_L_P">Model!$BK$178</definedName>
    <definedName name="v_51_XHAO_L_P_old">Model!$BM$178</definedName>
    <definedName name="v_51_XHAO_old">Model!$BI$178</definedName>
    <definedName name="v_51_XHFO_H">Model!$AZ$178</definedName>
    <definedName name="v_51_XHFO_H_P">Model!$BC$178</definedName>
    <definedName name="v_51_XHFO_H_P_old">Model!$BE$178</definedName>
    <definedName name="v_51_XHFO_L">Model!$BA$178</definedName>
    <definedName name="v_51_XHFO_L_P">Model!$BD$178</definedName>
    <definedName name="v_51_XHFO_L_P_old">Model!$BF$178</definedName>
    <definedName name="v_51_XHFO_old">Model!$BB$178</definedName>
    <definedName name="v_51_XHMETO">Model!$Y$178</definedName>
    <definedName name="v_51_XINORG">Model!$AS$178</definedName>
    <definedName name="v_51_XMEOLO">Model!$T$178</definedName>
    <definedName name="v_51_XN_B">Model!$AF$178</definedName>
    <definedName name="v_51_XN_Be">Model!$AG$178</definedName>
    <definedName name="v_51_XN_U">Model!$AH$178</definedName>
    <definedName name="v_51_XNOB">Model!$V$178</definedName>
    <definedName name="v_51_XOHO">Model!$R$178</definedName>
    <definedName name="v_51_XP_B">Model!$AL$178</definedName>
    <definedName name="v_51_XP_Be">Model!$AM$178</definedName>
    <definedName name="v_51_XP_U">Model!$AN$178</definedName>
    <definedName name="v_51_XPFOA">Model!$BT$178</definedName>
    <definedName name="v_51_XPFOS">Model!$BV$178</definedName>
    <definedName name="v_51_XPHA_GAO">Model!$O$178</definedName>
    <definedName name="v_51_XPHA_PAO">Model!$N$178</definedName>
    <definedName name="v_51_XPP">Model!$AJ$178</definedName>
    <definedName name="v_51_XSTR">Model!$BQ$178</definedName>
    <definedName name="v_51_XU">Model!$M$178</definedName>
    <definedName name="v_51_XVivi">Model!$BR$178</definedName>
    <definedName name="v_52_CB">Model!$H$179</definedName>
    <definedName name="v_52_CU">Model!$L$179</definedName>
    <definedName name="v_52_GCH4">Model!$CA$179</definedName>
    <definedName name="v_52_GCH4_atm">Model!$CG$179</definedName>
    <definedName name="v_52_GCO2">Model!$BZ$179</definedName>
    <definedName name="v_52_GCO2_atm">Model!$CF$179</definedName>
    <definedName name="v_52_GH2">Model!$CB$179</definedName>
    <definedName name="v_52_GH2_atm">Model!$CH$179</definedName>
    <definedName name="v_52_GN2">Model!$CE$179</definedName>
    <definedName name="v_52_GN2_atm">Model!$CK$179</definedName>
    <definedName name="v_52_GNH3">Model!$CD$179</definedName>
    <definedName name="v_52_GNH3_atm">Model!$CJ$179</definedName>
    <definedName name="v_52_GO2">Model!$CC$179</definedName>
    <definedName name="v_52_GO2_atm">Model!$CI$179</definedName>
    <definedName name="v_52_SALPHA">Model!$BX$179</definedName>
    <definedName name="v_52_SAN">Model!$AU$179</definedName>
    <definedName name="v_52_SB">Model!$F$179</definedName>
    <definedName name="v_52_SCa">Model!$AV$179</definedName>
    <definedName name="v_52_SCAT">Model!$AT$179</definedName>
    <definedName name="v_52_SCH4">Model!$AP$179</definedName>
    <definedName name="v_52_SCO2">Model!$AR$179</definedName>
    <definedName name="v_52_SFe2">Model!$AY$179</definedName>
    <definedName name="v_52_SH">Model!$BW$179</definedName>
    <definedName name="v_52_SH2">Model!$AQ$179</definedName>
    <definedName name="v_52_SK">Model!$AX$179</definedName>
    <definedName name="v_52_SMEOL">Model!$G$179</definedName>
    <definedName name="v_52_SMg">Model!$AW$179</definedName>
    <definedName name="v_52_SN_B">Model!$AE$179</definedName>
    <definedName name="v_52_SN2">Model!$AD$179</definedName>
    <definedName name="v_52_SNHx">Model!$AA$179</definedName>
    <definedName name="v_52_SNO2">Model!$AB$179</definedName>
    <definedName name="v_52_SNO3">Model!$AC$179</definedName>
    <definedName name="v_52_SO2">Model!$AO$179</definedName>
    <definedName name="v_52_SORPswitch">Model!$BY$179</definedName>
    <definedName name="v_52_SP_B">Model!$AK$179</definedName>
    <definedName name="v_52_SPFOA">Model!$BS$179</definedName>
    <definedName name="v_52_SPFOS">Model!$BU$179</definedName>
    <definedName name="v_52_SPO4">Model!$AI$179</definedName>
    <definedName name="v_52_SU">Model!$K$179</definedName>
    <definedName name="v_52_SVFA">Model!$E$179</definedName>
    <definedName name="v_52_XACP">Model!$BO$179</definedName>
    <definedName name="v_52_XALGAE">Model!$Z$179</definedName>
    <definedName name="v_52_XAMETO">Model!$X$179</definedName>
    <definedName name="v_52_XAMX">Model!$W$179</definedName>
    <definedName name="v_52_XAOB">Model!$U$179</definedName>
    <definedName name="v_52_XB">Model!$I$179</definedName>
    <definedName name="v_52_XB_e">Model!$J$179</definedName>
    <definedName name="v_52_XBSH">Model!$BP$179</definedName>
    <definedName name="v_52_XCaCO3">Model!$BN$179</definedName>
    <definedName name="v_52_XCASTO">Model!$S$179</definedName>
    <definedName name="v_52_XE">Model!$P$179</definedName>
    <definedName name="v_52_XE_ana">Model!$Q$179</definedName>
    <definedName name="v_52_XHAO_H">Model!$BG$179</definedName>
    <definedName name="v_52_XHAO_H_P">Model!$BJ$179</definedName>
    <definedName name="v_52_XHAO_H_P_old">Model!$BL$179</definedName>
    <definedName name="v_52_XHAO_L">Model!$BH$179</definedName>
    <definedName name="v_52_XHAO_L_P">Model!$BK$179</definedName>
    <definedName name="v_52_XHAO_L_P_old">Model!$BM$179</definedName>
    <definedName name="v_52_XHAO_old">Model!$BI$179</definedName>
    <definedName name="v_52_XHFO_H">Model!$AZ$179</definedName>
    <definedName name="v_52_XHFO_H_P">Model!$BC$179</definedName>
    <definedName name="v_52_XHFO_H_P_old">Model!$BE$179</definedName>
    <definedName name="v_52_XHFO_L">Model!$BA$179</definedName>
    <definedName name="v_52_XHFO_L_P">Model!$BD$179</definedName>
    <definedName name="v_52_XHFO_L_P_old">Model!$BF$179</definedName>
    <definedName name="v_52_XHFO_old">Model!$BB$179</definedName>
    <definedName name="v_52_XHMETO">Model!$Y$179</definedName>
    <definedName name="v_52_XINORG">Model!$AS$179</definedName>
    <definedName name="v_52_XMEOLO">Model!$T$179</definedName>
    <definedName name="v_52_XN_B">Model!$AF$179</definedName>
    <definedName name="v_52_XN_Be">Model!$AG$179</definedName>
    <definedName name="v_52_XN_U">Model!$AH$179</definedName>
    <definedName name="v_52_XNOB">Model!$V$179</definedName>
    <definedName name="v_52_XOHO">Model!$R$179</definedName>
    <definedName name="v_52_XP_B">Model!$AL$179</definedName>
    <definedName name="v_52_XP_Be">Model!$AM$179</definedName>
    <definedName name="v_52_XP_U">Model!$AN$179</definedName>
    <definedName name="v_52_XPFOA">Model!$BT$179</definedName>
    <definedName name="v_52_XPFOS">Model!$BV$179</definedName>
    <definedName name="v_52_XPHA_GAO">Model!$O$179</definedName>
    <definedName name="v_52_XPHA_PAO">Model!$N$179</definedName>
    <definedName name="v_52_XPP">Model!$AJ$179</definedName>
    <definedName name="v_52_XSTR">Model!$BQ$179</definedName>
    <definedName name="v_52_XU">Model!$M$179</definedName>
    <definedName name="v_52_XVivi">Model!$BR$179</definedName>
    <definedName name="v_53_CB">Model!$H$180</definedName>
    <definedName name="v_53_CU">Model!$L$180</definedName>
    <definedName name="v_53_GCH4">Model!$CA$180</definedName>
    <definedName name="v_53_GCH4_atm">Model!$CG$180</definedName>
    <definedName name="v_53_GCO2">Model!$BZ$180</definedName>
    <definedName name="v_53_GCO2_atm">Model!$CF$180</definedName>
    <definedName name="v_53_GH2">Model!$CB$180</definedName>
    <definedName name="v_53_GH2_atm">Model!$CH$180</definedName>
    <definedName name="v_53_GN2">Model!$CE$180</definedName>
    <definedName name="v_53_GN2_atm">Model!$CK$180</definedName>
    <definedName name="v_53_GNH3">Model!$CD$180</definedName>
    <definedName name="v_53_GNH3_atm">Model!$CJ$180</definedName>
    <definedName name="v_53_GO2">Model!$CC$180</definedName>
    <definedName name="v_53_GO2_atm">Model!$CI$180</definedName>
    <definedName name="v_53_SALPHA">Model!$BX$180</definedName>
    <definedName name="v_53_SAN">Model!$AU$180</definedName>
    <definedName name="v_53_SB">Model!$F$180</definedName>
    <definedName name="v_53_SCa">Model!$AV$180</definedName>
    <definedName name="v_53_SCAT">Model!$AT$180</definedName>
    <definedName name="v_53_SCH4">Model!$AP$180</definedName>
    <definedName name="v_53_SCO2">Model!$AR$180</definedName>
    <definedName name="v_53_SFe2">Model!$AY$180</definedName>
    <definedName name="v_53_SH">Model!$BW$180</definedName>
    <definedName name="v_53_SH2">Model!$AQ$180</definedName>
    <definedName name="v_53_SK">Model!$AX$180</definedName>
    <definedName name="v_53_SMEOL">Model!$G$180</definedName>
    <definedName name="v_53_SMg">Model!$AW$180</definedName>
    <definedName name="v_53_SN_B">Model!$AE$180</definedName>
    <definedName name="v_53_SN2">Model!$AD$180</definedName>
    <definedName name="v_53_SNHx">Model!$AA$180</definedName>
    <definedName name="v_53_SNO2">Model!$AB$180</definedName>
    <definedName name="v_53_SNO3">Model!$AC$180</definedName>
    <definedName name="v_53_SO2">Model!$AO$180</definedName>
    <definedName name="v_53_SORPswitch">Model!$BY$180</definedName>
    <definedName name="v_53_SP_B">Model!$AK$180</definedName>
    <definedName name="v_53_SPFOA">Model!$BS$180</definedName>
    <definedName name="v_53_SPFOS">Model!$BU$180</definedName>
    <definedName name="v_53_SPO4">Model!$AI$180</definedName>
    <definedName name="v_53_SU">Model!$K$180</definedName>
    <definedName name="v_53_SVFA">Model!$E$180</definedName>
    <definedName name="v_53_XACP">Model!$BO$180</definedName>
    <definedName name="v_53_XALGAE">Model!$Z$180</definedName>
    <definedName name="v_53_XAMETO">Model!$X$180</definedName>
    <definedName name="v_53_XAMX">Model!$W$180</definedName>
    <definedName name="v_53_XAOB">Model!$U$180</definedName>
    <definedName name="v_53_XB">Model!$I$180</definedName>
    <definedName name="v_53_XB_e">Model!$J$180</definedName>
    <definedName name="v_53_XBSH">Model!$BP$180</definedName>
    <definedName name="v_53_XCaCO3">Model!$BN$180</definedName>
    <definedName name="v_53_XCASTO">Model!$S$180</definedName>
    <definedName name="v_53_XE">Model!$P$180</definedName>
    <definedName name="v_53_XE_ana">Model!$Q$180</definedName>
    <definedName name="v_53_XHAO_H">Model!$BG$180</definedName>
    <definedName name="v_53_XHAO_H_P">Model!$BJ$180</definedName>
    <definedName name="v_53_XHAO_H_P_old">Model!$BL$180</definedName>
    <definedName name="v_53_XHAO_L">Model!$BH$180</definedName>
    <definedName name="v_53_XHAO_L_P">Model!$BK$180</definedName>
    <definedName name="v_53_XHAO_L_P_old">Model!$BM$180</definedName>
    <definedName name="v_53_XHAO_old">Model!$BI$180</definedName>
    <definedName name="v_53_XHFO_H">Model!$AZ$180</definedName>
    <definedName name="v_53_XHFO_H_P">Model!$BC$180</definedName>
    <definedName name="v_53_XHFO_H_P_old">Model!$BE$180</definedName>
    <definedName name="v_53_XHFO_L">Model!$BA$180</definedName>
    <definedName name="v_53_XHFO_L_P">Model!$BD$180</definedName>
    <definedName name="v_53_XHFO_L_P_old">Model!$BF$180</definedName>
    <definedName name="v_53_XHFO_old">Model!$BB$180</definedName>
    <definedName name="v_53_XHMETO">Model!$Y$180</definedName>
    <definedName name="v_53_XINORG">Model!$AS$180</definedName>
    <definedName name="v_53_XMEOLO">Model!$T$180</definedName>
    <definedName name="v_53_XN_B">Model!$AF$180</definedName>
    <definedName name="v_53_XN_Be">Model!$AG$180</definedName>
    <definedName name="v_53_XN_U">Model!$AH$180</definedName>
    <definedName name="v_53_XNOB">Model!$V$180</definedName>
    <definedName name="v_53_XOHO">Model!$R$180</definedName>
    <definedName name="v_53_XP_B">Model!$AL$180</definedName>
    <definedName name="v_53_XP_Be">Model!$AM$180</definedName>
    <definedName name="v_53_XP_U">Model!$AN$180</definedName>
    <definedName name="v_53_XPFOA">Model!$BT$180</definedName>
    <definedName name="v_53_XPFOS">Model!$BV$180</definedName>
    <definedName name="v_53_XPHA_GAO">Model!$O$180</definedName>
    <definedName name="v_53_XPHA_PAO">Model!$N$180</definedName>
    <definedName name="v_53_XPP">Model!$AJ$180</definedName>
    <definedName name="v_53_XSTR">Model!$BQ$180</definedName>
    <definedName name="v_53_XU">Model!$M$180</definedName>
    <definedName name="v_53_XVivi">Model!$BR$180</definedName>
    <definedName name="v_54_CB">Model!$H$181</definedName>
    <definedName name="v_54_CU">Model!$L$181</definedName>
    <definedName name="v_54_GCH4">Model!$CA$181</definedName>
    <definedName name="v_54_GCH4_atm">Model!$CG$181</definedName>
    <definedName name="v_54_GCO2">Model!$BZ$181</definedName>
    <definedName name="v_54_GCO2_atm">Model!$CF$181</definedName>
    <definedName name="v_54_GH2">Model!$CB$181</definedName>
    <definedName name="v_54_GH2_atm">Model!$CH$181</definedName>
    <definedName name="v_54_GN2">Model!$CE$181</definedName>
    <definedName name="v_54_GN2_atm">Model!$CK$181</definedName>
    <definedName name="v_54_GNH3">Model!$CD$181</definedName>
    <definedName name="v_54_GNH3_atm">Model!$CJ$181</definedName>
    <definedName name="v_54_GO2">Model!$CC$181</definedName>
    <definedName name="v_54_GO2_atm">Model!$CI$181</definedName>
    <definedName name="v_54_SALPHA">Model!$BX$181</definedName>
    <definedName name="v_54_SAN">Model!$AU$181</definedName>
    <definedName name="v_54_SB">Model!$F$181</definedName>
    <definedName name="v_54_SCa">Model!$AV$181</definedName>
    <definedName name="v_54_SCAT">Model!$AT$181</definedName>
    <definedName name="v_54_SCH4">Model!$AP$181</definedName>
    <definedName name="v_54_SCO2">Model!$AR$181</definedName>
    <definedName name="v_54_SFe2">Model!$AY$181</definedName>
    <definedName name="v_54_SH">Model!$BW$181</definedName>
    <definedName name="v_54_SH2">Model!$AQ$181</definedName>
    <definedName name="v_54_SK">Model!$AX$181</definedName>
    <definedName name="v_54_SMEOL">Model!$G$181</definedName>
    <definedName name="v_54_SMg">Model!$AW$181</definedName>
    <definedName name="v_54_SN_B">Model!$AE$181</definedName>
    <definedName name="v_54_SN2">Model!$AD$181</definedName>
    <definedName name="v_54_SNHx">Model!$AA$181</definedName>
    <definedName name="v_54_SNO2">Model!$AB$181</definedName>
    <definedName name="v_54_SNO3">Model!$AC$181</definedName>
    <definedName name="v_54_SO2">Model!$AO$181</definedName>
    <definedName name="v_54_SORPswitch">Model!$BY$181</definedName>
    <definedName name="v_54_SP_B">Model!$AK$181</definedName>
    <definedName name="v_54_SPFOA">Model!$BS$181</definedName>
    <definedName name="v_54_SPFOS">Model!$BU$181</definedName>
    <definedName name="v_54_SPO4">Model!$AI$181</definedName>
    <definedName name="v_54_SU">Model!$K$181</definedName>
    <definedName name="v_54_SVFA">Model!$E$181</definedName>
    <definedName name="v_54_XACP">Model!$BO$181</definedName>
    <definedName name="v_54_XALGAE">Model!$Z$181</definedName>
    <definedName name="v_54_XAMETO">Model!$X$181</definedName>
    <definedName name="v_54_XAMX">Model!$W$181</definedName>
    <definedName name="v_54_XAOB">Model!$U$181</definedName>
    <definedName name="v_54_XB">Model!$I$181</definedName>
    <definedName name="v_54_XB_e">Model!$J$181</definedName>
    <definedName name="v_54_XBSH">Model!$BP$181</definedName>
    <definedName name="v_54_XCaCO3">Model!$BN$181</definedName>
    <definedName name="v_54_XCASTO">Model!$S$181</definedName>
    <definedName name="v_54_XE">Model!$P$181</definedName>
    <definedName name="v_54_XE_ana">Model!$Q$181</definedName>
    <definedName name="v_54_XHAO_H">Model!$BG$181</definedName>
    <definedName name="v_54_XHAO_H_P">Model!$BJ$181</definedName>
    <definedName name="v_54_XHAO_H_P_old">Model!$BL$181</definedName>
    <definedName name="v_54_XHAO_L">Model!$BH$181</definedName>
    <definedName name="v_54_XHAO_L_P">Model!$BK$181</definedName>
    <definedName name="v_54_XHAO_L_P_old">Model!$BM$181</definedName>
    <definedName name="v_54_XHAO_old">Model!$BI$181</definedName>
    <definedName name="v_54_XHFO_H">Model!$AZ$181</definedName>
    <definedName name="v_54_XHFO_H_P">Model!$BC$181</definedName>
    <definedName name="v_54_XHFO_H_P_old">Model!$BE$181</definedName>
    <definedName name="v_54_XHFO_L">Model!$BA$181</definedName>
    <definedName name="v_54_XHFO_L_P">Model!$BD$181</definedName>
    <definedName name="v_54_XHFO_L_P_old">Model!$BF$181</definedName>
    <definedName name="v_54_XHFO_old">Model!$BB$181</definedName>
    <definedName name="v_54_XHMETO">Model!$Y$181</definedName>
    <definedName name="v_54_XINORG">Model!$AS$181</definedName>
    <definedName name="v_54_XMEOLO">Model!$T$181</definedName>
    <definedName name="v_54_XN_B">Model!$AF$181</definedName>
    <definedName name="v_54_XN_Be">Model!$AG$181</definedName>
    <definedName name="v_54_XN_U">Model!$AH$181</definedName>
    <definedName name="v_54_XNOB">Model!$V$181</definedName>
    <definedName name="v_54_XOHO">Model!$R$181</definedName>
    <definedName name="v_54_XP_B">Model!$AL$181</definedName>
    <definedName name="v_54_XP_Be">Model!$AM$181</definedName>
    <definedName name="v_54_XP_U">Model!$AN$181</definedName>
    <definedName name="v_54_XPFOA">Model!$BT$181</definedName>
    <definedName name="v_54_XPFOS">Model!$BV$181</definedName>
    <definedName name="v_54_XPHA_GAO">Model!$O$181</definedName>
    <definedName name="v_54_XPHA_PAO">Model!$N$181</definedName>
    <definedName name="v_54_XPP">Model!$AJ$181</definedName>
    <definedName name="v_54_XSTR">Model!$BQ$181</definedName>
    <definedName name="v_54_XU">Model!$M$181</definedName>
    <definedName name="v_54_XVivi">Model!$BR$181</definedName>
    <definedName name="v_55_CB">Model!$H$182</definedName>
    <definedName name="v_55_CU">Model!$L$182</definedName>
    <definedName name="v_55_GCH4">Model!$CA$182</definedName>
    <definedName name="v_55_GCH4_atm">Model!$CG$182</definedName>
    <definedName name="v_55_GCO2">Model!$BZ$182</definedName>
    <definedName name="v_55_GCO2_atm">Model!$CF$182</definedName>
    <definedName name="v_55_GH2">Model!$CB$182</definedName>
    <definedName name="v_55_GH2_atm">Model!$CH$182</definedName>
    <definedName name="v_55_GN2">Model!$CE$182</definedName>
    <definedName name="v_55_GN2_atm">Model!$CK$182</definedName>
    <definedName name="v_55_GNH3">Model!$CD$182</definedName>
    <definedName name="v_55_GNH3_atm">Model!$CJ$182</definedName>
    <definedName name="v_55_GO2">Model!$CC$182</definedName>
    <definedName name="v_55_GO2_atm">Model!$CI$182</definedName>
    <definedName name="v_55_SALPHA">Model!$BX$182</definedName>
    <definedName name="v_55_SAN">Model!$AU$182</definedName>
    <definedName name="v_55_SB">Model!$F$182</definedName>
    <definedName name="v_55_SCa">Model!$AV$182</definedName>
    <definedName name="v_55_SCAT">Model!$AT$182</definedName>
    <definedName name="v_55_SCH4">Model!$AP$182</definedName>
    <definedName name="v_55_SCO2">Model!$AR$182</definedName>
    <definedName name="v_55_SFe2">Model!$AY$182</definedName>
    <definedName name="v_55_SH">Model!$BW$182</definedName>
    <definedName name="v_55_SH2">Model!$AQ$182</definedName>
    <definedName name="v_55_SK">Model!$AX$182</definedName>
    <definedName name="v_55_SMEOL">Model!$G$182</definedName>
    <definedName name="v_55_SMg">Model!$AW$182</definedName>
    <definedName name="v_55_SN_B">Model!$AE$182</definedName>
    <definedName name="v_55_SN2">Model!$AD$182</definedName>
    <definedName name="v_55_SNHx">Model!$AA$182</definedName>
    <definedName name="v_55_SNO2">Model!$AB$182</definedName>
    <definedName name="v_55_SNO3">Model!$AC$182</definedName>
    <definedName name="v_55_SO2">Model!$AO$182</definedName>
    <definedName name="v_55_SORPswitch">Model!$BY$182</definedName>
    <definedName name="v_55_SP_B">Model!$AK$182</definedName>
    <definedName name="v_55_SPFOA">Model!$BS$182</definedName>
    <definedName name="v_55_SPFOS">Model!$BU$182</definedName>
    <definedName name="v_55_SPO4">Model!$AI$182</definedName>
    <definedName name="v_55_SU">Model!$K$182</definedName>
    <definedName name="v_55_SVFA">Model!$E$182</definedName>
    <definedName name="v_55_XACP">Model!$BO$182</definedName>
    <definedName name="v_55_XALGAE">Model!$Z$182</definedName>
    <definedName name="v_55_XAMETO">Model!$X$182</definedName>
    <definedName name="v_55_XAMX">Model!$W$182</definedName>
    <definedName name="v_55_XAOB">Model!$U$182</definedName>
    <definedName name="v_55_XB">Model!$I$182</definedName>
    <definedName name="v_55_XB_e">Model!$J$182</definedName>
    <definedName name="v_55_XBSH">Model!$BP$182</definedName>
    <definedName name="v_55_XCaCO3">Model!$BN$182</definedName>
    <definedName name="v_55_XCASTO">Model!$S$182</definedName>
    <definedName name="v_55_XE">Model!$P$182</definedName>
    <definedName name="v_55_XE_ana">Model!$Q$182</definedName>
    <definedName name="v_55_XHAO_H">Model!$BG$182</definedName>
    <definedName name="v_55_XHAO_H_P">Model!$BJ$182</definedName>
    <definedName name="v_55_XHAO_H_P_old">Model!$BL$182</definedName>
    <definedName name="v_55_XHAO_L">Model!$BH$182</definedName>
    <definedName name="v_55_XHAO_L_P">Model!$BK$182</definedName>
    <definedName name="v_55_XHAO_L_P_old">Model!$BM$182</definedName>
    <definedName name="v_55_XHAO_old">Model!$BI$182</definedName>
    <definedName name="v_55_XHFO_H">Model!$AZ$182</definedName>
    <definedName name="v_55_XHFO_H_P">Model!$BC$182</definedName>
    <definedName name="v_55_XHFO_H_P_old">Model!$BE$182</definedName>
    <definedName name="v_55_XHFO_L">Model!$BA$182</definedName>
    <definedName name="v_55_XHFO_L_P">Model!$BD$182</definedName>
    <definedName name="v_55_XHFO_L_P_old">Model!$BF$182</definedName>
    <definedName name="v_55_XHFO_old">Model!$BB$182</definedName>
    <definedName name="v_55_XHMETO">Model!$Y$182</definedName>
    <definedName name="v_55_XINORG">Model!$AS$182</definedName>
    <definedName name="v_55_XMEOLO">Model!$T$182</definedName>
    <definedName name="v_55_XN_B">Model!$AF$182</definedName>
    <definedName name="v_55_XN_Be">Model!$AG$182</definedName>
    <definedName name="v_55_XN_U">Model!$AH$182</definedName>
    <definedName name="v_55_XNOB">Model!$V$182</definedName>
    <definedName name="v_55_XOHO">Model!$R$182</definedName>
    <definedName name="v_55_XP_B">Model!$AL$182</definedName>
    <definedName name="v_55_XP_Be">Model!$AM$182</definedName>
    <definedName name="v_55_XP_U">Model!$AN$182</definedName>
    <definedName name="v_55_XPFOA">Model!$BT$182</definedName>
    <definedName name="v_55_XPFOS">Model!$BV$182</definedName>
    <definedName name="v_55_XPHA_GAO">Model!$O$182</definedName>
    <definedName name="v_55_XPHA_PAO">Model!$N$182</definedName>
    <definedName name="v_55_XPP">Model!$AJ$182</definedName>
    <definedName name="v_55_XSTR">Model!$BQ$182</definedName>
    <definedName name="v_55_XU">Model!$M$182</definedName>
    <definedName name="v_55_XVivi">Model!$BR$182</definedName>
    <definedName name="v_56_CB">Model!$H$183</definedName>
    <definedName name="v_56_CU">Model!$L$183</definedName>
    <definedName name="v_56_GCH4">Model!$CA$183</definedName>
    <definedName name="v_56_GCH4_atm">Model!$CG$183</definedName>
    <definedName name="v_56_GCO2">Model!$BZ$183</definedName>
    <definedName name="v_56_GCO2_atm">Model!$CF$183</definedName>
    <definedName name="v_56_GH2">Model!$CB$183</definedName>
    <definedName name="v_56_GH2_atm">Model!$CH$183</definedName>
    <definedName name="v_56_GN2">Model!$CE$183</definedName>
    <definedName name="v_56_GN2_atm">Model!$CK$183</definedName>
    <definedName name="v_56_GNH3">Model!$CD$183</definedName>
    <definedName name="v_56_GNH3_atm">Model!$CJ$183</definedName>
    <definedName name="v_56_GO2">Model!$CC$183</definedName>
    <definedName name="v_56_GO2_atm">Model!$CI$183</definedName>
    <definedName name="v_56_SALPHA">Model!$BX$183</definedName>
    <definedName name="v_56_SAN">Model!$AU$183</definedName>
    <definedName name="v_56_SB">Model!$F$183</definedName>
    <definedName name="v_56_SCa">Model!$AV$183</definedName>
    <definedName name="v_56_SCAT">Model!$AT$183</definedName>
    <definedName name="v_56_SCH4">Model!$AP$183</definedName>
    <definedName name="v_56_SCO2">Model!$AR$183</definedName>
    <definedName name="v_56_SFe2">Model!$AY$183</definedName>
    <definedName name="v_56_SH">Model!$BW$183</definedName>
    <definedName name="v_56_SH2">Model!$AQ$183</definedName>
    <definedName name="v_56_SK">Model!$AX$183</definedName>
    <definedName name="v_56_SMEOL">Model!$G$183</definedName>
    <definedName name="v_56_SMg">Model!$AW$183</definedName>
    <definedName name="v_56_SN_B">Model!$AE$183</definedName>
    <definedName name="v_56_SN2">Model!$AD$183</definedName>
    <definedName name="v_56_SNHx">Model!$AA$183</definedName>
    <definedName name="v_56_SNO2">Model!$AB$183</definedName>
    <definedName name="v_56_SNO3">Model!$AC$183</definedName>
    <definedName name="v_56_SO2">Model!$AO$183</definedName>
    <definedName name="v_56_SORPswitch">Model!$BY$183</definedName>
    <definedName name="v_56_SP_B">Model!$AK$183</definedName>
    <definedName name="v_56_SPFOA">Model!$BS$183</definedName>
    <definedName name="v_56_SPFOS">Model!$BU$183</definedName>
    <definedName name="v_56_SPO4">Model!$AI$183</definedName>
    <definedName name="v_56_SU">Model!$K$183</definedName>
    <definedName name="v_56_SVFA">Model!$E$183</definedName>
    <definedName name="v_56_XACP">Model!$BO$183</definedName>
    <definedName name="v_56_XALGAE">Model!$Z$183</definedName>
    <definedName name="v_56_XAMETO">Model!$X$183</definedName>
    <definedName name="v_56_XAMX">Model!$W$183</definedName>
    <definedName name="v_56_XAOB">Model!$U$183</definedName>
    <definedName name="v_56_XB">Model!$I$183</definedName>
    <definedName name="v_56_XB_e">Model!$J$183</definedName>
    <definedName name="v_56_XBSH">Model!$BP$183</definedName>
    <definedName name="v_56_XCaCO3">Model!$BN$183</definedName>
    <definedName name="v_56_XCASTO">Model!$S$183</definedName>
    <definedName name="v_56_XE">Model!$P$183</definedName>
    <definedName name="v_56_XE_ana">Model!$Q$183</definedName>
    <definedName name="v_56_XHAO_H">Model!$BG$183</definedName>
    <definedName name="v_56_XHAO_H_P">Model!$BJ$183</definedName>
    <definedName name="v_56_XHAO_H_P_old">Model!$BL$183</definedName>
    <definedName name="v_56_XHAO_L">Model!$BH$183</definedName>
    <definedName name="v_56_XHAO_L_P">Model!$BK$183</definedName>
    <definedName name="v_56_XHAO_L_P_old">Model!$BM$183</definedName>
    <definedName name="v_56_XHAO_old">Model!$BI$183</definedName>
    <definedName name="v_56_XHFO_H">Model!$AZ$183</definedName>
    <definedName name="v_56_XHFO_H_P">Model!$BC$183</definedName>
    <definedName name="v_56_XHFO_H_P_old">Model!$BE$183</definedName>
    <definedName name="v_56_XHFO_L">Model!$BA$183</definedName>
    <definedName name="v_56_XHFO_L_P">Model!$BD$183</definedName>
    <definedName name="v_56_XHFO_L_P_old">Model!$BF$183</definedName>
    <definedName name="v_56_XHFO_old">Model!$BB$183</definedName>
    <definedName name="v_56_XHMETO">Model!$Y$183</definedName>
    <definedName name="v_56_XINORG">Model!$AS$183</definedName>
    <definedName name="v_56_XMEOLO">Model!$T$183</definedName>
    <definedName name="v_56_XN_B">Model!$AF$183</definedName>
    <definedName name="v_56_XN_Be">Model!$AG$183</definedName>
    <definedName name="v_56_XN_U">Model!$AH$183</definedName>
    <definedName name="v_56_XNOB">Model!$V$183</definedName>
    <definedName name="v_56_XOHO">Model!$R$183</definedName>
    <definedName name="v_56_XP_B">Model!$AL$183</definedName>
    <definedName name="v_56_XP_Be">Model!$AM$183</definedName>
    <definedName name="v_56_XP_U">Model!$AN$183</definedName>
    <definedName name="v_56_XPFOA">Model!$BT$183</definedName>
    <definedName name="v_56_XPFOS">Model!$BV$183</definedName>
    <definedName name="v_56_XPHA_GAO">Model!$O$183</definedName>
    <definedName name="v_56_XPHA_PAO">Model!$N$183</definedName>
    <definedName name="v_56_XPP">Model!$AJ$183</definedName>
    <definedName name="v_56_XSTR">Model!$BQ$183</definedName>
    <definedName name="v_56_XU">Model!$M$183</definedName>
    <definedName name="v_56_XVivi">Model!$BR$183</definedName>
    <definedName name="v_57_CB">Model!$H$184</definedName>
    <definedName name="v_57_CU">Model!$L$184</definedName>
    <definedName name="v_57_GCH4">Model!$CA$184</definedName>
    <definedName name="v_57_GCH4_atm">Model!$CG$184</definedName>
    <definedName name="v_57_GCO2">Model!$BZ$184</definedName>
    <definedName name="v_57_GCO2_atm">Model!$CF$184</definedName>
    <definedName name="v_57_GH2">Model!$CB$184</definedName>
    <definedName name="v_57_GH2_atm">Model!$CH$184</definedName>
    <definedName name="v_57_GN2">Model!$CE$184</definedName>
    <definedName name="v_57_GN2_atm">Model!$CK$184</definedName>
    <definedName name="v_57_GNH3">Model!$CD$184</definedName>
    <definedName name="v_57_GNH3_atm">Model!$CJ$184</definedName>
    <definedName name="v_57_GO2">Model!$CC$184</definedName>
    <definedName name="v_57_GO2_atm">Model!$CI$184</definedName>
    <definedName name="v_57_SALPHA">Model!$BX$184</definedName>
    <definedName name="v_57_SAN">Model!$AU$184</definedName>
    <definedName name="v_57_SB">Model!$F$184</definedName>
    <definedName name="v_57_SCa">Model!$AV$184</definedName>
    <definedName name="v_57_SCAT">Model!$AT$184</definedName>
    <definedName name="v_57_SCH4">Model!$AP$184</definedName>
    <definedName name="v_57_SCO2">Model!$AR$184</definedName>
    <definedName name="v_57_SFe2">Model!$AY$184</definedName>
    <definedName name="v_57_SH">Model!$BW$184</definedName>
    <definedName name="v_57_SH2">Model!$AQ$184</definedName>
    <definedName name="v_57_SK">Model!$AX$184</definedName>
    <definedName name="v_57_SMEOL">Model!$G$184</definedName>
    <definedName name="v_57_SMg">Model!$AW$184</definedName>
    <definedName name="v_57_SN_B">Model!$AE$184</definedName>
    <definedName name="v_57_SN2">Model!$AD$184</definedName>
    <definedName name="v_57_SNHx">Model!$AA$184</definedName>
    <definedName name="v_57_SNO2">Model!$AB$184</definedName>
    <definedName name="v_57_SNO3">Model!$AC$184</definedName>
    <definedName name="v_57_SO2">Model!$AO$184</definedName>
    <definedName name="v_57_SORPswitch">Model!$BY$184</definedName>
    <definedName name="v_57_SP_B">Model!$AK$184</definedName>
    <definedName name="v_57_SPFOA">Model!$BS$184</definedName>
    <definedName name="v_57_SPFOS">Model!$BU$184</definedName>
    <definedName name="v_57_SPO4">Model!$AI$184</definedName>
    <definedName name="v_57_SU">Model!$K$184</definedName>
    <definedName name="v_57_SVFA">Model!$E$184</definedName>
    <definedName name="v_57_XACP">Model!$BO$184</definedName>
    <definedName name="v_57_XALGAE">Model!$Z$184</definedName>
    <definedName name="v_57_XAMETO">Model!$X$184</definedName>
    <definedName name="v_57_XAMX">Model!$W$184</definedName>
    <definedName name="v_57_XAOB">Model!$U$184</definedName>
    <definedName name="v_57_XB">Model!$I$184</definedName>
    <definedName name="v_57_XB_e">Model!$J$184</definedName>
    <definedName name="v_57_XBSH">Model!$BP$184</definedName>
    <definedName name="v_57_XCaCO3">Model!$BN$184</definedName>
    <definedName name="v_57_XCASTO">Model!$S$184</definedName>
    <definedName name="v_57_XE">Model!$P$184</definedName>
    <definedName name="v_57_XE_ana">Model!$Q$184</definedName>
    <definedName name="v_57_XHAO_H">Model!$BG$184</definedName>
    <definedName name="v_57_XHAO_H_P">Model!$BJ$184</definedName>
    <definedName name="v_57_XHAO_H_P_old">Model!$BL$184</definedName>
    <definedName name="v_57_XHAO_L">Model!$BH$184</definedName>
    <definedName name="v_57_XHAO_L_P">Model!$BK$184</definedName>
    <definedName name="v_57_XHAO_L_P_old">Model!$BM$184</definedName>
    <definedName name="v_57_XHAO_old">Model!$BI$184</definedName>
    <definedName name="v_57_XHFO_H">Model!$AZ$184</definedName>
    <definedName name="v_57_XHFO_H_P">Model!$BC$184</definedName>
    <definedName name="v_57_XHFO_H_P_old">Model!$BE$184</definedName>
    <definedName name="v_57_XHFO_L">Model!$BA$184</definedName>
    <definedName name="v_57_XHFO_L_P">Model!$BD$184</definedName>
    <definedName name="v_57_XHFO_L_P_old">Model!$BF$184</definedName>
    <definedName name="v_57_XHFO_old">Model!$BB$184</definedName>
    <definedName name="v_57_XHMETO">Model!$Y$184</definedName>
    <definedName name="v_57_XINORG">Model!$AS$184</definedName>
    <definedName name="v_57_XMEOLO">Model!$T$184</definedName>
    <definedName name="v_57_XN_B">Model!$AF$184</definedName>
    <definedName name="v_57_XN_Be">Model!$AG$184</definedName>
    <definedName name="v_57_XN_U">Model!$AH$184</definedName>
    <definedName name="v_57_XNOB">Model!$V$184</definedName>
    <definedName name="v_57_XOHO">Model!$R$184</definedName>
    <definedName name="v_57_XP_B">Model!$AL$184</definedName>
    <definedName name="v_57_XP_Be">Model!$AM$184</definedName>
    <definedName name="v_57_XP_U">Model!$AN$184</definedName>
    <definedName name="v_57_XPFOA">Model!$BT$184</definedName>
    <definedName name="v_57_XPFOS">Model!$BV$184</definedName>
    <definedName name="v_57_XPHA_GAO">Model!$O$184</definedName>
    <definedName name="v_57_XPHA_PAO">Model!$N$184</definedName>
    <definedName name="v_57_XPP">Model!$AJ$184</definedName>
    <definedName name="v_57_XSTR">Model!$BQ$184</definedName>
    <definedName name="v_57_XU">Model!$M$184</definedName>
    <definedName name="v_57_XVivi">Model!$BR$184</definedName>
    <definedName name="v_58_CB">Model!$H$185</definedName>
    <definedName name="v_58_CU">Model!$L$185</definedName>
    <definedName name="v_58_GCH4">Model!$CA$185</definedName>
    <definedName name="v_58_GCH4_atm">Model!$CG$185</definedName>
    <definedName name="v_58_GCO2">Model!$BZ$185</definedName>
    <definedName name="v_58_GCO2_atm">Model!$CF$185</definedName>
    <definedName name="v_58_GH2">Model!$CB$185</definedName>
    <definedName name="v_58_GH2_atm">Model!$CH$185</definedName>
    <definedName name="v_58_GN2">Model!$CE$185</definedName>
    <definedName name="v_58_GN2_atm">Model!$CK$185</definedName>
    <definedName name="v_58_GNH3">Model!$CD$185</definedName>
    <definedName name="v_58_GNH3_atm">Model!$CJ$185</definedName>
    <definedName name="v_58_GO2">Model!$CC$185</definedName>
    <definedName name="v_58_GO2_atm">Model!$CI$185</definedName>
    <definedName name="v_58_SALPHA">Model!$BX$185</definedName>
    <definedName name="v_58_SAN">Model!$AU$185</definedName>
    <definedName name="v_58_SB">Model!$F$185</definedName>
    <definedName name="v_58_SCa">Model!$AV$185</definedName>
    <definedName name="v_58_SCAT">Model!$AT$185</definedName>
    <definedName name="v_58_SCH4">Model!$AP$185</definedName>
    <definedName name="v_58_SCO2">Model!$AR$185</definedName>
    <definedName name="v_58_SFe2">Model!$AY$185</definedName>
    <definedName name="v_58_SH">Model!$BW$185</definedName>
    <definedName name="v_58_SH2">Model!$AQ$185</definedName>
    <definedName name="v_58_SK">Model!$AX$185</definedName>
    <definedName name="v_58_SMEOL">Model!$G$185</definedName>
    <definedName name="v_58_SMg">Model!$AW$185</definedName>
    <definedName name="v_58_SN_B">Model!$AE$185</definedName>
    <definedName name="v_58_SN2">Model!$AD$185</definedName>
    <definedName name="v_58_SNHx">Model!$AA$185</definedName>
    <definedName name="v_58_SNO2">Model!$AB$185</definedName>
    <definedName name="v_58_SNO3">Model!$AC$185</definedName>
    <definedName name="v_58_SO2">Model!$AO$185</definedName>
    <definedName name="v_58_SORPswitch">Model!$BY$185</definedName>
    <definedName name="v_58_SP_B">Model!$AK$185</definedName>
    <definedName name="v_58_SPFOA">Model!$BS$185</definedName>
    <definedName name="v_58_SPFOS">Model!$BU$185</definedName>
    <definedName name="v_58_SPO4">Model!$AI$185</definedName>
    <definedName name="v_58_SU">Model!$K$185</definedName>
    <definedName name="v_58_SVFA">Model!$E$185</definedName>
    <definedName name="v_58_XACP">Model!$BO$185</definedName>
    <definedName name="v_58_XALGAE">Model!$Z$185</definedName>
    <definedName name="v_58_XAMETO">Model!$X$185</definedName>
    <definedName name="v_58_XAMX">Model!$W$185</definedName>
    <definedName name="v_58_XAOB">Model!$U$185</definedName>
    <definedName name="v_58_XB">Model!$I$185</definedName>
    <definedName name="v_58_XB_e">Model!$J$185</definedName>
    <definedName name="v_58_XBSH">Model!$BP$185</definedName>
    <definedName name="v_58_XCaCO3">Model!$BN$185</definedName>
    <definedName name="v_58_XCASTO">Model!$S$185</definedName>
    <definedName name="v_58_XE">Model!$P$185</definedName>
    <definedName name="v_58_XE_ana">Model!$Q$185</definedName>
    <definedName name="v_58_XHAO_H">Model!$BG$185</definedName>
    <definedName name="v_58_XHAO_H_P">Model!$BJ$185</definedName>
    <definedName name="v_58_XHAO_H_P_old">Model!$BL$185</definedName>
    <definedName name="v_58_XHAO_L">Model!$BH$185</definedName>
    <definedName name="v_58_XHAO_L_P">Model!$BK$185</definedName>
    <definedName name="v_58_XHAO_L_P_old">Model!$BM$185</definedName>
    <definedName name="v_58_XHAO_old">Model!$BI$185</definedName>
    <definedName name="v_58_XHFO_H">Model!$AZ$185</definedName>
    <definedName name="v_58_XHFO_H_P">Model!$BC$185</definedName>
    <definedName name="v_58_XHFO_H_P_old">Model!$BE$185</definedName>
    <definedName name="v_58_XHFO_L">Model!$BA$185</definedName>
    <definedName name="v_58_XHFO_L_P">Model!$BD$185</definedName>
    <definedName name="v_58_XHFO_L_P_old">Model!$BF$185</definedName>
    <definedName name="v_58_XHFO_old">Model!$BB$185</definedName>
    <definedName name="v_58_XHMETO">Model!$Y$185</definedName>
    <definedName name="v_58_XINORG">Model!$AS$185</definedName>
    <definedName name="v_58_XMEOLO">Model!$T$185</definedName>
    <definedName name="v_58_XN_B">Model!$AF$185</definedName>
    <definedName name="v_58_XN_Be">Model!$AG$185</definedName>
    <definedName name="v_58_XN_U">Model!$AH$185</definedName>
    <definedName name="v_58_XNOB">Model!$V$185</definedName>
    <definedName name="v_58_XOHO">Model!$R$185</definedName>
    <definedName name="v_58_XP_B">Model!$AL$185</definedName>
    <definedName name="v_58_XP_Be">Model!$AM$185</definedName>
    <definedName name="v_58_XP_U">Model!$AN$185</definedName>
    <definedName name="v_58_XPFOA">Model!$BT$185</definedName>
    <definedName name="v_58_XPFOS">Model!$BV$185</definedName>
    <definedName name="v_58_XPHA_GAO">Model!$O$185</definedName>
    <definedName name="v_58_XPHA_PAO">Model!$N$185</definedName>
    <definedName name="v_58_XPP">Model!$AJ$185</definedName>
    <definedName name="v_58_XSTR">Model!$BQ$185</definedName>
    <definedName name="v_58_XU">Model!$M$185</definedName>
    <definedName name="v_58_XVivi">Model!$BR$185</definedName>
    <definedName name="v_59_CB">Model!$H$186</definedName>
    <definedName name="v_59_CU">Model!$L$186</definedName>
    <definedName name="v_59_GCH4">Model!$CA$186</definedName>
    <definedName name="v_59_GCH4_atm">Model!$CG$186</definedName>
    <definedName name="v_59_GCO2">Model!$BZ$186</definedName>
    <definedName name="v_59_GCO2_atm">Model!$CF$186</definedName>
    <definedName name="v_59_GH2">Model!$CB$186</definedName>
    <definedName name="v_59_GH2_atm">Model!$CH$186</definedName>
    <definedName name="v_59_GN2">Model!$CE$186</definedName>
    <definedName name="v_59_GN2_atm">Model!$CK$186</definedName>
    <definedName name="v_59_GNH3">Model!$CD$186</definedName>
    <definedName name="v_59_GNH3_atm">Model!$CJ$186</definedName>
    <definedName name="v_59_GO2">Model!$CC$186</definedName>
    <definedName name="v_59_GO2_atm">Model!$CI$186</definedName>
    <definedName name="v_59_SALPHA">Model!$BX$186</definedName>
    <definedName name="v_59_SAN">Model!$AU$186</definedName>
    <definedName name="v_59_SB">Model!$F$186</definedName>
    <definedName name="v_59_SCa">Model!$AV$186</definedName>
    <definedName name="v_59_SCAT">Model!$AT$186</definedName>
    <definedName name="v_59_SCH4">Model!$AP$186</definedName>
    <definedName name="v_59_SCO2">Model!$AR$186</definedName>
    <definedName name="v_59_SFe2">Model!$AY$186</definedName>
    <definedName name="v_59_SH">Model!$BW$186</definedName>
    <definedName name="v_59_SH2">Model!$AQ$186</definedName>
    <definedName name="v_59_SK">Model!$AX$186</definedName>
    <definedName name="v_59_SMEOL">Model!$G$186</definedName>
    <definedName name="v_59_SMg">Model!$AW$186</definedName>
    <definedName name="v_59_SN_B">Model!$AE$186</definedName>
    <definedName name="v_59_SN2">Model!$AD$186</definedName>
    <definedName name="v_59_SNHx">Model!$AA$186</definedName>
    <definedName name="v_59_SNO2">Model!$AB$186</definedName>
    <definedName name="v_59_SNO3">Model!$AC$186</definedName>
    <definedName name="v_59_SO2">Model!$AO$186</definedName>
    <definedName name="v_59_SORPswitch">Model!$BY$186</definedName>
    <definedName name="v_59_SP_B">Model!$AK$186</definedName>
    <definedName name="v_59_SPFOA">Model!$BS$186</definedName>
    <definedName name="v_59_SPFOS">Model!$BU$186</definedName>
    <definedName name="v_59_SPO4">Model!$AI$186</definedName>
    <definedName name="v_59_SU">Model!$K$186</definedName>
    <definedName name="v_59_SVFA">Model!$E$186</definedName>
    <definedName name="v_59_XACP">Model!$BO$186</definedName>
    <definedName name="v_59_XALGAE">Model!$Z$186</definedName>
    <definedName name="v_59_XAMETO">Model!$X$186</definedName>
    <definedName name="v_59_XAMX">Model!$W$186</definedName>
    <definedName name="v_59_XAOB">Model!$U$186</definedName>
    <definedName name="v_59_XB">Model!$I$186</definedName>
    <definedName name="v_59_XB_e">Model!$J$186</definedName>
    <definedName name="v_59_XBSH">Model!$BP$186</definedName>
    <definedName name="v_59_XCaCO3">Model!$BN$186</definedName>
    <definedName name="v_59_XCASTO">Model!$S$186</definedName>
    <definedName name="v_59_XE">Model!$P$186</definedName>
    <definedName name="v_59_XE_ana">Model!$Q$186</definedName>
    <definedName name="v_59_XHAO_H">Model!$BG$186</definedName>
    <definedName name="v_59_XHAO_H_P">Model!$BJ$186</definedName>
    <definedName name="v_59_XHAO_H_P_old">Model!$BL$186</definedName>
    <definedName name="v_59_XHAO_L">Model!$BH$186</definedName>
    <definedName name="v_59_XHAO_L_P">Model!$BK$186</definedName>
    <definedName name="v_59_XHAO_L_P_old">Model!$BM$186</definedName>
    <definedName name="v_59_XHAO_old">Model!$BI$186</definedName>
    <definedName name="v_59_XHFO_H">Model!$AZ$186</definedName>
    <definedName name="v_59_XHFO_H_P">Model!$BC$186</definedName>
    <definedName name="v_59_XHFO_H_P_old">Model!$BE$186</definedName>
    <definedName name="v_59_XHFO_L">Model!$BA$186</definedName>
    <definedName name="v_59_XHFO_L_P">Model!$BD$186</definedName>
    <definedName name="v_59_XHFO_L_P_old">Model!$BF$186</definedName>
    <definedName name="v_59_XHFO_old">Model!$BB$186</definedName>
    <definedName name="v_59_XHMETO">Model!$Y$186</definedName>
    <definedName name="v_59_XINORG">Model!$AS$186</definedName>
    <definedName name="v_59_XMEOLO">Model!$T$186</definedName>
    <definedName name="v_59_XN_B">Model!$AF$186</definedName>
    <definedName name="v_59_XN_Be">Model!$AG$186</definedName>
    <definedName name="v_59_XN_U">Model!$AH$186</definedName>
    <definedName name="v_59_XNOB">Model!$V$186</definedName>
    <definedName name="v_59_XOHO">Model!$R$186</definedName>
    <definedName name="v_59_XP_B">Model!$AL$186</definedName>
    <definedName name="v_59_XP_Be">Model!$AM$186</definedName>
    <definedName name="v_59_XP_U">Model!$AN$186</definedName>
    <definedName name="v_59_XPFOA">Model!$BT$186</definedName>
    <definedName name="v_59_XPFOS">Model!$BV$186</definedName>
    <definedName name="v_59_XPHA_GAO">Model!$O$186</definedName>
    <definedName name="v_59_XPHA_PAO">Model!$N$186</definedName>
    <definedName name="v_59_XPP">Model!$AJ$186</definedName>
    <definedName name="v_59_XSTR">Model!$BQ$186</definedName>
    <definedName name="v_59_XU">Model!$M$186</definedName>
    <definedName name="v_59_XVivi">Model!$BR$186</definedName>
    <definedName name="v_6_CB">Model!$H$133</definedName>
    <definedName name="v_6_CU">Model!$L$133</definedName>
    <definedName name="v_6_GCH4">Model!$CA$133</definedName>
    <definedName name="v_6_GCH4_atm">Model!$CG$133</definedName>
    <definedName name="v_6_GCO2">Model!$BZ$133</definedName>
    <definedName name="v_6_GCO2_atm">Model!$CF$133</definedName>
    <definedName name="v_6_GH2">Model!$CB$133</definedName>
    <definedName name="v_6_GH2_atm">Model!$CH$133</definedName>
    <definedName name="v_6_GN2">Model!$CE$133</definedName>
    <definedName name="v_6_GN2_atm">Model!$CK$133</definedName>
    <definedName name="v_6_GNH3">Model!$CD$133</definedName>
    <definedName name="v_6_GNH3_atm">Model!$CJ$133</definedName>
    <definedName name="v_6_GO2">Model!$CC$133</definedName>
    <definedName name="v_6_GO2_atm">Model!$CI$133</definedName>
    <definedName name="v_6_SALPHA">Model!$BX$133</definedName>
    <definedName name="v_6_SAN">Model!$AU$133</definedName>
    <definedName name="v_6_SB">Model!$F$133</definedName>
    <definedName name="v_6_SCa">Model!$AV$133</definedName>
    <definedName name="v_6_SCAT">Model!$AT$133</definedName>
    <definedName name="v_6_SCH4">Model!$AP$133</definedName>
    <definedName name="v_6_SCO2">Model!$AR$133</definedName>
    <definedName name="v_6_SFe2">Model!$AY$133</definedName>
    <definedName name="v_6_SH">Model!$BW$133</definedName>
    <definedName name="v_6_SH2">Model!$AQ$133</definedName>
    <definedName name="v_6_SK">Model!$AX$133</definedName>
    <definedName name="v_6_SMEOL">Model!$G$133</definedName>
    <definedName name="v_6_SMg">Model!$AW$133</definedName>
    <definedName name="v_6_SN_B">Model!$AE$133</definedName>
    <definedName name="v_6_SN2">Model!$AD$133</definedName>
    <definedName name="v_6_SNHx">Model!$AA$133</definedName>
    <definedName name="v_6_SNO2">Model!$AB$133</definedName>
    <definedName name="v_6_SNO3">Model!$AC$133</definedName>
    <definedName name="v_6_SO2">Model!$AO$133</definedName>
    <definedName name="v_6_SORPswitch">Model!$BY$133</definedName>
    <definedName name="v_6_SP_B">Model!$AK$133</definedName>
    <definedName name="v_6_SPFOA">Model!$BS$133</definedName>
    <definedName name="v_6_SPFOS">Model!$BU$133</definedName>
    <definedName name="v_6_SPO4">Model!$AI$133</definedName>
    <definedName name="v_6_SU">Model!$K$133</definedName>
    <definedName name="v_6_SVFA">Model!$E$133</definedName>
    <definedName name="v_6_XACP">Model!$BO$133</definedName>
    <definedName name="v_6_XALGAE">Model!$Z$133</definedName>
    <definedName name="v_6_XAMETO">Model!$X$133</definedName>
    <definedName name="v_6_XAMX">Model!$W$133</definedName>
    <definedName name="v_6_XAOB">Model!$U$133</definedName>
    <definedName name="v_6_XB">Model!$I$133</definedName>
    <definedName name="v_6_XB_e">Model!$J$133</definedName>
    <definedName name="v_6_XBSH">Model!$BP$133</definedName>
    <definedName name="v_6_XCaCO3">Model!$BN$133</definedName>
    <definedName name="v_6_XCASTO">Model!$S$133</definedName>
    <definedName name="v_6_XE">Model!$P$133</definedName>
    <definedName name="v_6_XE_ana">Model!$Q$133</definedName>
    <definedName name="v_6_XHAO_H">Model!$BG$133</definedName>
    <definedName name="v_6_XHAO_H_P">Model!$BJ$133</definedName>
    <definedName name="v_6_XHAO_H_P_old">Model!$BL$133</definedName>
    <definedName name="v_6_XHAO_L">Model!$BH$133</definedName>
    <definedName name="v_6_XHAO_L_P">Model!$BK$133</definedName>
    <definedName name="v_6_XHAO_L_P_old">Model!$BM$133</definedName>
    <definedName name="v_6_XHAO_old">Model!$BI$133</definedName>
    <definedName name="v_6_XHFO_H">Model!$AZ$133</definedName>
    <definedName name="v_6_XHFO_H_P">Model!$BC$133</definedName>
    <definedName name="v_6_XHFO_H_P_old">Model!$BE$133</definedName>
    <definedName name="v_6_XHFO_L">Model!$BA$133</definedName>
    <definedName name="v_6_XHFO_L_P">Model!$BD$133</definedName>
    <definedName name="v_6_XHFO_L_P_old">Model!$BF$133</definedName>
    <definedName name="v_6_XHFO_old">Model!$BB$133</definedName>
    <definedName name="v_6_XHMETO">Model!$Y$133</definedName>
    <definedName name="v_6_XINORG">Model!$AS$133</definedName>
    <definedName name="v_6_XMEOLO">Model!$T$133</definedName>
    <definedName name="v_6_XN_B">Model!$AF$133</definedName>
    <definedName name="v_6_XN_Be">Model!$AG$133</definedName>
    <definedName name="v_6_XN_U">Model!$AH$133</definedName>
    <definedName name="v_6_XNOB">Model!$V$133</definedName>
    <definedName name="v_6_XOHO">Model!$R$133</definedName>
    <definedName name="v_6_XP_B">Model!$AL$133</definedName>
    <definedName name="v_6_XP_Be">Model!$AM$133</definedName>
    <definedName name="v_6_XP_U">Model!$AN$133</definedName>
    <definedName name="v_6_XPFOA">Model!$BT$133</definedName>
    <definedName name="v_6_XPFOS">Model!$BV$133</definedName>
    <definedName name="v_6_XPHA_GAO">Model!$O$133</definedName>
    <definedName name="v_6_XPHA_PAO">Model!$N$133</definedName>
    <definedName name="v_6_XPP">Model!$AJ$133</definedName>
    <definedName name="v_6_XSTR">Model!$BQ$133</definedName>
    <definedName name="v_6_XU">Model!$M$133</definedName>
    <definedName name="v_6_XVivi">Model!$BR$133</definedName>
    <definedName name="v_60_CB">Model!$H$187</definedName>
    <definedName name="v_60_CU">Model!$L$187</definedName>
    <definedName name="v_60_GCH4">Model!$CA$187</definedName>
    <definedName name="v_60_GCH4_atm">Model!$CG$187</definedName>
    <definedName name="v_60_GCO2">Model!$BZ$187</definedName>
    <definedName name="v_60_GCO2_atm">Model!$CF$187</definedName>
    <definedName name="v_60_GH2">Model!$CB$187</definedName>
    <definedName name="v_60_GH2_atm">Model!$CH$187</definedName>
    <definedName name="v_60_GN2">Model!$CE$187</definedName>
    <definedName name="v_60_GN2_atm">Model!$CK$187</definedName>
    <definedName name="v_60_GNH3">Model!$CD$187</definedName>
    <definedName name="v_60_GNH3_atm">Model!$CJ$187</definedName>
    <definedName name="v_60_GO2">Model!$CC$187</definedName>
    <definedName name="v_60_GO2_atm">Model!$CI$187</definedName>
    <definedName name="v_60_SALPHA">Model!$BX$187</definedName>
    <definedName name="v_60_SAN">Model!$AU$187</definedName>
    <definedName name="v_60_SB">Model!$F$187</definedName>
    <definedName name="v_60_SCa">Model!$AV$187</definedName>
    <definedName name="v_60_SCAT">Model!$AT$187</definedName>
    <definedName name="v_60_SCH4">Model!$AP$187</definedName>
    <definedName name="v_60_SCO2">Model!$AR$187</definedName>
    <definedName name="v_60_SFe2">Model!$AY$187</definedName>
    <definedName name="v_60_SH">Model!$BW$187</definedName>
    <definedName name="v_60_SH2">Model!$AQ$187</definedName>
    <definedName name="v_60_SK">Model!$AX$187</definedName>
    <definedName name="v_60_SMEOL">Model!$G$187</definedName>
    <definedName name="v_60_SMg">Model!$AW$187</definedName>
    <definedName name="v_60_SN_B">Model!$AE$187</definedName>
    <definedName name="v_60_SN2">Model!$AD$187</definedName>
    <definedName name="v_60_SNHx">Model!$AA$187</definedName>
    <definedName name="v_60_SNO2">Model!$AB$187</definedName>
    <definedName name="v_60_SNO3">Model!$AC$187</definedName>
    <definedName name="v_60_SO2">Model!$AO$187</definedName>
    <definedName name="v_60_SORPswitch">Model!$BY$187</definedName>
    <definedName name="v_60_SP_B">Model!$AK$187</definedName>
    <definedName name="v_60_SPFOA">Model!$BS$187</definedName>
    <definedName name="v_60_SPFOS">Model!$BU$187</definedName>
    <definedName name="v_60_SPO4">Model!$AI$187</definedName>
    <definedName name="v_60_SU">Model!$K$187</definedName>
    <definedName name="v_60_SVFA">Model!$E$187</definedName>
    <definedName name="v_60_XACP">Model!$BO$187</definedName>
    <definedName name="v_60_XALGAE">Model!$Z$187</definedName>
    <definedName name="v_60_XAMETO">Model!$X$187</definedName>
    <definedName name="v_60_XAMX">Model!$W$187</definedName>
    <definedName name="v_60_XAOB">Model!$U$187</definedName>
    <definedName name="v_60_XB">Model!$I$187</definedName>
    <definedName name="v_60_XB_e">Model!$J$187</definedName>
    <definedName name="v_60_XBSH">Model!$BP$187</definedName>
    <definedName name="v_60_XCaCO3">Model!$BN$187</definedName>
    <definedName name="v_60_XCASTO">Model!$S$187</definedName>
    <definedName name="v_60_XE">Model!$P$187</definedName>
    <definedName name="v_60_XE_ana">Model!$Q$187</definedName>
    <definedName name="v_60_XHAO_H">Model!$BG$187</definedName>
    <definedName name="v_60_XHAO_H_P">Model!$BJ$187</definedName>
    <definedName name="v_60_XHAO_H_P_old">Model!$BL$187</definedName>
    <definedName name="v_60_XHAO_L">Model!$BH$187</definedName>
    <definedName name="v_60_XHAO_L_P">Model!$BK$187</definedName>
    <definedName name="v_60_XHAO_L_P_old">Model!$BM$187</definedName>
    <definedName name="v_60_XHAO_old">Model!$BI$187</definedName>
    <definedName name="v_60_XHFO_H">Model!$AZ$187</definedName>
    <definedName name="v_60_XHFO_H_P">Model!$BC$187</definedName>
    <definedName name="v_60_XHFO_H_P_old">Model!$BE$187</definedName>
    <definedName name="v_60_XHFO_L">Model!$BA$187</definedName>
    <definedName name="v_60_XHFO_L_P">Model!$BD$187</definedName>
    <definedName name="v_60_XHFO_L_P_old">Model!$BF$187</definedName>
    <definedName name="v_60_XHFO_old">Model!$BB$187</definedName>
    <definedName name="v_60_XHMETO">Model!$Y$187</definedName>
    <definedName name="v_60_XINORG">Model!$AS$187</definedName>
    <definedName name="v_60_XMEOLO">Model!$T$187</definedName>
    <definedName name="v_60_XN_B">Model!$AF$187</definedName>
    <definedName name="v_60_XN_Be">Model!$AG$187</definedName>
    <definedName name="v_60_XN_U">Model!$AH$187</definedName>
    <definedName name="v_60_XNOB">Model!$V$187</definedName>
    <definedName name="v_60_XOHO">Model!$R$187</definedName>
    <definedName name="v_60_XP_B">Model!$AL$187</definedName>
    <definedName name="v_60_XP_Be">Model!$AM$187</definedName>
    <definedName name="v_60_XP_U">Model!$AN$187</definedName>
    <definedName name="v_60_XPFOA">Model!$BT$187</definedName>
    <definedName name="v_60_XPFOS">Model!$BV$187</definedName>
    <definedName name="v_60_XPHA_GAO">Model!$O$187</definedName>
    <definedName name="v_60_XPHA_PAO">Model!$N$187</definedName>
    <definedName name="v_60_XPP">Model!$AJ$187</definedName>
    <definedName name="v_60_XSTR">Model!$BQ$187</definedName>
    <definedName name="v_60_XU">Model!$M$187</definedName>
    <definedName name="v_60_XVivi">Model!$BR$187</definedName>
    <definedName name="v_61_CB">Model!$H$188</definedName>
    <definedName name="v_61_CU">Model!$L$188</definedName>
    <definedName name="v_61_GCH4">Model!$CA$188</definedName>
    <definedName name="v_61_GCH4_atm">Model!$CG$188</definedName>
    <definedName name="v_61_GCO2">Model!$BZ$188</definedName>
    <definedName name="v_61_GCO2_atm">Model!$CF$188</definedName>
    <definedName name="v_61_GH2">Model!$CB$188</definedName>
    <definedName name="v_61_GH2_atm">Model!$CH$188</definedName>
    <definedName name="v_61_GN2">Model!$CE$188</definedName>
    <definedName name="v_61_GN2_atm">Model!$CK$188</definedName>
    <definedName name="v_61_GNH3">Model!$CD$188</definedName>
    <definedName name="v_61_GNH3_atm">Model!$CJ$188</definedName>
    <definedName name="v_61_GO2">Model!$CC$188</definedName>
    <definedName name="v_61_GO2_atm">Model!$CI$188</definedName>
    <definedName name="v_61_SALPHA">Model!$BX$188</definedName>
    <definedName name="v_61_SAN">Model!$AU$188</definedName>
    <definedName name="v_61_SB">Model!$F$188</definedName>
    <definedName name="v_61_SCa">Model!$AV$188</definedName>
    <definedName name="v_61_SCAT">Model!$AT$188</definedName>
    <definedName name="v_61_SCH4">Model!$AP$188</definedName>
    <definedName name="v_61_SCO2">Model!$AR$188</definedName>
    <definedName name="v_61_SFe2">Model!$AY$188</definedName>
    <definedName name="v_61_SH">Model!$BW$188</definedName>
    <definedName name="v_61_SH2">Model!$AQ$188</definedName>
    <definedName name="v_61_SK">Model!$AX$188</definedName>
    <definedName name="v_61_SMEOL">Model!$G$188</definedName>
    <definedName name="v_61_SMg">Model!$AW$188</definedName>
    <definedName name="v_61_SN_B">Model!$AE$188</definedName>
    <definedName name="v_61_SN2">Model!$AD$188</definedName>
    <definedName name="v_61_SNHx">Model!$AA$188</definedName>
    <definedName name="v_61_SNO2">Model!$AB$188</definedName>
    <definedName name="v_61_SNO3">Model!$AC$188</definedName>
    <definedName name="v_61_SO2">Model!$AO$188</definedName>
    <definedName name="v_61_SORPswitch">Model!$BY$188</definedName>
    <definedName name="v_61_SP_B">Model!$AK$188</definedName>
    <definedName name="v_61_SPFOA">Model!$BS$188</definedName>
    <definedName name="v_61_SPFOS">Model!$BU$188</definedName>
    <definedName name="v_61_SPO4">Model!$AI$188</definedName>
    <definedName name="v_61_SU">Model!$K$188</definedName>
    <definedName name="v_61_SVFA">Model!$E$188</definedName>
    <definedName name="v_61_XACP">Model!$BO$188</definedName>
    <definedName name="v_61_XALGAE">Model!$Z$188</definedName>
    <definedName name="v_61_XAMETO">Model!$X$188</definedName>
    <definedName name="v_61_XAMX">Model!$W$188</definedName>
    <definedName name="v_61_XAOB">Model!$U$188</definedName>
    <definedName name="v_61_XB">Model!$I$188</definedName>
    <definedName name="v_61_XB_e">Model!$J$188</definedName>
    <definedName name="v_61_XBSH">Model!$BP$188</definedName>
    <definedName name="v_61_XCaCO3">Model!$BN$188</definedName>
    <definedName name="v_61_XCASTO">Model!$S$188</definedName>
    <definedName name="v_61_XE">Model!$P$188</definedName>
    <definedName name="v_61_XE_ana">Model!$Q$188</definedName>
    <definedName name="v_61_XHAO_H">Model!$BG$188</definedName>
    <definedName name="v_61_XHAO_H_P">Model!$BJ$188</definedName>
    <definedName name="v_61_XHAO_H_P_old">Model!$BL$188</definedName>
    <definedName name="v_61_XHAO_L">Model!$BH$188</definedName>
    <definedName name="v_61_XHAO_L_P">Model!$BK$188</definedName>
    <definedName name="v_61_XHAO_L_P_old">Model!$BM$188</definedName>
    <definedName name="v_61_XHAO_old">Model!$BI$188</definedName>
    <definedName name="v_61_XHFO_H">Model!$AZ$188</definedName>
    <definedName name="v_61_XHFO_H_P">Model!$BC$188</definedName>
    <definedName name="v_61_XHFO_H_P_old">Model!$BE$188</definedName>
    <definedName name="v_61_XHFO_L">Model!$BA$188</definedName>
    <definedName name="v_61_XHFO_L_P">Model!$BD$188</definedName>
    <definedName name="v_61_XHFO_L_P_old">Model!$BF$188</definedName>
    <definedName name="v_61_XHFO_old">Model!$BB$188</definedName>
    <definedName name="v_61_XHMETO">Model!$Y$188</definedName>
    <definedName name="v_61_XINORG">Model!$AS$188</definedName>
    <definedName name="v_61_XMEOLO">Model!$T$188</definedName>
    <definedName name="v_61_XN_B">Model!$AF$188</definedName>
    <definedName name="v_61_XN_Be">Model!$AG$188</definedName>
    <definedName name="v_61_XN_U">Model!$AH$188</definedName>
    <definedName name="v_61_XNOB">Model!$V$188</definedName>
    <definedName name="v_61_XOHO">Model!$R$188</definedName>
    <definedName name="v_61_XP_B">Model!$AL$188</definedName>
    <definedName name="v_61_XP_Be">Model!$AM$188</definedName>
    <definedName name="v_61_XP_U">Model!$AN$188</definedName>
    <definedName name="v_61_XPFOA">Model!$BT$188</definedName>
    <definedName name="v_61_XPFOS">Model!$BV$188</definedName>
    <definedName name="v_61_XPHA_GAO">Model!$O$188</definedName>
    <definedName name="v_61_XPHA_PAO">Model!$N$188</definedName>
    <definedName name="v_61_XPP">Model!$AJ$188</definedName>
    <definedName name="v_61_XSTR">Model!$BQ$188</definedName>
    <definedName name="v_61_XU">Model!$M$188</definedName>
    <definedName name="v_61_XVivi">Model!$BR$188</definedName>
    <definedName name="v_62_CB">Model!$H$189</definedName>
    <definedName name="v_62_CU">Model!$L$189</definedName>
    <definedName name="v_62_GCH4">Model!$CA$189</definedName>
    <definedName name="v_62_GCH4_atm">Model!$CG$189</definedName>
    <definedName name="v_62_GCO2">Model!$BZ$189</definedName>
    <definedName name="v_62_GCO2_atm">Model!$CF$189</definedName>
    <definedName name="v_62_GH2">Model!$CB$189</definedName>
    <definedName name="v_62_GH2_atm">Model!$CH$189</definedName>
    <definedName name="v_62_GN2">Model!$CE$189</definedName>
    <definedName name="v_62_GN2_atm">Model!$CK$189</definedName>
    <definedName name="v_62_GNH3">Model!$CD$189</definedName>
    <definedName name="v_62_GNH3_atm">Model!$CJ$189</definedName>
    <definedName name="v_62_GO2">Model!$CC$189</definedName>
    <definedName name="v_62_GO2_atm">Model!$CI$189</definedName>
    <definedName name="v_62_SALPHA">Model!$BX$189</definedName>
    <definedName name="v_62_SAN">Model!$AU$189</definedName>
    <definedName name="v_62_SB">Model!$F$189</definedName>
    <definedName name="v_62_SCa">Model!$AV$189</definedName>
    <definedName name="v_62_SCAT">Model!$AT$189</definedName>
    <definedName name="v_62_SCH4">Model!$AP$189</definedName>
    <definedName name="v_62_SCO2">Model!$AR$189</definedName>
    <definedName name="v_62_SFe2">Model!$AY$189</definedName>
    <definedName name="v_62_SH">Model!$BW$189</definedName>
    <definedName name="v_62_SH2">Model!$AQ$189</definedName>
    <definedName name="v_62_SK">Model!$AX$189</definedName>
    <definedName name="v_62_SMEOL">Model!$G$189</definedName>
    <definedName name="v_62_SMg">Model!$AW$189</definedName>
    <definedName name="v_62_SN_B">Model!$AE$189</definedName>
    <definedName name="v_62_SN2">Model!$AD$189</definedName>
    <definedName name="v_62_SNHx">Model!$AA$189</definedName>
    <definedName name="v_62_SNO2">Model!$AB$189</definedName>
    <definedName name="v_62_SNO3">Model!$AC$189</definedName>
    <definedName name="v_62_SO2">Model!$AO$189</definedName>
    <definedName name="v_62_SORPswitch">Model!$BY$189</definedName>
    <definedName name="v_62_SP_B">Model!$AK$189</definedName>
    <definedName name="v_62_SPFOA">Model!$BS$189</definedName>
    <definedName name="v_62_SPFOS">Model!$BU$189</definedName>
    <definedName name="v_62_SPO4">Model!$AI$189</definedName>
    <definedName name="v_62_SU">Model!$K$189</definedName>
    <definedName name="v_62_SVFA">Model!$E$189</definedName>
    <definedName name="v_62_XACP">Model!$BO$189</definedName>
    <definedName name="v_62_XALGAE">Model!$Z$189</definedName>
    <definedName name="v_62_XAMETO">Model!$X$189</definedName>
    <definedName name="v_62_XAMX">Model!$W$189</definedName>
    <definedName name="v_62_XAOB">Model!$U$189</definedName>
    <definedName name="v_62_XB">Model!$I$189</definedName>
    <definedName name="v_62_XB_e">Model!$J$189</definedName>
    <definedName name="v_62_XBSH">Model!$BP$189</definedName>
    <definedName name="v_62_XCaCO3">Model!$BN$189</definedName>
    <definedName name="v_62_XCASTO">Model!$S$189</definedName>
    <definedName name="v_62_XE">Model!$P$189</definedName>
    <definedName name="v_62_XE_ana">Model!$Q$189</definedName>
    <definedName name="v_62_XHAO_H">Model!$BG$189</definedName>
    <definedName name="v_62_XHAO_H_P">Model!$BJ$189</definedName>
    <definedName name="v_62_XHAO_H_P_old">Model!$BL$189</definedName>
    <definedName name="v_62_XHAO_L">Model!$BH$189</definedName>
    <definedName name="v_62_XHAO_L_P">Model!$BK$189</definedName>
    <definedName name="v_62_XHAO_L_P_old">Model!$BM$189</definedName>
    <definedName name="v_62_XHAO_old">Model!$BI$189</definedName>
    <definedName name="v_62_XHFO_H">Model!$AZ$189</definedName>
    <definedName name="v_62_XHFO_H_P">Model!$BC$189</definedName>
    <definedName name="v_62_XHFO_H_P_old">Model!$BE$189</definedName>
    <definedName name="v_62_XHFO_L">Model!$BA$189</definedName>
    <definedName name="v_62_XHFO_L_P">Model!$BD$189</definedName>
    <definedName name="v_62_XHFO_L_P_old">Model!$BF$189</definedName>
    <definedName name="v_62_XHFO_old">Model!$BB$189</definedName>
    <definedName name="v_62_XHMETO">Model!$Y$189</definedName>
    <definedName name="v_62_XINORG">Model!$AS$189</definedName>
    <definedName name="v_62_XMEOLO">Model!$T$189</definedName>
    <definedName name="v_62_XN_B">Model!$AF$189</definedName>
    <definedName name="v_62_XN_Be">Model!$AG$189</definedName>
    <definedName name="v_62_XN_U">Model!$AH$189</definedName>
    <definedName name="v_62_XNOB">Model!$V$189</definedName>
    <definedName name="v_62_XOHO">Model!$R$189</definedName>
    <definedName name="v_62_XP_B">Model!$AL$189</definedName>
    <definedName name="v_62_XP_Be">Model!$AM$189</definedName>
    <definedName name="v_62_XP_U">Model!$AN$189</definedName>
    <definedName name="v_62_XPFOA">Model!$BT$189</definedName>
    <definedName name="v_62_XPFOS">Model!$BV$189</definedName>
    <definedName name="v_62_XPHA_GAO">Model!$O$189</definedName>
    <definedName name="v_62_XPHA_PAO">Model!$N$189</definedName>
    <definedName name="v_62_XPP">Model!$AJ$189</definedName>
    <definedName name="v_62_XSTR">Model!$BQ$189</definedName>
    <definedName name="v_62_XU">Model!$M$189</definedName>
    <definedName name="v_62_XVivi">Model!$BR$189</definedName>
    <definedName name="v_63_CB">Model!$H$190</definedName>
    <definedName name="v_63_CU">Model!$L$190</definedName>
    <definedName name="v_63_GCH4">Model!$CA$190</definedName>
    <definedName name="v_63_GCH4_atm">Model!$CG$190</definedName>
    <definedName name="v_63_GCO2">Model!$BZ$190</definedName>
    <definedName name="v_63_GCO2_atm">Model!$CF$190</definedName>
    <definedName name="v_63_GH2">Model!$CB$190</definedName>
    <definedName name="v_63_GH2_atm">Model!$CH$190</definedName>
    <definedName name="v_63_GN2">Model!$CE$190</definedName>
    <definedName name="v_63_GN2_atm">Model!$CK$190</definedName>
    <definedName name="v_63_GNH3">Model!$CD$190</definedName>
    <definedName name="v_63_GNH3_atm">Model!$CJ$190</definedName>
    <definedName name="v_63_GO2">Model!$CC$190</definedName>
    <definedName name="v_63_GO2_atm">Model!$CI$190</definedName>
    <definedName name="v_63_SALPHA">Model!$BX$190</definedName>
    <definedName name="v_63_SAN">Model!$AU$190</definedName>
    <definedName name="v_63_SB">Model!$F$190</definedName>
    <definedName name="v_63_SCa">Model!$AV$190</definedName>
    <definedName name="v_63_SCAT">Model!$AT$190</definedName>
    <definedName name="v_63_SCH4">Model!$AP$190</definedName>
    <definedName name="v_63_SCO2">Model!$AR$190</definedName>
    <definedName name="v_63_SFe2">Model!$AY$190</definedName>
    <definedName name="v_63_SH">Model!$BW$190</definedName>
    <definedName name="v_63_SH2">Model!$AQ$190</definedName>
    <definedName name="v_63_SK">Model!$AX$190</definedName>
    <definedName name="v_63_SMEOL">Model!$G$190</definedName>
    <definedName name="v_63_SMg">Model!$AW$190</definedName>
    <definedName name="v_63_SN_B">Model!$AE$190</definedName>
    <definedName name="v_63_SN2">Model!$AD$190</definedName>
    <definedName name="v_63_SNHx">Model!$AA$190</definedName>
    <definedName name="v_63_SNO2">Model!$AB$190</definedName>
    <definedName name="v_63_SNO3">Model!$AC$190</definedName>
    <definedName name="v_63_SO2">Model!$AO$190</definedName>
    <definedName name="v_63_SORPswitch">Model!$BY$190</definedName>
    <definedName name="v_63_SP_B">Model!$AK$190</definedName>
    <definedName name="v_63_SPFOA">Model!$BS$190</definedName>
    <definedName name="v_63_SPFOS">Model!$BU$190</definedName>
    <definedName name="v_63_SPO4">Model!$AI$190</definedName>
    <definedName name="v_63_SU">Model!$K$190</definedName>
    <definedName name="v_63_SVFA">Model!$E$190</definedName>
    <definedName name="v_63_XACP">Model!$BO$190</definedName>
    <definedName name="v_63_XALGAE">Model!$Z$190</definedName>
    <definedName name="v_63_XAMETO">Model!$X$190</definedName>
    <definedName name="v_63_XAMX">Model!$W$190</definedName>
    <definedName name="v_63_XAOB">Model!$U$190</definedName>
    <definedName name="v_63_XB">Model!$I$190</definedName>
    <definedName name="v_63_XB_e">Model!$J$190</definedName>
    <definedName name="v_63_XBSH">Model!$BP$190</definedName>
    <definedName name="v_63_XCaCO3">Model!$BN$190</definedName>
    <definedName name="v_63_XCASTO">Model!$S$190</definedName>
    <definedName name="v_63_XE">Model!$P$190</definedName>
    <definedName name="v_63_XE_ana">Model!$Q$190</definedName>
    <definedName name="v_63_XHAO_H">Model!$BG$190</definedName>
    <definedName name="v_63_XHAO_H_P">Model!$BJ$190</definedName>
    <definedName name="v_63_XHAO_H_P_old">Model!$BL$190</definedName>
    <definedName name="v_63_XHAO_L">Model!$BH$190</definedName>
    <definedName name="v_63_XHAO_L_P">Model!$BK$190</definedName>
    <definedName name="v_63_XHAO_L_P_old">Model!$BM$190</definedName>
    <definedName name="v_63_XHAO_old">Model!$BI$190</definedName>
    <definedName name="v_63_XHFO_H">Model!$AZ$190</definedName>
    <definedName name="v_63_XHFO_H_P">Model!$BC$190</definedName>
    <definedName name="v_63_XHFO_H_P_old">Model!$BE$190</definedName>
    <definedName name="v_63_XHFO_L">Model!$BA$190</definedName>
    <definedName name="v_63_XHFO_L_P">Model!$BD$190</definedName>
    <definedName name="v_63_XHFO_L_P_old">Model!$BF$190</definedName>
    <definedName name="v_63_XHFO_old">Model!$BB$190</definedName>
    <definedName name="v_63_XHMETO">Model!$Y$190</definedName>
    <definedName name="v_63_XINORG">Model!$AS$190</definedName>
    <definedName name="v_63_XMEOLO">Model!$T$190</definedName>
    <definedName name="v_63_XN_B">Model!$AF$190</definedName>
    <definedName name="v_63_XN_Be">Model!$AG$190</definedName>
    <definedName name="v_63_XN_U">Model!$AH$190</definedName>
    <definedName name="v_63_XNOB">Model!$V$190</definedName>
    <definedName name="v_63_XOHO">Model!$R$190</definedName>
    <definedName name="v_63_XP_B">Model!$AL$190</definedName>
    <definedName name="v_63_XP_Be">Model!$AM$190</definedName>
    <definedName name="v_63_XP_U">Model!$AN$190</definedName>
    <definedName name="v_63_XPFOA">Model!$BT$190</definedName>
    <definedName name="v_63_XPFOS">Model!$BV$190</definedName>
    <definedName name="v_63_XPHA_GAO">Model!$O$190</definedName>
    <definedName name="v_63_XPHA_PAO">Model!$N$190</definedName>
    <definedName name="v_63_XPP">Model!$AJ$190</definedName>
    <definedName name="v_63_XSTR">Model!$BQ$190</definedName>
    <definedName name="v_63_XU">Model!$M$190</definedName>
    <definedName name="v_63_XVivi">Model!$BR$190</definedName>
    <definedName name="v_64_CB">Model!$H$191</definedName>
    <definedName name="v_64_CU">Model!$L$191</definedName>
    <definedName name="v_64_GCH4">Model!$CA$191</definedName>
    <definedName name="v_64_GCH4_atm">Model!$CG$191</definedName>
    <definedName name="v_64_GCO2">Model!$BZ$191</definedName>
    <definedName name="v_64_GCO2_atm">Model!$CF$191</definedName>
    <definedName name="v_64_GH2">Model!$CB$191</definedName>
    <definedName name="v_64_GH2_atm">Model!$CH$191</definedName>
    <definedName name="v_64_GN2">Model!$CE$191</definedName>
    <definedName name="v_64_GN2_atm">Model!$CK$191</definedName>
    <definedName name="v_64_GNH3">Model!$CD$191</definedName>
    <definedName name="v_64_GNH3_atm">Model!$CJ$191</definedName>
    <definedName name="v_64_GO2">Model!$CC$191</definedName>
    <definedName name="v_64_GO2_atm">Model!$CI$191</definedName>
    <definedName name="v_64_SALPHA">Model!$BX$191</definedName>
    <definedName name="v_64_SAN">Model!$AU$191</definedName>
    <definedName name="v_64_SB">Model!$F$191</definedName>
    <definedName name="v_64_SCa">Model!$AV$191</definedName>
    <definedName name="v_64_SCAT">Model!$AT$191</definedName>
    <definedName name="v_64_SCH4">Model!$AP$191</definedName>
    <definedName name="v_64_SCO2">Model!$AR$191</definedName>
    <definedName name="v_64_SFe2">Model!$AY$191</definedName>
    <definedName name="v_64_SH">Model!$BW$191</definedName>
    <definedName name="v_64_SH2">Model!$AQ$191</definedName>
    <definedName name="v_64_SK">Model!$AX$191</definedName>
    <definedName name="v_64_SMEOL">Model!$G$191</definedName>
    <definedName name="v_64_SMg">Model!$AW$191</definedName>
    <definedName name="v_64_SN_B">Model!$AE$191</definedName>
    <definedName name="v_64_SN2">Model!$AD$191</definedName>
    <definedName name="v_64_SNHx">Model!$AA$191</definedName>
    <definedName name="v_64_SNO2">Model!$AB$191</definedName>
    <definedName name="v_64_SNO3">Model!$AC$191</definedName>
    <definedName name="v_64_SO2">Model!$AO$191</definedName>
    <definedName name="v_64_SORPswitch">Model!$BY$191</definedName>
    <definedName name="v_64_SP_B">Model!$AK$191</definedName>
    <definedName name="v_64_SPFOA">Model!$BS$191</definedName>
    <definedName name="v_64_SPFOS">Model!$BU$191</definedName>
    <definedName name="v_64_SPO4">Model!$AI$191</definedName>
    <definedName name="v_64_SU">Model!$K$191</definedName>
    <definedName name="v_64_SVFA">Model!$E$191</definedName>
    <definedName name="v_64_XACP">Model!$BO$191</definedName>
    <definedName name="v_64_XALGAE">Model!$Z$191</definedName>
    <definedName name="v_64_XAMETO">Model!$X$191</definedName>
    <definedName name="v_64_XAMX">Model!$W$191</definedName>
    <definedName name="v_64_XAOB">Model!$U$191</definedName>
    <definedName name="v_64_XB">Model!$I$191</definedName>
    <definedName name="v_64_XB_e">Model!$J$191</definedName>
    <definedName name="v_64_XBSH">Model!$BP$191</definedName>
    <definedName name="v_64_XCaCO3">Model!$BN$191</definedName>
    <definedName name="v_64_XCASTO">Model!$S$191</definedName>
    <definedName name="v_64_XE">Model!$P$191</definedName>
    <definedName name="v_64_XE_ana">Model!$Q$191</definedName>
    <definedName name="v_64_XHAO_H">Model!$BG$191</definedName>
    <definedName name="v_64_XHAO_H_P">Model!$BJ$191</definedName>
    <definedName name="v_64_XHAO_H_P_old">Model!$BL$191</definedName>
    <definedName name="v_64_XHAO_L">Model!$BH$191</definedName>
    <definedName name="v_64_XHAO_L_P">Model!$BK$191</definedName>
    <definedName name="v_64_XHAO_L_P_old">Model!$BM$191</definedName>
    <definedName name="v_64_XHAO_old">Model!$BI$191</definedName>
    <definedName name="v_64_XHFO_H">Model!$AZ$191</definedName>
    <definedName name="v_64_XHFO_H_P">Model!$BC$191</definedName>
    <definedName name="v_64_XHFO_H_P_old">Model!$BE$191</definedName>
    <definedName name="v_64_XHFO_L">Model!$BA$191</definedName>
    <definedName name="v_64_XHFO_L_P">Model!$BD$191</definedName>
    <definedName name="v_64_XHFO_L_P_old">Model!$BF$191</definedName>
    <definedName name="v_64_XHFO_old">Model!$BB$191</definedName>
    <definedName name="v_64_XHMETO">Model!$Y$191</definedName>
    <definedName name="v_64_XINORG">Model!$AS$191</definedName>
    <definedName name="v_64_XMEOLO">Model!$T$191</definedName>
    <definedName name="v_64_XN_B">Model!$AF$191</definedName>
    <definedName name="v_64_XN_Be">Model!$AG$191</definedName>
    <definedName name="v_64_XN_U">Model!$AH$191</definedName>
    <definedName name="v_64_XNOB">Model!$V$191</definedName>
    <definedName name="v_64_XOHO">Model!$R$191</definedName>
    <definedName name="v_64_XP_B">Model!$AL$191</definedName>
    <definedName name="v_64_XP_Be">Model!$AM$191</definedName>
    <definedName name="v_64_XP_U">Model!$AN$191</definedName>
    <definedName name="v_64_XPFOA">Model!$BT$191</definedName>
    <definedName name="v_64_XPFOS">Model!$BV$191</definedName>
    <definedName name="v_64_XPHA_GAO">Model!$O$191</definedName>
    <definedName name="v_64_XPHA_PAO">Model!$N$191</definedName>
    <definedName name="v_64_XPP">Model!$AJ$191</definedName>
    <definedName name="v_64_XSTR">Model!$BQ$191</definedName>
    <definedName name="v_64_XU">Model!$M$191</definedName>
    <definedName name="v_64_XVivi">Model!$BR$191</definedName>
    <definedName name="v_65_CB">Model!$H$192</definedName>
    <definedName name="v_65_CU">Model!$L$192</definedName>
    <definedName name="v_65_GCH4">Model!$CA$192</definedName>
    <definedName name="v_65_GCH4_atm">Model!$CG$192</definedName>
    <definedName name="v_65_GCO2">Model!$BZ$192</definedName>
    <definedName name="v_65_GCO2_atm">Model!$CF$192</definedName>
    <definedName name="v_65_GH2">Model!$CB$192</definedName>
    <definedName name="v_65_GH2_atm">Model!$CH$192</definedName>
    <definedName name="v_65_GN2">Model!$CE$192</definedName>
    <definedName name="v_65_GN2_atm">Model!$CK$192</definedName>
    <definedName name="v_65_GNH3">Model!$CD$192</definedName>
    <definedName name="v_65_GNH3_atm">Model!$CJ$192</definedName>
    <definedName name="v_65_GO2">Model!$CC$192</definedName>
    <definedName name="v_65_GO2_atm">Model!$CI$192</definedName>
    <definedName name="v_65_SALPHA">Model!$BX$192</definedName>
    <definedName name="v_65_SAN">Model!$AU$192</definedName>
    <definedName name="v_65_SB">Model!$F$192</definedName>
    <definedName name="v_65_SCa">Model!$AV$192</definedName>
    <definedName name="v_65_SCAT">Model!$AT$192</definedName>
    <definedName name="v_65_SCH4">Model!$AP$192</definedName>
    <definedName name="v_65_SCO2">Model!$AR$192</definedName>
    <definedName name="v_65_SFe2">Model!$AY$192</definedName>
    <definedName name="v_65_SH">Model!$BW$192</definedName>
    <definedName name="v_65_SH2">Model!$AQ$192</definedName>
    <definedName name="v_65_SK">Model!$AX$192</definedName>
    <definedName name="v_65_SMEOL">Model!$G$192</definedName>
    <definedName name="v_65_SMg">Model!$AW$192</definedName>
    <definedName name="v_65_SN_B">Model!$AE$192</definedName>
    <definedName name="v_65_SN2">Model!$AD$192</definedName>
    <definedName name="v_65_SNHx">Model!$AA$192</definedName>
    <definedName name="v_65_SNO2">Model!$AB$192</definedName>
    <definedName name="v_65_SNO3">Model!$AC$192</definedName>
    <definedName name="v_65_SO2">Model!$AO$192</definedName>
    <definedName name="v_65_SORPswitch">Model!$BY$192</definedName>
    <definedName name="v_65_SP_B">Model!$AK$192</definedName>
    <definedName name="v_65_SPFOA">Model!$BS$192</definedName>
    <definedName name="v_65_SPFOS">Model!$BU$192</definedName>
    <definedName name="v_65_SPO4">Model!$AI$192</definedName>
    <definedName name="v_65_SU">Model!$K$192</definedName>
    <definedName name="v_65_SVFA">Model!$E$192</definedName>
    <definedName name="v_65_XACP">Model!$BO$192</definedName>
    <definedName name="v_65_XALGAE">Model!$Z$192</definedName>
    <definedName name="v_65_XAMETO">Model!$X$192</definedName>
    <definedName name="v_65_XAMX">Model!$W$192</definedName>
    <definedName name="v_65_XAOB">Model!$U$192</definedName>
    <definedName name="v_65_XB">Model!$I$192</definedName>
    <definedName name="v_65_XB_e">Model!$J$192</definedName>
    <definedName name="v_65_XBSH">Model!$BP$192</definedName>
    <definedName name="v_65_XCaCO3">Model!$BN$192</definedName>
    <definedName name="v_65_XCASTO">Model!$S$192</definedName>
    <definedName name="v_65_XE">Model!$P$192</definedName>
    <definedName name="v_65_XE_ana">Model!$Q$192</definedName>
    <definedName name="v_65_XHAO_H">Model!$BG$192</definedName>
    <definedName name="v_65_XHAO_H_P">Model!$BJ$192</definedName>
    <definedName name="v_65_XHAO_H_P_old">Model!$BL$192</definedName>
    <definedName name="v_65_XHAO_L">Model!$BH$192</definedName>
    <definedName name="v_65_XHAO_L_P">Model!$BK$192</definedName>
    <definedName name="v_65_XHAO_L_P_old">Model!$BM$192</definedName>
    <definedName name="v_65_XHAO_old">Model!$BI$192</definedName>
    <definedName name="v_65_XHFO_H">Model!$AZ$192</definedName>
    <definedName name="v_65_XHFO_H_P">Model!$BC$192</definedName>
    <definedName name="v_65_XHFO_H_P_old">Model!$BE$192</definedName>
    <definedName name="v_65_XHFO_L">Model!$BA$192</definedName>
    <definedName name="v_65_XHFO_L_P">Model!$BD$192</definedName>
    <definedName name="v_65_XHFO_L_P_old">Model!$BF$192</definedName>
    <definedName name="v_65_XHFO_old">Model!$BB$192</definedName>
    <definedName name="v_65_XHMETO">Model!$Y$192</definedName>
    <definedName name="v_65_XINORG">Model!$AS$192</definedName>
    <definedName name="v_65_XMEOLO">Model!$T$192</definedName>
    <definedName name="v_65_XN_B">Model!$AF$192</definedName>
    <definedName name="v_65_XN_Be">Model!$AG$192</definedName>
    <definedName name="v_65_XN_U">Model!$AH$192</definedName>
    <definedName name="v_65_XNOB">Model!$V$192</definedName>
    <definedName name="v_65_XOHO">Model!$R$192</definedName>
    <definedName name="v_65_XP_B">Model!$AL$192</definedName>
    <definedName name="v_65_XP_Be">Model!$AM$192</definedName>
    <definedName name="v_65_XP_U">Model!$AN$192</definedName>
    <definedName name="v_65_XPFOA">Model!$BT$192</definedName>
    <definedName name="v_65_XPFOS">Model!$BV$192</definedName>
    <definedName name="v_65_XPHA_GAO">Model!$O$192</definedName>
    <definedName name="v_65_XPHA_PAO">Model!$N$192</definedName>
    <definedName name="v_65_XPP">Model!$AJ$192</definedName>
    <definedName name="v_65_XSTR">Model!$BQ$192</definedName>
    <definedName name="v_65_XU">Model!$M$192</definedName>
    <definedName name="v_65_XVivi">Model!$BR$192</definedName>
    <definedName name="v_66_CB">Model!$H$193</definedName>
    <definedName name="v_66_CU">Model!$L$193</definedName>
    <definedName name="v_66_GCH4">Model!$CA$193</definedName>
    <definedName name="v_66_GCH4_atm">Model!$CG$193</definedName>
    <definedName name="v_66_GCO2">Model!$BZ$193</definedName>
    <definedName name="v_66_GCO2_atm">Model!$CF$193</definedName>
    <definedName name="v_66_GH2">Model!$CB$193</definedName>
    <definedName name="v_66_GH2_atm">Model!$CH$193</definedName>
    <definedName name="v_66_GN2">Model!$CE$193</definedName>
    <definedName name="v_66_GN2_atm">Model!$CK$193</definedName>
    <definedName name="v_66_GNH3">Model!$CD$193</definedName>
    <definedName name="v_66_GNH3_atm">Model!$CJ$193</definedName>
    <definedName name="v_66_GO2">Model!$CC$193</definedName>
    <definedName name="v_66_GO2_atm">Model!$CI$193</definedName>
    <definedName name="v_66_SALPHA">Model!$BX$193</definedName>
    <definedName name="v_66_SAN">Model!$AU$193</definedName>
    <definedName name="v_66_SB">Model!$F$193</definedName>
    <definedName name="v_66_SCa">Model!$AV$193</definedName>
    <definedName name="v_66_SCAT">Model!$AT$193</definedName>
    <definedName name="v_66_SCH4">Model!$AP$193</definedName>
    <definedName name="v_66_SCO2">Model!$AR$193</definedName>
    <definedName name="v_66_SFe2">Model!$AY$193</definedName>
    <definedName name="v_66_SH">Model!$BW$193</definedName>
    <definedName name="v_66_SH2">Model!$AQ$193</definedName>
    <definedName name="v_66_SK">Model!$AX$193</definedName>
    <definedName name="v_66_SMEOL">Model!$G$193</definedName>
    <definedName name="v_66_SMg">Model!$AW$193</definedName>
    <definedName name="v_66_SN_B">Model!$AE$193</definedName>
    <definedName name="v_66_SN2">Model!$AD$193</definedName>
    <definedName name="v_66_SNHx">Model!$AA$193</definedName>
    <definedName name="v_66_SNO2">Model!$AB$193</definedName>
    <definedName name="v_66_SNO3">Model!$AC$193</definedName>
    <definedName name="v_66_SO2">Model!$AO$193</definedName>
    <definedName name="v_66_SORPswitch">Model!$BY$193</definedName>
    <definedName name="v_66_SP_B">Model!$AK$193</definedName>
    <definedName name="v_66_SPFOA">Model!$BS$193</definedName>
    <definedName name="v_66_SPFOS">Model!$BU$193</definedName>
    <definedName name="v_66_SPO4">Model!$AI$193</definedName>
    <definedName name="v_66_SU">Model!$K$193</definedName>
    <definedName name="v_66_SVFA">Model!$E$193</definedName>
    <definedName name="v_66_XACP">Model!$BO$193</definedName>
    <definedName name="v_66_XALGAE">Model!$Z$193</definedName>
    <definedName name="v_66_XAMETO">Model!$X$193</definedName>
    <definedName name="v_66_XAMX">Model!$W$193</definedName>
    <definedName name="v_66_XAOB">Model!$U$193</definedName>
    <definedName name="v_66_XB">Model!$I$193</definedName>
    <definedName name="v_66_XB_e">Model!$J$193</definedName>
    <definedName name="v_66_XBSH">Model!$BP$193</definedName>
    <definedName name="v_66_XCaCO3">Model!$BN$193</definedName>
    <definedName name="v_66_XCASTO">Model!$S$193</definedName>
    <definedName name="v_66_XE">Model!$P$193</definedName>
    <definedName name="v_66_XE_ana">Model!$Q$193</definedName>
    <definedName name="v_66_XHAO_H">Model!$BG$193</definedName>
    <definedName name="v_66_XHAO_H_P">Model!$BJ$193</definedName>
    <definedName name="v_66_XHAO_H_P_old">Model!$BL$193</definedName>
    <definedName name="v_66_XHAO_L">Model!$BH$193</definedName>
    <definedName name="v_66_XHAO_L_P">Model!$BK$193</definedName>
    <definedName name="v_66_XHAO_L_P_old">Model!$BM$193</definedName>
    <definedName name="v_66_XHAO_old">Model!$BI$193</definedName>
    <definedName name="v_66_XHFO_H">Model!$AZ$193</definedName>
    <definedName name="v_66_XHFO_H_P">Model!$BC$193</definedName>
    <definedName name="v_66_XHFO_H_P_old">Model!$BE$193</definedName>
    <definedName name="v_66_XHFO_L">Model!$BA$193</definedName>
    <definedName name="v_66_XHFO_L_P">Model!$BD$193</definedName>
    <definedName name="v_66_XHFO_L_P_old">Model!$BF$193</definedName>
    <definedName name="v_66_XHFO_old">Model!$BB$193</definedName>
    <definedName name="v_66_XHMETO">Model!$Y$193</definedName>
    <definedName name="v_66_XINORG">Model!$AS$193</definedName>
    <definedName name="v_66_XMEOLO">Model!$T$193</definedName>
    <definedName name="v_66_XN_B">Model!$AF$193</definedName>
    <definedName name="v_66_XN_Be">Model!$AG$193</definedName>
    <definedName name="v_66_XN_U">Model!$AH$193</definedName>
    <definedName name="v_66_XNOB">Model!$V$193</definedName>
    <definedName name="v_66_XOHO">Model!$R$193</definedName>
    <definedName name="v_66_XP_B">Model!$AL$193</definedName>
    <definedName name="v_66_XP_Be">Model!$AM$193</definedName>
    <definedName name="v_66_XP_U">Model!$AN$193</definedName>
    <definedName name="v_66_XPFOA">Model!$BT$193</definedName>
    <definedName name="v_66_XPFOS">Model!$BV$193</definedName>
    <definedName name="v_66_XPHA_GAO">Model!$O$193</definedName>
    <definedName name="v_66_XPHA_PAO">Model!$N$193</definedName>
    <definedName name="v_66_XPP">Model!$AJ$193</definedName>
    <definedName name="v_66_XSTR">Model!$BQ$193</definedName>
    <definedName name="v_66_XU">Model!$M$193</definedName>
    <definedName name="v_66_XVivi">Model!$BR$193</definedName>
    <definedName name="v_67_CB">Model!$H$194</definedName>
    <definedName name="v_67_CU">Model!$L$194</definedName>
    <definedName name="v_67_GCH4">Model!$CA$194</definedName>
    <definedName name="v_67_GCH4_atm">Model!$CG$194</definedName>
    <definedName name="v_67_GCO2">Model!$BZ$194</definedName>
    <definedName name="v_67_GCO2_atm">Model!$CF$194</definedName>
    <definedName name="v_67_GH2">Model!$CB$194</definedName>
    <definedName name="v_67_GH2_atm">Model!$CH$194</definedName>
    <definedName name="v_67_GN2">Model!$CE$194</definedName>
    <definedName name="v_67_GN2_atm">Model!$CK$194</definedName>
    <definedName name="v_67_GNH3">Model!$CD$194</definedName>
    <definedName name="v_67_GNH3_atm">Model!$CJ$194</definedName>
    <definedName name="v_67_GO2">Model!$CC$194</definedName>
    <definedName name="v_67_GO2_atm">Model!$CI$194</definedName>
    <definedName name="v_67_SALPHA">Model!$BX$194</definedName>
    <definedName name="v_67_SAN">Model!$AU$194</definedName>
    <definedName name="v_67_SB">Model!$F$194</definedName>
    <definedName name="v_67_SCa">Model!$AV$194</definedName>
    <definedName name="v_67_SCAT">Model!$AT$194</definedName>
    <definedName name="v_67_SCH4">Model!$AP$194</definedName>
    <definedName name="v_67_SCO2">Model!$AR$194</definedName>
    <definedName name="v_67_SFe2">Model!$AY$194</definedName>
    <definedName name="v_67_SH">Model!$BW$194</definedName>
    <definedName name="v_67_SH2">Model!$AQ$194</definedName>
    <definedName name="v_67_SK">Model!$AX$194</definedName>
    <definedName name="v_67_SMEOL">Model!$G$194</definedName>
    <definedName name="v_67_SMg">Model!$AW$194</definedName>
    <definedName name="v_67_SN_B">Model!$AE$194</definedName>
    <definedName name="v_67_SN2">Model!$AD$194</definedName>
    <definedName name="v_67_SNHx">Model!$AA$194</definedName>
    <definedName name="v_67_SNO2">Model!$AB$194</definedName>
    <definedName name="v_67_SNO3">Model!$AC$194</definedName>
    <definedName name="v_67_SO2">Model!$AO$194</definedName>
    <definedName name="v_67_SORPswitch">Model!$BY$194</definedName>
    <definedName name="v_67_SP_B">Model!$AK$194</definedName>
    <definedName name="v_67_SPFOA">Model!$BS$194</definedName>
    <definedName name="v_67_SPFOS">Model!$BU$194</definedName>
    <definedName name="v_67_SPO4">Model!$AI$194</definedName>
    <definedName name="v_67_SU">Model!$K$194</definedName>
    <definedName name="v_67_SVFA">Model!$E$194</definedName>
    <definedName name="v_67_XACP">Model!$BO$194</definedName>
    <definedName name="v_67_XALGAE">Model!$Z$194</definedName>
    <definedName name="v_67_XAMETO">Model!$X$194</definedName>
    <definedName name="v_67_XAMX">Model!$W$194</definedName>
    <definedName name="v_67_XAOB">Model!$U$194</definedName>
    <definedName name="v_67_XB">Model!$I$194</definedName>
    <definedName name="v_67_XB_e">Model!$J$194</definedName>
    <definedName name="v_67_XBSH">Model!$BP$194</definedName>
    <definedName name="v_67_XCaCO3">Model!$BN$194</definedName>
    <definedName name="v_67_XCASTO">Model!$S$194</definedName>
    <definedName name="v_67_XE">Model!$P$194</definedName>
    <definedName name="v_67_XE_ana">Model!$Q$194</definedName>
    <definedName name="v_67_XHAO_H">Model!$BG$194</definedName>
    <definedName name="v_67_XHAO_H_P">Model!$BJ$194</definedName>
    <definedName name="v_67_XHAO_H_P_old">Model!$BL$194</definedName>
    <definedName name="v_67_XHAO_L">Model!$BH$194</definedName>
    <definedName name="v_67_XHAO_L_P">Model!$BK$194</definedName>
    <definedName name="v_67_XHAO_L_P_old">Model!$BM$194</definedName>
    <definedName name="v_67_XHAO_old">Model!$BI$194</definedName>
    <definedName name="v_67_XHFO_H">Model!$AZ$194</definedName>
    <definedName name="v_67_XHFO_H_P">Model!$BC$194</definedName>
    <definedName name="v_67_XHFO_H_P_old">Model!$BE$194</definedName>
    <definedName name="v_67_XHFO_L">Model!$BA$194</definedName>
    <definedName name="v_67_XHFO_L_P">Model!$BD$194</definedName>
    <definedName name="v_67_XHFO_L_P_old">Model!$BF$194</definedName>
    <definedName name="v_67_XHFO_old">Model!$BB$194</definedName>
    <definedName name="v_67_XHMETO">Model!$Y$194</definedName>
    <definedName name="v_67_XINORG">Model!$AS$194</definedName>
    <definedName name="v_67_XMEOLO">Model!$T$194</definedName>
    <definedName name="v_67_XN_B">Model!$AF$194</definedName>
    <definedName name="v_67_XN_Be">Model!$AG$194</definedName>
    <definedName name="v_67_XN_U">Model!$AH$194</definedName>
    <definedName name="v_67_XNOB">Model!$V$194</definedName>
    <definedName name="v_67_XOHO">Model!$R$194</definedName>
    <definedName name="v_67_XP_B">Model!$AL$194</definedName>
    <definedName name="v_67_XP_Be">Model!$AM$194</definedName>
    <definedName name="v_67_XP_U">Model!$AN$194</definedName>
    <definedName name="v_67_XPFOA">Model!$BT$194</definedName>
    <definedName name="v_67_XPFOS">Model!$BV$194</definedName>
    <definedName name="v_67_XPHA_GAO">Model!$O$194</definedName>
    <definedName name="v_67_XPHA_PAO">Model!$N$194</definedName>
    <definedName name="v_67_XPP">Model!$AJ$194</definedName>
    <definedName name="v_67_XSTR">Model!$BQ$194</definedName>
    <definedName name="v_67_XU">Model!$M$194</definedName>
    <definedName name="v_67_XVivi">Model!$BR$194</definedName>
    <definedName name="v_68_CB">Model!$H$195</definedName>
    <definedName name="v_68_CU">Model!$L$195</definedName>
    <definedName name="v_68_GCH4">Model!$CA$195</definedName>
    <definedName name="v_68_GCH4_atm">Model!$CG$195</definedName>
    <definedName name="v_68_GCO2">Model!$BZ$195</definedName>
    <definedName name="v_68_GCO2_atm">Model!$CF$195</definedName>
    <definedName name="v_68_GH2">Model!$CB$195</definedName>
    <definedName name="v_68_GH2_atm">Model!$CH$195</definedName>
    <definedName name="v_68_GN2">Model!$CE$195</definedName>
    <definedName name="v_68_GN2_atm">Model!$CK$195</definedName>
    <definedName name="v_68_GNH3">Model!$CD$195</definedName>
    <definedName name="v_68_GNH3_atm">Model!$CJ$195</definedName>
    <definedName name="v_68_GO2">Model!$CC$195</definedName>
    <definedName name="v_68_GO2_atm">Model!$CI$195</definedName>
    <definedName name="v_68_SALPHA">Model!$BX$195</definedName>
    <definedName name="v_68_SAN">Model!$AU$195</definedName>
    <definedName name="v_68_SB">Model!$F$195</definedName>
    <definedName name="v_68_SCa">Model!$AV$195</definedName>
    <definedName name="v_68_SCAT">Model!$AT$195</definedName>
    <definedName name="v_68_SCH4">Model!$AP$195</definedName>
    <definedName name="v_68_SCO2">Model!$AR$195</definedName>
    <definedName name="v_68_SFe2">Model!$AY$195</definedName>
    <definedName name="v_68_SH">Model!$BW$195</definedName>
    <definedName name="v_68_SH2">Model!$AQ$195</definedName>
    <definedName name="v_68_SK">Model!$AX$195</definedName>
    <definedName name="v_68_SMEOL">Model!$G$195</definedName>
    <definedName name="v_68_SMg">Model!$AW$195</definedName>
    <definedName name="v_68_SN_B">Model!$AE$195</definedName>
    <definedName name="v_68_SN2">Model!$AD$195</definedName>
    <definedName name="v_68_SNHx">Model!$AA$195</definedName>
    <definedName name="v_68_SNO2">Model!$AB$195</definedName>
    <definedName name="v_68_SNO3">Model!$AC$195</definedName>
    <definedName name="v_68_SO2">Model!$AO$195</definedName>
    <definedName name="v_68_SORPswitch">Model!$BY$195</definedName>
    <definedName name="v_68_SP_B">Model!$AK$195</definedName>
    <definedName name="v_68_SPFOA">Model!$BS$195</definedName>
    <definedName name="v_68_SPFOS">Model!$BU$195</definedName>
    <definedName name="v_68_SPO4">Model!$AI$195</definedName>
    <definedName name="v_68_SU">Model!$K$195</definedName>
    <definedName name="v_68_SVFA">Model!$E$195</definedName>
    <definedName name="v_68_XACP">Model!$BO$195</definedName>
    <definedName name="v_68_XALGAE">Model!$Z$195</definedName>
    <definedName name="v_68_XAMETO">Model!$X$195</definedName>
    <definedName name="v_68_XAMX">Model!$W$195</definedName>
    <definedName name="v_68_XAOB">Model!$U$195</definedName>
    <definedName name="v_68_XB">Model!$I$195</definedName>
    <definedName name="v_68_XB_e">Model!$J$195</definedName>
    <definedName name="v_68_XBSH">Model!$BP$195</definedName>
    <definedName name="v_68_XCaCO3">Model!$BN$195</definedName>
    <definedName name="v_68_XCASTO">Model!$S$195</definedName>
    <definedName name="v_68_XE">Model!$P$195</definedName>
    <definedName name="v_68_XE_ana">Model!$Q$195</definedName>
    <definedName name="v_68_XHAO_H">Model!$BG$195</definedName>
    <definedName name="v_68_XHAO_H_P">Model!$BJ$195</definedName>
    <definedName name="v_68_XHAO_H_P_old">Model!$BL$195</definedName>
    <definedName name="v_68_XHAO_L">Model!$BH$195</definedName>
    <definedName name="v_68_XHAO_L_P">Model!$BK$195</definedName>
    <definedName name="v_68_XHAO_L_P_old">Model!$BM$195</definedName>
    <definedName name="v_68_XHAO_old">Model!$BI$195</definedName>
    <definedName name="v_68_XHFO_H">Model!$AZ$195</definedName>
    <definedName name="v_68_XHFO_H_P">Model!$BC$195</definedName>
    <definedName name="v_68_XHFO_H_P_old">Model!$BE$195</definedName>
    <definedName name="v_68_XHFO_L">Model!$BA$195</definedName>
    <definedName name="v_68_XHFO_L_P">Model!$BD$195</definedName>
    <definedName name="v_68_XHFO_L_P_old">Model!$BF$195</definedName>
    <definedName name="v_68_XHFO_old">Model!$BB$195</definedName>
    <definedName name="v_68_XHMETO">Model!$Y$195</definedName>
    <definedName name="v_68_XINORG">Model!$AS$195</definedName>
    <definedName name="v_68_XMEOLO">Model!$T$195</definedName>
    <definedName name="v_68_XN_B">Model!$AF$195</definedName>
    <definedName name="v_68_XN_Be">Model!$AG$195</definedName>
    <definedName name="v_68_XN_U">Model!$AH$195</definedName>
    <definedName name="v_68_XNOB">Model!$V$195</definedName>
    <definedName name="v_68_XOHO">Model!$R$195</definedName>
    <definedName name="v_68_XP_B">Model!$AL$195</definedName>
    <definedName name="v_68_XP_Be">Model!$AM$195</definedName>
    <definedName name="v_68_XP_U">Model!$AN$195</definedName>
    <definedName name="v_68_XPFOA">Model!$BT$195</definedName>
    <definedName name="v_68_XPFOS">Model!$BV$195</definedName>
    <definedName name="v_68_XPHA_GAO">Model!$O$195</definedName>
    <definedName name="v_68_XPHA_PAO">Model!$N$195</definedName>
    <definedName name="v_68_XPP">Model!$AJ$195</definedName>
    <definedName name="v_68_XSTR">Model!$BQ$195</definedName>
    <definedName name="v_68_XU">Model!$M$195</definedName>
    <definedName name="v_68_XVivi">Model!$BR$195</definedName>
    <definedName name="v_69_CB">Model!$H$196</definedName>
    <definedName name="v_69_CU">Model!$L$196</definedName>
    <definedName name="v_69_GCH4">Model!$CA$196</definedName>
    <definedName name="v_69_GCH4_atm">Model!$CG$196</definedName>
    <definedName name="v_69_GCO2">Model!$BZ$196</definedName>
    <definedName name="v_69_GCO2_atm">Model!$CF$196</definedName>
    <definedName name="v_69_GH2">Model!$CB$196</definedName>
    <definedName name="v_69_GH2_atm">Model!$CH$196</definedName>
    <definedName name="v_69_GN2">Model!$CE$196</definedName>
    <definedName name="v_69_GN2_atm">Model!$CK$196</definedName>
    <definedName name="v_69_GNH3">Model!$CD$196</definedName>
    <definedName name="v_69_GNH3_atm">Model!$CJ$196</definedName>
    <definedName name="v_69_GO2">Model!$CC$196</definedName>
    <definedName name="v_69_GO2_atm">Model!$CI$196</definedName>
    <definedName name="v_69_SALPHA">Model!$BX$196</definedName>
    <definedName name="v_69_SAN">Model!$AU$196</definedName>
    <definedName name="v_69_SB">Model!$F$196</definedName>
    <definedName name="v_69_SCa">Model!$AV$196</definedName>
    <definedName name="v_69_SCAT">Model!$AT$196</definedName>
    <definedName name="v_69_SCH4">Model!$AP$196</definedName>
    <definedName name="v_69_SCO2">Model!$AR$196</definedName>
    <definedName name="v_69_SFe2">Model!$AY$196</definedName>
    <definedName name="v_69_SH">Model!$BW$196</definedName>
    <definedName name="v_69_SH2">Model!$AQ$196</definedName>
    <definedName name="v_69_SK">Model!$AX$196</definedName>
    <definedName name="v_69_SMEOL">Model!$G$196</definedName>
    <definedName name="v_69_SMg">Model!$AW$196</definedName>
    <definedName name="v_69_SN_B">Model!$AE$196</definedName>
    <definedName name="v_69_SN2">Model!$AD$196</definedName>
    <definedName name="v_69_SNHx">Model!$AA$196</definedName>
    <definedName name="v_69_SNO2">Model!$AB$196</definedName>
    <definedName name="v_69_SNO3">Model!$AC$196</definedName>
    <definedName name="v_69_SO2">Model!$AO$196</definedName>
    <definedName name="v_69_SORPswitch">Model!$BY$196</definedName>
    <definedName name="v_69_SP_B">Model!$AK$196</definedName>
    <definedName name="v_69_SPFOA">Model!$BS$196</definedName>
    <definedName name="v_69_SPFOS">Model!$BU$196</definedName>
    <definedName name="v_69_SPO4">Model!$AI$196</definedName>
    <definedName name="v_69_SU">Model!$K$196</definedName>
    <definedName name="v_69_SVFA">Model!$E$196</definedName>
    <definedName name="v_69_XACP">Model!$BO$196</definedName>
    <definedName name="v_69_XALGAE">Model!$Z$196</definedName>
    <definedName name="v_69_XAMETO">Model!$X$196</definedName>
    <definedName name="v_69_XAMX">Model!$W$196</definedName>
    <definedName name="v_69_XAOB">Model!$U$196</definedName>
    <definedName name="v_69_XB">Model!$I$196</definedName>
    <definedName name="v_69_XB_e">Model!$J$196</definedName>
    <definedName name="v_69_XBSH">Model!$BP$196</definedName>
    <definedName name="v_69_XCaCO3">Model!$BN$196</definedName>
    <definedName name="v_69_XCASTO">Model!$S$196</definedName>
    <definedName name="v_69_XE">Model!$P$196</definedName>
    <definedName name="v_69_XE_ana">Model!$Q$196</definedName>
    <definedName name="v_69_XHAO_H">Model!$BG$196</definedName>
    <definedName name="v_69_XHAO_H_P">Model!$BJ$196</definedName>
    <definedName name="v_69_XHAO_H_P_old">Model!$BL$196</definedName>
    <definedName name="v_69_XHAO_L">Model!$BH$196</definedName>
    <definedName name="v_69_XHAO_L_P">Model!$BK$196</definedName>
    <definedName name="v_69_XHAO_L_P_old">Model!$BM$196</definedName>
    <definedName name="v_69_XHAO_old">Model!$BI$196</definedName>
    <definedName name="v_69_XHFO_H">Model!$AZ$196</definedName>
    <definedName name="v_69_XHFO_H_P">Model!$BC$196</definedName>
    <definedName name="v_69_XHFO_H_P_old">Model!$BE$196</definedName>
    <definedName name="v_69_XHFO_L">Model!$BA$196</definedName>
    <definedName name="v_69_XHFO_L_P">Model!$BD$196</definedName>
    <definedName name="v_69_XHFO_L_P_old">Model!$BF$196</definedName>
    <definedName name="v_69_XHFO_old">Model!$BB$196</definedName>
    <definedName name="v_69_XHMETO">Model!$Y$196</definedName>
    <definedName name="v_69_XINORG">Model!$AS$196</definedName>
    <definedName name="v_69_XMEOLO">Model!$T$196</definedName>
    <definedName name="v_69_XN_B">Model!$AF$196</definedName>
    <definedName name="v_69_XN_Be">Model!$AG$196</definedName>
    <definedName name="v_69_XN_U">Model!$AH$196</definedName>
    <definedName name="v_69_XNOB">Model!$V$196</definedName>
    <definedName name="v_69_XOHO">Model!$R$196</definedName>
    <definedName name="v_69_XP_B">Model!$AL$196</definedName>
    <definedName name="v_69_XP_Be">Model!$AM$196</definedName>
    <definedName name="v_69_XP_U">Model!$AN$196</definedName>
    <definedName name="v_69_XPFOA">Model!$BT$196</definedName>
    <definedName name="v_69_XPFOS">Model!$BV$196</definedName>
    <definedName name="v_69_XPHA_GAO">Model!$O$196</definedName>
    <definedName name="v_69_XPHA_PAO">Model!$N$196</definedName>
    <definedName name="v_69_XPP">Model!$AJ$196</definedName>
    <definedName name="v_69_XSTR">Model!$BQ$196</definedName>
    <definedName name="v_69_XU">Model!$M$196</definedName>
    <definedName name="v_69_XVivi">Model!$BR$196</definedName>
    <definedName name="v_7_CB">Model!$H$134</definedName>
    <definedName name="v_7_CU">Model!$L$134</definedName>
    <definedName name="v_7_GCH4">Model!$CA$134</definedName>
    <definedName name="v_7_GCH4_atm">Model!$CG$134</definedName>
    <definedName name="v_7_GCO2">Model!$BZ$134</definedName>
    <definedName name="v_7_GCO2_atm">Model!$CF$134</definedName>
    <definedName name="v_7_GH2">Model!$CB$134</definedName>
    <definedName name="v_7_GH2_atm">Model!$CH$134</definedName>
    <definedName name="v_7_GN2">Model!$CE$134</definedName>
    <definedName name="v_7_GN2_atm">Model!$CK$134</definedName>
    <definedName name="v_7_GNH3">Model!$CD$134</definedName>
    <definedName name="v_7_GNH3_atm">Model!$CJ$134</definedName>
    <definedName name="v_7_GO2">Model!$CC$134</definedName>
    <definedName name="v_7_GO2_atm">Model!$CI$134</definedName>
    <definedName name="v_7_SALPHA">Model!$BX$134</definedName>
    <definedName name="v_7_SAN">Model!$AU$134</definedName>
    <definedName name="v_7_SB">Model!$F$134</definedName>
    <definedName name="v_7_SCa">Model!$AV$134</definedName>
    <definedName name="v_7_SCAT">Model!$AT$134</definedName>
    <definedName name="v_7_SCH4">Model!$AP$134</definedName>
    <definedName name="v_7_SCO2">Model!$AR$134</definedName>
    <definedName name="v_7_SFe2">Model!$AY$134</definedName>
    <definedName name="v_7_SH">Model!$BW$134</definedName>
    <definedName name="v_7_SH2">Model!$AQ$134</definedName>
    <definedName name="v_7_SK">Model!$AX$134</definedName>
    <definedName name="v_7_SMEOL">Model!$G$134</definedName>
    <definedName name="v_7_SMg">Model!$AW$134</definedName>
    <definedName name="v_7_SN_B">Model!$AE$134</definedName>
    <definedName name="v_7_SN2">Model!$AD$134</definedName>
    <definedName name="v_7_SNHx">Model!$AA$134</definedName>
    <definedName name="v_7_SNO2">Model!$AB$134</definedName>
    <definedName name="v_7_SNO3">Model!$AC$134</definedName>
    <definedName name="v_7_SO2">Model!$AO$134</definedName>
    <definedName name="v_7_SORPswitch">Model!$BY$134</definedName>
    <definedName name="v_7_SP_B">Model!$AK$134</definedName>
    <definedName name="v_7_SPFOA">Model!$BS$134</definedName>
    <definedName name="v_7_SPFOS">Model!$BU$134</definedName>
    <definedName name="v_7_SPO4">Model!$AI$134</definedName>
    <definedName name="v_7_SU">Model!$K$134</definedName>
    <definedName name="v_7_SVFA">Model!$E$134</definedName>
    <definedName name="v_7_XACP">Model!$BO$134</definedName>
    <definedName name="v_7_XALGAE">Model!$Z$134</definedName>
    <definedName name="v_7_XAMETO">Model!$X$134</definedName>
    <definedName name="v_7_XAMX">Model!$W$134</definedName>
    <definedName name="v_7_XAOB">Model!$U$134</definedName>
    <definedName name="v_7_XB">Model!$I$134</definedName>
    <definedName name="v_7_XB_e">Model!$J$134</definedName>
    <definedName name="v_7_XBSH">Model!$BP$134</definedName>
    <definedName name="v_7_XCaCO3">Model!$BN$134</definedName>
    <definedName name="v_7_XCASTO">Model!$S$134</definedName>
    <definedName name="v_7_XE">Model!$P$134</definedName>
    <definedName name="v_7_XE_ana">Model!$Q$134</definedName>
    <definedName name="v_7_XHAO_H">Model!$BG$134</definedName>
    <definedName name="v_7_XHAO_H_P">Model!$BJ$134</definedName>
    <definedName name="v_7_XHAO_H_P_old">Model!$BL$134</definedName>
    <definedName name="v_7_XHAO_L">Model!$BH$134</definedName>
    <definedName name="v_7_XHAO_L_P">Model!$BK$134</definedName>
    <definedName name="v_7_XHAO_L_P_old">Model!$BM$134</definedName>
    <definedName name="v_7_XHAO_old">Model!$BI$134</definedName>
    <definedName name="v_7_XHFO_H">Model!$AZ$134</definedName>
    <definedName name="v_7_XHFO_H_P">Model!$BC$134</definedName>
    <definedName name="v_7_XHFO_H_P_old">Model!$BE$134</definedName>
    <definedName name="v_7_XHFO_L">Model!$BA$134</definedName>
    <definedName name="v_7_XHFO_L_P">Model!$BD$134</definedName>
    <definedName name="v_7_XHFO_L_P_old">Model!$BF$134</definedName>
    <definedName name="v_7_XHFO_old">Model!$BB$134</definedName>
    <definedName name="v_7_XHMETO">Model!$Y$134</definedName>
    <definedName name="v_7_XINORG">Model!$AS$134</definedName>
    <definedName name="v_7_XMEOLO">Model!$T$134</definedName>
    <definedName name="v_7_XN_B">Model!$AF$134</definedName>
    <definedName name="v_7_XN_Be">Model!$AG$134</definedName>
    <definedName name="v_7_XN_U">Model!$AH$134</definedName>
    <definedName name="v_7_XNOB">Model!$V$134</definedName>
    <definedName name="v_7_XOHO">Model!$R$134</definedName>
    <definedName name="v_7_XP_B">Model!$AL$134</definedName>
    <definedName name="v_7_XP_Be">Model!$AM$134</definedName>
    <definedName name="v_7_XP_U">Model!$AN$134</definedName>
    <definedName name="v_7_XPFOA">Model!$BT$134</definedName>
    <definedName name="v_7_XPFOS">Model!$BV$134</definedName>
    <definedName name="v_7_XPHA_GAO">Model!$O$134</definedName>
    <definedName name="v_7_XPHA_PAO">Model!$N$134</definedName>
    <definedName name="v_7_XPP">Model!$AJ$134</definedName>
    <definedName name="v_7_XSTR">Model!$BQ$134</definedName>
    <definedName name="v_7_XU">Model!$M$134</definedName>
    <definedName name="v_7_XVivi">Model!$BR$134</definedName>
    <definedName name="v_70_CB">Model!$H$197</definedName>
    <definedName name="v_70_CU">Model!$L$197</definedName>
    <definedName name="v_70_GCH4">Model!$CA$197</definedName>
    <definedName name="v_70_GCH4_atm">Model!$CG$197</definedName>
    <definedName name="v_70_GCO2">Model!$BZ$197</definedName>
    <definedName name="v_70_GCO2_atm">Model!$CF$197</definedName>
    <definedName name="v_70_GH2">Model!$CB$197</definedName>
    <definedName name="v_70_GH2_atm">Model!$CH$197</definedName>
    <definedName name="v_70_GN2">Model!$CE$197</definedName>
    <definedName name="v_70_GN2_atm">Model!$CK$197</definedName>
    <definedName name="v_70_GNH3">Model!$CD$197</definedName>
    <definedName name="v_70_GNH3_atm">Model!$CJ$197</definedName>
    <definedName name="v_70_GO2">Model!$CC$197</definedName>
    <definedName name="v_70_GO2_atm">Model!$CI$197</definedName>
    <definedName name="v_70_SALPHA">Model!$BX$197</definedName>
    <definedName name="v_70_SAN">Model!$AU$197</definedName>
    <definedName name="v_70_SB">Model!$F$197</definedName>
    <definedName name="v_70_SCa">Model!$AV$197</definedName>
    <definedName name="v_70_SCAT">Model!$AT$197</definedName>
    <definedName name="v_70_SCH4">Model!$AP$197</definedName>
    <definedName name="v_70_SCO2">Model!$AR$197</definedName>
    <definedName name="v_70_SFe2">Model!$AY$197</definedName>
    <definedName name="v_70_SH">Model!$BW$197</definedName>
    <definedName name="v_70_SH2">Model!$AQ$197</definedName>
    <definedName name="v_70_SK">Model!$AX$197</definedName>
    <definedName name="v_70_SMEOL">Model!$G$197</definedName>
    <definedName name="v_70_SMg">Model!$AW$197</definedName>
    <definedName name="v_70_SN_B">Model!$AE$197</definedName>
    <definedName name="v_70_SN2">Model!$AD$197</definedName>
    <definedName name="v_70_SNHx">Model!$AA$197</definedName>
    <definedName name="v_70_SNO2">Model!$AB$197</definedName>
    <definedName name="v_70_SNO3">Model!$AC$197</definedName>
    <definedName name="v_70_SO2">Model!$AO$197</definedName>
    <definedName name="v_70_SORPswitch">Model!$BY$197</definedName>
    <definedName name="v_70_SP_B">Model!$AK$197</definedName>
    <definedName name="v_70_SPFOA">Model!$BS$197</definedName>
    <definedName name="v_70_SPFOS">Model!$BU$197</definedName>
    <definedName name="v_70_SPO4">Model!$AI$197</definedName>
    <definedName name="v_70_SU">Model!$K$197</definedName>
    <definedName name="v_70_SVFA">Model!$E$197</definedName>
    <definedName name="v_70_XACP">Model!$BO$197</definedName>
    <definedName name="v_70_XALGAE">Model!$Z$197</definedName>
    <definedName name="v_70_XAMETO">Model!$X$197</definedName>
    <definedName name="v_70_XAMX">Model!$W$197</definedName>
    <definedName name="v_70_XAOB">Model!$U$197</definedName>
    <definedName name="v_70_XB">Model!$I$197</definedName>
    <definedName name="v_70_XB_e">Model!$J$197</definedName>
    <definedName name="v_70_XBSH">Model!$BP$197</definedName>
    <definedName name="v_70_XCaCO3">Model!$BN$197</definedName>
    <definedName name="v_70_XCASTO">Model!$S$197</definedName>
    <definedName name="v_70_XE">Model!$P$197</definedName>
    <definedName name="v_70_XE_ana">Model!$Q$197</definedName>
    <definedName name="v_70_XHAO_H">Model!$BG$197</definedName>
    <definedName name="v_70_XHAO_H_P">Model!$BJ$197</definedName>
    <definedName name="v_70_XHAO_H_P_old">Model!$BL$197</definedName>
    <definedName name="v_70_XHAO_L">Model!$BH$197</definedName>
    <definedName name="v_70_XHAO_L_P">Model!$BK$197</definedName>
    <definedName name="v_70_XHAO_L_P_old">Model!$BM$197</definedName>
    <definedName name="v_70_XHAO_old">Model!$BI$197</definedName>
    <definedName name="v_70_XHFO_H">Model!$AZ$197</definedName>
    <definedName name="v_70_XHFO_H_P">Model!$BC$197</definedName>
    <definedName name="v_70_XHFO_H_P_old">Model!$BE$197</definedName>
    <definedName name="v_70_XHFO_L">Model!$BA$197</definedName>
    <definedName name="v_70_XHFO_L_P">Model!$BD$197</definedName>
    <definedName name="v_70_XHFO_L_P_old">Model!$BF$197</definedName>
    <definedName name="v_70_XHFO_old">Model!$BB$197</definedName>
    <definedName name="v_70_XHMETO">Model!$Y$197</definedName>
    <definedName name="v_70_XINORG">Model!$AS$197</definedName>
    <definedName name="v_70_XMEOLO">Model!$T$197</definedName>
    <definedName name="v_70_XN_B">Model!$AF$197</definedName>
    <definedName name="v_70_XN_Be">Model!$AG$197</definedName>
    <definedName name="v_70_XN_U">Model!$AH$197</definedName>
    <definedName name="v_70_XNOB">Model!$V$197</definedName>
    <definedName name="v_70_XOHO">Model!$R$197</definedName>
    <definedName name="v_70_XP_B">Model!$AL$197</definedName>
    <definedName name="v_70_XP_Be">Model!$AM$197</definedName>
    <definedName name="v_70_XP_U">Model!$AN$197</definedName>
    <definedName name="v_70_XPFOA">Model!$BT$197</definedName>
    <definedName name="v_70_XPFOS">Model!$BV$197</definedName>
    <definedName name="v_70_XPHA_GAO">Model!$O$197</definedName>
    <definedName name="v_70_XPHA_PAO">Model!$N$197</definedName>
    <definedName name="v_70_XPP">Model!$AJ$197</definedName>
    <definedName name="v_70_XSTR">Model!$BQ$197</definedName>
    <definedName name="v_70_XU">Model!$M$197</definedName>
    <definedName name="v_70_XVivi">Model!$BR$197</definedName>
    <definedName name="v_71_CB">Model!$H$198</definedName>
    <definedName name="v_71_CU">Model!$L$198</definedName>
    <definedName name="v_71_GCH4">Model!$CA$198</definedName>
    <definedName name="v_71_GCH4_atm">Model!$CG$198</definedName>
    <definedName name="v_71_GCO2">Model!$BZ$198</definedName>
    <definedName name="v_71_GCO2_atm">Model!$CF$198</definedName>
    <definedName name="v_71_GH2">Model!$CB$198</definedName>
    <definedName name="v_71_GH2_atm">Model!$CH$198</definedName>
    <definedName name="v_71_GN2">Model!$CE$198</definedName>
    <definedName name="v_71_GN2_atm">Model!$CK$198</definedName>
    <definedName name="v_71_GNH3">Model!$CD$198</definedName>
    <definedName name="v_71_GNH3_atm">Model!$CJ$198</definedName>
    <definedName name="v_71_GO2">Model!$CC$198</definedName>
    <definedName name="v_71_GO2_atm">Model!$CI$198</definedName>
    <definedName name="v_71_SALPHA">Model!$BX$198</definedName>
    <definedName name="v_71_SAN">Model!$AU$198</definedName>
    <definedName name="v_71_SB">Model!$F$198</definedName>
    <definedName name="v_71_SCa">Model!$AV$198</definedName>
    <definedName name="v_71_SCAT">Model!$AT$198</definedName>
    <definedName name="v_71_SCH4">Model!$AP$198</definedName>
    <definedName name="v_71_SCO2">Model!$AR$198</definedName>
    <definedName name="v_71_SFe2">Model!$AY$198</definedName>
    <definedName name="v_71_SH">Model!$BW$198</definedName>
    <definedName name="v_71_SH2">Model!$AQ$198</definedName>
    <definedName name="v_71_SK">Model!$AX$198</definedName>
    <definedName name="v_71_SMEOL">Model!$G$198</definedName>
    <definedName name="v_71_SMg">Model!$AW$198</definedName>
    <definedName name="v_71_SN_B">Model!$AE$198</definedName>
    <definedName name="v_71_SN2">Model!$AD$198</definedName>
    <definedName name="v_71_SNHx">Model!$AA$198</definedName>
    <definedName name="v_71_SNO2">Model!$AB$198</definedName>
    <definedName name="v_71_SNO3">Model!$AC$198</definedName>
    <definedName name="v_71_SO2">Model!$AO$198</definedName>
    <definedName name="v_71_SORPswitch">Model!$BY$198</definedName>
    <definedName name="v_71_SP_B">Model!$AK$198</definedName>
    <definedName name="v_71_SPFOA">Model!$BS$198</definedName>
    <definedName name="v_71_SPFOS">Model!$BU$198</definedName>
    <definedName name="v_71_SPO4">Model!$AI$198</definedName>
    <definedName name="v_71_SU">Model!$K$198</definedName>
    <definedName name="v_71_SVFA">Model!$E$198</definedName>
    <definedName name="v_71_XACP">Model!$BO$198</definedName>
    <definedName name="v_71_XALGAE">Model!$Z$198</definedName>
    <definedName name="v_71_XAMETO">Model!$X$198</definedName>
    <definedName name="v_71_XAMX">Model!$W$198</definedName>
    <definedName name="v_71_XAOB">Model!$U$198</definedName>
    <definedName name="v_71_XB">Model!$I$198</definedName>
    <definedName name="v_71_XB_e">Model!$J$198</definedName>
    <definedName name="v_71_XBSH">Model!$BP$198</definedName>
    <definedName name="v_71_XCaCO3">Model!$BN$198</definedName>
    <definedName name="v_71_XCASTO">Model!$S$198</definedName>
    <definedName name="v_71_XE">Model!$P$198</definedName>
    <definedName name="v_71_XE_ana">Model!$Q$198</definedName>
    <definedName name="v_71_XHAO_H">Model!$BG$198</definedName>
    <definedName name="v_71_XHAO_H_P">Model!$BJ$198</definedName>
    <definedName name="v_71_XHAO_H_P_old">Model!$BL$198</definedName>
    <definedName name="v_71_XHAO_L">Model!$BH$198</definedName>
    <definedName name="v_71_XHAO_L_P">Model!$BK$198</definedName>
    <definedName name="v_71_XHAO_L_P_old">Model!$BM$198</definedName>
    <definedName name="v_71_XHAO_old">Model!$BI$198</definedName>
    <definedName name="v_71_XHFO_H">Model!$AZ$198</definedName>
    <definedName name="v_71_XHFO_H_P">Model!$BC$198</definedName>
    <definedName name="v_71_XHFO_H_P_old">Model!$BE$198</definedName>
    <definedName name="v_71_XHFO_L">Model!$BA$198</definedName>
    <definedName name="v_71_XHFO_L_P">Model!$BD$198</definedName>
    <definedName name="v_71_XHFO_L_P_old">Model!$BF$198</definedName>
    <definedName name="v_71_XHFO_old">Model!$BB$198</definedName>
    <definedName name="v_71_XHMETO">Model!$Y$198</definedName>
    <definedName name="v_71_XINORG">Model!$AS$198</definedName>
    <definedName name="v_71_XMEOLO">Model!$T$198</definedName>
    <definedName name="v_71_XN_B">Model!$AF$198</definedName>
    <definedName name="v_71_XN_Be">Model!$AG$198</definedName>
    <definedName name="v_71_XN_U">Model!$AH$198</definedName>
    <definedName name="v_71_XNOB">Model!$V$198</definedName>
    <definedName name="v_71_XOHO">Model!$R$198</definedName>
    <definedName name="v_71_XP_B">Model!$AL$198</definedName>
    <definedName name="v_71_XP_Be">Model!$AM$198</definedName>
    <definedName name="v_71_XP_U">Model!$AN$198</definedName>
    <definedName name="v_71_XPFOA">Model!$BT$198</definedName>
    <definedName name="v_71_XPFOS">Model!$BV$198</definedName>
    <definedName name="v_71_XPHA_GAO">Model!$O$198</definedName>
    <definedName name="v_71_XPHA_PAO">Model!$N$198</definedName>
    <definedName name="v_71_XPP">Model!$AJ$198</definedName>
    <definedName name="v_71_XSTR">Model!$BQ$198</definedName>
    <definedName name="v_71_XU">Model!$M$198</definedName>
    <definedName name="v_71_XVivi">Model!$BR$198</definedName>
    <definedName name="v_72_CB">Model!$H$199</definedName>
    <definedName name="v_72_CU">Model!$L$199</definedName>
    <definedName name="v_72_GCH4">Model!$CA$199</definedName>
    <definedName name="v_72_GCH4_atm">Model!$CG$199</definedName>
    <definedName name="v_72_GCO2">Model!$BZ$199</definedName>
    <definedName name="v_72_GCO2_atm">Model!$CF$199</definedName>
    <definedName name="v_72_GH2">Model!$CB$199</definedName>
    <definedName name="v_72_GH2_atm">Model!$CH$199</definedName>
    <definedName name="v_72_GN2">Model!$CE$199</definedName>
    <definedName name="v_72_GN2_atm">Model!$CK$199</definedName>
    <definedName name="v_72_GNH3">Model!$CD$199</definedName>
    <definedName name="v_72_GNH3_atm">Model!$CJ$199</definedName>
    <definedName name="v_72_GO2">Model!$CC$199</definedName>
    <definedName name="v_72_GO2_atm">Model!$CI$199</definedName>
    <definedName name="v_72_SALPHA">Model!$BX$199</definedName>
    <definedName name="v_72_SAN">Model!$AU$199</definedName>
    <definedName name="v_72_SB">Model!$F$199</definedName>
    <definedName name="v_72_SCa">Model!$AV$199</definedName>
    <definedName name="v_72_SCAT">Model!$AT$199</definedName>
    <definedName name="v_72_SCH4">Model!$AP$199</definedName>
    <definedName name="v_72_SCO2">Model!$AR$199</definedName>
    <definedName name="v_72_SFe2">Model!$AY$199</definedName>
    <definedName name="v_72_SH">Model!$BW$199</definedName>
    <definedName name="v_72_SH2">Model!$AQ$199</definedName>
    <definedName name="v_72_SK">Model!$AX$199</definedName>
    <definedName name="v_72_SMEOL">Model!$G$199</definedName>
    <definedName name="v_72_SMg">Model!$AW$199</definedName>
    <definedName name="v_72_SN_B">Model!$AE$199</definedName>
    <definedName name="v_72_SN2">Model!$AD$199</definedName>
    <definedName name="v_72_SNHx">Model!$AA$199</definedName>
    <definedName name="v_72_SNO2">Model!$AB$199</definedName>
    <definedName name="v_72_SNO3">Model!$AC$199</definedName>
    <definedName name="v_72_SO2">Model!$AO$199</definedName>
    <definedName name="v_72_SORPswitch">Model!$BY$199</definedName>
    <definedName name="v_72_SP_B">Model!$AK$199</definedName>
    <definedName name="v_72_SPFOA">Model!$BS$199</definedName>
    <definedName name="v_72_SPFOS">Model!$BU$199</definedName>
    <definedName name="v_72_SPO4">Model!$AI$199</definedName>
    <definedName name="v_72_SU">Model!$K$199</definedName>
    <definedName name="v_72_SVFA">Model!$E$199</definedName>
    <definedName name="v_72_XACP">Model!$BO$199</definedName>
    <definedName name="v_72_XALGAE">Model!$Z$199</definedName>
    <definedName name="v_72_XAMETO">Model!$X$199</definedName>
    <definedName name="v_72_XAMX">Model!$W$199</definedName>
    <definedName name="v_72_XAOB">Model!$U$199</definedName>
    <definedName name="v_72_XB">Model!$I$199</definedName>
    <definedName name="v_72_XB_e">Model!$J$199</definedName>
    <definedName name="v_72_XBSH">Model!$BP$199</definedName>
    <definedName name="v_72_XCaCO3">Model!$BN$199</definedName>
    <definedName name="v_72_XCASTO">Model!$S$199</definedName>
    <definedName name="v_72_XE">Model!$P$199</definedName>
    <definedName name="v_72_XE_ana">Model!$Q$199</definedName>
    <definedName name="v_72_XHAO_H">Model!$BG$199</definedName>
    <definedName name="v_72_XHAO_H_P">Model!$BJ$199</definedName>
    <definedName name="v_72_XHAO_H_P_old">Model!$BL$199</definedName>
    <definedName name="v_72_XHAO_L">Model!$BH$199</definedName>
    <definedName name="v_72_XHAO_L_P">Model!$BK$199</definedName>
    <definedName name="v_72_XHAO_L_P_old">Model!$BM$199</definedName>
    <definedName name="v_72_XHAO_old">Model!$BI$199</definedName>
    <definedName name="v_72_XHFO_H">Model!$AZ$199</definedName>
    <definedName name="v_72_XHFO_H_P">Model!$BC$199</definedName>
    <definedName name="v_72_XHFO_H_P_old">Model!$BE$199</definedName>
    <definedName name="v_72_XHFO_L">Model!$BA$199</definedName>
    <definedName name="v_72_XHFO_L_P">Model!$BD$199</definedName>
    <definedName name="v_72_XHFO_L_P_old">Model!$BF$199</definedName>
    <definedName name="v_72_XHFO_old">Model!$BB$199</definedName>
    <definedName name="v_72_XHMETO">Model!$Y$199</definedName>
    <definedName name="v_72_XINORG">Model!$AS$199</definedName>
    <definedName name="v_72_XMEOLO">Model!$T$199</definedName>
    <definedName name="v_72_XN_B">Model!$AF$199</definedName>
    <definedName name="v_72_XN_Be">Model!$AG$199</definedName>
    <definedName name="v_72_XN_U">Model!$AH$199</definedName>
    <definedName name="v_72_XNOB">Model!$V$199</definedName>
    <definedName name="v_72_XOHO">Model!$R$199</definedName>
    <definedName name="v_72_XP_B">Model!$AL$199</definedName>
    <definedName name="v_72_XP_Be">Model!$AM$199</definedName>
    <definedName name="v_72_XP_U">Model!$AN$199</definedName>
    <definedName name="v_72_XPFOA">Model!$BT$199</definedName>
    <definedName name="v_72_XPFOS">Model!$BV$199</definedName>
    <definedName name="v_72_XPHA_GAO">Model!$O$199</definedName>
    <definedName name="v_72_XPHA_PAO">Model!$N$199</definedName>
    <definedName name="v_72_XPP">Model!$AJ$199</definedName>
    <definedName name="v_72_XSTR">Model!$BQ$199</definedName>
    <definedName name="v_72_XU">Model!$M$199</definedName>
    <definedName name="v_72_XVivi">Model!$BR$199</definedName>
    <definedName name="v_73_CB">Model!$H$200</definedName>
    <definedName name="v_73_CU">Model!$L$200</definedName>
    <definedName name="v_73_GCH4">Model!$CA$200</definedName>
    <definedName name="v_73_GCH4_atm">Model!$CG$200</definedName>
    <definedName name="v_73_GCO2">Model!$BZ$200</definedName>
    <definedName name="v_73_GCO2_atm">Model!$CF$200</definedName>
    <definedName name="v_73_GH2">Model!$CB$200</definedName>
    <definedName name="v_73_GH2_atm">Model!$CH$200</definedName>
    <definedName name="v_73_GN2">Model!$CE$200</definedName>
    <definedName name="v_73_GN2_atm">Model!$CK$200</definedName>
    <definedName name="v_73_GNH3">Model!$CD$200</definedName>
    <definedName name="v_73_GNH3_atm">Model!$CJ$200</definedName>
    <definedName name="v_73_GO2">Model!$CC$200</definedName>
    <definedName name="v_73_GO2_atm">Model!$CI$200</definedName>
    <definedName name="v_73_SALPHA">Model!$BX$200</definedName>
    <definedName name="v_73_SAN">Model!$AU$200</definedName>
    <definedName name="v_73_SB">Model!$F$200</definedName>
    <definedName name="v_73_SCa">Model!$AV$200</definedName>
    <definedName name="v_73_SCAT">Model!$AT$200</definedName>
    <definedName name="v_73_SCH4">Model!$AP$200</definedName>
    <definedName name="v_73_SCO2">Model!$AR$200</definedName>
    <definedName name="v_73_SFe2">Model!$AY$200</definedName>
    <definedName name="v_73_SH">Model!$BW$200</definedName>
    <definedName name="v_73_SH2">Model!$AQ$200</definedName>
    <definedName name="v_73_SK">Model!$AX$200</definedName>
    <definedName name="v_73_SMEOL">Model!$G$200</definedName>
    <definedName name="v_73_SMg">Model!$AW$200</definedName>
    <definedName name="v_73_SN_B">Model!$AE$200</definedName>
    <definedName name="v_73_SN2">Model!$AD$200</definedName>
    <definedName name="v_73_SNHx">Model!$AA$200</definedName>
    <definedName name="v_73_SNO2">Model!$AB$200</definedName>
    <definedName name="v_73_SNO3">Model!$AC$200</definedName>
    <definedName name="v_73_SO2">Model!$AO$200</definedName>
    <definedName name="v_73_SORPswitch">Model!$BY$200</definedName>
    <definedName name="v_73_SP_B">Model!$AK$200</definedName>
    <definedName name="v_73_SPFOA">Model!$BS$200</definedName>
    <definedName name="v_73_SPFOS">Model!$BU$200</definedName>
    <definedName name="v_73_SPO4">Model!$AI$200</definedName>
    <definedName name="v_73_SU">Model!$K$200</definedName>
    <definedName name="v_73_SVFA">Model!$E$200</definedName>
    <definedName name="v_73_XACP">Model!$BO$200</definedName>
    <definedName name="v_73_XALGAE">Model!$Z$200</definedName>
    <definedName name="v_73_XAMETO">Model!$X$200</definedName>
    <definedName name="v_73_XAMX">Model!$W$200</definedName>
    <definedName name="v_73_XAOB">Model!$U$200</definedName>
    <definedName name="v_73_XB">Model!$I$200</definedName>
    <definedName name="v_73_XB_e">Model!$J$200</definedName>
    <definedName name="v_73_XBSH">Model!$BP$200</definedName>
    <definedName name="v_73_XCaCO3">Model!$BN$200</definedName>
    <definedName name="v_73_XCASTO">Model!$S$200</definedName>
    <definedName name="v_73_XE">Model!$P$200</definedName>
    <definedName name="v_73_XE_ana">Model!$Q$200</definedName>
    <definedName name="v_73_XHAO_H">Model!$BG$200</definedName>
    <definedName name="v_73_XHAO_H_P">Model!$BJ$200</definedName>
    <definedName name="v_73_XHAO_H_P_old">Model!$BL$200</definedName>
    <definedName name="v_73_XHAO_L">Model!$BH$200</definedName>
    <definedName name="v_73_XHAO_L_P">Model!$BK$200</definedName>
    <definedName name="v_73_XHAO_L_P_old">Model!$BM$200</definedName>
    <definedName name="v_73_XHAO_old">Model!$BI$200</definedName>
    <definedName name="v_73_XHFO_H">Model!$AZ$200</definedName>
    <definedName name="v_73_XHFO_H_P">Model!$BC$200</definedName>
    <definedName name="v_73_XHFO_H_P_old">Model!$BE$200</definedName>
    <definedName name="v_73_XHFO_L">Model!$BA$200</definedName>
    <definedName name="v_73_XHFO_L_P">Model!$BD$200</definedName>
    <definedName name="v_73_XHFO_L_P_old">Model!$BF$200</definedName>
    <definedName name="v_73_XHFO_old">Model!$BB$200</definedName>
    <definedName name="v_73_XHMETO">Model!$Y$200</definedName>
    <definedName name="v_73_XINORG">Model!$AS$200</definedName>
    <definedName name="v_73_XMEOLO">Model!$T$200</definedName>
    <definedName name="v_73_XN_B">Model!$AF$200</definedName>
    <definedName name="v_73_XN_Be">Model!$AG$200</definedName>
    <definedName name="v_73_XN_U">Model!$AH$200</definedName>
    <definedName name="v_73_XNOB">Model!$V$200</definedName>
    <definedName name="v_73_XOHO">Model!$R$200</definedName>
    <definedName name="v_73_XP_B">Model!$AL$200</definedName>
    <definedName name="v_73_XP_Be">Model!$AM$200</definedName>
    <definedName name="v_73_XP_U">Model!$AN$200</definedName>
    <definedName name="v_73_XPFOA">Model!$BT$200</definedName>
    <definedName name="v_73_XPFOS">Model!$BV$200</definedName>
    <definedName name="v_73_XPHA_GAO">Model!$O$200</definedName>
    <definedName name="v_73_XPHA_PAO">Model!$N$200</definedName>
    <definedName name="v_73_XPP">Model!$AJ$200</definedName>
    <definedName name="v_73_XSTR">Model!$BQ$200</definedName>
    <definedName name="v_73_XU">Model!$M$200</definedName>
    <definedName name="v_73_XVivi">Model!$BR$200</definedName>
    <definedName name="v_74_CB">Model!$H$201</definedName>
    <definedName name="v_74_CU">Model!$L$201</definedName>
    <definedName name="v_74_GCH4">Model!$CA$201</definedName>
    <definedName name="v_74_GCH4_atm">Model!$CG$201</definedName>
    <definedName name="v_74_GCO2">Model!$BZ$201</definedName>
    <definedName name="v_74_GCO2_atm">Model!$CF$201</definedName>
    <definedName name="v_74_GH2">Model!$CB$201</definedName>
    <definedName name="v_74_GH2_atm">Model!$CH$201</definedName>
    <definedName name="v_74_GN2">Model!$CE$201</definedName>
    <definedName name="v_74_GN2_atm">Model!$CK$201</definedName>
    <definedName name="v_74_GNH3">Model!$CD$201</definedName>
    <definedName name="v_74_GNH3_atm">Model!$CJ$201</definedName>
    <definedName name="v_74_GO2">Model!$CC$201</definedName>
    <definedName name="v_74_GO2_atm">Model!$CI$201</definedName>
    <definedName name="v_74_SALPHA">Model!$BX$201</definedName>
    <definedName name="v_74_SAN">Model!$AU$201</definedName>
    <definedName name="v_74_SB">Model!$F$201</definedName>
    <definedName name="v_74_SCa">Model!$AV$201</definedName>
    <definedName name="v_74_SCAT">Model!$AT$201</definedName>
    <definedName name="v_74_SCH4">Model!$AP$201</definedName>
    <definedName name="v_74_SCO2">Model!$AR$201</definedName>
    <definedName name="v_74_SFe2">Model!$AY$201</definedName>
    <definedName name="v_74_SH">Model!$BW$201</definedName>
    <definedName name="v_74_SH2">Model!$AQ$201</definedName>
    <definedName name="v_74_SK">Model!$AX$201</definedName>
    <definedName name="v_74_SMEOL">Model!$G$201</definedName>
    <definedName name="v_74_SMg">Model!$AW$201</definedName>
    <definedName name="v_74_SN_B">Model!$AE$201</definedName>
    <definedName name="v_74_SN2">Model!$AD$201</definedName>
    <definedName name="v_74_SNHx">Model!$AA$201</definedName>
    <definedName name="v_74_SNO2">Model!$AB$201</definedName>
    <definedName name="v_74_SNO3">Model!$AC$201</definedName>
    <definedName name="v_74_SO2">Model!$AO$201</definedName>
    <definedName name="v_74_SORPswitch">Model!$BY$201</definedName>
    <definedName name="v_74_SP_B">Model!$AK$201</definedName>
    <definedName name="v_74_SPFOA">Model!$BS$201</definedName>
    <definedName name="v_74_SPFOS">Model!$BU$201</definedName>
    <definedName name="v_74_SPO4">Model!$AI$201</definedName>
    <definedName name="v_74_SU">Model!$K$201</definedName>
    <definedName name="v_74_SVFA">Model!$E$201</definedName>
    <definedName name="v_74_XACP">Model!$BO$201</definedName>
    <definedName name="v_74_XALGAE">Model!$Z$201</definedName>
    <definedName name="v_74_XAMETO">Model!$X$201</definedName>
    <definedName name="v_74_XAMX">Model!$W$201</definedName>
    <definedName name="v_74_XAOB">Model!$U$201</definedName>
    <definedName name="v_74_XB">Model!$I$201</definedName>
    <definedName name="v_74_XB_e">Model!$J$201</definedName>
    <definedName name="v_74_XBSH">Model!$BP$201</definedName>
    <definedName name="v_74_XCaCO3">Model!$BN$201</definedName>
    <definedName name="v_74_XCASTO">Model!$S$201</definedName>
    <definedName name="v_74_XE">Model!$P$201</definedName>
    <definedName name="v_74_XE_ana">Model!$Q$201</definedName>
    <definedName name="v_74_XHAO_H">Model!$BG$201</definedName>
    <definedName name="v_74_XHAO_H_P">Model!$BJ$201</definedName>
    <definedName name="v_74_XHAO_H_P_old">Model!$BL$201</definedName>
    <definedName name="v_74_XHAO_L">Model!$BH$201</definedName>
    <definedName name="v_74_XHAO_L_P">Model!$BK$201</definedName>
    <definedName name="v_74_XHAO_L_P_old">Model!$BM$201</definedName>
    <definedName name="v_74_XHAO_old">Model!$BI$201</definedName>
    <definedName name="v_74_XHFO_H">Model!$AZ$201</definedName>
    <definedName name="v_74_XHFO_H_P">Model!$BC$201</definedName>
    <definedName name="v_74_XHFO_H_P_old">Model!$BE$201</definedName>
    <definedName name="v_74_XHFO_L">Model!$BA$201</definedName>
    <definedName name="v_74_XHFO_L_P">Model!$BD$201</definedName>
    <definedName name="v_74_XHFO_L_P_old">Model!$BF$201</definedName>
    <definedName name="v_74_XHFO_old">Model!$BB$201</definedName>
    <definedName name="v_74_XHMETO">Model!$Y$201</definedName>
    <definedName name="v_74_XINORG">Model!$AS$201</definedName>
    <definedName name="v_74_XMEOLO">Model!$T$201</definedName>
    <definedName name="v_74_XN_B">Model!$AF$201</definedName>
    <definedName name="v_74_XN_Be">Model!$AG$201</definedName>
    <definedName name="v_74_XN_U">Model!$AH$201</definedName>
    <definedName name="v_74_XNOB">Model!$V$201</definedName>
    <definedName name="v_74_XOHO">Model!$R$201</definedName>
    <definedName name="v_74_XP_B">Model!$AL$201</definedName>
    <definedName name="v_74_XP_Be">Model!$AM$201</definedName>
    <definedName name="v_74_XP_U">Model!$AN$201</definedName>
    <definedName name="v_74_XPFOA">Model!$BT$201</definedName>
    <definedName name="v_74_XPFOS">Model!$BV$201</definedName>
    <definedName name="v_74_XPHA_GAO">Model!$O$201</definedName>
    <definedName name="v_74_XPHA_PAO">Model!$N$201</definedName>
    <definedName name="v_74_XPP">Model!$AJ$201</definedName>
    <definedName name="v_74_XSTR">Model!$BQ$201</definedName>
    <definedName name="v_74_XU">Model!$M$201</definedName>
    <definedName name="v_74_XVivi">Model!$BR$201</definedName>
    <definedName name="v_75_CB">Model!$H$202</definedName>
    <definedName name="v_75_CU">Model!$L$202</definedName>
    <definedName name="v_75_GCH4">Model!$CA$202</definedName>
    <definedName name="v_75_GCH4_atm">Model!$CG$202</definedName>
    <definedName name="v_75_GCO2">Model!$BZ$202</definedName>
    <definedName name="v_75_GCO2_atm">Model!$CF$202</definedName>
    <definedName name="v_75_GH2">Model!$CB$202</definedName>
    <definedName name="v_75_GH2_atm">Model!$CH$202</definedName>
    <definedName name="v_75_GN2">Model!$CE$202</definedName>
    <definedName name="v_75_GN2_atm">Model!$CK$202</definedName>
    <definedName name="v_75_GNH3">Model!$CD$202</definedName>
    <definedName name="v_75_GNH3_atm">Model!$CJ$202</definedName>
    <definedName name="v_75_GO2">Model!$CC$202</definedName>
    <definedName name="v_75_GO2_atm">Model!$CI$202</definedName>
    <definedName name="v_75_SALPHA">Model!$BX$202</definedName>
    <definedName name="v_75_SAN">Model!$AU$202</definedName>
    <definedName name="v_75_SB">Model!$F$202</definedName>
    <definedName name="v_75_SCa">Model!$AV$202</definedName>
    <definedName name="v_75_SCAT">Model!$AT$202</definedName>
    <definedName name="v_75_SCH4">Model!$AP$202</definedName>
    <definedName name="v_75_SCO2">Model!$AR$202</definedName>
    <definedName name="v_75_SFe2">Model!$AY$202</definedName>
    <definedName name="v_75_SH">Model!$BW$202</definedName>
    <definedName name="v_75_SH2">Model!$AQ$202</definedName>
    <definedName name="v_75_SK">Model!$AX$202</definedName>
    <definedName name="v_75_SMEOL">Model!$G$202</definedName>
    <definedName name="v_75_SMg">Model!$AW$202</definedName>
    <definedName name="v_75_SN_B">Model!$AE$202</definedName>
    <definedName name="v_75_SN2">Model!$AD$202</definedName>
    <definedName name="v_75_SNHx">Model!$AA$202</definedName>
    <definedName name="v_75_SNO2">Model!$AB$202</definedName>
    <definedName name="v_75_SNO3">Model!$AC$202</definedName>
    <definedName name="v_75_SO2">Model!$AO$202</definedName>
    <definedName name="v_75_SORPswitch">Model!$BY$202</definedName>
    <definedName name="v_75_SP_B">Model!$AK$202</definedName>
    <definedName name="v_75_SPFOA">Model!$BS$202</definedName>
    <definedName name="v_75_SPFOS">Model!$BU$202</definedName>
    <definedName name="v_75_SPO4">Model!$AI$202</definedName>
    <definedName name="v_75_SU">Model!$K$202</definedName>
    <definedName name="v_75_SVFA">Model!$E$202</definedName>
    <definedName name="v_75_XACP">Model!$BO$202</definedName>
    <definedName name="v_75_XALGAE">Model!$Z$202</definedName>
    <definedName name="v_75_XAMETO">Model!$X$202</definedName>
    <definedName name="v_75_XAMX">Model!$W$202</definedName>
    <definedName name="v_75_XAOB">Model!$U$202</definedName>
    <definedName name="v_75_XB">Model!$I$202</definedName>
    <definedName name="v_75_XB_e">Model!$J$202</definedName>
    <definedName name="v_75_XBSH">Model!$BP$202</definedName>
    <definedName name="v_75_XCaCO3">Model!$BN$202</definedName>
    <definedName name="v_75_XCASTO">Model!$S$202</definedName>
    <definedName name="v_75_XE">Model!$P$202</definedName>
    <definedName name="v_75_XE_ana">Model!$Q$202</definedName>
    <definedName name="v_75_XHAO_H">Model!$BG$202</definedName>
    <definedName name="v_75_XHAO_H_P">Model!$BJ$202</definedName>
    <definedName name="v_75_XHAO_H_P_old">Model!$BL$202</definedName>
    <definedName name="v_75_XHAO_L">Model!$BH$202</definedName>
    <definedName name="v_75_XHAO_L_P">Model!$BK$202</definedName>
    <definedName name="v_75_XHAO_L_P_old">Model!$BM$202</definedName>
    <definedName name="v_75_XHAO_old">Model!$BI$202</definedName>
    <definedName name="v_75_XHFO_H">Model!$AZ$202</definedName>
    <definedName name="v_75_XHFO_H_P">Model!$BC$202</definedName>
    <definedName name="v_75_XHFO_H_P_old">Model!$BE$202</definedName>
    <definedName name="v_75_XHFO_L">Model!$BA$202</definedName>
    <definedName name="v_75_XHFO_L_P">Model!$BD$202</definedName>
    <definedName name="v_75_XHFO_L_P_old">Model!$BF$202</definedName>
    <definedName name="v_75_XHFO_old">Model!$BB$202</definedName>
    <definedName name="v_75_XHMETO">Model!$Y$202</definedName>
    <definedName name="v_75_XINORG">Model!$AS$202</definedName>
    <definedName name="v_75_XMEOLO">Model!$T$202</definedName>
    <definedName name="v_75_XN_B">Model!$AF$202</definedName>
    <definedName name="v_75_XN_Be">Model!$AG$202</definedName>
    <definedName name="v_75_XN_U">Model!$AH$202</definedName>
    <definedName name="v_75_XNOB">Model!$V$202</definedName>
    <definedName name="v_75_XOHO">Model!$R$202</definedName>
    <definedName name="v_75_XP_B">Model!$AL$202</definedName>
    <definedName name="v_75_XP_Be">Model!$AM$202</definedName>
    <definedName name="v_75_XP_U">Model!$AN$202</definedName>
    <definedName name="v_75_XPFOA">Model!$BT$202</definedName>
    <definedName name="v_75_XPFOS">Model!$BV$202</definedName>
    <definedName name="v_75_XPHA_GAO">Model!$O$202</definedName>
    <definedName name="v_75_XPHA_PAO">Model!$N$202</definedName>
    <definedName name="v_75_XPP">Model!$AJ$202</definedName>
    <definedName name="v_75_XSTR">Model!$BQ$202</definedName>
    <definedName name="v_75_XU">Model!$M$202</definedName>
    <definedName name="v_75_XVivi">Model!$BR$202</definedName>
    <definedName name="v_76_CB">Model!$H$203</definedName>
    <definedName name="v_76_CU">Model!$L$203</definedName>
    <definedName name="v_76_GCH4">Model!$CA$203</definedName>
    <definedName name="v_76_GCH4_atm">Model!$CG$203</definedName>
    <definedName name="v_76_GCO2">Model!$BZ$203</definedName>
    <definedName name="v_76_GCO2_atm">Model!$CF$203</definedName>
    <definedName name="v_76_GH2">Model!$CB$203</definedName>
    <definedName name="v_76_GH2_atm">Model!$CH$203</definedName>
    <definedName name="v_76_GN2">Model!$CE$203</definedName>
    <definedName name="v_76_GN2_atm">Model!$CK$203</definedName>
    <definedName name="v_76_GNH3">Model!$CD$203</definedName>
    <definedName name="v_76_GNH3_atm">Model!$CJ$203</definedName>
    <definedName name="v_76_GO2">Model!$CC$203</definedName>
    <definedName name="v_76_GO2_atm">Model!$CI$203</definedName>
    <definedName name="v_76_SALPHA">Model!$BX$203</definedName>
    <definedName name="v_76_SAN">Model!$AU$203</definedName>
    <definedName name="v_76_SB">Model!$F$203</definedName>
    <definedName name="v_76_SCa">Model!$AV$203</definedName>
    <definedName name="v_76_SCAT">Model!$AT$203</definedName>
    <definedName name="v_76_SCH4">Model!$AP$203</definedName>
    <definedName name="v_76_SCO2">Model!$AR$203</definedName>
    <definedName name="v_76_SFe2">Model!$AY$203</definedName>
    <definedName name="v_76_SH">Model!$BW$203</definedName>
    <definedName name="v_76_SH2">Model!$AQ$203</definedName>
    <definedName name="v_76_SK">Model!$AX$203</definedName>
    <definedName name="v_76_SMEOL">Model!$G$203</definedName>
    <definedName name="v_76_SMg">Model!$AW$203</definedName>
    <definedName name="v_76_SN_B">Model!$AE$203</definedName>
    <definedName name="v_76_SN2">Model!$AD$203</definedName>
    <definedName name="v_76_SNHx">Model!$AA$203</definedName>
    <definedName name="v_76_SNO2">Model!$AB$203</definedName>
    <definedName name="v_76_SNO3">Model!$AC$203</definedName>
    <definedName name="v_76_SO2">Model!$AO$203</definedName>
    <definedName name="v_76_SORPswitch">Model!$BY$203</definedName>
    <definedName name="v_76_SP_B">Model!$AK$203</definedName>
    <definedName name="v_76_SPFOA">Model!$BS$203</definedName>
    <definedName name="v_76_SPFOS">Model!$BU$203</definedName>
    <definedName name="v_76_SPO4">Model!$AI$203</definedName>
    <definedName name="v_76_SU">Model!$K$203</definedName>
    <definedName name="v_76_SVFA">Model!$E$203</definedName>
    <definedName name="v_76_XACP">Model!$BO$203</definedName>
    <definedName name="v_76_XALGAE">Model!$Z$203</definedName>
    <definedName name="v_76_XAMETO">Model!$X$203</definedName>
    <definedName name="v_76_XAMX">Model!$W$203</definedName>
    <definedName name="v_76_XAOB">Model!$U$203</definedName>
    <definedName name="v_76_XB">Model!$I$203</definedName>
    <definedName name="v_76_XB_e">Model!$J$203</definedName>
    <definedName name="v_76_XBSH">Model!$BP$203</definedName>
    <definedName name="v_76_XCaCO3">Model!$BN$203</definedName>
    <definedName name="v_76_XCASTO">Model!$S$203</definedName>
    <definedName name="v_76_XE">Model!$P$203</definedName>
    <definedName name="v_76_XE_ana">Model!$Q$203</definedName>
    <definedName name="v_76_XHAO_H">Model!$BG$203</definedName>
    <definedName name="v_76_XHAO_H_P">Model!$BJ$203</definedName>
    <definedName name="v_76_XHAO_H_P_old">Model!$BL$203</definedName>
    <definedName name="v_76_XHAO_L">Model!$BH$203</definedName>
    <definedName name="v_76_XHAO_L_P">Model!$BK$203</definedName>
    <definedName name="v_76_XHAO_L_P_old">Model!$BM$203</definedName>
    <definedName name="v_76_XHAO_old">Model!$BI$203</definedName>
    <definedName name="v_76_XHFO_H">Model!$AZ$203</definedName>
    <definedName name="v_76_XHFO_H_P">Model!$BC$203</definedName>
    <definedName name="v_76_XHFO_H_P_old">Model!$BE$203</definedName>
    <definedName name="v_76_XHFO_L">Model!$BA$203</definedName>
    <definedName name="v_76_XHFO_L_P">Model!$BD$203</definedName>
    <definedName name="v_76_XHFO_L_P_old">Model!$BF$203</definedName>
    <definedName name="v_76_XHFO_old">Model!$BB$203</definedName>
    <definedName name="v_76_XHMETO">Model!$Y$203</definedName>
    <definedName name="v_76_XINORG">Model!$AS$203</definedName>
    <definedName name="v_76_XMEOLO">Model!$T$203</definedName>
    <definedName name="v_76_XN_B">Model!$AF$203</definedName>
    <definedName name="v_76_XN_Be">Model!$AG$203</definedName>
    <definedName name="v_76_XN_U">Model!$AH$203</definedName>
    <definedName name="v_76_XNOB">Model!$V$203</definedName>
    <definedName name="v_76_XOHO">Model!$R$203</definedName>
    <definedName name="v_76_XP_B">Model!$AL$203</definedName>
    <definedName name="v_76_XP_Be">Model!$AM$203</definedName>
    <definedName name="v_76_XP_U">Model!$AN$203</definedName>
    <definedName name="v_76_XPFOA">Model!$BT$203</definedName>
    <definedName name="v_76_XPFOS">Model!$BV$203</definedName>
    <definedName name="v_76_XPHA_GAO">Model!$O$203</definedName>
    <definedName name="v_76_XPHA_PAO">Model!$N$203</definedName>
    <definedName name="v_76_XPP">Model!$AJ$203</definedName>
    <definedName name="v_76_XSTR">Model!$BQ$203</definedName>
    <definedName name="v_76_XU">Model!$M$203</definedName>
    <definedName name="v_76_XVivi">Model!$BR$203</definedName>
    <definedName name="v_77_CB">Model!$H$204</definedName>
    <definedName name="v_77_CU">Model!$L$204</definedName>
    <definedName name="v_77_GCH4">Model!$CA$204</definedName>
    <definedName name="v_77_GCH4_atm">Model!$CG$204</definedName>
    <definedName name="v_77_GCO2">Model!$BZ$204</definedName>
    <definedName name="v_77_GCO2_atm">Model!$CF$204</definedName>
    <definedName name="v_77_GH2">Model!$CB$204</definedName>
    <definedName name="v_77_GH2_atm">Model!$CH$204</definedName>
    <definedName name="v_77_GN2">Model!$CE$204</definedName>
    <definedName name="v_77_GN2_atm">Model!$CK$204</definedName>
    <definedName name="v_77_GNH3">Model!$CD$204</definedName>
    <definedName name="v_77_GNH3_atm">Model!$CJ$204</definedName>
    <definedName name="v_77_GO2">Model!$CC$204</definedName>
    <definedName name="v_77_GO2_atm">Model!$CI$204</definedName>
    <definedName name="v_77_SALPHA">Model!$BX$204</definedName>
    <definedName name="v_77_SAN">Model!$AU$204</definedName>
    <definedName name="v_77_SB">Model!$F$204</definedName>
    <definedName name="v_77_SCa">Model!$AV$204</definedName>
    <definedName name="v_77_SCAT">Model!$AT$204</definedName>
    <definedName name="v_77_SCH4">Model!$AP$204</definedName>
    <definedName name="v_77_SCO2">Model!$AR$204</definedName>
    <definedName name="v_77_SFe2">Model!$AY$204</definedName>
    <definedName name="v_77_SH">Model!$BW$204</definedName>
    <definedName name="v_77_SH2">Model!$AQ$204</definedName>
    <definedName name="v_77_SK">Model!$AX$204</definedName>
    <definedName name="v_77_SMEOL">Model!$G$204</definedName>
    <definedName name="v_77_SMg">Model!$AW$204</definedName>
    <definedName name="v_77_SN_B">Model!$AE$204</definedName>
    <definedName name="v_77_SN2">Model!$AD$204</definedName>
    <definedName name="v_77_SNHx">Model!$AA$204</definedName>
    <definedName name="v_77_SNO2">Model!$AB$204</definedName>
    <definedName name="v_77_SNO3">Model!$AC$204</definedName>
    <definedName name="v_77_SO2">Model!$AO$204</definedName>
    <definedName name="v_77_SORPswitch">Model!$BY$204</definedName>
    <definedName name="v_77_SP_B">Model!$AK$204</definedName>
    <definedName name="v_77_SPFOA">Model!$BS$204</definedName>
    <definedName name="v_77_SPFOS">Model!$BU$204</definedName>
    <definedName name="v_77_SPO4">Model!$AI$204</definedName>
    <definedName name="v_77_SU">Model!$K$204</definedName>
    <definedName name="v_77_SVFA">Model!$E$204</definedName>
    <definedName name="v_77_XACP">Model!$BO$204</definedName>
    <definedName name="v_77_XALGAE">Model!$Z$204</definedName>
    <definedName name="v_77_XAMETO">Model!$X$204</definedName>
    <definedName name="v_77_XAMX">Model!$W$204</definedName>
    <definedName name="v_77_XAOB">Model!$U$204</definedName>
    <definedName name="v_77_XB">Model!$I$204</definedName>
    <definedName name="v_77_XB_e">Model!$J$204</definedName>
    <definedName name="v_77_XBSH">Model!$BP$204</definedName>
    <definedName name="v_77_XCaCO3">Model!$BN$204</definedName>
    <definedName name="v_77_XCASTO">Model!$S$204</definedName>
    <definedName name="v_77_XE">Model!$P$204</definedName>
    <definedName name="v_77_XE_ana">Model!$Q$204</definedName>
    <definedName name="v_77_XHAO_H">Model!$BG$204</definedName>
    <definedName name="v_77_XHAO_H_P">Model!$BJ$204</definedName>
    <definedName name="v_77_XHAO_H_P_old">Model!$BL$204</definedName>
    <definedName name="v_77_XHAO_L">Model!$BH$204</definedName>
    <definedName name="v_77_XHAO_L_P">Model!$BK$204</definedName>
    <definedName name="v_77_XHAO_L_P_old">Model!$BM$204</definedName>
    <definedName name="v_77_XHAO_old">Model!$BI$204</definedName>
    <definedName name="v_77_XHFO_H">Model!$AZ$204</definedName>
    <definedName name="v_77_XHFO_H_P">Model!$BC$204</definedName>
    <definedName name="v_77_XHFO_H_P_old">Model!$BE$204</definedName>
    <definedName name="v_77_XHFO_L">Model!$BA$204</definedName>
    <definedName name="v_77_XHFO_L_P">Model!$BD$204</definedName>
    <definedName name="v_77_XHFO_L_P_old">Model!$BF$204</definedName>
    <definedName name="v_77_XHFO_old">Model!$BB$204</definedName>
    <definedName name="v_77_XHMETO">Model!$Y$204</definedName>
    <definedName name="v_77_XINORG">Model!$AS$204</definedName>
    <definedName name="v_77_XMEOLO">Model!$T$204</definedName>
    <definedName name="v_77_XN_B">Model!$AF$204</definedName>
    <definedName name="v_77_XN_Be">Model!$AG$204</definedName>
    <definedName name="v_77_XN_U">Model!$AH$204</definedName>
    <definedName name="v_77_XNOB">Model!$V$204</definedName>
    <definedName name="v_77_XOHO">Model!$R$204</definedName>
    <definedName name="v_77_XP_B">Model!$AL$204</definedName>
    <definedName name="v_77_XP_Be">Model!$AM$204</definedName>
    <definedName name="v_77_XP_U">Model!$AN$204</definedName>
    <definedName name="v_77_XPFOA">Model!$BT$204</definedName>
    <definedName name="v_77_XPFOS">Model!$BV$204</definedName>
    <definedName name="v_77_XPHA_GAO">Model!$O$204</definedName>
    <definedName name="v_77_XPHA_PAO">Model!$N$204</definedName>
    <definedName name="v_77_XPP">Model!$AJ$204</definedName>
    <definedName name="v_77_XSTR">Model!$BQ$204</definedName>
    <definedName name="v_77_XU">Model!$M$204</definedName>
    <definedName name="v_77_XVivi">Model!$BR$204</definedName>
    <definedName name="v_78_CB">Model!$H$205</definedName>
    <definedName name="v_78_CU">Model!$L$205</definedName>
    <definedName name="v_78_GCH4">Model!$CA$205</definedName>
    <definedName name="v_78_GCH4_atm">Model!$CG$205</definedName>
    <definedName name="v_78_GCO2">Model!$BZ$205</definedName>
    <definedName name="v_78_GCO2_atm">Model!$CF$205</definedName>
    <definedName name="v_78_GH2">Model!$CB$205</definedName>
    <definedName name="v_78_GH2_atm">Model!$CH$205</definedName>
    <definedName name="v_78_GN2">Model!$CE$205</definedName>
    <definedName name="v_78_GN2_atm">Model!$CK$205</definedName>
    <definedName name="v_78_GNH3">Model!$CD$205</definedName>
    <definedName name="v_78_GNH3_atm">Model!$CJ$205</definedName>
    <definedName name="v_78_GO2">Model!$CC$205</definedName>
    <definedName name="v_78_GO2_atm">Model!$CI$205</definedName>
    <definedName name="v_78_SALPHA">Model!$BX$205</definedName>
    <definedName name="v_78_SAN">Model!$AU$205</definedName>
    <definedName name="v_78_SB">Model!$F$205</definedName>
    <definedName name="v_78_SCa">Model!$AV$205</definedName>
    <definedName name="v_78_SCAT">Model!$AT$205</definedName>
    <definedName name="v_78_SCH4">Model!$AP$205</definedName>
    <definedName name="v_78_SCO2">Model!$AR$205</definedName>
    <definedName name="v_78_SFe2">Model!$AY$205</definedName>
    <definedName name="v_78_SH">Model!$BW$205</definedName>
    <definedName name="v_78_SH2">Model!$AQ$205</definedName>
    <definedName name="v_78_SK">Model!$AX$205</definedName>
    <definedName name="v_78_SMEOL">Model!$G$205</definedName>
    <definedName name="v_78_SMg">Model!$AW$205</definedName>
    <definedName name="v_78_SN_B">Model!$AE$205</definedName>
    <definedName name="v_78_SN2">Model!$AD$205</definedName>
    <definedName name="v_78_SNHx">Model!$AA$205</definedName>
    <definedName name="v_78_SNO2">Model!$AB$205</definedName>
    <definedName name="v_78_SNO3">Model!$AC$205</definedName>
    <definedName name="v_78_SO2">Model!$AO$205</definedName>
    <definedName name="v_78_SORPswitch">Model!$BY$205</definedName>
    <definedName name="v_78_SP_B">Model!$AK$205</definedName>
    <definedName name="v_78_SPFOA">Model!$BS$205</definedName>
    <definedName name="v_78_SPFOS">Model!$BU$205</definedName>
    <definedName name="v_78_SPO4">Model!$AI$205</definedName>
    <definedName name="v_78_SU">Model!$K$205</definedName>
    <definedName name="v_78_SVFA">Model!$E$205</definedName>
    <definedName name="v_78_XACP">Model!$BO$205</definedName>
    <definedName name="v_78_XALGAE">Model!$Z$205</definedName>
    <definedName name="v_78_XAMETO">Model!$X$205</definedName>
    <definedName name="v_78_XAMX">Model!$W$205</definedName>
    <definedName name="v_78_XAOB">Model!$U$205</definedName>
    <definedName name="v_78_XB">Model!$I$205</definedName>
    <definedName name="v_78_XB_e">Model!$J$205</definedName>
    <definedName name="v_78_XBSH">Model!$BP$205</definedName>
    <definedName name="v_78_XCaCO3">Model!$BN$205</definedName>
    <definedName name="v_78_XCASTO">Model!$S$205</definedName>
    <definedName name="v_78_XE">Model!$P$205</definedName>
    <definedName name="v_78_XE_ana">Model!$Q$205</definedName>
    <definedName name="v_78_XHAO_H">Model!$BG$205</definedName>
    <definedName name="v_78_XHAO_H_P">Model!$BJ$205</definedName>
    <definedName name="v_78_XHAO_H_P_old">Model!$BL$205</definedName>
    <definedName name="v_78_XHAO_L">Model!$BH$205</definedName>
    <definedName name="v_78_XHAO_L_P">Model!$BK$205</definedName>
    <definedName name="v_78_XHAO_L_P_old">Model!$BM$205</definedName>
    <definedName name="v_78_XHAO_old">Model!$BI$205</definedName>
    <definedName name="v_78_XHFO_H">Model!$AZ$205</definedName>
    <definedName name="v_78_XHFO_H_P">Model!$BC$205</definedName>
    <definedName name="v_78_XHFO_H_P_old">Model!$BE$205</definedName>
    <definedName name="v_78_XHFO_L">Model!$BA$205</definedName>
    <definedName name="v_78_XHFO_L_P">Model!$BD$205</definedName>
    <definedName name="v_78_XHFO_L_P_old">Model!$BF$205</definedName>
    <definedName name="v_78_XHFO_old">Model!$BB$205</definedName>
    <definedName name="v_78_XHMETO">Model!$Y$205</definedName>
    <definedName name="v_78_XINORG">Model!$AS$205</definedName>
    <definedName name="v_78_XMEOLO">Model!$T$205</definedName>
    <definedName name="v_78_XN_B">Model!$AF$205</definedName>
    <definedName name="v_78_XN_Be">Model!$AG$205</definedName>
    <definedName name="v_78_XN_U">Model!$AH$205</definedName>
    <definedName name="v_78_XNOB">Model!$V$205</definedName>
    <definedName name="v_78_XOHO">Model!$R$205</definedName>
    <definedName name="v_78_XP_B">Model!$AL$205</definedName>
    <definedName name="v_78_XP_Be">Model!$AM$205</definedName>
    <definedName name="v_78_XP_U">Model!$AN$205</definedName>
    <definedName name="v_78_XPFOA">Model!$BT$205</definedName>
    <definedName name="v_78_XPFOS">Model!$BV$205</definedName>
    <definedName name="v_78_XPHA_GAO">Model!$O$205</definedName>
    <definedName name="v_78_XPHA_PAO">Model!$N$205</definedName>
    <definedName name="v_78_XPP">Model!$AJ$205</definedName>
    <definedName name="v_78_XSTR">Model!$BQ$205</definedName>
    <definedName name="v_78_XU">Model!$M$205</definedName>
    <definedName name="v_78_XVivi">Model!$BR$205</definedName>
    <definedName name="v_79_CB">Model!$H$206</definedName>
    <definedName name="v_79_CU">Model!$L$206</definedName>
    <definedName name="v_79_GCH4">Model!$CA$206</definedName>
    <definedName name="v_79_GCH4_atm">Model!$CG$206</definedName>
    <definedName name="v_79_GCO2">Model!$BZ$206</definedName>
    <definedName name="v_79_GCO2_atm">Model!$CF$206</definedName>
    <definedName name="v_79_GH2">Model!$CB$206</definedName>
    <definedName name="v_79_GH2_atm">Model!$CH$206</definedName>
    <definedName name="v_79_GN2">Model!$CE$206</definedName>
    <definedName name="v_79_GN2_atm">Model!$CK$206</definedName>
    <definedName name="v_79_GNH3">Model!$CD$206</definedName>
    <definedName name="v_79_GNH3_atm">Model!$CJ$206</definedName>
    <definedName name="v_79_GO2">Model!$CC$206</definedName>
    <definedName name="v_79_GO2_atm">Model!$CI$206</definedName>
    <definedName name="v_79_SALPHA">Model!$BX$206</definedName>
    <definedName name="v_79_SAN">Model!$AU$206</definedName>
    <definedName name="v_79_SB">Model!$F$206</definedName>
    <definedName name="v_79_SCa">Model!$AV$206</definedName>
    <definedName name="v_79_SCAT">Model!$AT$206</definedName>
    <definedName name="v_79_SCH4">Model!$AP$206</definedName>
    <definedName name="v_79_SCO2">Model!$AR$206</definedName>
    <definedName name="v_79_SFe2">Model!$AY$206</definedName>
    <definedName name="v_79_SH">Model!$BW$206</definedName>
    <definedName name="v_79_SH2">Model!$AQ$206</definedName>
    <definedName name="v_79_SK">Model!$AX$206</definedName>
    <definedName name="v_79_SMEOL">Model!$G$206</definedName>
    <definedName name="v_79_SMg">Model!$AW$206</definedName>
    <definedName name="v_79_SN_B">Model!$AE$206</definedName>
    <definedName name="v_79_SN2">Model!$AD$206</definedName>
    <definedName name="v_79_SNHx">Model!$AA$206</definedName>
    <definedName name="v_79_SNO2">Model!$AB$206</definedName>
    <definedName name="v_79_SNO3">Model!$AC$206</definedName>
    <definedName name="v_79_SO2">Model!$AO$206</definedName>
    <definedName name="v_79_SORPswitch">Model!$BY$206</definedName>
    <definedName name="v_79_SP_B">Model!$AK$206</definedName>
    <definedName name="v_79_SPFOA">Model!$BS$206</definedName>
    <definedName name="v_79_SPFOS">Model!$BU$206</definedName>
    <definedName name="v_79_SPO4">Model!$AI$206</definedName>
    <definedName name="v_79_SU">Model!$K$206</definedName>
    <definedName name="v_79_SVFA">Model!$E$206</definedName>
    <definedName name="v_79_XACP">Model!$BO$206</definedName>
    <definedName name="v_79_XALGAE">Model!$Z$206</definedName>
    <definedName name="v_79_XAMETO">Model!$X$206</definedName>
    <definedName name="v_79_XAMX">Model!$W$206</definedName>
    <definedName name="v_79_XAOB">Model!$U$206</definedName>
    <definedName name="v_79_XB">Model!$I$206</definedName>
    <definedName name="v_79_XB_e">Model!$J$206</definedName>
    <definedName name="v_79_XBSH">Model!$BP$206</definedName>
    <definedName name="v_79_XCaCO3">Model!$BN$206</definedName>
    <definedName name="v_79_XCASTO">Model!$S$206</definedName>
    <definedName name="v_79_XE">Model!$P$206</definedName>
    <definedName name="v_79_XE_ana">Model!$Q$206</definedName>
    <definedName name="v_79_XHAO_H">Model!$BG$206</definedName>
    <definedName name="v_79_XHAO_H_P">Model!$BJ$206</definedName>
    <definedName name="v_79_XHAO_H_P_old">Model!$BL$206</definedName>
    <definedName name="v_79_XHAO_L">Model!$BH$206</definedName>
    <definedName name="v_79_XHAO_L_P">Model!$BK$206</definedName>
    <definedName name="v_79_XHAO_L_P_old">Model!$BM$206</definedName>
    <definedName name="v_79_XHAO_old">Model!$BI$206</definedName>
    <definedName name="v_79_XHFO_H">Model!$AZ$206</definedName>
    <definedName name="v_79_XHFO_H_P">Model!$BC$206</definedName>
    <definedName name="v_79_XHFO_H_P_old">Model!$BE$206</definedName>
    <definedName name="v_79_XHFO_L">Model!$BA$206</definedName>
    <definedName name="v_79_XHFO_L_P">Model!$BD$206</definedName>
    <definedName name="v_79_XHFO_L_P_old">Model!$BF$206</definedName>
    <definedName name="v_79_XHFO_old">Model!$BB$206</definedName>
    <definedName name="v_79_XHMETO">Model!$Y$206</definedName>
    <definedName name="v_79_XINORG">Model!$AS$206</definedName>
    <definedName name="v_79_XMEOLO">Model!$T$206</definedName>
    <definedName name="v_79_XN_B">Model!$AF$206</definedName>
    <definedName name="v_79_XN_Be">Model!$AG$206</definedName>
    <definedName name="v_79_XN_U">Model!$AH$206</definedName>
    <definedName name="v_79_XNOB">Model!$V$206</definedName>
    <definedName name="v_79_XOHO">Model!$R$206</definedName>
    <definedName name="v_79_XP_B">Model!$AL$206</definedName>
    <definedName name="v_79_XP_Be">Model!$AM$206</definedName>
    <definedName name="v_79_XP_U">Model!$AN$206</definedName>
    <definedName name="v_79_XPFOA">Model!$BT$206</definedName>
    <definedName name="v_79_XPFOS">Model!$BV$206</definedName>
    <definedName name="v_79_XPHA_GAO">Model!$O$206</definedName>
    <definedName name="v_79_XPHA_PAO">Model!$N$206</definedName>
    <definedName name="v_79_XPP">Model!$AJ$206</definedName>
    <definedName name="v_79_XSTR">Model!$BQ$206</definedName>
    <definedName name="v_79_XU">Model!$M$206</definedName>
    <definedName name="v_79_XVivi">Model!$BR$206</definedName>
    <definedName name="v_8_CB">Model!$H$135</definedName>
    <definedName name="v_8_CU">Model!$L$135</definedName>
    <definedName name="v_8_GCH4">Model!$CA$135</definedName>
    <definedName name="v_8_GCH4_atm">Model!$CG$135</definedName>
    <definedName name="v_8_GCO2">Model!$BZ$135</definedName>
    <definedName name="v_8_GCO2_atm">Model!$CF$135</definedName>
    <definedName name="v_8_GH2">Model!$CB$135</definedName>
    <definedName name="v_8_GH2_atm">Model!$CH$135</definedName>
    <definedName name="v_8_GN2">Model!$CE$135</definedName>
    <definedName name="v_8_GN2_atm">Model!$CK$135</definedName>
    <definedName name="v_8_GNH3">Model!$CD$135</definedName>
    <definedName name="v_8_GNH3_atm">Model!$CJ$135</definedName>
    <definedName name="v_8_GO2">Model!$CC$135</definedName>
    <definedName name="v_8_GO2_atm">Model!$CI$135</definedName>
    <definedName name="v_8_SALPHA">Model!$BX$135</definedName>
    <definedName name="v_8_SAN">Model!$AU$135</definedName>
    <definedName name="v_8_SB">Model!$F$135</definedName>
    <definedName name="v_8_SCa">Model!$AV$135</definedName>
    <definedName name="v_8_SCAT">Model!$AT$135</definedName>
    <definedName name="v_8_SCH4">Model!$AP$135</definedName>
    <definedName name="v_8_SCO2">Model!$AR$135</definedName>
    <definedName name="v_8_SFe2">Model!$AY$135</definedName>
    <definedName name="v_8_SH">Model!$BW$135</definedName>
    <definedName name="v_8_SH2">Model!$AQ$135</definedName>
    <definedName name="v_8_SK">Model!$AX$135</definedName>
    <definedName name="v_8_SMEOL">Model!$G$135</definedName>
    <definedName name="v_8_SMg">Model!$AW$135</definedName>
    <definedName name="v_8_SN_B">Model!$AE$135</definedName>
    <definedName name="v_8_SN2">Model!$AD$135</definedName>
    <definedName name="v_8_SNHx">Model!$AA$135</definedName>
    <definedName name="v_8_SNO2">Model!$AB$135</definedName>
    <definedName name="v_8_SNO3">Model!$AC$135</definedName>
    <definedName name="v_8_SO2">Model!$AO$135</definedName>
    <definedName name="v_8_SORPswitch">Model!$BY$135</definedName>
    <definedName name="v_8_SP_B">Model!$AK$135</definedName>
    <definedName name="v_8_SPFOA">Model!$BS$135</definedName>
    <definedName name="v_8_SPFOS">Model!$BU$135</definedName>
    <definedName name="v_8_SPO4">Model!$AI$135</definedName>
    <definedName name="v_8_SU">Model!$K$135</definedName>
    <definedName name="v_8_SVFA">Model!$E$135</definedName>
    <definedName name="v_8_XACP">Model!$BO$135</definedName>
    <definedName name="v_8_XALGAE">Model!$Z$135</definedName>
    <definedName name="v_8_XAMETO">Model!$X$135</definedName>
    <definedName name="v_8_XAMX">Model!$W$135</definedName>
    <definedName name="v_8_XAOB">Model!$U$135</definedName>
    <definedName name="v_8_XB">Model!$I$135</definedName>
    <definedName name="v_8_XB_e">Model!$J$135</definedName>
    <definedName name="v_8_XBSH">Model!$BP$135</definedName>
    <definedName name="v_8_XCaCO3">Model!$BN$135</definedName>
    <definedName name="v_8_XCASTO">Model!$S$135</definedName>
    <definedName name="v_8_XE">Model!$P$135</definedName>
    <definedName name="v_8_XE_ana">Model!$Q$135</definedName>
    <definedName name="v_8_XHAO_H">Model!$BG$135</definedName>
    <definedName name="v_8_XHAO_H_P">Model!$BJ$135</definedName>
    <definedName name="v_8_XHAO_H_P_old">Model!$BL$135</definedName>
    <definedName name="v_8_XHAO_L">Model!$BH$135</definedName>
    <definedName name="v_8_XHAO_L_P">Model!$BK$135</definedName>
    <definedName name="v_8_XHAO_L_P_old">Model!$BM$135</definedName>
    <definedName name="v_8_XHAO_old">Model!$BI$135</definedName>
    <definedName name="v_8_XHFO_H">Model!$AZ$135</definedName>
    <definedName name="v_8_XHFO_H_P">Model!$BC$135</definedName>
    <definedName name="v_8_XHFO_H_P_old">Model!$BE$135</definedName>
    <definedName name="v_8_XHFO_L">Model!$BA$135</definedName>
    <definedName name="v_8_XHFO_L_P">Model!$BD$135</definedName>
    <definedName name="v_8_XHFO_L_P_old">Model!$BF$135</definedName>
    <definedName name="v_8_XHFO_old">Model!$BB$135</definedName>
    <definedName name="v_8_XHMETO">Model!$Y$135</definedName>
    <definedName name="v_8_XINORG">Model!$AS$135</definedName>
    <definedName name="v_8_XMEOLO">Model!$T$135</definedName>
    <definedName name="v_8_XN_B">Model!$AF$135</definedName>
    <definedName name="v_8_XN_Be">Model!$AG$135</definedName>
    <definedName name="v_8_XN_U">Model!$AH$135</definedName>
    <definedName name="v_8_XNOB">Model!$V$135</definedName>
    <definedName name="v_8_XOHO">Model!$R$135</definedName>
    <definedName name="v_8_XP_B">Model!$AL$135</definedName>
    <definedName name="v_8_XP_Be">Model!$AM$135</definedName>
    <definedName name="v_8_XP_U">Model!$AN$135</definedName>
    <definedName name="v_8_XPFOA">Model!$BT$135</definedName>
    <definedName name="v_8_XPFOS">Model!$BV$135</definedName>
    <definedName name="v_8_XPHA_GAO">Model!$O$135</definedName>
    <definedName name="v_8_XPHA_PAO">Model!$N$135</definedName>
    <definedName name="v_8_XPP">Model!$AJ$135</definedName>
    <definedName name="v_8_XSTR">Model!$BQ$135</definedName>
    <definedName name="v_8_XU">Model!$M$135</definedName>
    <definedName name="v_8_XVivi">Model!$BR$135</definedName>
    <definedName name="v_80_CB">Model!$H$207</definedName>
    <definedName name="v_80_CU">Model!$L$207</definedName>
    <definedName name="v_80_GCH4">Model!$CA$207</definedName>
    <definedName name="v_80_GCH4_atm">Model!$CG$207</definedName>
    <definedName name="v_80_GCO2">Model!$BZ$207</definedName>
    <definedName name="v_80_GCO2_atm">Model!$CF$207</definedName>
    <definedName name="v_80_GH2">Model!$CB$207</definedName>
    <definedName name="v_80_GH2_atm">Model!$CH$207</definedName>
    <definedName name="v_80_GN2">Model!$CE$207</definedName>
    <definedName name="v_80_GN2_atm">Model!$CK$207</definedName>
    <definedName name="v_80_GNH3">Model!$CD$207</definedName>
    <definedName name="v_80_GNH3_atm">Model!$CJ$207</definedName>
    <definedName name="v_80_GO2">Model!$CC$207</definedName>
    <definedName name="v_80_GO2_atm">Model!$CI$207</definedName>
    <definedName name="v_80_SALPHA">Model!$BX$207</definedName>
    <definedName name="v_80_SAN">Model!$AU$207</definedName>
    <definedName name="v_80_SB">Model!$F$207</definedName>
    <definedName name="v_80_SCa">Model!$AV$207</definedName>
    <definedName name="v_80_SCAT">Model!$AT$207</definedName>
    <definedName name="v_80_SCH4">Model!$AP$207</definedName>
    <definedName name="v_80_SCO2">Model!$AR$207</definedName>
    <definedName name="v_80_SFe2">Model!$AY$207</definedName>
    <definedName name="v_80_SH">Model!$BW$207</definedName>
    <definedName name="v_80_SH2">Model!$AQ$207</definedName>
    <definedName name="v_80_SK">Model!$AX$207</definedName>
    <definedName name="v_80_SMEOL">Model!$G$207</definedName>
    <definedName name="v_80_SMg">Model!$AW$207</definedName>
    <definedName name="v_80_SN_B">Model!$AE$207</definedName>
    <definedName name="v_80_SN2">Model!$AD$207</definedName>
    <definedName name="v_80_SNHx">Model!$AA$207</definedName>
    <definedName name="v_80_SNO2">Model!$AB$207</definedName>
    <definedName name="v_80_SNO3">Model!$AC$207</definedName>
    <definedName name="v_80_SO2">Model!$AO$207</definedName>
    <definedName name="v_80_SORPswitch">Model!$BY$207</definedName>
    <definedName name="v_80_SP_B">Model!$AK$207</definedName>
    <definedName name="v_80_SPFOA">Model!$BS$207</definedName>
    <definedName name="v_80_SPFOS">Model!$BU$207</definedName>
    <definedName name="v_80_SPO4">Model!$AI$207</definedName>
    <definedName name="v_80_SU">Model!$K$207</definedName>
    <definedName name="v_80_SVFA">Model!$E$207</definedName>
    <definedName name="v_80_XACP">Model!$BO$207</definedName>
    <definedName name="v_80_XALGAE">Model!$Z$207</definedName>
    <definedName name="v_80_XAMETO">Model!$X$207</definedName>
    <definedName name="v_80_XAMX">Model!$W$207</definedName>
    <definedName name="v_80_XAOB">Model!$U$207</definedName>
    <definedName name="v_80_XB">Model!$I$207</definedName>
    <definedName name="v_80_XB_e">Model!$J$207</definedName>
    <definedName name="v_80_XBSH">Model!$BP$207</definedName>
    <definedName name="v_80_XCaCO3">Model!$BN$207</definedName>
    <definedName name="v_80_XCASTO">Model!$S$207</definedName>
    <definedName name="v_80_XE">Model!$P$207</definedName>
    <definedName name="v_80_XE_ana">Model!$Q$207</definedName>
    <definedName name="v_80_XHAO_H">Model!$BG$207</definedName>
    <definedName name="v_80_XHAO_H_P">Model!$BJ$207</definedName>
    <definedName name="v_80_XHAO_H_P_old">Model!$BL$207</definedName>
    <definedName name="v_80_XHAO_L">Model!$BH$207</definedName>
    <definedName name="v_80_XHAO_L_P">Model!$BK$207</definedName>
    <definedName name="v_80_XHAO_L_P_old">Model!$BM$207</definedName>
    <definedName name="v_80_XHAO_old">Model!$BI$207</definedName>
    <definedName name="v_80_XHFO_H">Model!$AZ$207</definedName>
    <definedName name="v_80_XHFO_H_P">Model!$BC$207</definedName>
    <definedName name="v_80_XHFO_H_P_old">Model!$BE$207</definedName>
    <definedName name="v_80_XHFO_L">Model!$BA$207</definedName>
    <definedName name="v_80_XHFO_L_P">Model!$BD$207</definedName>
    <definedName name="v_80_XHFO_L_P_old">Model!$BF$207</definedName>
    <definedName name="v_80_XHFO_old">Model!$BB$207</definedName>
    <definedName name="v_80_XHMETO">Model!$Y$207</definedName>
    <definedName name="v_80_XINORG">Model!$AS$207</definedName>
    <definedName name="v_80_XMEOLO">Model!$T$207</definedName>
    <definedName name="v_80_XN_B">Model!$AF$207</definedName>
    <definedName name="v_80_XN_Be">Model!$AG$207</definedName>
    <definedName name="v_80_XN_U">Model!$AH$207</definedName>
    <definedName name="v_80_XNOB">Model!$V$207</definedName>
    <definedName name="v_80_XOHO">Model!$R$207</definedName>
    <definedName name="v_80_XP_B">Model!$AL$207</definedName>
    <definedName name="v_80_XP_Be">Model!$AM$207</definedName>
    <definedName name="v_80_XP_U">Model!$AN$207</definedName>
    <definedName name="v_80_XPFOA">Model!$BT$207</definedName>
    <definedName name="v_80_XPFOS">Model!$BV$207</definedName>
    <definedName name="v_80_XPHA_GAO">Model!$O$207</definedName>
    <definedName name="v_80_XPHA_PAO">Model!$N$207</definedName>
    <definedName name="v_80_XPP">Model!$AJ$207</definedName>
    <definedName name="v_80_XSTR">Model!$BQ$207</definedName>
    <definedName name="v_80_XU">Model!$M$207</definedName>
    <definedName name="v_80_XVivi">Model!$BR$207</definedName>
    <definedName name="v_81_CB">Model!$H$208</definedName>
    <definedName name="v_81_CU">Model!$L$208</definedName>
    <definedName name="v_81_GCH4">Model!$CA$208</definedName>
    <definedName name="v_81_GCH4_atm">Model!$CG$208</definedName>
    <definedName name="v_81_GCO2">Model!$BZ$208</definedName>
    <definedName name="v_81_GCO2_atm">Model!$CF$208</definedName>
    <definedName name="v_81_GH2">Model!$CB$208</definedName>
    <definedName name="v_81_GH2_atm">Model!$CH$208</definedName>
    <definedName name="v_81_GN2">Model!$CE$208</definedName>
    <definedName name="v_81_GN2_atm">Model!$CK$208</definedName>
    <definedName name="v_81_GNH3">Model!$CD$208</definedName>
    <definedName name="v_81_GNH3_atm">Model!$CJ$208</definedName>
    <definedName name="v_81_GO2">Model!$CC$208</definedName>
    <definedName name="v_81_GO2_atm">Model!$CI$208</definedName>
    <definedName name="v_81_SALPHA">Model!$BX$208</definedName>
    <definedName name="v_81_SAN">Model!$AU$208</definedName>
    <definedName name="v_81_SB">Model!$F$208</definedName>
    <definedName name="v_81_SCa">Model!$AV$208</definedName>
    <definedName name="v_81_SCAT">Model!$AT$208</definedName>
    <definedName name="v_81_SCH4">Model!$AP$208</definedName>
    <definedName name="v_81_SCO2">Model!$AR$208</definedName>
    <definedName name="v_81_SFe2">Model!$AY$208</definedName>
    <definedName name="v_81_SH">Model!$BW$208</definedName>
    <definedName name="v_81_SH2">Model!$AQ$208</definedName>
    <definedName name="v_81_SK">Model!$AX$208</definedName>
    <definedName name="v_81_SMEOL">Model!$G$208</definedName>
    <definedName name="v_81_SMg">Model!$AW$208</definedName>
    <definedName name="v_81_SN_B">Model!$AE$208</definedName>
    <definedName name="v_81_SN2">Model!$AD$208</definedName>
    <definedName name="v_81_SNHx">Model!$AA$208</definedName>
    <definedName name="v_81_SNO2">Model!$AB$208</definedName>
    <definedName name="v_81_SNO3">Model!$AC$208</definedName>
    <definedName name="v_81_SO2">Model!$AO$208</definedName>
    <definedName name="v_81_SORPswitch">Model!$BY$208</definedName>
    <definedName name="v_81_SP_B">Model!$AK$208</definedName>
    <definedName name="v_81_SPFOA">Model!$BS$208</definedName>
    <definedName name="v_81_SPFOS">Model!$BU$208</definedName>
    <definedName name="v_81_SPO4">Model!$AI$208</definedName>
    <definedName name="v_81_SU">Model!$K$208</definedName>
    <definedName name="v_81_SVFA">Model!$E$208</definedName>
    <definedName name="v_81_XACP">Model!$BO$208</definedName>
    <definedName name="v_81_XALGAE">Model!$Z$208</definedName>
    <definedName name="v_81_XAMETO">Model!$X$208</definedName>
    <definedName name="v_81_XAMX">Model!$W$208</definedName>
    <definedName name="v_81_XAOB">Model!$U$208</definedName>
    <definedName name="v_81_XB">Model!$I$208</definedName>
    <definedName name="v_81_XB_e">Model!$J$208</definedName>
    <definedName name="v_81_XBSH">Model!$BP$208</definedName>
    <definedName name="v_81_XCaCO3">Model!$BN$208</definedName>
    <definedName name="v_81_XCASTO">Model!$S$208</definedName>
    <definedName name="v_81_XE">Model!$P$208</definedName>
    <definedName name="v_81_XE_ana">Model!$Q$208</definedName>
    <definedName name="v_81_XHAO_H">Model!$BG$208</definedName>
    <definedName name="v_81_XHAO_H_P">Model!$BJ$208</definedName>
    <definedName name="v_81_XHAO_H_P_old">Model!$BL$208</definedName>
    <definedName name="v_81_XHAO_L">Model!$BH$208</definedName>
    <definedName name="v_81_XHAO_L_P">Model!$BK$208</definedName>
    <definedName name="v_81_XHAO_L_P_old">Model!$BM$208</definedName>
    <definedName name="v_81_XHAO_old">Model!$BI$208</definedName>
    <definedName name="v_81_XHFO_H">Model!$AZ$208</definedName>
    <definedName name="v_81_XHFO_H_P">Model!$BC$208</definedName>
    <definedName name="v_81_XHFO_H_P_old">Model!$BE$208</definedName>
    <definedName name="v_81_XHFO_L">Model!$BA$208</definedName>
    <definedName name="v_81_XHFO_L_P">Model!$BD$208</definedName>
    <definedName name="v_81_XHFO_L_P_old">Model!$BF$208</definedName>
    <definedName name="v_81_XHFO_old">Model!$BB$208</definedName>
    <definedName name="v_81_XHMETO">Model!$Y$208</definedName>
    <definedName name="v_81_XINORG">Model!$AS$208</definedName>
    <definedName name="v_81_XMEOLO">Model!$T$208</definedName>
    <definedName name="v_81_XN_B">Model!$AF$208</definedName>
    <definedName name="v_81_XN_Be">Model!$AG$208</definedName>
    <definedName name="v_81_XN_U">Model!$AH$208</definedName>
    <definedName name="v_81_XNOB">Model!$V$208</definedName>
    <definedName name="v_81_XOHO">Model!$R$208</definedName>
    <definedName name="v_81_XP_B">Model!$AL$208</definedName>
    <definedName name="v_81_XP_Be">Model!$AM$208</definedName>
    <definedName name="v_81_XP_U">Model!$AN$208</definedName>
    <definedName name="v_81_XPFOA">Model!$BT$208</definedName>
    <definedName name="v_81_XPFOS">Model!$BV$208</definedName>
    <definedName name="v_81_XPHA_GAO">Model!$O$208</definedName>
    <definedName name="v_81_XPHA_PAO">Model!$N$208</definedName>
    <definedName name="v_81_XPP">Model!$AJ$208</definedName>
    <definedName name="v_81_XSTR">Model!$BQ$208</definedName>
    <definedName name="v_81_XU">Model!$M$208</definedName>
    <definedName name="v_81_XVivi">Model!$BR$208</definedName>
    <definedName name="v_82_CB">Model!$H$209</definedName>
    <definedName name="v_82_CU">Model!$L$209</definedName>
    <definedName name="v_82_GCH4">Model!$CA$209</definedName>
    <definedName name="v_82_GCH4_atm">Model!$CG$209</definedName>
    <definedName name="v_82_GCO2">Model!$BZ$209</definedName>
    <definedName name="v_82_GCO2_atm">Model!$CF$209</definedName>
    <definedName name="v_82_GH2">Model!$CB$209</definedName>
    <definedName name="v_82_GH2_atm">Model!$CH$209</definedName>
    <definedName name="v_82_GN2">Model!$CE$209</definedName>
    <definedName name="v_82_GN2_atm">Model!$CK$209</definedName>
    <definedName name="v_82_GNH3">Model!$CD$209</definedName>
    <definedName name="v_82_GNH3_atm">Model!$CJ$209</definedName>
    <definedName name="v_82_GO2">Model!$CC$209</definedName>
    <definedName name="v_82_GO2_atm">Model!$CI$209</definedName>
    <definedName name="v_82_SALPHA">Model!$BX$209</definedName>
    <definedName name="v_82_SAN">Model!$AU$209</definedName>
    <definedName name="v_82_SB">Model!$F$209</definedName>
    <definedName name="v_82_SCa">Model!$AV$209</definedName>
    <definedName name="v_82_SCAT">Model!$AT$209</definedName>
    <definedName name="v_82_SCH4">Model!$AP$209</definedName>
    <definedName name="v_82_SCO2">Model!$AR$209</definedName>
    <definedName name="v_82_SFe2">Model!$AY$209</definedName>
    <definedName name="v_82_SH">Model!$BW$209</definedName>
    <definedName name="v_82_SH2">Model!$AQ$209</definedName>
    <definedName name="v_82_SK">Model!$AX$209</definedName>
    <definedName name="v_82_SMEOL">Model!$G$209</definedName>
    <definedName name="v_82_SMg">Model!$AW$209</definedName>
    <definedName name="v_82_SN_B">Model!$AE$209</definedName>
    <definedName name="v_82_SN2">Model!$AD$209</definedName>
    <definedName name="v_82_SNHx">Model!$AA$209</definedName>
    <definedName name="v_82_SNO2">Model!$AB$209</definedName>
    <definedName name="v_82_SNO3">Model!$AC$209</definedName>
    <definedName name="v_82_SO2">Model!$AO$209</definedName>
    <definedName name="v_82_SORPswitch">Model!$BY$209</definedName>
    <definedName name="v_82_SP_B">Model!$AK$209</definedName>
    <definedName name="v_82_SPFOA">Model!$BS$209</definedName>
    <definedName name="v_82_SPFOS">Model!$BU$209</definedName>
    <definedName name="v_82_SPO4">Model!$AI$209</definedName>
    <definedName name="v_82_SU">Model!$K$209</definedName>
    <definedName name="v_82_SVFA">Model!$E$209</definedName>
    <definedName name="v_82_XACP">Model!$BO$209</definedName>
    <definedName name="v_82_XALGAE">Model!$Z$209</definedName>
    <definedName name="v_82_XAMETO">Model!$X$209</definedName>
    <definedName name="v_82_XAMX">Model!$W$209</definedName>
    <definedName name="v_82_XAOB">Model!$U$209</definedName>
    <definedName name="v_82_XB">Model!$I$209</definedName>
    <definedName name="v_82_XB_e">Model!$J$209</definedName>
    <definedName name="v_82_XBSH">Model!$BP$209</definedName>
    <definedName name="v_82_XCaCO3">Model!$BN$209</definedName>
    <definedName name="v_82_XCASTO">Model!$S$209</definedName>
    <definedName name="v_82_XE">Model!$P$209</definedName>
    <definedName name="v_82_XE_ana">Model!$Q$209</definedName>
    <definedName name="v_82_XHAO_H">Model!$BG$209</definedName>
    <definedName name="v_82_XHAO_H_P">Model!$BJ$209</definedName>
    <definedName name="v_82_XHAO_H_P_old">Model!$BL$209</definedName>
    <definedName name="v_82_XHAO_L">Model!$BH$209</definedName>
    <definedName name="v_82_XHAO_L_P">Model!$BK$209</definedName>
    <definedName name="v_82_XHAO_L_P_old">Model!$BM$209</definedName>
    <definedName name="v_82_XHAO_old">Model!$BI$209</definedName>
    <definedName name="v_82_XHFO_H">Model!$AZ$209</definedName>
    <definedName name="v_82_XHFO_H_P">Model!$BC$209</definedName>
    <definedName name="v_82_XHFO_H_P_old">Model!$BE$209</definedName>
    <definedName name="v_82_XHFO_L">Model!$BA$209</definedName>
    <definedName name="v_82_XHFO_L_P">Model!$BD$209</definedName>
    <definedName name="v_82_XHFO_L_P_old">Model!$BF$209</definedName>
    <definedName name="v_82_XHFO_old">Model!$BB$209</definedName>
    <definedName name="v_82_XHMETO">Model!$Y$209</definedName>
    <definedName name="v_82_XINORG">Model!$AS$209</definedName>
    <definedName name="v_82_XMEOLO">Model!$T$209</definedName>
    <definedName name="v_82_XN_B">Model!$AF$209</definedName>
    <definedName name="v_82_XN_Be">Model!$AG$209</definedName>
    <definedName name="v_82_XN_U">Model!$AH$209</definedName>
    <definedName name="v_82_XNOB">Model!$V$209</definedName>
    <definedName name="v_82_XOHO">Model!$R$209</definedName>
    <definedName name="v_82_XP_B">Model!$AL$209</definedName>
    <definedName name="v_82_XP_Be">Model!$AM$209</definedName>
    <definedName name="v_82_XP_U">Model!$AN$209</definedName>
    <definedName name="v_82_XPFOA">Model!$BT$209</definedName>
    <definedName name="v_82_XPFOS">Model!$BV$209</definedName>
    <definedName name="v_82_XPHA_GAO">Model!$O$209</definedName>
    <definedName name="v_82_XPHA_PAO">Model!$N$209</definedName>
    <definedName name="v_82_XPP">Model!$AJ$209</definedName>
    <definedName name="v_82_XSTR">Model!$BQ$209</definedName>
    <definedName name="v_82_XU">Model!$M$209</definedName>
    <definedName name="v_82_XVivi">Model!$BR$209</definedName>
    <definedName name="v_83_CB">Model!$H$210</definedName>
    <definedName name="v_83_CU">Model!$L$210</definedName>
    <definedName name="v_83_GCH4">Model!$CA$210</definedName>
    <definedName name="v_83_GCH4_atm">Model!$CG$210</definedName>
    <definedName name="v_83_GCO2">Model!$BZ$210</definedName>
    <definedName name="v_83_GCO2_atm">Model!$CF$210</definedName>
    <definedName name="v_83_GH2">Model!$CB$210</definedName>
    <definedName name="v_83_GH2_atm">Model!$CH$210</definedName>
    <definedName name="v_83_GN2">Model!$CE$210</definedName>
    <definedName name="v_83_GN2_atm">Model!$CK$210</definedName>
    <definedName name="v_83_GNH3">Model!$CD$210</definedName>
    <definedName name="v_83_GNH3_atm">Model!$CJ$210</definedName>
    <definedName name="v_83_GO2">Model!$CC$210</definedName>
    <definedName name="v_83_GO2_atm">Model!$CI$210</definedName>
    <definedName name="v_83_SALPHA">Model!$BX$210</definedName>
    <definedName name="v_83_SAN">Model!$AU$210</definedName>
    <definedName name="v_83_SB">Model!$F$210</definedName>
    <definedName name="v_83_SCa">Model!$AV$210</definedName>
    <definedName name="v_83_SCAT">Model!$AT$210</definedName>
    <definedName name="v_83_SCH4">Model!$AP$210</definedName>
    <definedName name="v_83_SCO2">Model!$AR$210</definedName>
    <definedName name="v_83_SFe2">Model!$AY$210</definedName>
    <definedName name="v_83_SH">Model!$BW$210</definedName>
    <definedName name="v_83_SH2">Model!$AQ$210</definedName>
    <definedName name="v_83_SK">Model!$AX$210</definedName>
    <definedName name="v_83_SMEOL">Model!$G$210</definedName>
    <definedName name="v_83_SMg">Model!$AW$210</definedName>
    <definedName name="v_83_SN_B">Model!$AE$210</definedName>
    <definedName name="v_83_SN2">Model!$AD$210</definedName>
    <definedName name="v_83_SNHx">Model!$AA$210</definedName>
    <definedName name="v_83_SNO2">Model!$AB$210</definedName>
    <definedName name="v_83_SNO3">Model!$AC$210</definedName>
    <definedName name="v_83_SO2">Model!$AO$210</definedName>
    <definedName name="v_83_SORPswitch">Model!$BY$210</definedName>
    <definedName name="v_83_SP_B">Model!$AK$210</definedName>
    <definedName name="v_83_SPFOA">Model!$BS$210</definedName>
    <definedName name="v_83_SPFOS">Model!$BU$210</definedName>
    <definedName name="v_83_SPO4">Model!$AI$210</definedName>
    <definedName name="v_83_SU">Model!$K$210</definedName>
    <definedName name="v_83_SVFA">Model!$E$210</definedName>
    <definedName name="v_83_XACP">Model!$BO$210</definedName>
    <definedName name="v_83_XALGAE">Model!$Z$210</definedName>
    <definedName name="v_83_XAMETO">Model!$X$210</definedName>
    <definedName name="v_83_XAMX">Model!$W$210</definedName>
    <definedName name="v_83_XAOB">Model!$U$210</definedName>
    <definedName name="v_83_XB">Model!$I$210</definedName>
    <definedName name="v_83_XB_e">Model!$J$210</definedName>
    <definedName name="v_83_XBSH">Model!$BP$210</definedName>
    <definedName name="v_83_XCaCO3">Model!$BN$210</definedName>
    <definedName name="v_83_XCASTO">Model!$S$210</definedName>
    <definedName name="v_83_XE">Model!$P$210</definedName>
    <definedName name="v_83_XE_ana">Model!$Q$210</definedName>
    <definedName name="v_83_XHAO_H">Model!$BG$210</definedName>
    <definedName name="v_83_XHAO_H_P">Model!$BJ$210</definedName>
    <definedName name="v_83_XHAO_H_P_old">Model!$BL$210</definedName>
    <definedName name="v_83_XHAO_L">Model!$BH$210</definedName>
    <definedName name="v_83_XHAO_L_P">Model!$BK$210</definedName>
    <definedName name="v_83_XHAO_L_P_old">Model!$BM$210</definedName>
    <definedName name="v_83_XHAO_old">Model!$BI$210</definedName>
    <definedName name="v_83_XHFO_H">Model!$AZ$210</definedName>
    <definedName name="v_83_XHFO_H_P">Model!$BC$210</definedName>
    <definedName name="v_83_XHFO_H_P_old">Model!$BE$210</definedName>
    <definedName name="v_83_XHFO_L">Model!$BA$210</definedName>
    <definedName name="v_83_XHFO_L_P">Model!$BD$210</definedName>
    <definedName name="v_83_XHFO_L_P_old">Model!$BF$210</definedName>
    <definedName name="v_83_XHFO_old">Model!$BB$210</definedName>
    <definedName name="v_83_XHMETO">Model!$Y$210</definedName>
    <definedName name="v_83_XINORG">Model!$AS$210</definedName>
    <definedName name="v_83_XMEOLO">Model!$T$210</definedName>
    <definedName name="v_83_XN_B">Model!$AF$210</definedName>
    <definedName name="v_83_XN_Be">Model!$AG$210</definedName>
    <definedName name="v_83_XN_U">Model!$AH$210</definedName>
    <definedName name="v_83_XNOB">Model!$V$210</definedName>
    <definedName name="v_83_XOHO">Model!$R$210</definedName>
    <definedName name="v_83_XP_B">Model!$AL$210</definedName>
    <definedName name="v_83_XP_Be">Model!$AM$210</definedName>
    <definedName name="v_83_XP_U">Model!$AN$210</definedName>
    <definedName name="v_83_XPFOA">Model!$BT$210</definedName>
    <definedName name="v_83_XPFOS">Model!$BV$210</definedName>
    <definedName name="v_83_XPHA_GAO">Model!$O$210</definedName>
    <definedName name="v_83_XPHA_PAO">Model!$N$210</definedName>
    <definedName name="v_83_XPP">Model!$AJ$210</definedName>
    <definedName name="v_83_XSTR">Model!$BQ$210</definedName>
    <definedName name="v_83_XU">Model!$M$210</definedName>
    <definedName name="v_83_XVivi">Model!$BR$210</definedName>
    <definedName name="v_84_CB">Model!$H$211</definedName>
    <definedName name="v_84_CU">Model!$L$211</definedName>
    <definedName name="v_84_GCH4">Model!$CA$211</definedName>
    <definedName name="v_84_GCH4_atm">Model!$CG$211</definedName>
    <definedName name="v_84_GCO2">Model!$BZ$211</definedName>
    <definedName name="v_84_GCO2_atm">Model!$CF$211</definedName>
    <definedName name="v_84_GH2">Model!$CB$211</definedName>
    <definedName name="v_84_GH2_atm">Model!$CH$211</definedName>
    <definedName name="v_84_GN2">Model!$CE$211</definedName>
    <definedName name="v_84_GN2_atm">Model!$CK$211</definedName>
    <definedName name="v_84_GNH3">Model!$CD$211</definedName>
    <definedName name="v_84_GNH3_atm">Model!$CJ$211</definedName>
    <definedName name="v_84_GO2">Model!$CC$211</definedName>
    <definedName name="v_84_GO2_atm">Model!$CI$211</definedName>
    <definedName name="v_84_SALPHA">Model!$BX$211</definedName>
    <definedName name="v_84_SAN">Model!$AU$211</definedName>
    <definedName name="v_84_SB">Model!$F$211</definedName>
    <definedName name="v_84_SCa">Model!$AV$211</definedName>
    <definedName name="v_84_SCAT">Model!$AT$211</definedName>
    <definedName name="v_84_SCH4">Model!$AP$211</definedName>
    <definedName name="v_84_SCO2">Model!$AR$211</definedName>
    <definedName name="v_84_SFe2">Model!$AY$211</definedName>
    <definedName name="v_84_SH">Model!$BW$211</definedName>
    <definedName name="v_84_SH2">Model!$AQ$211</definedName>
    <definedName name="v_84_SK">Model!$AX$211</definedName>
    <definedName name="v_84_SMEOL">Model!$G$211</definedName>
    <definedName name="v_84_SMg">Model!$AW$211</definedName>
    <definedName name="v_84_SN_B">Model!$AE$211</definedName>
    <definedName name="v_84_SN2">Model!$AD$211</definedName>
    <definedName name="v_84_SNHx">Model!$AA$211</definedName>
    <definedName name="v_84_SNO2">Model!$AB$211</definedName>
    <definedName name="v_84_SNO3">Model!$AC$211</definedName>
    <definedName name="v_84_SO2">Model!$AO$211</definedName>
    <definedName name="v_84_SORPswitch">Model!$BY$211</definedName>
    <definedName name="v_84_SP_B">Model!$AK$211</definedName>
    <definedName name="v_84_SPFOA">Model!$BS$211</definedName>
    <definedName name="v_84_SPFOS">Model!$BU$211</definedName>
    <definedName name="v_84_SPO4">Model!$AI$211</definedName>
    <definedName name="v_84_SU">Model!$K$211</definedName>
    <definedName name="v_84_SVFA">Model!$E$211</definedName>
    <definedName name="v_84_XACP">Model!$BO$211</definedName>
    <definedName name="v_84_XALGAE">Model!$Z$211</definedName>
    <definedName name="v_84_XAMETO">Model!$X$211</definedName>
    <definedName name="v_84_XAMX">Model!$W$211</definedName>
    <definedName name="v_84_XAOB">Model!$U$211</definedName>
    <definedName name="v_84_XB">Model!$I$211</definedName>
    <definedName name="v_84_XB_e">Model!$J$211</definedName>
    <definedName name="v_84_XBSH">Model!$BP$211</definedName>
    <definedName name="v_84_XCaCO3">Model!$BN$211</definedName>
    <definedName name="v_84_XCASTO">Model!$S$211</definedName>
    <definedName name="v_84_XE">Model!$P$211</definedName>
    <definedName name="v_84_XE_ana">Model!$Q$211</definedName>
    <definedName name="v_84_XHAO_H">Model!$BG$211</definedName>
    <definedName name="v_84_XHAO_H_P">Model!$BJ$211</definedName>
    <definedName name="v_84_XHAO_H_P_old">Model!$BL$211</definedName>
    <definedName name="v_84_XHAO_L">Model!$BH$211</definedName>
    <definedName name="v_84_XHAO_L_P">Model!$BK$211</definedName>
    <definedName name="v_84_XHAO_L_P_old">Model!$BM$211</definedName>
    <definedName name="v_84_XHAO_old">Model!$BI$211</definedName>
    <definedName name="v_84_XHFO_H">Model!$AZ$211</definedName>
    <definedName name="v_84_XHFO_H_P">Model!$BC$211</definedName>
    <definedName name="v_84_XHFO_H_P_old">Model!$BE$211</definedName>
    <definedName name="v_84_XHFO_L">Model!$BA$211</definedName>
    <definedName name="v_84_XHFO_L_P">Model!$BD$211</definedName>
    <definedName name="v_84_XHFO_L_P_old">Model!$BF$211</definedName>
    <definedName name="v_84_XHFO_old">Model!$BB$211</definedName>
    <definedName name="v_84_XHMETO">Model!$Y$211</definedName>
    <definedName name="v_84_XINORG">Model!$AS$211</definedName>
    <definedName name="v_84_XMEOLO">Model!$T$211</definedName>
    <definedName name="v_84_XN_B">Model!$AF$211</definedName>
    <definedName name="v_84_XN_Be">Model!$AG$211</definedName>
    <definedName name="v_84_XN_U">Model!$AH$211</definedName>
    <definedName name="v_84_XNOB">Model!$V$211</definedName>
    <definedName name="v_84_XOHO">Model!$R$211</definedName>
    <definedName name="v_84_XP_B">Model!$AL$211</definedName>
    <definedName name="v_84_XP_Be">Model!$AM$211</definedName>
    <definedName name="v_84_XP_U">Model!$AN$211</definedName>
    <definedName name="v_84_XPFOA">Model!$BT$211</definedName>
    <definedName name="v_84_XPFOS">Model!$BV$211</definedName>
    <definedName name="v_84_XPHA_GAO">Model!$O$211</definedName>
    <definedName name="v_84_XPHA_PAO">Model!$N$211</definedName>
    <definedName name="v_84_XPP">Model!$AJ$211</definedName>
    <definedName name="v_84_XSTR">Model!$BQ$211</definedName>
    <definedName name="v_84_XU">Model!$M$211</definedName>
    <definedName name="v_84_XVivi">Model!$BR$211</definedName>
    <definedName name="v_85_CB">Model!$H$212</definedName>
    <definedName name="v_85_CU">Model!$L$212</definedName>
    <definedName name="v_85_GCH4">Model!$CA$212</definedName>
    <definedName name="v_85_GCH4_atm">Model!$CG$212</definedName>
    <definedName name="v_85_GCO2">Model!$BZ$212</definedName>
    <definedName name="v_85_GCO2_atm">Model!$CF$212</definedName>
    <definedName name="v_85_GH2">Model!$CB$212</definedName>
    <definedName name="v_85_GH2_atm">Model!$CH$212</definedName>
    <definedName name="v_85_GN2">Model!$CE$212</definedName>
    <definedName name="v_85_GN2_atm">Model!$CK$212</definedName>
    <definedName name="v_85_GNH3">Model!$CD$212</definedName>
    <definedName name="v_85_GNH3_atm">Model!$CJ$212</definedName>
    <definedName name="v_85_GO2">Model!$CC$212</definedName>
    <definedName name="v_85_GO2_atm">Model!$CI$212</definedName>
    <definedName name="v_85_SALPHA">Model!$BX$212</definedName>
    <definedName name="v_85_SAN">Model!$AU$212</definedName>
    <definedName name="v_85_SB">Model!$F$212</definedName>
    <definedName name="v_85_SCa">Model!$AV$212</definedName>
    <definedName name="v_85_SCAT">Model!$AT$212</definedName>
    <definedName name="v_85_SCH4">Model!$AP$212</definedName>
    <definedName name="v_85_SCO2">Model!$AR$212</definedName>
    <definedName name="v_85_SFe2">Model!$AY$212</definedName>
    <definedName name="v_85_SH">Model!$BW$212</definedName>
    <definedName name="v_85_SH2">Model!$AQ$212</definedName>
    <definedName name="v_85_SK">Model!$AX$212</definedName>
    <definedName name="v_85_SMEOL">Model!$G$212</definedName>
    <definedName name="v_85_SMg">Model!$AW$212</definedName>
    <definedName name="v_85_SN_B">Model!$AE$212</definedName>
    <definedName name="v_85_SN2">Model!$AD$212</definedName>
    <definedName name="v_85_SNHx">Model!$AA$212</definedName>
    <definedName name="v_85_SNO2">Model!$AB$212</definedName>
    <definedName name="v_85_SNO3">Model!$AC$212</definedName>
    <definedName name="v_85_SO2">Model!$AO$212</definedName>
    <definedName name="v_85_SORPswitch">Model!$BY$212</definedName>
    <definedName name="v_85_SP_B">Model!$AK$212</definedName>
    <definedName name="v_85_SPFOA">Model!$BS$212</definedName>
    <definedName name="v_85_SPFOS">Model!$BU$212</definedName>
    <definedName name="v_85_SPO4">Model!$AI$212</definedName>
    <definedName name="v_85_SU">Model!$K$212</definedName>
    <definedName name="v_85_SVFA">Model!$E$212</definedName>
    <definedName name="v_85_XACP">Model!$BO$212</definedName>
    <definedName name="v_85_XALGAE">Model!$Z$212</definedName>
    <definedName name="v_85_XAMETO">Model!$X$212</definedName>
    <definedName name="v_85_XAMX">Model!$W$212</definedName>
    <definedName name="v_85_XAOB">Model!$U$212</definedName>
    <definedName name="v_85_XB">Model!$I$212</definedName>
    <definedName name="v_85_XB_e">Model!$J$212</definedName>
    <definedName name="v_85_XBSH">Model!$BP$212</definedName>
    <definedName name="v_85_XCaCO3">Model!$BN$212</definedName>
    <definedName name="v_85_XCASTO">Model!$S$212</definedName>
    <definedName name="v_85_XE">Model!$P$212</definedName>
    <definedName name="v_85_XE_ana">Model!$Q$212</definedName>
    <definedName name="v_85_XHAO_H">Model!$BG$212</definedName>
    <definedName name="v_85_XHAO_H_P">Model!$BJ$212</definedName>
    <definedName name="v_85_XHAO_H_P_old">Model!$BL$212</definedName>
    <definedName name="v_85_XHAO_L">Model!$BH$212</definedName>
    <definedName name="v_85_XHAO_L_P">Model!$BK$212</definedName>
    <definedName name="v_85_XHAO_L_P_old">Model!$BM$212</definedName>
    <definedName name="v_85_XHAO_old">Model!$BI$212</definedName>
    <definedName name="v_85_XHFO_H">Model!$AZ$212</definedName>
    <definedName name="v_85_XHFO_H_P">Model!$BC$212</definedName>
    <definedName name="v_85_XHFO_H_P_old">Model!$BE$212</definedName>
    <definedName name="v_85_XHFO_L">Model!$BA$212</definedName>
    <definedName name="v_85_XHFO_L_P">Model!$BD$212</definedName>
    <definedName name="v_85_XHFO_L_P_old">Model!$BF$212</definedName>
    <definedName name="v_85_XHFO_old">Model!$BB$212</definedName>
    <definedName name="v_85_XHMETO">Model!$Y$212</definedName>
    <definedName name="v_85_XINORG">Model!$AS$212</definedName>
    <definedName name="v_85_XMEOLO">Model!$T$212</definedName>
    <definedName name="v_85_XN_B">Model!$AF$212</definedName>
    <definedName name="v_85_XN_Be">Model!$AG$212</definedName>
    <definedName name="v_85_XN_U">Model!$AH$212</definedName>
    <definedName name="v_85_XNOB">Model!$V$212</definedName>
    <definedName name="v_85_XOHO">Model!$R$212</definedName>
    <definedName name="v_85_XP_B">Model!$AL$212</definedName>
    <definedName name="v_85_XP_Be">Model!$AM$212</definedName>
    <definedName name="v_85_XP_U">Model!$AN$212</definedName>
    <definedName name="v_85_XPFOA">Model!$BT$212</definedName>
    <definedName name="v_85_XPFOS">Model!$BV$212</definedName>
    <definedName name="v_85_XPHA_GAO">Model!$O$212</definedName>
    <definedName name="v_85_XPHA_PAO">Model!$N$212</definedName>
    <definedName name="v_85_XPP">Model!$AJ$212</definedName>
    <definedName name="v_85_XSTR">Model!$BQ$212</definedName>
    <definedName name="v_85_XU">Model!$M$212</definedName>
    <definedName name="v_85_XVivi">Model!$BR$212</definedName>
    <definedName name="v_86_CB">Model!$H$213</definedName>
    <definedName name="v_86_CU">Model!$L$213</definedName>
    <definedName name="v_86_GCH4">Model!$CA$213</definedName>
    <definedName name="v_86_GCH4_atm">Model!$CG$213</definedName>
    <definedName name="v_86_GCO2">Model!$BZ$213</definedName>
    <definedName name="v_86_GCO2_atm">Model!$CF$213</definedName>
    <definedName name="v_86_GH2">Model!$CB$213</definedName>
    <definedName name="v_86_GH2_atm">Model!$CH$213</definedName>
    <definedName name="v_86_GN2">Model!$CE$213</definedName>
    <definedName name="v_86_GN2_atm">Model!$CK$213</definedName>
    <definedName name="v_86_GNH3">Model!$CD$213</definedName>
    <definedName name="v_86_GNH3_atm">Model!$CJ$213</definedName>
    <definedName name="v_86_GO2">Model!$CC$213</definedName>
    <definedName name="v_86_GO2_atm">Model!$CI$213</definedName>
    <definedName name="v_86_SALPHA">Model!$BX$213</definedName>
    <definedName name="v_86_SAN">Model!$AU$213</definedName>
    <definedName name="v_86_SB">Model!$F$213</definedName>
    <definedName name="v_86_SCa">Model!$AV$213</definedName>
    <definedName name="v_86_SCAT">Model!$AT$213</definedName>
    <definedName name="v_86_SCH4">Model!$AP$213</definedName>
    <definedName name="v_86_SCO2">Model!$AR$213</definedName>
    <definedName name="v_86_SFe2">Model!$AY$213</definedName>
    <definedName name="v_86_SH">Model!$BW$213</definedName>
    <definedName name="v_86_SH2">Model!$AQ$213</definedName>
    <definedName name="v_86_SK">Model!$AX$213</definedName>
    <definedName name="v_86_SMEOL">Model!$G$213</definedName>
    <definedName name="v_86_SMg">Model!$AW$213</definedName>
    <definedName name="v_86_SN_B">Model!$AE$213</definedName>
    <definedName name="v_86_SN2">Model!$AD$213</definedName>
    <definedName name="v_86_SNHx">Model!$AA$213</definedName>
    <definedName name="v_86_SNO2">Model!$AB$213</definedName>
    <definedName name="v_86_SNO3">Model!$AC$213</definedName>
    <definedName name="v_86_SO2">Model!$AO$213</definedName>
    <definedName name="v_86_SORPswitch">Model!$BY$213</definedName>
    <definedName name="v_86_SP_B">Model!$AK$213</definedName>
    <definedName name="v_86_SPFOA">Model!$BS$213</definedName>
    <definedName name="v_86_SPFOS">Model!$BU$213</definedName>
    <definedName name="v_86_SPO4">Model!$AI$213</definedName>
    <definedName name="v_86_SU">Model!$K$213</definedName>
    <definedName name="v_86_SVFA">Model!$E$213</definedName>
    <definedName name="v_86_XACP">Model!$BO$213</definedName>
    <definedName name="v_86_XALGAE">Model!$Z$213</definedName>
    <definedName name="v_86_XAMETO">Model!$X$213</definedName>
    <definedName name="v_86_XAMX">Model!$W$213</definedName>
    <definedName name="v_86_XAOB">Model!$U$213</definedName>
    <definedName name="v_86_XB">Model!$I$213</definedName>
    <definedName name="v_86_XB_e">Model!$J$213</definedName>
    <definedName name="v_86_XBSH">Model!$BP$213</definedName>
    <definedName name="v_86_XCaCO3">Model!$BN$213</definedName>
    <definedName name="v_86_XCASTO">Model!$S$213</definedName>
    <definedName name="v_86_XE">Model!$P$213</definedName>
    <definedName name="v_86_XE_ana">Model!$Q$213</definedName>
    <definedName name="v_86_XHAO_H">Model!$BG$213</definedName>
    <definedName name="v_86_XHAO_H_P">Model!$BJ$213</definedName>
    <definedName name="v_86_XHAO_H_P_old">Model!$BL$213</definedName>
    <definedName name="v_86_XHAO_L">Model!$BH$213</definedName>
    <definedName name="v_86_XHAO_L_P">Model!$BK$213</definedName>
    <definedName name="v_86_XHAO_L_P_old">Model!$BM$213</definedName>
    <definedName name="v_86_XHAO_old">Model!$BI$213</definedName>
    <definedName name="v_86_XHFO_H">Model!$AZ$213</definedName>
    <definedName name="v_86_XHFO_H_P">Model!$BC$213</definedName>
    <definedName name="v_86_XHFO_H_P_old">Model!$BE$213</definedName>
    <definedName name="v_86_XHFO_L">Model!$BA$213</definedName>
    <definedName name="v_86_XHFO_L_P">Model!$BD$213</definedName>
    <definedName name="v_86_XHFO_L_P_old">Model!$BF$213</definedName>
    <definedName name="v_86_XHFO_old">Model!$BB$213</definedName>
    <definedName name="v_86_XHMETO">Model!$Y$213</definedName>
    <definedName name="v_86_XINORG">Model!$AS$213</definedName>
    <definedName name="v_86_XMEOLO">Model!$T$213</definedName>
    <definedName name="v_86_XN_B">Model!$AF$213</definedName>
    <definedName name="v_86_XN_Be">Model!$AG$213</definedName>
    <definedName name="v_86_XN_U">Model!$AH$213</definedName>
    <definedName name="v_86_XNOB">Model!$V$213</definedName>
    <definedName name="v_86_XOHO">Model!$R$213</definedName>
    <definedName name="v_86_XP_B">Model!$AL$213</definedName>
    <definedName name="v_86_XP_Be">Model!$AM$213</definedName>
    <definedName name="v_86_XP_U">Model!$AN$213</definedName>
    <definedName name="v_86_XPFOA">Model!$BT$213</definedName>
    <definedName name="v_86_XPFOS">Model!$BV$213</definedName>
    <definedName name="v_86_XPHA_GAO">Model!$O$213</definedName>
    <definedName name="v_86_XPHA_PAO">Model!$N$213</definedName>
    <definedName name="v_86_XPP">Model!$AJ$213</definedName>
    <definedName name="v_86_XSTR">Model!$BQ$213</definedName>
    <definedName name="v_86_XU">Model!$M$213</definedName>
    <definedName name="v_86_XVivi">Model!$BR$213</definedName>
    <definedName name="v_87_CB">Model!$H$214</definedName>
    <definedName name="v_87_CU">Model!$L$214</definedName>
    <definedName name="v_87_GCH4">Model!$CA$214</definedName>
    <definedName name="v_87_GCH4_atm">Model!$CG$214</definedName>
    <definedName name="v_87_GCO2">Model!$BZ$214</definedName>
    <definedName name="v_87_GCO2_atm">Model!$CF$214</definedName>
    <definedName name="v_87_GH2">Model!$CB$214</definedName>
    <definedName name="v_87_GH2_atm">Model!$CH$214</definedName>
    <definedName name="v_87_GN2">Model!$CE$214</definedName>
    <definedName name="v_87_GN2_atm">Model!$CK$214</definedName>
    <definedName name="v_87_GNH3">Model!$CD$214</definedName>
    <definedName name="v_87_GNH3_atm">Model!$CJ$214</definedName>
    <definedName name="v_87_GO2">Model!$CC$214</definedName>
    <definedName name="v_87_GO2_atm">Model!$CI$214</definedName>
    <definedName name="v_87_SALPHA">Model!$BX$214</definedName>
    <definedName name="v_87_SAN">Model!$AU$214</definedName>
    <definedName name="v_87_SB">Model!$F$214</definedName>
    <definedName name="v_87_SCa">Model!$AV$214</definedName>
    <definedName name="v_87_SCAT">Model!$AT$214</definedName>
    <definedName name="v_87_SCH4">Model!$AP$214</definedName>
    <definedName name="v_87_SCO2">Model!$AR$214</definedName>
    <definedName name="v_87_SFe2">Model!$AY$214</definedName>
    <definedName name="v_87_SH">Model!$BW$214</definedName>
    <definedName name="v_87_SH2">Model!$AQ$214</definedName>
    <definedName name="v_87_SK">Model!$AX$214</definedName>
    <definedName name="v_87_SMEOL">Model!$G$214</definedName>
    <definedName name="v_87_SMg">Model!$AW$214</definedName>
    <definedName name="v_87_SN_B">Model!$AE$214</definedName>
    <definedName name="v_87_SN2">Model!$AD$214</definedName>
    <definedName name="v_87_SNHx">Model!$AA$214</definedName>
    <definedName name="v_87_SNO2">Model!$AB$214</definedName>
    <definedName name="v_87_SNO3">Model!$AC$214</definedName>
    <definedName name="v_87_SO2">Model!$AO$214</definedName>
    <definedName name="v_87_SORPswitch">Model!$BY$214</definedName>
    <definedName name="v_87_SP_B">Model!$AK$214</definedName>
    <definedName name="v_87_SPFOA">Model!$BS$214</definedName>
    <definedName name="v_87_SPFOS">Model!$BU$214</definedName>
    <definedName name="v_87_SPO4">Model!$AI$214</definedName>
    <definedName name="v_87_SU">Model!$K$214</definedName>
    <definedName name="v_87_SVFA">Model!$E$214</definedName>
    <definedName name="v_87_XACP">Model!$BO$214</definedName>
    <definedName name="v_87_XALGAE">Model!$Z$214</definedName>
    <definedName name="v_87_XAMETO">Model!$X$214</definedName>
    <definedName name="v_87_XAMX">Model!$W$214</definedName>
    <definedName name="v_87_XAOB">Model!$U$214</definedName>
    <definedName name="v_87_XB">Model!$I$214</definedName>
    <definedName name="v_87_XB_e">Model!$J$214</definedName>
    <definedName name="v_87_XBSH">Model!$BP$214</definedName>
    <definedName name="v_87_XCaCO3">Model!$BN$214</definedName>
    <definedName name="v_87_XCASTO">Model!$S$214</definedName>
    <definedName name="v_87_XE">Model!$P$214</definedName>
    <definedName name="v_87_XE_ana">Model!$Q$214</definedName>
    <definedName name="v_87_XHAO_H">Model!$BG$214</definedName>
    <definedName name="v_87_XHAO_H_P">Model!$BJ$214</definedName>
    <definedName name="v_87_XHAO_H_P_old">Model!$BL$214</definedName>
    <definedName name="v_87_XHAO_L">Model!$BH$214</definedName>
    <definedName name="v_87_XHAO_L_P">Model!$BK$214</definedName>
    <definedName name="v_87_XHAO_L_P_old">Model!$BM$214</definedName>
    <definedName name="v_87_XHAO_old">Model!$BI$214</definedName>
    <definedName name="v_87_XHFO_H">Model!$AZ$214</definedName>
    <definedName name="v_87_XHFO_H_P">Model!$BC$214</definedName>
    <definedName name="v_87_XHFO_H_P_old">Model!$BE$214</definedName>
    <definedName name="v_87_XHFO_L">Model!$BA$214</definedName>
    <definedName name="v_87_XHFO_L_P">Model!$BD$214</definedName>
    <definedName name="v_87_XHFO_L_P_old">Model!$BF$214</definedName>
    <definedName name="v_87_XHFO_old">Model!$BB$214</definedName>
    <definedName name="v_87_XHMETO">Model!$Y$214</definedName>
    <definedName name="v_87_XINORG">Model!$AS$214</definedName>
    <definedName name="v_87_XMEOLO">Model!$T$214</definedName>
    <definedName name="v_87_XN_B">Model!$AF$214</definedName>
    <definedName name="v_87_XN_Be">Model!$AG$214</definedName>
    <definedName name="v_87_XN_U">Model!$AH$214</definedName>
    <definedName name="v_87_XNOB">Model!$V$214</definedName>
    <definedName name="v_87_XOHO">Model!$R$214</definedName>
    <definedName name="v_87_XP_B">Model!$AL$214</definedName>
    <definedName name="v_87_XP_Be">Model!$AM$214</definedName>
    <definedName name="v_87_XP_U">Model!$AN$214</definedName>
    <definedName name="v_87_XPFOA">Model!$BT$214</definedName>
    <definedName name="v_87_XPFOS">Model!$BV$214</definedName>
    <definedName name="v_87_XPHA_GAO">Model!$O$214</definedName>
    <definedName name="v_87_XPHA_PAO">Model!$N$214</definedName>
    <definedName name="v_87_XPP">Model!$AJ$214</definedName>
    <definedName name="v_87_XSTR">Model!$BQ$214</definedName>
    <definedName name="v_87_XU">Model!$M$214</definedName>
    <definedName name="v_87_XVivi">Model!$BR$214</definedName>
    <definedName name="v_88_CB">Model!$H$215</definedName>
    <definedName name="v_88_CU">Model!$L$215</definedName>
    <definedName name="v_88_GCH4">Model!$CA$215</definedName>
    <definedName name="v_88_GCH4_atm">Model!$CG$215</definedName>
    <definedName name="v_88_GCO2">Model!$BZ$215</definedName>
    <definedName name="v_88_GCO2_atm">Model!$CF$215</definedName>
    <definedName name="v_88_GH2">Model!$CB$215</definedName>
    <definedName name="v_88_GH2_atm">Model!$CH$215</definedName>
    <definedName name="v_88_GN2">Model!$CE$215</definedName>
    <definedName name="v_88_GN2_atm">Model!$CK$215</definedName>
    <definedName name="v_88_GNH3">Model!$CD$215</definedName>
    <definedName name="v_88_GNH3_atm">Model!$CJ$215</definedName>
    <definedName name="v_88_GO2">Model!$CC$215</definedName>
    <definedName name="v_88_GO2_atm">Model!$CI$215</definedName>
    <definedName name="v_88_SALPHA">Model!$BX$215</definedName>
    <definedName name="v_88_SAN">Model!$AU$215</definedName>
    <definedName name="v_88_SB">Model!$F$215</definedName>
    <definedName name="v_88_SCa">Model!$AV$215</definedName>
    <definedName name="v_88_SCAT">Model!$AT$215</definedName>
    <definedName name="v_88_SCH4">Model!$AP$215</definedName>
    <definedName name="v_88_SCO2">Model!$AR$215</definedName>
    <definedName name="v_88_SFe2">Model!$AY$215</definedName>
    <definedName name="v_88_SH">Model!$BW$215</definedName>
    <definedName name="v_88_SH2">Model!$AQ$215</definedName>
    <definedName name="v_88_SK">Model!$AX$215</definedName>
    <definedName name="v_88_SMEOL">Model!$G$215</definedName>
    <definedName name="v_88_SMg">Model!$AW$215</definedName>
    <definedName name="v_88_SN_B">Model!$AE$215</definedName>
    <definedName name="v_88_SN2">Model!$AD$215</definedName>
    <definedName name="v_88_SNHx">Model!$AA$215</definedName>
    <definedName name="v_88_SNO2">Model!$AB$215</definedName>
    <definedName name="v_88_SNO3">Model!$AC$215</definedName>
    <definedName name="v_88_SO2">Model!$AO$215</definedName>
    <definedName name="v_88_SORPswitch">Model!$BY$215</definedName>
    <definedName name="v_88_SP_B">Model!$AK$215</definedName>
    <definedName name="v_88_SPFOA">Model!$BS$215</definedName>
    <definedName name="v_88_SPFOS">Model!$BU$215</definedName>
    <definedName name="v_88_SPO4">Model!$AI$215</definedName>
    <definedName name="v_88_SU">Model!$K$215</definedName>
    <definedName name="v_88_SVFA">Model!$E$215</definedName>
    <definedName name="v_88_XACP">Model!$BO$215</definedName>
    <definedName name="v_88_XALGAE">Model!$Z$215</definedName>
    <definedName name="v_88_XAMETO">Model!$X$215</definedName>
    <definedName name="v_88_XAMX">Model!$W$215</definedName>
    <definedName name="v_88_XAOB">Model!$U$215</definedName>
    <definedName name="v_88_XB">Model!$I$215</definedName>
    <definedName name="v_88_XB_e">Model!$J$215</definedName>
    <definedName name="v_88_XBSH">Model!$BP$215</definedName>
    <definedName name="v_88_XCaCO3">Model!$BN$215</definedName>
    <definedName name="v_88_XCASTO">Model!$S$215</definedName>
    <definedName name="v_88_XE">Model!$P$215</definedName>
    <definedName name="v_88_XE_ana">Model!$Q$215</definedName>
    <definedName name="v_88_XHAO_H">Model!$BG$215</definedName>
    <definedName name="v_88_XHAO_H_P">Model!$BJ$215</definedName>
    <definedName name="v_88_XHAO_H_P_old">Model!$BL$215</definedName>
    <definedName name="v_88_XHAO_L">Model!$BH$215</definedName>
    <definedName name="v_88_XHAO_L_P">Model!$BK$215</definedName>
    <definedName name="v_88_XHAO_L_P_old">Model!$BM$215</definedName>
    <definedName name="v_88_XHAO_old">Model!$BI$215</definedName>
    <definedName name="v_88_XHFO_H">Model!$AZ$215</definedName>
    <definedName name="v_88_XHFO_H_P">Model!$BC$215</definedName>
    <definedName name="v_88_XHFO_H_P_old">Model!$BE$215</definedName>
    <definedName name="v_88_XHFO_L">Model!$BA$215</definedName>
    <definedName name="v_88_XHFO_L_P">Model!$BD$215</definedName>
    <definedName name="v_88_XHFO_L_P_old">Model!$BF$215</definedName>
    <definedName name="v_88_XHFO_old">Model!$BB$215</definedName>
    <definedName name="v_88_XHMETO">Model!$Y$215</definedName>
    <definedName name="v_88_XINORG">Model!$AS$215</definedName>
    <definedName name="v_88_XMEOLO">Model!$T$215</definedName>
    <definedName name="v_88_XN_B">Model!$AF$215</definedName>
    <definedName name="v_88_XN_Be">Model!$AG$215</definedName>
    <definedName name="v_88_XN_U">Model!$AH$215</definedName>
    <definedName name="v_88_XNOB">Model!$V$215</definedName>
    <definedName name="v_88_XOHO">Model!$R$215</definedName>
    <definedName name="v_88_XP_B">Model!$AL$215</definedName>
    <definedName name="v_88_XP_Be">Model!$AM$215</definedName>
    <definedName name="v_88_XP_U">Model!$AN$215</definedName>
    <definedName name="v_88_XPFOA">Model!$BT$215</definedName>
    <definedName name="v_88_XPFOS">Model!$BV$215</definedName>
    <definedName name="v_88_XPHA_GAO">Model!$O$215</definedName>
    <definedName name="v_88_XPHA_PAO">Model!$N$215</definedName>
    <definedName name="v_88_XPP">Model!$AJ$215</definedName>
    <definedName name="v_88_XSTR">Model!$BQ$215</definedName>
    <definedName name="v_88_XU">Model!$M$215</definedName>
    <definedName name="v_88_XVivi">Model!$BR$215</definedName>
    <definedName name="v_89_CB">Model!$H$216</definedName>
    <definedName name="v_89_CU">Model!$L$216</definedName>
    <definedName name="v_89_GCH4">Model!$CA$216</definedName>
    <definedName name="v_89_GCH4_atm">Model!$CG$216</definedName>
    <definedName name="v_89_GCO2">Model!$BZ$216</definedName>
    <definedName name="v_89_GCO2_atm">Model!$CF$216</definedName>
    <definedName name="v_89_GH2">Model!$CB$216</definedName>
    <definedName name="v_89_GH2_atm">Model!$CH$216</definedName>
    <definedName name="v_89_GN2">Model!$CE$216</definedName>
    <definedName name="v_89_GN2_atm">Model!$CK$216</definedName>
    <definedName name="v_89_GNH3">Model!$CD$216</definedName>
    <definedName name="v_89_GNH3_atm">Model!$CJ$216</definedName>
    <definedName name="v_89_GO2">Model!$CC$216</definedName>
    <definedName name="v_89_GO2_atm">Model!$CI$216</definedName>
    <definedName name="v_89_SALPHA">Model!$BX$216</definedName>
    <definedName name="v_89_SAN">Model!$AU$216</definedName>
    <definedName name="v_89_SB">Model!$F$216</definedName>
    <definedName name="v_89_SCa">Model!$AV$216</definedName>
    <definedName name="v_89_SCAT">Model!$AT$216</definedName>
    <definedName name="v_89_SCH4">Model!$AP$216</definedName>
    <definedName name="v_89_SCO2">Model!$AR$216</definedName>
    <definedName name="v_89_SFe2">Model!$AY$216</definedName>
    <definedName name="v_89_SH">Model!$BW$216</definedName>
    <definedName name="v_89_SH2">Model!$AQ$216</definedName>
    <definedName name="v_89_SK">Model!$AX$216</definedName>
    <definedName name="v_89_SMEOL">Model!$G$216</definedName>
    <definedName name="v_89_SMg">Model!$AW$216</definedName>
    <definedName name="v_89_SN_B">Model!$AE$216</definedName>
    <definedName name="v_89_SN2">Model!$AD$216</definedName>
    <definedName name="v_89_SNHx">Model!$AA$216</definedName>
    <definedName name="v_89_SNO2">Model!$AB$216</definedName>
    <definedName name="v_89_SNO3">Model!$AC$216</definedName>
    <definedName name="v_89_SO2">Model!$AO$216</definedName>
    <definedName name="v_89_SORPswitch">Model!$BY$216</definedName>
    <definedName name="v_89_SP_B">Model!$AK$216</definedName>
    <definedName name="v_89_SPFOA">Model!$BS$216</definedName>
    <definedName name="v_89_SPFOS">Model!$BU$216</definedName>
    <definedName name="v_89_SPO4">Model!$AI$216</definedName>
    <definedName name="v_89_SU">Model!$K$216</definedName>
    <definedName name="v_89_SVFA">Model!$E$216</definedName>
    <definedName name="v_89_XACP">Model!$BO$216</definedName>
    <definedName name="v_89_XALGAE">Model!$Z$216</definedName>
    <definedName name="v_89_XAMETO">Model!$X$216</definedName>
    <definedName name="v_89_XAMX">Model!$W$216</definedName>
    <definedName name="v_89_XAOB">Model!$U$216</definedName>
    <definedName name="v_89_XB">Model!$I$216</definedName>
    <definedName name="v_89_XB_e">Model!$J$216</definedName>
    <definedName name="v_89_XBSH">Model!$BP$216</definedName>
    <definedName name="v_89_XCaCO3">Model!$BN$216</definedName>
    <definedName name="v_89_XCASTO">Model!$S$216</definedName>
    <definedName name="v_89_XE">Model!$P$216</definedName>
    <definedName name="v_89_XE_ana">Model!$Q$216</definedName>
    <definedName name="v_89_XHAO_H">Model!$BG$216</definedName>
    <definedName name="v_89_XHAO_H_P">Model!$BJ$216</definedName>
    <definedName name="v_89_XHAO_H_P_old">Model!$BL$216</definedName>
    <definedName name="v_89_XHAO_L">Model!$BH$216</definedName>
    <definedName name="v_89_XHAO_L_P">Model!$BK$216</definedName>
    <definedName name="v_89_XHAO_L_P_old">Model!$BM$216</definedName>
    <definedName name="v_89_XHAO_old">Model!$BI$216</definedName>
    <definedName name="v_89_XHFO_H">Model!$AZ$216</definedName>
    <definedName name="v_89_XHFO_H_P">Model!$BC$216</definedName>
    <definedName name="v_89_XHFO_H_P_old">Model!$BE$216</definedName>
    <definedName name="v_89_XHFO_L">Model!$BA$216</definedName>
    <definedName name="v_89_XHFO_L_P">Model!$BD$216</definedName>
    <definedName name="v_89_XHFO_L_P_old">Model!$BF$216</definedName>
    <definedName name="v_89_XHFO_old">Model!$BB$216</definedName>
    <definedName name="v_89_XHMETO">Model!$Y$216</definedName>
    <definedName name="v_89_XINORG">Model!$AS$216</definedName>
    <definedName name="v_89_XMEOLO">Model!$T$216</definedName>
    <definedName name="v_89_XN_B">Model!$AF$216</definedName>
    <definedName name="v_89_XN_Be">Model!$AG$216</definedName>
    <definedName name="v_89_XN_U">Model!$AH$216</definedName>
    <definedName name="v_89_XNOB">Model!$V$216</definedName>
    <definedName name="v_89_XOHO">Model!$R$216</definedName>
    <definedName name="v_89_XP_B">Model!$AL$216</definedName>
    <definedName name="v_89_XP_Be">Model!$AM$216</definedName>
    <definedName name="v_89_XP_U">Model!$AN$216</definedName>
    <definedName name="v_89_XPFOA">Model!$BT$216</definedName>
    <definedName name="v_89_XPFOS">Model!$BV$216</definedName>
    <definedName name="v_89_XPHA_GAO">Model!$O$216</definedName>
    <definedName name="v_89_XPHA_PAO">Model!$N$216</definedName>
    <definedName name="v_89_XPP">Model!$AJ$216</definedName>
    <definedName name="v_89_XSTR">Model!$BQ$216</definedName>
    <definedName name="v_89_XU">Model!$M$216</definedName>
    <definedName name="v_89_XVivi">Model!$BR$216</definedName>
    <definedName name="v_9_CB">Model!$H$136</definedName>
    <definedName name="v_9_CU">Model!$L$136</definedName>
    <definedName name="v_9_GCH4">Model!$CA$136</definedName>
    <definedName name="v_9_GCH4_atm">Model!$CG$136</definedName>
    <definedName name="v_9_GCO2">Model!$BZ$136</definedName>
    <definedName name="v_9_GCO2_atm">Model!$CF$136</definedName>
    <definedName name="v_9_GH2">Model!$CB$136</definedName>
    <definedName name="v_9_GH2_atm">Model!$CH$136</definedName>
    <definedName name="v_9_GN2">Model!$CE$136</definedName>
    <definedName name="v_9_GN2_atm">Model!$CK$136</definedName>
    <definedName name="v_9_GNH3">Model!$CD$136</definedName>
    <definedName name="v_9_GNH3_atm">Model!$CJ$136</definedName>
    <definedName name="v_9_GO2">Model!$CC$136</definedName>
    <definedName name="v_9_GO2_atm">Model!$CI$136</definedName>
    <definedName name="v_9_SALPHA">Model!$BX$136</definedName>
    <definedName name="v_9_SAN">Model!$AU$136</definedName>
    <definedName name="v_9_SB">Model!$F$136</definedName>
    <definedName name="v_9_SCa">Model!$AV$136</definedName>
    <definedName name="v_9_SCAT">Model!$AT$136</definedName>
    <definedName name="v_9_SCH4">Model!$AP$136</definedName>
    <definedName name="v_9_SCO2">Model!$AR$136</definedName>
    <definedName name="v_9_SFe2">Model!$AY$136</definedName>
    <definedName name="v_9_SH">Model!$BW$136</definedName>
    <definedName name="v_9_SH2">Model!$AQ$136</definedName>
    <definedName name="v_9_SK">Model!$AX$136</definedName>
    <definedName name="v_9_SMEOL">Model!$G$136</definedName>
    <definedName name="v_9_SMg">Model!$AW$136</definedName>
    <definedName name="v_9_SN_B">Model!$AE$136</definedName>
    <definedName name="v_9_SN2">Model!$AD$136</definedName>
    <definedName name="v_9_SNHx">Model!$AA$136</definedName>
    <definedName name="v_9_SNO2">Model!$AB$136</definedName>
    <definedName name="v_9_SNO3">Model!$AC$136</definedName>
    <definedName name="v_9_SO2">Model!$AO$136</definedName>
    <definedName name="v_9_SORPswitch">Model!$BY$136</definedName>
    <definedName name="v_9_SP_B">Model!$AK$136</definedName>
    <definedName name="v_9_SPFOA">Model!$BS$136</definedName>
    <definedName name="v_9_SPFOS">Model!$BU$136</definedName>
    <definedName name="v_9_SPO4">Model!$AI$136</definedName>
    <definedName name="v_9_SU">Model!$K$136</definedName>
    <definedName name="v_9_SVFA">Model!$E$136</definedName>
    <definedName name="v_9_XACP">Model!$BO$136</definedName>
    <definedName name="v_9_XALGAE">Model!$Z$136</definedName>
    <definedName name="v_9_XAMETO">Model!$X$136</definedName>
    <definedName name="v_9_XAMX">Model!$W$136</definedName>
    <definedName name="v_9_XAOB">Model!$U$136</definedName>
    <definedName name="v_9_XB">Model!$I$136</definedName>
    <definedName name="v_9_XB_e">Model!$J$136</definedName>
    <definedName name="v_9_XBSH">Model!$BP$136</definedName>
    <definedName name="v_9_XCaCO3">Model!$BN$136</definedName>
    <definedName name="v_9_XCASTO">Model!$S$136</definedName>
    <definedName name="v_9_XE">Model!$P$136</definedName>
    <definedName name="v_9_XE_ana">Model!$Q$136</definedName>
    <definedName name="v_9_XHAO_H">Model!$BG$136</definedName>
    <definedName name="v_9_XHAO_H_P">Model!$BJ$136</definedName>
    <definedName name="v_9_XHAO_H_P_old">Model!$BL$136</definedName>
    <definedName name="v_9_XHAO_L">Model!$BH$136</definedName>
    <definedName name="v_9_XHAO_L_P">Model!$BK$136</definedName>
    <definedName name="v_9_XHAO_L_P_old">Model!$BM$136</definedName>
    <definedName name="v_9_XHAO_old">Model!$BI$136</definedName>
    <definedName name="v_9_XHFO_H">Model!$AZ$136</definedName>
    <definedName name="v_9_XHFO_H_P">Model!$BC$136</definedName>
    <definedName name="v_9_XHFO_H_P_old">Model!$BE$136</definedName>
    <definedName name="v_9_XHFO_L">Model!$BA$136</definedName>
    <definedName name="v_9_XHFO_L_P">Model!$BD$136</definedName>
    <definedName name="v_9_XHFO_L_P_old">Model!$BF$136</definedName>
    <definedName name="v_9_XHFO_old">Model!$BB$136</definedName>
    <definedName name="v_9_XHMETO">Model!$Y$136</definedName>
    <definedName name="v_9_XINORG">Model!$AS$136</definedName>
    <definedName name="v_9_XMEOLO">Model!$T$136</definedName>
    <definedName name="v_9_XN_B">Model!$AF$136</definedName>
    <definedName name="v_9_XN_Be">Model!$AG$136</definedName>
    <definedName name="v_9_XN_U">Model!$AH$136</definedName>
    <definedName name="v_9_XNOB">Model!$V$136</definedName>
    <definedName name="v_9_XOHO">Model!$R$136</definedName>
    <definedName name="v_9_XP_B">Model!$AL$136</definedName>
    <definedName name="v_9_XP_Be">Model!$AM$136</definedName>
    <definedName name="v_9_XP_U">Model!$AN$136</definedName>
    <definedName name="v_9_XPFOA">Model!$BT$136</definedName>
    <definedName name="v_9_XPFOS">Model!$BV$136</definedName>
    <definedName name="v_9_XPHA_GAO">Model!$O$136</definedName>
    <definedName name="v_9_XPHA_PAO">Model!$N$136</definedName>
    <definedName name="v_9_XPP">Model!$AJ$136</definedName>
    <definedName name="v_9_XSTR">Model!$BQ$136</definedName>
    <definedName name="v_9_XU">Model!$M$136</definedName>
    <definedName name="v_9_XVivi">Model!$BR$136</definedName>
    <definedName name="v_90_CB">Model!$H$217</definedName>
    <definedName name="v_90_CU">Model!$L$217</definedName>
    <definedName name="v_90_GCH4">Model!$CA$217</definedName>
    <definedName name="v_90_GCH4_atm">Model!$CG$217</definedName>
    <definedName name="v_90_GCO2">Model!$BZ$217</definedName>
    <definedName name="v_90_GCO2_atm">Model!$CF$217</definedName>
    <definedName name="v_90_GH2">Model!$CB$217</definedName>
    <definedName name="v_90_GH2_atm">Model!$CH$217</definedName>
    <definedName name="v_90_GN2">Model!$CE$217</definedName>
    <definedName name="v_90_GN2_atm">Model!$CK$217</definedName>
    <definedName name="v_90_GNH3">Model!$CD$217</definedName>
    <definedName name="v_90_GNH3_atm">Model!$CJ$217</definedName>
    <definedName name="v_90_GO2">Model!$CC$217</definedName>
    <definedName name="v_90_GO2_atm">Model!$CI$217</definedName>
    <definedName name="v_90_SALPHA">Model!$BX$217</definedName>
    <definedName name="v_90_SAN">Model!$AU$217</definedName>
    <definedName name="v_90_SB">Model!$F$217</definedName>
    <definedName name="v_90_SCa">Model!$AV$217</definedName>
    <definedName name="v_90_SCAT">Model!$AT$217</definedName>
    <definedName name="v_90_SCH4">Model!$AP$217</definedName>
    <definedName name="v_90_SCO2">Model!$AR$217</definedName>
    <definedName name="v_90_SFe2">Model!$AY$217</definedName>
    <definedName name="v_90_SH">Model!$BW$217</definedName>
    <definedName name="v_90_SH2">Model!$AQ$217</definedName>
    <definedName name="v_90_SK">Model!$AX$217</definedName>
    <definedName name="v_90_SMEOL">Model!$G$217</definedName>
    <definedName name="v_90_SMg">Model!$AW$217</definedName>
    <definedName name="v_90_SN_B">Model!$AE$217</definedName>
    <definedName name="v_90_SN2">Model!$AD$217</definedName>
    <definedName name="v_90_SNHx">Model!$AA$217</definedName>
    <definedName name="v_90_SNO2">Model!$AB$217</definedName>
    <definedName name="v_90_SNO3">Model!$AC$217</definedName>
    <definedName name="v_90_SO2">Model!$AO$217</definedName>
    <definedName name="v_90_SORPswitch">Model!$BY$217</definedName>
    <definedName name="v_90_SP_B">Model!$AK$217</definedName>
    <definedName name="v_90_SPFOA">Model!$BS$217</definedName>
    <definedName name="v_90_SPFOS">Model!$BU$217</definedName>
    <definedName name="v_90_SPO4">Model!$AI$217</definedName>
    <definedName name="v_90_SU">Model!$K$217</definedName>
    <definedName name="v_90_SVFA">Model!$E$217</definedName>
    <definedName name="v_90_XACP">Model!$BO$217</definedName>
    <definedName name="v_90_XALGAE">Model!$Z$217</definedName>
    <definedName name="v_90_XAMETO">Model!$X$217</definedName>
    <definedName name="v_90_XAMX">Model!$W$217</definedName>
    <definedName name="v_90_XAOB">Model!$U$217</definedName>
    <definedName name="v_90_XB">Model!$I$217</definedName>
    <definedName name="v_90_XB_e">Model!$J$217</definedName>
    <definedName name="v_90_XBSH">Model!$BP$217</definedName>
    <definedName name="v_90_XCaCO3">Model!$BN$217</definedName>
    <definedName name="v_90_XCASTO">Model!$S$217</definedName>
    <definedName name="v_90_XE">Model!$P$217</definedName>
    <definedName name="v_90_XE_ana">Model!$Q$217</definedName>
    <definedName name="v_90_XHAO_H">Model!$BG$217</definedName>
    <definedName name="v_90_XHAO_H_P">Model!$BJ$217</definedName>
    <definedName name="v_90_XHAO_H_P_old">Model!$BL$217</definedName>
    <definedName name="v_90_XHAO_L">Model!$BH$217</definedName>
    <definedName name="v_90_XHAO_L_P">Model!$BK$217</definedName>
    <definedName name="v_90_XHAO_L_P_old">Model!$BM$217</definedName>
    <definedName name="v_90_XHAO_old">Model!$BI$217</definedName>
    <definedName name="v_90_XHFO_H">Model!$AZ$217</definedName>
    <definedName name="v_90_XHFO_H_P">Model!$BC$217</definedName>
    <definedName name="v_90_XHFO_H_P_old">Model!$BE$217</definedName>
    <definedName name="v_90_XHFO_L">Model!$BA$217</definedName>
    <definedName name="v_90_XHFO_L_P">Model!$BD$217</definedName>
    <definedName name="v_90_XHFO_L_P_old">Model!$BF$217</definedName>
    <definedName name="v_90_XHFO_old">Model!$BB$217</definedName>
    <definedName name="v_90_XHMETO">Model!$Y$217</definedName>
    <definedName name="v_90_XINORG">Model!$AS$217</definedName>
    <definedName name="v_90_XMEOLO">Model!$T$217</definedName>
    <definedName name="v_90_XN_B">Model!$AF$217</definedName>
    <definedName name="v_90_XN_Be">Model!$AG$217</definedName>
    <definedName name="v_90_XN_U">Model!$AH$217</definedName>
    <definedName name="v_90_XNOB">Model!$V$217</definedName>
    <definedName name="v_90_XOHO">Model!$R$217</definedName>
    <definedName name="v_90_XP_B">Model!$AL$217</definedName>
    <definedName name="v_90_XP_Be">Model!$AM$217</definedName>
    <definedName name="v_90_XP_U">Model!$AN$217</definedName>
    <definedName name="v_90_XPFOA">Model!$BT$217</definedName>
    <definedName name="v_90_XPFOS">Model!$BV$217</definedName>
    <definedName name="v_90_XPHA_GAO">Model!$O$217</definedName>
    <definedName name="v_90_XPHA_PAO">Model!$N$217</definedName>
    <definedName name="v_90_XPP">Model!$AJ$217</definedName>
    <definedName name="v_90_XSTR">Model!$BQ$217</definedName>
    <definedName name="v_90_XU">Model!$M$217</definedName>
    <definedName name="v_90_XVivi">Model!$BR$217</definedName>
    <definedName name="v_91_CB">Model!$H$218</definedName>
    <definedName name="v_91_CU">Model!$L$218</definedName>
    <definedName name="v_91_GCH4">Model!$CA$218</definedName>
    <definedName name="v_91_GCH4_atm">Model!$CG$218</definedName>
    <definedName name="v_91_GCO2">Model!$BZ$218</definedName>
    <definedName name="v_91_GCO2_atm">Model!$CF$218</definedName>
    <definedName name="v_91_GH2">Model!$CB$218</definedName>
    <definedName name="v_91_GH2_atm">Model!$CH$218</definedName>
    <definedName name="v_91_GN2">Model!$CE$218</definedName>
    <definedName name="v_91_GN2_atm">Model!$CK$218</definedName>
    <definedName name="v_91_GNH3">Model!$CD$218</definedName>
    <definedName name="v_91_GNH3_atm">Model!$CJ$218</definedName>
    <definedName name="v_91_GO2">Model!$CC$218</definedName>
    <definedName name="v_91_GO2_atm">Model!$CI$218</definedName>
    <definedName name="v_91_SALPHA">Model!$BX$218</definedName>
    <definedName name="v_91_SAN">Model!$AU$218</definedName>
    <definedName name="v_91_SB">Model!$F$218</definedName>
    <definedName name="v_91_SCa">Model!$AV$218</definedName>
    <definedName name="v_91_SCAT">Model!$AT$218</definedName>
    <definedName name="v_91_SCH4">Model!$AP$218</definedName>
    <definedName name="v_91_SCO2">Model!$AR$218</definedName>
    <definedName name="v_91_SFe2">Model!$AY$218</definedName>
    <definedName name="v_91_SH">Model!$BW$218</definedName>
    <definedName name="v_91_SH2">Model!$AQ$218</definedName>
    <definedName name="v_91_SK">Model!$AX$218</definedName>
    <definedName name="v_91_SMEOL">Model!$G$218</definedName>
    <definedName name="v_91_SMg">Model!$AW$218</definedName>
    <definedName name="v_91_SN_B">Model!$AE$218</definedName>
    <definedName name="v_91_SN2">Model!$AD$218</definedName>
    <definedName name="v_91_SNHx">Model!$AA$218</definedName>
    <definedName name="v_91_SNO2">Model!$AB$218</definedName>
    <definedName name="v_91_SNO3">Model!$AC$218</definedName>
    <definedName name="v_91_SO2">Model!$AO$218</definedName>
    <definedName name="v_91_SORPswitch">Model!$BY$218</definedName>
    <definedName name="v_91_SP_B">Model!$AK$218</definedName>
    <definedName name="v_91_SPFOA">Model!$BS$218</definedName>
    <definedName name="v_91_SPFOS">Model!$BU$218</definedName>
    <definedName name="v_91_SPO4">Model!$AI$218</definedName>
    <definedName name="v_91_SU">Model!$K$218</definedName>
    <definedName name="v_91_SVFA">Model!$E$218</definedName>
    <definedName name="v_91_XACP">Model!$BO$218</definedName>
    <definedName name="v_91_XALGAE">Model!$Z$218</definedName>
    <definedName name="v_91_XAMETO">Model!$X$218</definedName>
    <definedName name="v_91_XAMX">Model!$W$218</definedName>
    <definedName name="v_91_XAOB">Model!$U$218</definedName>
    <definedName name="v_91_XB">Model!$I$218</definedName>
    <definedName name="v_91_XB_e">Model!$J$218</definedName>
    <definedName name="v_91_XBSH">Model!$BP$218</definedName>
    <definedName name="v_91_XCaCO3">Model!$BN$218</definedName>
    <definedName name="v_91_XCASTO">Model!$S$218</definedName>
    <definedName name="v_91_XE">Model!$P$218</definedName>
    <definedName name="v_91_XE_ana">Model!$Q$218</definedName>
    <definedName name="v_91_XHAO_H">Model!$BG$218</definedName>
    <definedName name="v_91_XHAO_H_P">Model!$BJ$218</definedName>
    <definedName name="v_91_XHAO_H_P_old">Model!$BL$218</definedName>
    <definedName name="v_91_XHAO_L">Model!$BH$218</definedName>
    <definedName name="v_91_XHAO_L_P">Model!$BK$218</definedName>
    <definedName name="v_91_XHAO_L_P_old">Model!$BM$218</definedName>
    <definedName name="v_91_XHAO_old">Model!$BI$218</definedName>
    <definedName name="v_91_XHFO_H">Model!$AZ$218</definedName>
    <definedName name="v_91_XHFO_H_P">Model!$BC$218</definedName>
    <definedName name="v_91_XHFO_H_P_old">Model!$BE$218</definedName>
    <definedName name="v_91_XHFO_L">Model!$BA$218</definedName>
    <definedName name="v_91_XHFO_L_P">Model!$BD$218</definedName>
    <definedName name="v_91_XHFO_L_P_old">Model!$BF$218</definedName>
    <definedName name="v_91_XHFO_old">Model!$BB$218</definedName>
    <definedName name="v_91_XHMETO">Model!$Y$218</definedName>
    <definedName name="v_91_XINORG">Model!$AS$218</definedName>
    <definedName name="v_91_XMEOLO">Model!$T$218</definedName>
    <definedName name="v_91_XN_B">Model!$AF$218</definedName>
    <definedName name="v_91_XN_Be">Model!$AG$218</definedName>
    <definedName name="v_91_XN_U">Model!$AH$218</definedName>
    <definedName name="v_91_XNOB">Model!$V$218</definedName>
    <definedName name="v_91_XOHO">Model!$R$218</definedName>
    <definedName name="v_91_XP_B">Model!$AL$218</definedName>
    <definedName name="v_91_XP_Be">Model!$AM$218</definedName>
    <definedName name="v_91_XP_U">Model!$AN$218</definedName>
    <definedName name="v_91_XPFOA">Model!$BT$218</definedName>
    <definedName name="v_91_XPFOS">Model!$BV$218</definedName>
    <definedName name="v_91_XPHA_GAO">Model!$O$218</definedName>
    <definedName name="v_91_XPHA_PAO">Model!$N$218</definedName>
    <definedName name="v_91_XPP">Model!$AJ$218</definedName>
    <definedName name="v_91_XSTR">Model!$BQ$218</definedName>
    <definedName name="v_91_XU">Model!$M$218</definedName>
    <definedName name="v_91_XVivi">Model!$BR$218</definedName>
    <definedName name="v_92_CB">Model!$H$219</definedName>
    <definedName name="v_92_CU">Model!$L$219</definedName>
    <definedName name="v_92_GCH4">Model!$CA$219</definedName>
    <definedName name="v_92_GCH4_atm">Model!$CG$219</definedName>
    <definedName name="v_92_GCO2">Model!$BZ$219</definedName>
    <definedName name="v_92_GCO2_atm">Model!$CF$219</definedName>
    <definedName name="v_92_GH2">Model!$CB$219</definedName>
    <definedName name="v_92_GH2_atm">Model!$CH$219</definedName>
    <definedName name="v_92_GN2">Model!$CE$219</definedName>
    <definedName name="v_92_GN2_atm">Model!$CK$219</definedName>
    <definedName name="v_92_GNH3">Model!$CD$219</definedName>
    <definedName name="v_92_GNH3_atm">Model!$CJ$219</definedName>
    <definedName name="v_92_GO2">Model!$CC$219</definedName>
    <definedName name="v_92_GO2_atm">Model!$CI$219</definedName>
    <definedName name="v_92_SALPHA">Model!$BX$219</definedName>
    <definedName name="v_92_SAN">Model!$AU$219</definedName>
    <definedName name="v_92_SB">Model!$F$219</definedName>
    <definedName name="v_92_SCa">Model!$AV$219</definedName>
    <definedName name="v_92_SCAT">Model!$AT$219</definedName>
    <definedName name="v_92_SCH4">Model!$AP$219</definedName>
    <definedName name="v_92_SCO2">Model!$AR$219</definedName>
    <definedName name="v_92_SFe2">Model!$AY$219</definedName>
    <definedName name="v_92_SH">Model!$BW$219</definedName>
    <definedName name="v_92_SH2">Model!$AQ$219</definedName>
    <definedName name="v_92_SK">Model!$AX$219</definedName>
    <definedName name="v_92_SMEOL">Model!$G$219</definedName>
    <definedName name="v_92_SMg">Model!$AW$219</definedName>
    <definedName name="v_92_SN_B">Model!$AE$219</definedName>
    <definedName name="v_92_SN2">Model!$AD$219</definedName>
    <definedName name="v_92_SNHx">Model!$AA$219</definedName>
    <definedName name="v_92_SNO2">Model!$AB$219</definedName>
    <definedName name="v_92_SNO3">Model!$AC$219</definedName>
    <definedName name="v_92_SO2">Model!$AO$219</definedName>
    <definedName name="v_92_SORPswitch">Model!$BY$219</definedName>
    <definedName name="v_92_SP_B">Model!$AK$219</definedName>
    <definedName name="v_92_SPFOA">Model!$BS$219</definedName>
    <definedName name="v_92_SPFOS">Model!$BU$219</definedName>
    <definedName name="v_92_SPO4">Model!$AI$219</definedName>
    <definedName name="v_92_SU">Model!$K$219</definedName>
    <definedName name="v_92_SVFA">Model!$E$219</definedName>
    <definedName name="v_92_XACP">Model!$BO$219</definedName>
    <definedName name="v_92_XALGAE">Model!$Z$219</definedName>
    <definedName name="v_92_XAMETO">Model!$X$219</definedName>
    <definedName name="v_92_XAMX">Model!$W$219</definedName>
    <definedName name="v_92_XAOB">Model!$U$219</definedName>
    <definedName name="v_92_XB">Model!$I$219</definedName>
    <definedName name="v_92_XB_e">Model!$J$219</definedName>
    <definedName name="v_92_XBSH">Model!$BP$219</definedName>
    <definedName name="v_92_XCaCO3">Model!$BN$219</definedName>
    <definedName name="v_92_XCASTO">Model!$S$219</definedName>
    <definedName name="v_92_XE">Model!$P$219</definedName>
    <definedName name="v_92_XE_ana">Model!$Q$219</definedName>
    <definedName name="v_92_XHAO_H">Model!$BG$219</definedName>
    <definedName name="v_92_XHAO_H_P">Model!$BJ$219</definedName>
    <definedName name="v_92_XHAO_H_P_old">Model!$BL$219</definedName>
    <definedName name="v_92_XHAO_L">Model!$BH$219</definedName>
    <definedName name="v_92_XHAO_L_P">Model!$BK$219</definedName>
    <definedName name="v_92_XHAO_L_P_old">Model!$BM$219</definedName>
    <definedName name="v_92_XHAO_old">Model!$BI$219</definedName>
    <definedName name="v_92_XHFO_H">Model!$AZ$219</definedName>
    <definedName name="v_92_XHFO_H_P">Model!$BC$219</definedName>
    <definedName name="v_92_XHFO_H_P_old">Model!$BE$219</definedName>
    <definedName name="v_92_XHFO_L">Model!$BA$219</definedName>
    <definedName name="v_92_XHFO_L_P">Model!$BD$219</definedName>
    <definedName name="v_92_XHFO_L_P_old">Model!$BF$219</definedName>
    <definedName name="v_92_XHFO_old">Model!$BB$219</definedName>
    <definedName name="v_92_XHMETO">Model!$Y$219</definedName>
    <definedName name="v_92_XINORG">Model!$AS$219</definedName>
    <definedName name="v_92_XMEOLO">Model!$T$219</definedName>
    <definedName name="v_92_XN_B">Model!$AF$219</definedName>
    <definedName name="v_92_XN_Be">Model!$AG$219</definedName>
    <definedName name="v_92_XN_U">Model!$AH$219</definedName>
    <definedName name="v_92_XNOB">Model!$V$219</definedName>
    <definedName name="v_92_XOHO">Model!$R$219</definedName>
    <definedName name="v_92_XP_B">Model!$AL$219</definedName>
    <definedName name="v_92_XP_Be">Model!$AM$219</definedName>
    <definedName name="v_92_XP_U">Model!$AN$219</definedName>
    <definedName name="v_92_XPFOA">Model!$BT$219</definedName>
    <definedName name="v_92_XPFOS">Model!$BV$219</definedName>
    <definedName name="v_92_XPHA_GAO">Model!$O$219</definedName>
    <definedName name="v_92_XPHA_PAO">Model!$N$219</definedName>
    <definedName name="v_92_XPP">Model!$AJ$219</definedName>
    <definedName name="v_92_XSTR">Model!$BQ$219</definedName>
    <definedName name="v_92_XU">Model!$M$219</definedName>
    <definedName name="v_92_XVivi">Model!$BR$219</definedName>
    <definedName name="v_93_CB">Model!$H$220</definedName>
    <definedName name="v_93_CU">Model!$L$220</definedName>
    <definedName name="v_93_GCH4">Model!$CA$220</definedName>
    <definedName name="v_93_GCH4_atm">Model!$CG$220</definedName>
    <definedName name="v_93_GCO2">Model!$BZ$220</definedName>
    <definedName name="v_93_GCO2_atm">Model!$CF$220</definedName>
    <definedName name="v_93_GH2">Model!$CB$220</definedName>
    <definedName name="v_93_GH2_atm">Model!$CH$220</definedName>
    <definedName name="v_93_GN2">Model!$CE$220</definedName>
    <definedName name="v_93_GN2_atm">Model!$CK$220</definedName>
    <definedName name="v_93_GNH3">Model!$CD$220</definedName>
    <definedName name="v_93_GNH3_atm">Model!$CJ$220</definedName>
    <definedName name="v_93_GO2">Model!$CC$220</definedName>
    <definedName name="v_93_GO2_atm">Model!$CI$220</definedName>
    <definedName name="v_93_SALPHA">Model!$BX$220</definedName>
    <definedName name="v_93_SAN">Model!$AU$220</definedName>
    <definedName name="v_93_SB">Model!$F$220</definedName>
    <definedName name="v_93_SCa">Model!$AV$220</definedName>
    <definedName name="v_93_SCAT">Model!$AT$220</definedName>
    <definedName name="v_93_SCH4">Model!$AP$220</definedName>
    <definedName name="v_93_SCO2">Model!$AR$220</definedName>
    <definedName name="v_93_SFe2">Model!$AY$220</definedName>
    <definedName name="v_93_SH">Model!$BW$220</definedName>
    <definedName name="v_93_SH2">Model!$AQ$220</definedName>
    <definedName name="v_93_SK">Model!$AX$220</definedName>
    <definedName name="v_93_SMEOL">Model!$G$220</definedName>
    <definedName name="v_93_SMg">Model!$AW$220</definedName>
    <definedName name="v_93_SN_B">Model!$AE$220</definedName>
    <definedName name="v_93_SN2">Model!$AD$220</definedName>
    <definedName name="v_93_SNHx">Model!$AA$220</definedName>
    <definedName name="v_93_SNO2">Model!$AB$220</definedName>
    <definedName name="v_93_SNO3">Model!$AC$220</definedName>
    <definedName name="v_93_SO2">Model!$AO$220</definedName>
    <definedName name="v_93_SORPswitch">Model!$BY$220</definedName>
    <definedName name="v_93_SP_B">Model!$AK$220</definedName>
    <definedName name="v_93_SPFOA">Model!$BS$220</definedName>
    <definedName name="v_93_SPFOS">Model!$BU$220</definedName>
    <definedName name="v_93_SPO4">Model!$AI$220</definedName>
    <definedName name="v_93_SU">Model!$K$220</definedName>
    <definedName name="v_93_SVFA">Model!$E$220</definedName>
    <definedName name="v_93_XACP">Model!$BO$220</definedName>
    <definedName name="v_93_XALGAE">Model!$Z$220</definedName>
    <definedName name="v_93_XAMETO">Model!$X$220</definedName>
    <definedName name="v_93_XAMX">Model!$W$220</definedName>
    <definedName name="v_93_XAOB">Model!$U$220</definedName>
    <definedName name="v_93_XB">Model!$I$220</definedName>
    <definedName name="v_93_XB_e">Model!$J$220</definedName>
    <definedName name="v_93_XBSH">Model!$BP$220</definedName>
    <definedName name="v_93_XCaCO3">Model!$BN$220</definedName>
    <definedName name="v_93_XCASTO">Model!$S$220</definedName>
    <definedName name="v_93_XE">Model!$P$220</definedName>
    <definedName name="v_93_XE_ana">Model!$Q$220</definedName>
    <definedName name="v_93_XHAO_H">Model!$BG$220</definedName>
    <definedName name="v_93_XHAO_H_P">Model!$BJ$220</definedName>
    <definedName name="v_93_XHAO_H_P_old">Model!$BL$220</definedName>
    <definedName name="v_93_XHAO_L">Model!$BH$220</definedName>
    <definedName name="v_93_XHAO_L_P">Model!$BK$220</definedName>
    <definedName name="v_93_XHAO_L_P_old">Model!$BM$220</definedName>
    <definedName name="v_93_XHAO_old">Model!$BI$220</definedName>
    <definedName name="v_93_XHFO_H">Model!$AZ$220</definedName>
    <definedName name="v_93_XHFO_H_P">Model!$BC$220</definedName>
    <definedName name="v_93_XHFO_H_P_old">Model!$BE$220</definedName>
    <definedName name="v_93_XHFO_L">Model!$BA$220</definedName>
    <definedName name="v_93_XHFO_L_P">Model!$BD$220</definedName>
    <definedName name="v_93_XHFO_L_P_old">Model!$BF$220</definedName>
    <definedName name="v_93_XHFO_old">Model!$BB$220</definedName>
    <definedName name="v_93_XHMETO">Model!$Y$220</definedName>
    <definedName name="v_93_XINORG">Model!$AS$220</definedName>
    <definedName name="v_93_XMEOLO">Model!$T$220</definedName>
    <definedName name="v_93_XN_B">Model!$AF$220</definedName>
    <definedName name="v_93_XN_Be">Model!$AG$220</definedName>
    <definedName name="v_93_XN_U">Model!$AH$220</definedName>
    <definedName name="v_93_XNOB">Model!$V$220</definedName>
    <definedName name="v_93_XOHO">Model!$R$220</definedName>
    <definedName name="v_93_XP_B">Model!$AL$220</definedName>
    <definedName name="v_93_XP_Be">Model!$AM$220</definedName>
    <definedName name="v_93_XP_U">Model!$AN$220</definedName>
    <definedName name="v_93_XPFOA">Model!$BT$220</definedName>
    <definedName name="v_93_XPFOS">Model!$BV$220</definedName>
    <definedName name="v_93_XPHA_GAO">Model!$O$220</definedName>
    <definedName name="v_93_XPHA_PAO">Model!$N$220</definedName>
    <definedName name="v_93_XPP">Model!$AJ$220</definedName>
    <definedName name="v_93_XSTR">Model!$BQ$220</definedName>
    <definedName name="v_93_XU">Model!$M$220</definedName>
    <definedName name="v_93_XVivi">Model!$BR$220</definedName>
    <definedName name="v_94_CB">Model!$H$221</definedName>
    <definedName name="v_94_CU">Model!$L$221</definedName>
    <definedName name="v_94_GCH4">Model!$CA$221</definedName>
    <definedName name="v_94_GCH4_atm">Model!$CG$221</definedName>
    <definedName name="v_94_GCO2">Model!$BZ$221</definedName>
    <definedName name="v_94_GCO2_atm">Model!$CF$221</definedName>
    <definedName name="v_94_GH2">Model!$CB$221</definedName>
    <definedName name="v_94_GH2_atm">Model!$CH$221</definedName>
    <definedName name="v_94_GN2">Model!$CE$221</definedName>
    <definedName name="v_94_GN2_atm">Model!$CK$221</definedName>
    <definedName name="v_94_GNH3">Model!$CD$221</definedName>
    <definedName name="v_94_GNH3_atm">Model!$CJ$221</definedName>
    <definedName name="v_94_GO2">Model!$CC$221</definedName>
    <definedName name="v_94_GO2_atm">Model!$CI$221</definedName>
    <definedName name="v_94_SALPHA">Model!$BX$221</definedName>
    <definedName name="v_94_SAN">Model!$AU$221</definedName>
    <definedName name="v_94_SB">Model!$F$221</definedName>
    <definedName name="v_94_SCa">Model!$AV$221</definedName>
    <definedName name="v_94_SCAT">Model!$AT$221</definedName>
    <definedName name="v_94_SCH4">Model!$AP$221</definedName>
    <definedName name="v_94_SCO2">Model!$AR$221</definedName>
    <definedName name="v_94_SFe2">Model!$AY$221</definedName>
    <definedName name="v_94_SH">Model!$BW$221</definedName>
    <definedName name="v_94_SH2">Model!$AQ$221</definedName>
    <definedName name="v_94_SK">Model!$AX$221</definedName>
    <definedName name="v_94_SMEOL">Model!$G$221</definedName>
    <definedName name="v_94_SMg">Model!$AW$221</definedName>
    <definedName name="v_94_SN_B">Model!$AE$221</definedName>
    <definedName name="v_94_SN2">Model!$AD$221</definedName>
    <definedName name="v_94_SNHx">Model!$AA$221</definedName>
    <definedName name="v_94_SNO2">Model!$AB$221</definedName>
    <definedName name="v_94_SNO3">Model!$AC$221</definedName>
    <definedName name="v_94_SO2">Model!$AO$221</definedName>
    <definedName name="v_94_SORPswitch">Model!$BY$221</definedName>
    <definedName name="v_94_SP_B">Model!$AK$221</definedName>
    <definedName name="v_94_SPFOA">Model!$BS$221</definedName>
    <definedName name="v_94_SPFOS">Model!$BU$221</definedName>
    <definedName name="v_94_SPO4">Model!$AI$221</definedName>
    <definedName name="v_94_SU">Model!$K$221</definedName>
    <definedName name="v_94_SVFA">Model!$E$221</definedName>
    <definedName name="v_94_XACP">Model!$BO$221</definedName>
    <definedName name="v_94_XALGAE">Model!$Z$221</definedName>
    <definedName name="v_94_XAMETO">Model!$X$221</definedName>
    <definedName name="v_94_XAMX">Model!$W$221</definedName>
    <definedName name="v_94_XAOB">Model!$U$221</definedName>
    <definedName name="v_94_XB">Model!$I$221</definedName>
    <definedName name="v_94_XB_e">Model!$J$221</definedName>
    <definedName name="v_94_XBSH">Model!$BP$221</definedName>
    <definedName name="v_94_XCaCO3">Model!$BN$221</definedName>
    <definedName name="v_94_XCASTO">Model!$S$221</definedName>
    <definedName name="v_94_XE">Model!$P$221</definedName>
    <definedName name="v_94_XE_ana">Model!$Q$221</definedName>
    <definedName name="v_94_XHAO_H">Model!$BG$221</definedName>
    <definedName name="v_94_XHAO_H_P">Model!$BJ$221</definedName>
    <definedName name="v_94_XHAO_H_P_old">Model!$BL$221</definedName>
    <definedName name="v_94_XHAO_L">Model!$BH$221</definedName>
    <definedName name="v_94_XHAO_L_P">Model!$BK$221</definedName>
    <definedName name="v_94_XHAO_L_P_old">Model!$BM$221</definedName>
    <definedName name="v_94_XHAO_old">Model!$BI$221</definedName>
    <definedName name="v_94_XHFO_H">Model!$AZ$221</definedName>
    <definedName name="v_94_XHFO_H_P">Model!$BC$221</definedName>
    <definedName name="v_94_XHFO_H_P_old">Model!$BE$221</definedName>
    <definedName name="v_94_XHFO_L">Model!$BA$221</definedName>
    <definedName name="v_94_XHFO_L_P">Model!$BD$221</definedName>
    <definedName name="v_94_XHFO_L_P_old">Model!$BF$221</definedName>
    <definedName name="v_94_XHFO_old">Model!$BB$221</definedName>
    <definedName name="v_94_XHMETO">Model!$Y$221</definedName>
    <definedName name="v_94_XINORG">Model!$AS$221</definedName>
    <definedName name="v_94_XMEOLO">Model!$T$221</definedName>
    <definedName name="v_94_XN_B">Model!$AF$221</definedName>
    <definedName name="v_94_XN_Be">Model!$AG$221</definedName>
    <definedName name="v_94_XN_U">Model!$AH$221</definedName>
    <definedName name="v_94_XNOB">Model!$V$221</definedName>
    <definedName name="v_94_XOHO">Model!$R$221</definedName>
    <definedName name="v_94_XP_B">Model!$AL$221</definedName>
    <definedName name="v_94_XP_Be">Model!$AM$221</definedName>
    <definedName name="v_94_XP_U">Model!$AN$221</definedName>
    <definedName name="v_94_XPFOA">Model!$BT$221</definedName>
    <definedName name="v_94_XPFOS">Model!$BV$221</definedName>
    <definedName name="v_94_XPHA_GAO">Model!$O$221</definedName>
    <definedName name="v_94_XPHA_PAO">Model!$N$221</definedName>
    <definedName name="v_94_XPP">Model!$AJ$221</definedName>
    <definedName name="v_94_XSTR">Model!$BQ$221</definedName>
    <definedName name="v_94_XU">Model!$M$221</definedName>
    <definedName name="v_94_XVivi">Model!$BR$221</definedName>
    <definedName name="v_95_CB">Model!$H$222</definedName>
    <definedName name="v_95_CU">Model!$L$222</definedName>
    <definedName name="v_95_GCH4">Model!$CA$222</definedName>
    <definedName name="v_95_GCH4_atm">Model!$CG$222</definedName>
    <definedName name="v_95_GCO2">Model!$BZ$222</definedName>
    <definedName name="v_95_GCO2_atm">Model!$CF$222</definedName>
    <definedName name="v_95_GH2">Model!$CB$222</definedName>
    <definedName name="v_95_GH2_atm">Model!$CH$222</definedName>
    <definedName name="v_95_GN2">Model!$CE$222</definedName>
    <definedName name="v_95_GN2_atm">Model!$CK$222</definedName>
    <definedName name="v_95_GNH3">Model!$CD$222</definedName>
    <definedName name="v_95_GNH3_atm">Model!$CJ$222</definedName>
    <definedName name="v_95_GO2">Model!$CC$222</definedName>
    <definedName name="v_95_GO2_atm">Model!$CI$222</definedName>
    <definedName name="v_95_SALPHA">Model!$BX$222</definedName>
    <definedName name="v_95_SAN">Model!$AU$222</definedName>
    <definedName name="v_95_SB">Model!$F$222</definedName>
    <definedName name="v_95_SCa">Model!$AV$222</definedName>
    <definedName name="v_95_SCAT">Model!$AT$222</definedName>
    <definedName name="v_95_SCH4">Model!$AP$222</definedName>
    <definedName name="v_95_SCO2">Model!$AR$222</definedName>
    <definedName name="v_95_SFe2">Model!$AY$222</definedName>
    <definedName name="v_95_SH">Model!$BW$222</definedName>
    <definedName name="v_95_SH2">Model!$AQ$222</definedName>
    <definedName name="v_95_SK">Model!$AX$222</definedName>
    <definedName name="v_95_SMEOL">Model!$G$222</definedName>
    <definedName name="v_95_SMg">Model!$AW$222</definedName>
    <definedName name="v_95_SN_B">Model!$AE$222</definedName>
    <definedName name="v_95_SN2">Model!$AD$222</definedName>
    <definedName name="v_95_SNHx">Model!$AA$222</definedName>
    <definedName name="v_95_SNO2">Model!$AB$222</definedName>
    <definedName name="v_95_SNO3">Model!$AC$222</definedName>
    <definedName name="v_95_SO2">Model!$AO$222</definedName>
    <definedName name="v_95_SORPswitch">Model!$BY$222</definedName>
    <definedName name="v_95_SP_B">Model!$AK$222</definedName>
    <definedName name="v_95_SPFOA">Model!$BS$222</definedName>
    <definedName name="v_95_SPFOS">Model!$BU$222</definedName>
    <definedName name="v_95_SPO4">Model!$AI$222</definedName>
    <definedName name="v_95_SU">Model!$K$222</definedName>
    <definedName name="v_95_SVFA">Model!$E$222</definedName>
    <definedName name="v_95_XACP">Model!$BO$222</definedName>
    <definedName name="v_95_XALGAE">Model!$Z$222</definedName>
    <definedName name="v_95_XAMETO">Model!$X$222</definedName>
    <definedName name="v_95_XAMX">Model!$W$222</definedName>
    <definedName name="v_95_XAOB">Model!$U$222</definedName>
    <definedName name="v_95_XB">Model!$I$222</definedName>
    <definedName name="v_95_XB_e">Model!$J$222</definedName>
    <definedName name="v_95_XBSH">Model!$BP$222</definedName>
    <definedName name="v_95_XCaCO3">Model!$BN$222</definedName>
    <definedName name="v_95_XCASTO">Model!$S$222</definedName>
    <definedName name="v_95_XE">Model!$P$222</definedName>
    <definedName name="v_95_XE_ana">Model!$Q$222</definedName>
    <definedName name="v_95_XHAO_H">Model!$BG$222</definedName>
    <definedName name="v_95_XHAO_H_P">Model!$BJ$222</definedName>
    <definedName name="v_95_XHAO_H_P_old">Model!$BL$222</definedName>
    <definedName name="v_95_XHAO_L">Model!$BH$222</definedName>
    <definedName name="v_95_XHAO_L_P">Model!$BK$222</definedName>
    <definedName name="v_95_XHAO_L_P_old">Model!$BM$222</definedName>
    <definedName name="v_95_XHAO_old">Model!$BI$222</definedName>
    <definedName name="v_95_XHFO_H">Model!$AZ$222</definedName>
    <definedName name="v_95_XHFO_H_P">Model!$BC$222</definedName>
    <definedName name="v_95_XHFO_H_P_old">Model!$BE$222</definedName>
    <definedName name="v_95_XHFO_L">Model!$BA$222</definedName>
    <definedName name="v_95_XHFO_L_P">Model!$BD$222</definedName>
    <definedName name="v_95_XHFO_L_P_old">Model!$BF$222</definedName>
    <definedName name="v_95_XHFO_old">Model!$BB$222</definedName>
    <definedName name="v_95_XHMETO">Model!$Y$222</definedName>
    <definedName name="v_95_XINORG">Model!$AS$222</definedName>
    <definedName name="v_95_XMEOLO">Model!$T$222</definedName>
    <definedName name="v_95_XN_B">Model!$AF$222</definedName>
    <definedName name="v_95_XN_Be">Model!$AG$222</definedName>
    <definedName name="v_95_XN_U">Model!$AH$222</definedName>
    <definedName name="v_95_XNOB">Model!$V$222</definedName>
    <definedName name="v_95_XOHO">Model!$R$222</definedName>
    <definedName name="v_95_XP_B">Model!$AL$222</definedName>
    <definedName name="v_95_XP_Be">Model!$AM$222</definedName>
    <definedName name="v_95_XP_U">Model!$AN$222</definedName>
    <definedName name="v_95_XPFOA">Model!$BT$222</definedName>
    <definedName name="v_95_XPFOS">Model!$BV$222</definedName>
    <definedName name="v_95_XPHA_GAO">Model!$O$222</definedName>
    <definedName name="v_95_XPHA_PAO">Model!$N$222</definedName>
    <definedName name="v_95_XPP">Model!$AJ$222</definedName>
    <definedName name="v_95_XSTR">Model!$BQ$222</definedName>
    <definedName name="v_95_XU">Model!$M$222</definedName>
    <definedName name="v_95_XVivi">Model!$BR$222</definedName>
    <definedName name="v_96_CB">Model!$H$223</definedName>
    <definedName name="v_96_CU">Model!$L$223</definedName>
    <definedName name="v_96_GCH4">Model!$CA$223</definedName>
    <definedName name="v_96_GCH4_atm">Model!$CG$223</definedName>
    <definedName name="v_96_GCO2">Model!$BZ$223</definedName>
    <definedName name="v_96_GCO2_atm">Model!$CF$223</definedName>
    <definedName name="v_96_GH2">Model!$CB$223</definedName>
    <definedName name="v_96_GH2_atm">Model!$CH$223</definedName>
    <definedName name="v_96_GN2">Model!$CE$223</definedName>
    <definedName name="v_96_GN2_atm">Model!$CK$223</definedName>
    <definedName name="v_96_GNH3">Model!$CD$223</definedName>
    <definedName name="v_96_GNH3_atm">Model!$CJ$223</definedName>
    <definedName name="v_96_GO2">Model!$CC$223</definedName>
    <definedName name="v_96_GO2_atm">Model!$CI$223</definedName>
    <definedName name="v_96_SALPHA">Model!$BX$223</definedName>
    <definedName name="v_96_SAN">Model!$AU$223</definedName>
    <definedName name="v_96_SB">Model!$F$223</definedName>
    <definedName name="v_96_SCa">Model!$AV$223</definedName>
    <definedName name="v_96_SCAT">Model!$AT$223</definedName>
    <definedName name="v_96_SCH4">Model!$AP$223</definedName>
    <definedName name="v_96_SCO2">Model!$AR$223</definedName>
    <definedName name="v_96_SFe2">Model!$AY$223</definedName>
    <definedName name="v_96_SH">Model!$BW$223</definedName>
    <definedName name="v_96_SH2">Model!$AQ$223</definedName>
    <definedName name="v_96_SK">Model!$AX$223</definedName>
    <definedName name="v_96_SMEOL">Model!$G$223</definedName>
    <definedName name="v_96_SMg">Model!$AW$223</definedName>
    <definedName name="v_96_SN_B">Model!$AE$223</definedName>
    <definedName name="v_96_SN2">Model!$AD$223</definedName>
    <definedName name="v_96_SNHx">Model!$AA$223</definedName>
    <definedName name="v_96_SNO2">Model!$AB$223</definedName>
    <definedName name="v_96_SNO3">Model!$AC$223</definedName>
    <definedName name="v_96_SO2">Model!$AO$223</definedName>
    <definedName name="v_96_SORPswitch">Model!$BY$223</definedName>
    <definedName name="v_96_SP_B">Model!$AK$223</definedName>
    <definedName name="v_96_SPFOA">Model!$BS$223</definedName>
    <definedName name="v_96_SPFOS">Model!$BU$223</definedName>
    <definedName name="v_96_SPO4">Model!$AI$223</definedName>
    <definedName name="v_96_SU">Model!$K$223</definedName>
    <definedName name="v_96_SVFA">Model!$E$223</definedName>
    <definedName name="v_96_XACP">Model!$BO$223</definedName>
    <definedName name="v_96_XALGAE">Model!$Z$223</definedName>
    <definedName name="v_96_XAMETO">Model!$X$223</definedName>
    <definedName name="v_96_XAMX">Model!$W$223</definedName>
    <definedName name="v_96_XAOB">Model!$U$223</definedName>
    <definedName name="v_96_XB">Model!$I$223</definedName>
    <definedName name="v_96_XB_e">Model!$J$223</definedName>
    <definedName name="v_96_XBSH">Model!$BP$223</definedName>
    <definedName name="v_96_XCaCO3">Model!$BN$223</definedName>
    <definedName name="v_96_XCASTO">Model!$S$223</definedName>
    <definedName name="v_96_XE">Model!$P$223</definedName>
    <definedName name="v_96_XE_ana">Model!$Q$223</definedName>
    <definedName name="v_96_XHAO_H">Model!$BG$223</definedName>
    <definedName name="v_96_XHAO_H_P">Model!$BJ$223</definedName>
    <definedName name="v_96_XHAO_H_P_old">Model!$BL$223</definedName>
    <definedName name="v_96_XHAO_L">Model!$BH$223</definedName>
    <definedName name="v_96_XHAO_L_P">Model!$BK$223</definedName>
    <definedName name="v_96_XHAO_L_P_old">Model!$BM$223</definedName>
    <definedName name="v_96_XHAO_old">Model!$BI$223</definedName>
    <definedName name="v_96_XHFO_H">Model!$AZ$223</definedName>
    <definedName name="v_96_XHFO_H_P">Model!$BC$223</definedName>
    <definedName name="v_96_XHFO_H_P_old">Model!$BE$223</definedName>
    <definedName name="v_96_XHFO_L">Model!$BA$223</definedName>
    <definedName name="v_96_XHFO_L_P">Model!$BD$223</definedName>
    <definedName name="v_96_XHFO_L_P_old">Model!$BF$223</definedName>
    <definedName name="v_96_XHFO_old">Model!$BB$223</definedName>
    <definedName name="v_96_XHMETO">Model!$Y$223</definedName>
    <definedName name="v_96_XINORG">Model!$AS$223</definedName>
    <definedName name="v_96_XMEOLO">Model!$T$223</definedName>
    <definedName name="v_96_XN_B">Model!$AF$223</definedName>
    <definedName name="v_96_XN_Be">Model!$AG$223</definedName>
    <definedName name="v_96_XN_U">Model!$AH$223</definedName>
    <definedName name="v_96_XNOB">Model!$V$223</definedName>
    <definedName name="v_96_XOHO">Model!$R$223</definedName>
    <definedName name="v_96_XP_B">Model!$AL$223</definedName>
    <definedName name="v_96_XP_Be">Model!$AM$223</definedName>
    <definedName name="v_96_XP_U">Model!$AN$223</definedName>
    <definedName name="v_96_XPFOA">Model!$BT$223</definedName>
    <definedName name="v_96_XPFOS">Model!$BV$223</definedName>
    <definedName name="v_96_XPHA_GAO">Model!$O$223</definedName>
    <definedName name="v_96_XPHA_PAO">Model!$N$223</definedName>
    <definedName name="v_96_XPP">Model!$AJ$223</definedName>
    <definedName name="v_96_XSTR">Model!$BQ$223</definedName>
    <definedName name="v_96_XU">Model!$M$223</definedName>
    <definedName name="v_96_XVivi">Model!$BR$223</definedName>
    <definedName name="v_97_CB">Model!$H$224</definedName>
    <definedName name="v_97_CU">Model!$L$224</definedName>
    <definedName name="v_97_GCH4">Model!$CA$224</definedName>
    <definedName name="v_97_GCH4_atm">Model!$CG$224</definedName>
    <definedName name="v_97_GCO2">Model!$BZ$224</definedName>
    <definedName name="v_97_GCO2_atm">Model!$CF$224</definedName>
    <definedName name="v_97_GH2">Model!$CB$224</definedName>
    <definedName name="v_97_GH2_atm">Model!$CH$224</definedName>
    <definedName name="v_97_GN2">Model!$CE$224</definedName>
    <definedName name="v_97_GN2_atm">Model!$CK$224</definedName>
    <definedName name="v_97_GNH3">Model!$CD$224</definedName>
    <definedName name="v_97_GNH3_atm">Model!$CJ$224</definedName>
    <definedName name="v_97_GO2">Model!$CC$224</definedName>
    <definedName name="v_97_GO2_atm">Model!$CI$224</definedName>
    <definedName name="v_97_SALPHA">Model!$BX$224</definedName>
    <definedName name="v_97_SAN">Model!$AU$224</definedName>
    <definedName name="v_97_SB">Model!$F$224</definedName>
    <definedName name="v_97_SCa">Model!$AV$224</definedName>
    <definedName name="v_97_SCAT">Model!$AT$224</definedName>
    <definedName name="v_97_SCH4">Model!$AP$224</definedName>
    <definedName name="v_97_SCO2">Model!$AR$224</definedName>
    <definedName name="v_97_SFe2">Model!$AY$224</definedName>
    <definedName name="v_97_SH">Model!$BW$224</definedName>
    <definedName name="v_97_SH2">Model!$AQ$224</definedName>
    <definedName name="v_97_SK">Model!$AX$224</definedName>
    <definedName name="v_97_SMEOL">Model!$G$224</definedName>
    <definedName name="v_97_SMg">Model!$AW$224</definedName>
    <definedName name="v_97_SN_B">Model!$AE$224</definedName>
    <definedName name="v_97_SN2">Model!$AD$224</definedName>
    <definedName name="v_97_SNHx">Model!$AA$224</definedName>
    <definedName name="v_97_SNO2">Model!$AB$224</definedName>
    <definedName name="v_97_SNO3">Model!$AC$224</definedName>
    <definedName name="v_97_SO2">Model!$AO$224</definedName>
    <definedName name="v_97_SORPswitch">Model!$BY$224</definedName>
    <definedName name="v_97_SP_B">Model!$AK$224</definedName>
    <definedName name="v_97_SPFOA">Model!$BS$224</definedName>
    <definedName name="v_97_SPFOS">Model!$BU$224</definedName>
    <definedName name="v_97_SPO4">Model!$AI$224</definedName>
    <definedName name="v_97_SU">Model!$K$224</definedName>
    <definedName name="v_97_SVFA">Model!$E$224</definedName>
    <definedName name="v_97_XACP">Model!$BO$224</definedName>
    <definedName name="v_97_XALGAE">Model!$Z$224</definedName>
    <definedName name="v_97_XAMETO">Model!$X$224</definedName>
    <definedName name="v_97_XAMX">Model!$W$224</definedName>
    <definedName name="v_97_XAOB">Model!$U$224</definedName>
    <definedName name="v_97_XB">Model!$I$224</definedName>
    <definedName name="v_97_XB_e">Model!$J$224</definedName>
    <definedName name="v_97_XBSH">Model!$BP$224</definedName>
    <definedName name="v_97_XCaCO3">Model!$BN$224</definedName>
    <definedName name="v_97_XCASTO">Model!$S$224</definedName>
    <definedName name="v_97_XE">Model!$P$224</definedName>
    <definedName name="v_97_XE_ana">Model!$Q$224</definedName>
    <definedName name="v_97_XHAO_H">Model!$BG$224</definedName>
    <definedName name="v_97_XHAO_H_P">Model!$BJ$224</definedName>
    <definedName name="v_97_XHAO_H_P_old">Model!$BL$224</definedName>
    <definedName name="v_97_XHAO_L">Model!$BH$224</definedName>
    <definedName name="v_97_XHAO_L_P">Model!$BK$224</definedName>
    <definedName name="v_97_XHAO_L_P_old">Model!$BM$224</definedName>
    <definedName name="v_97_XHAO_old">Model!$BI$224</definedName>
    <definedName name="v_97_XHFO_H">Model!$AZ$224</definedName>
    <definedName name="v_97_XHFO_H_P">Model!$BC$224</definedName>
    <definedName name="v_97_XHFO_H_P_old">Model!$BE$224</definedName>
    <definedName name="v_97_XHFO_L">Model!$BA$224</definedName>
    <definedName name="v_97_XHFO_L_P">Model!$BD$224</definedName>
    <definedName name="v_97_XHFO_L_P_old">Model!$BF$224</definedName>
    <definedName name="v_97_XHFO_old">Model!$BB$224</definedName>
    <definedName name="v_97_XHMETO">Model!$Y$224</definedName>
    <definedName name="v_97_XINORG">Model!$AS$224</definedName>
    <definedName name="v_97_XMEOLO">Model!$T$224</definedName>
    <definedName name="v_97_XN_B">Model!$AF$224</definedName>
    <definedName name="v_97_XN_Be">Model!$AG$224</definedName>
    <definedName name="v_97_XN_U">Model!$AH$224</definedName>
    <definedName name="v_97_XNOB">Model!$V$224</definedName>
    <definedName name="v_97_XOHO">Model!$R$224</definedName>
    <definedName name="v_97_XP_B">Model!$AL$224</definedName>
    <definedName name="v_97_XP_Be">Model!$AM$224</definedName>
    <definedName name="v_97_XP_U">Model!$AN$224</definedName>
    <definedName name="v_97_XPFOA">Model!$BT$224</definedName>
    <definedName name="v_97_XPFOS">Model!$BV$224</definedName>
    <definedName name="v_97_XPHA_GAO">Model!$O$224</definedName>
    <definedName name="v_97_XPHA_PAO">Model!$N$224</definedName>
    <definedName name="v_97_XPP">Model!$AJ$224</definedName>
    <definedName name="v_97_XSTR">Model!$BQ$224</definedName>
    <definedName name="v_97_XU">Model!$M$224</definedName>
    <definedName name="v_97_XVivi">Model!$BR$224</definedName>
    <definedName name="v_98_CB">Model!$H$225</definedName>
    <definedName name="v_98_CU">Model!$L$225</definedName>
    <definedName name="v_98_GCH4">Model!$CA$225</definedName>
    <definedName name="v_98_GCH4_atm">Model!$CG$225</definedName>
    <definedName name="v_98_GCO2">Model!$BZ$225</definedName>
    <definedName name="v_98_GCO2_atm">Model!$CF$225</definedName>
    <definedName name="v_98_GH2">Model!$CB$225</definedName>
    <definedName name="v_98_GH2_atm">Model!$CH$225</definedName>
    <definedName name="v_98_GN2">Model!$CE$225</definedName>
    <definedName name="v_98_GN2_atm">Model!$CK$225</definedName>
    <definedName name="v_98_GNH3">Model!$CD$225</definedName>
    <definedName name="v_98_GNH3_atm">Model!$CJ$225</definedName>
    <definedName name="v_98_GO2">Model!$CC$225</definedName>
    <definedName name="v_98_GO2_atm">Model!$CI$225</definedName>
    <definedName name="v_98_SALPHA">Model!$BX$225</definedName>
    <definedName name="v_98_SAN">Model!$AU$225</definedName>
    <definedName name="v_98_SB">Model!$F$225</definedName>
    <definedName name="v_98_SCa">Model!$AV$225</definedName>
    <definedName name="v_98_SCAT">Model!$AT$225</definedName>
    <definedName name="v_98_SCH4">Model!$AP$225</definedName>
    <definedName name="v_98_SCO2">Model!$AR$225</definedName>
    <definedName name="v_98_SFe2">Model!$AY$225</definedName>
    <definedName name="v_98_SH">Model!$BW$225</definedName>
    <definedName name="v_98_SH2">Model!$AQ$225</definedName>
    <definedName name="v_98_SK">Model!$AX$225</definedName>
    <definedName name="v_98_SMEOL">Model!$G$225</definedName>
    <definedName name="v_98_SMg">Model!$AW$225</definedName>
    <definedName name="v_98_SN_B">Model!$AE$225</definedName>
    <definedName name="v_98_SN2">Model!$AD$225</definedName>
    <definedName name="v_98_SNHx">Model!$AA$225</definedName>
    <definedName name="v_98_SNO2">Model!$AB$225</definedName>
    <definedName name="v_98_SNO3">Model!$AC$225</definedName>
    <definedName name="v_98_SO2">Model!$AO$225</definedName>
    <definedName name="v_98_SORPswitch">Model!$BY$225</definedName>
    <definedName name="v_98_SP_B">Model!$AK$225</definedName>
    <definedName name="v_98_SPFOA">Model!$BS$225</definedName>
    <definedName name="v_98_SPFOS">Model!$BU$225</definedName>
    <definedName name="v_98_SPO4">Model!$AI$225</definedName>
    <definedName name="v_98_SU">Model!$K$225</definedName>
    <definedName name="v_98_SVFA">Model!$E$225</definedName>
    <definedName name="v_98_XACP">Model!$BO$225</definedName>
    <definedName name="v_98_XALGAE">Model!$Z$225</definedName>
    <definedName name="v_98_XAMETO">Model!$X$225</definedName>
    <definedName name="v_98_XAMX">Model!$W$225</definedName>
    <definedName name="v_98_XAOB">Model!$U$225</definedName>
    <definedName name="v_98_XB">Model!$I$225</definedName>
    <definedName name="v_98_XB_e">Model!$J$225</definedName>
    <definedName name="v_98_XBSH">Model!$BP$225</definedName>
    <definedName name="v_98_XCaCO3">Model!$BN$225</definedName>
    <definedName name="v_98_XCASTO">Model!$S$225</definedName>
    <definedName name="v_98_XE">Model!$P$225</definedName>
    <definedName name="v_98_XE_ana">Model!$Q$225</definedName>
    <definedName name="v_98_XHAO_H">Model!$BG$225</definedName>
    <definedName name="v_98_XHAO_H_P">Model!$BJ$225</definedName>
    <definedName name="v_98_XHAO_H_P_old">Model!$BL$225</definedName>
    <definedName name="v_98_XHAO_L">Model!$BH$225</definedName>
    <definedName name="v_98_XHAO_L_P">Model!$BK$225</definedName>
    <definedName name="v_98_XHAO_L_P_old">Model!$BM$225</definedName>
    <definedName name="v_98_XHAO_old">Model!$BI$225</definedName>
    <definedName name="v_98_XHFO_H">Model!$AZ$225</definedName>
    <definedName name="v_98_XHFO_H_P">Model!$BC$225</definedName>
    <definedName name="v_98_XHFO_H_P_old">Model!$BE$225</definedName>
    <definedName name="v_98_XHFO_L">Model!$BA$225</definedName>
    <definedName name="v_98_XHFO_L_P">Model!$BD$225</definedName>
    <definedName name="v_98_XHFO_L_P_old">Model!$BF$225</definedName>
    <definedName name="v_98_XHFO_old">Model!$BB$225</definedName>
    <definedName name="v_98_XHMETO">Model!$Y$225</definedName>
    <definedName name="v_98_XINORG">Model!$AS$225</definedName>
    <definedName name="v_98_XMEOLO">Model!$T$225</definedName>
    <definedName name="v_98_XN_B">Model!$AF$225</definedName>
    <definedName name="v_98_XN_Be">Model!$AG$225</definedName>
    <definedName name="v_98_XN_U">Model!$AH$225</definedName>
    <definedName name="v_98_XNOB">Model!$V$225</definedName>
    <definedName name="v_98_XOHO">Model!$R$225</definedName>
    <definedName name="v_98_XP_B">Model!$AL$225</definedName>
    <definedName name="v_98_XP_Be">Model!$AM$225</definedName>
    <definedName name="v_98_XP_U">Model!$AN$225</definedName>
    <definedName name="v_98_XPFOA">Model!$BT$225</definedName>
    <definedName name="v_98_XPFOS">Model!$BV$225</definedName>
    <definedName name="v_98_XPHA_GAO">Model!$O$225</definedName>
    <definedName name="v_98_XPHA_PAO">Model!$N$225</definedName>
    <definedName name="v_98_XPP">Model!$AJ$225</definedName>
    <definedName name="v_98_XSTR">Model!$BQ$225</definedName>
    <definedName name="v_98_XU">Model!$M$225</definedName>
    <definedName name="v_98_XVivi">Model!$BR$225</definedName>
    <definedName name="v_99_CB">Model!$H$226</definedName>
    <definedName name="v_99_CU">Model!$L$226</definedName>
    <definedName name="v_99_GCH4">Model!$CA$226</definedName>
    <definedName name="v_99_GCH4_atm">Model!$CG$226</definedName>
    <definedName name="v_99_GCO2">Model!$BZ$226</definedName>
    <definedName name="v_99_GCO2_atm">Model!$CF$226</definedName>
    <definedName name="v_99_GH2">Model!$CB$226</definedName>
    <definedName name="v_99_GH2_atm">Model!$CH$226</definedName>
    <definedName name="v_99_GN2">Model!$CE$226</definedName>
    <definedName name="v_99_GN2_atm">Model!$CK$226</definedName>
    <definedName name="v_99_GNH3">Model!$CD$226</definedName>
    <definedName name="v_99_GNH3_atm">Model!$CJ$226</definedName>
    <definedName name="v_99_GO2">Model!$CC$226</definedName>
    <definedName name="v_99_GO2_atm">Model!$CI$226</definedName>
    <definedName name="v_99_SALPHA">Model!$BX$226</definedName>
    <definedName name="v_99_SAN">Model!$AU$226</definedName>
    <definedName name="v_99_SB">Model!$F$226</definedName>
    <definedName name="v_99_SCa">Model!$AV$226</definedName>
    <definedName name="v_99_SCAT">Model!$AT$226</definedName>
    <definedName name="v_99_SCH4">Model!$AP$226</definedName>
    <definedName name="v_99_SCO2">Model!$AR$226</definedName>
    <definedName name="v_99_SFe2">Model!$AY$226</definedName>
    <definedName name="v_99_SH">Model!$BW$226</definedName>
    <definedName name="v_99_SH2">Model!$AQ$226</definedName>
    <definedName name="v_99_SK">Model!$AX$226</definedName>
    <definedName name="v_99_SMEOL">Model!$G$226</definedName>
    <definedName name="v_99_SMg">Model!$AW$226</definedName>
    <definedName name="v_99_SN_B">Model!$AE$226</definedName>
    <definedName name="v_99_SN2">Model!$AD$226</definedName>
    <definedName name="v_99_SNHx">Model!$AA$226</definedName>
    <definedName name="v_99_SNO2">Model!$AB$226</definedName>
    <definedName name="v_99_SNO3">Model!$AC$226</definedName>
    <definedName name="v_99_SO2">Model!$AO$226</definedName>
    <definedName name="v_99_SORPswitch">Model!$BY$226</definedName>
    <definedName name="v_99_SP_B">Model!$AK$226</definedName>
    <definedName name="v_99_SPFOA">Model!$BS$226</definedName>
    <definedName name="v_99_SPFOS">Model!$BU$226</definedName>
    <definedName name="v_99_SPO4">Model!$AI$226</definedName>
    <definedName name="v_99_SU">Model!$K$226</definedName>
    <definedName name="v_99_SVFA">Model!$E$226</definedName>
    <definedName name="v_99_XACP">Model!$BO$226</definedName>
    <definedName name="v_99_XALGAE">Model!$Z$226</definedName>
    <definedName name="v_99_XAMETO">Model!$X$226</definedName>
    <definedName name="v_99_XAMX">Model!$W$226</definedName>
    <definedName name="v_99_XAOB">Model!$U$226</definedName>
    <definedName name="v_99_XB">Model!$I$226</definedName>
    <definedName name="v_99_XB_e">Model!$J$226</definedName>
    <definedName name="v_99_XBSH">Model!$BP$226</definedName>
    <definedName name="v_99_XCaCO3">Model!$BN$226</definedName>
    <definedName name="v_99_XCASTO">Model!$S$226</definedName>
    <definedName name="v_99_XE">Model!$P$226</definedName>
    <definedName name="v_99_XE_ana">Model!$Q$226</definedName>
    <definedName name="v_99_XHAO_H">Model!$BG$226</definedName>
    <definedName name="v_99_XHAO_H_P">Model!$BJ$226</definedName>
    <definedName name="v_99_XHAO_H_P_old">Model!$BL$226</definedName>
    <definedName name="v_99_XHAO_L">Model!$BH$226</definedName>
    <definedName name="v_99_XHAO_L_P">Model!$BK$226</definedName>
    <definedName name="v_99_XHAO_L_P_old">Model!$BM$226</definedName>
    <definedName name="v_99_XHAO_old">Model!$BI$226</definedName>
    <definedName name="v_99_XHFO_H">Model!$AZ$226</definedName>
    <definedName name="v_99_XHFO_H_P">Model!$BC$226</definedName>
    <definedName name="v_99_XHFO_H_P_old">Model!$BE$226</definedName>
    <definedName name="v_99_XHFO_L">Model!$BA$226</definedName>
    <definedName name="v_99_XHFO_L_P">Model!$BD$226</definedName>
    <definedName name="v_99_XHFO_L_P_old">Model!$BF$226</definedName>
    <definedName name="v_99_XHFO_old">Model!$BB$226</definedName>
    <definedName name="v_99_XHMETO">Model!$Y$226</definedName>
    <definedName name="v_99_XINORG">Model!$AS$226</definedName>
    <definedName name="v_99_XMEOLO">Model!$T$226</definedName>
    <definedName name="v_99_XN_B">Model!$AF$226</definedName>
    <definedName name="v_99_XN_Be">Model!$AG$226</definedName>
    <definedName name="v_99_XN_U">Model!$AH$226</definedName>
    <definedName name="v_99_XNOB">Model!$V$226</definedName>
    <definedName name="v_99_XOHO">Model!$R$226</definedName>
    <definedName name="v_99_XP_B">Model!$AL$226</definedName>
    <definedName name="v_99_XP_Be">Model!$AM$226</definedName>
    <definedName name="v_99_XP_U">Model!$AN$226</definedName>
    <definedName name="v_99_XPFOA">Model!$BT$226</definedName>
    <definedName name="v_99_XPFOS">Model!$BV$226</definedName>
    <definedName name="v_99_XPHA_GAO">Model!$O$226</definedName>
    <definedName name="v_99_XPHA_PAO">Model!$N$226</definedName>
    <definedName name="v_99_XPP">Model!$AJ$226</definedName>
    <definedName name="v_99_XSTR">Model!$BQ$226</definedName>
    <definedName name="v_99_XU">Model!$M$226</definedName>
    <definedName name="v_99_XVivi">Model!$BR$226</definedName>
    <definedName name="V_mol_N">systemcode_constants!$D$62</definedName>
    <definedName name="X_ACP">Components!$E$66</definedName>
    <definedName name="X_ALGAE">Components!$E$25</definedName>
    <definedName name="X_AMETO">Components!$E$23</definedName>
    <definedName name="X_AMX">Components!$E$22</definedName>
    <definedName name="X_AOB">Components!$E$20</definedName>
    <definedName name="X_B">Components!$E$8</definedName>
    <definedName name="X_B_e">Components!$E$9</definedName>
    <definedName name="X_BIO">'Calculated variables'!$E$4</definedName>
    <definedName name="X_BIO_AS">'Calculated variables'!$E$5</definedName>
    <definedName name="X_BOD_5">'Calculated variables'!$E$30</definedName>
    <definedName name="X_BOD_ult">'Calculated variables'!$E$27</definedName>
    <definedName name="X_BSH">Components!$E$67</definedName>
    <definedName name="X_CaCO3">Components!$E$65</definedName>
    <definedName name="X_CASTO">Components!$E$18</definedName>
    <definedName name="X_COD">'Calculated variables'!$E$7</definedName>
    <definedName name="X_CsbCOD">'Calculated variables'!$E$9</definedName>
    <definedName name="X_DM">'Calculated variables'!$E$25</definedName>
    <definedName name="X_E">Components!$E$15</definedName>
    <definedName name="X_E_ana">Components!$E$16</definedName>
    <definedName name="X_GAO">'Calculated variables'!$E$71</definedName>
    <definedName name="X_HAO">'Calculated variables'!$E$48</definedName>
    <definedName name="X_HAO_H">Components!$E$58</definedName>
    <definedName name="X_HAO_H_P">Components!$E$61</definedName>
    <definedName name="X_HAO_H_P_old">Components!$E$63</definedName>
    <definedName name="X_HAO_ISS">'Calculated variables'!$E$16</definedName>
    <definedName name="X_HAO_L">Components!$E$59</definedName>
    <definedName name="X_HAO_L_P">Components!$E$62</definedName>
    <definedName name="X_HAO_L_P_old">Components!$E$64</definedName>
    <definedName name="X_HAO_old">Components!$E$60</definedName>
    <definedName name="X_HAO_P">'Calculated variables'!$E$54</definedName>
    <definedName name="X_HAO_TSS">'Calculated variables'!$E$20</definedName>
    <definedName name="X_HET">'Calculated variables'!$E$6</definedName>
    <definedName name="X_HET_HYD_lim">Parameters!$D$245</definedName>
    <definedName name="X_HFO">'Calculated variables'!$E$47</definedName>
    <definedName name="X_HFO_H">Components!$E$51</definedName>
    <definedName name="X_HFO_H_P">Components!$E$54</definedName>
    <definedName name="X_HFO_H_P_old">Components!$E$56</definedName>
    <definedName name="X_HFO_ISS">'Calculated variables'!$E$15</definedName>
    <definedName name="X_HFO_L">Components!$E$52</definedName>
    <definedName name="X_HFO_L_P">Components!$E$55</definedName>
    <definedName name="X_HFO_L_P_old">Components!$E$57</definedName>
    <definedName name="X_HFO_old">Components!$E$53</definedName>
    <definedName name="X_HFO_P">'Calculated variables'!$E$53</definedName>
    <definedName name="X_HFO_TSS">'Calculated variables'!$E$19</definedName>
    <definedName name="X_HMETO">Components!$E$24</definedName>
    <definedName name="X_INORG">Components!$E$44</definedName>
    <definedName name="X_ISS">'Calculated variables'!$E$23</definedName>
    <definedName name="X_KN">'Calculated variables'!$E$41</definedName>
    <definedName name="X_Me_H2O_TSS">'Calculated variables'!$E$22</definedName>
    <definedName name="X_Me_H2O_VSS">'Calculated variables'!$E$18</definedName>
    <definedName name="X_Me_ISS">'Calculated variables'!$E$17</definedName>
    <definedName name="X_Me_TSS">'Calculated variables'!$E$21</definedName>
    <definedName name="X_MEOLO">Components!$E$19</definedName>
    <definedName name="X_N_B">Components!$E$31</definedName>
    <definedName name="X_N_Be">Components!$E$32</definedName>
    <definedName name="X_N_U">Components!$E$33</definedName>
    <definedName name="X_NOB">Components!$E$21</definedName>
    <definedName name="X_OHO">Components!$E$17</definedName>
    <definedName name="X_P">'Calculated variables'!$E$45</definedName>
    <definedName name="X_P_B">Components!$E$37</definedName>
    <definedName name="X_P_Be">Components!$E$38</definedName>
    <definedName name="X_P_U">Components!$E$39</definedName>
    <definedName name="X_PAO">'Calculated variables'!$E$70</definedName>
    <definedName name="X_PFOA">Components!$E$71</definedName>
    <definedName name="X_PFOS">Components!$E$73</definedName>
    <definedName name="X_PHA_CASTO">'Calculated variables'!$E$66</definedName>
    <definedName name="X_PHA_GAO">Components!$E$14</definedName>
    <definedName name="X_PHA_PAO">Components!$E$13</definedName>
    <definedName name="X_PP">Components!$E$35</definedName>
    <definedName name="X_PP_PAO_min">Parameters!$D$69</definedName>
    <definedName name="X_precip">'Calculated variables'!$E$14</definedName>
    <definedName name="X_STC">'Calculated variables'!$E$67</definedName>
    <definedName name="X_STR">Components!$E$68</definedName>
    <definedName name="X_TSS">'Calculated variables'!$E$24</definedName>
    <definedName name="X_U">Components!$E$12</definedName>
    <definedName name="X_Vivi">Components!$E$69</definedName>
    <definedName name="X_VS">'Calculated variables'!$E$12</definedName>
    <definedName name="X_VS_ult">'Calculated variables'!$E$13</definedName>
    <definedName name="X_VSS">'Calculated variables'!$E$11</definedName>
    <definedName name="X_VSS_BIO">'Calculated variables'!$E$10</definedName>
    <definedName name="Y_AMETO">Parameters!$D$341</definedName>
    <definedName name="Y_AMX_NO2">Parameters!$D$339</definedName>
    <definedName name="Y_AMX_NO3">Parameters!$D$340</definedName>
    <definedName name="Y_AOB">Parameters!$D$337</definedName>
    <definedName name="Y_BOD_ult">Parameters!$D$392</definedName>
    <definedName name="Y_CASTO_H2_ana_high">Parameters!$D$329</definedName>
    <definedName name="Y_CASTO_H2_ana_low">Parameters!$D$330</definedName>
    <definedName name="Y_CASTO_SB_ana">Parameters!$D$328</definedName>
    <definedName name="Y_CASTO_STC_anox">'Calculated variables'!$E$76</definedName>
    <definedName name="Y_CASTO_STC_ox">'Calculated variables'!$E$75</definedName>
    <definedName name="y_fdi">'Calculated variables'!$E$511</definedName>
    <definedName name="y_fmono">'Calculated variables'!$E$510</definedName>
    <definedName name="y_ftri">'Calculated variables'!$E$512</definedName>
    <definedName name="Y_GAO_PHA_anox">Parameters!$D$336</definedName>
    <definedName name="Y_GAO_PHA_ox">Parameters!$D$335</definedName>
    <definedName name="Y_HMETO">Parameters!$D$342</definedName>
    <definedName name="Y_MEOLO">Parameters!$D$325</definedName>
    <definedName name="Y_NOB">Parameters!$D$338</definedName>
    <definedName name="Y_OHO_H2_ana_high">Parameters!$D$322</definedName>
    <definedName name="Y_OHO_H2_ana_low">Parameters!$D$323</definedName>
    <definedName name="Y_OHO_SB_ana">Parameters!$D$321</definedName>
    <definedName name="Y_OHO_SB_anox">Parameters!$D$320</definedName>
    <definedName name="Y_OHO_SB_ox">Parameters!$D$319</definedName>
    <definedName name="Y_OHO_SMEOL_ox">Parameters!$D$324</definedName>
    <definedName name="Y_OHO_VFA_anox">Parameters!$D$318</definedName>
    <definedName name="Y_OHO_VFA_ox">Parameters!$D$317</definedName>
    <definedName name="y_ORP_GAO_Half_T">'Calculated variables'!$E$91</definedName>
    <definedName name="Y_PAO_PHA_anox">Parameters!$D$327</definedName>
    <definedName name="Y_PAO_PHA_ox">Parameters!$D$326</definedName>
    <definedName name="Y_PP_CASTO_anox">Parameters!$D$332</definedName>
    <definedName name="Y_PP_CASTO_ox">Parameters!$D$331</definedName>
    <definedName name="α_pred">'Calculated variables'!$E$717</definedName>
    <definedName name="Δ_atm">systemcode_constants!$D$56</definedName>
    <definedName name="ε__">'Calculated variables'!$E$508</definedName>
    <definedName name="η_b_ana">Parameters!$D$224</definedName>
    <definedName name="η_b_anox">Parameters!$D$223</definedName>
    <definedName name="η_bCASTO_ana">Parameters!$D$52</definedName>
    <definedName name="η_bCASTO_anox">Parameters!$D$51</definedName>
    <definedName name="η_bPHA_ana">Parameters!$D$79</definedName>
    <definedName name="η_bPP_aer">Parameters!$D$54</definedName>
    <definedName name="η_bPP_anox">Parameters!$D$55</definedName>
    <definedName name="η_bSTC_anox">Parameters!$D$53</definedName>
    <definedName name="η_CASTO_anox">Parameters!$D$50</definedName>
    <definedName name="η_H2O">systemcode_constants!$D$42</definedName>
    <definedName name="η_HYD_ana">Parameters!$D$236</definedName>
    <definedName name="η_HYD_anox">Parameters!$D$235</definedName>
    <definedName name="η_OHO_anox">Parameters!$D$10</definedName>
    <definedName name="η_OHO_anox_NO2red">Parameters!$D$11</definedName>
    <definedName name="θ_µ_ALGAE">Parameters!$D$300</definedName>
    <definedName name="θ_µ_AMETO">Parameters!$D$296</definedName>
    <definedName name="θ_µ_AMX">Parameters!$D$294</definedName>
    <definedName name="θ_µ_AOB">Parameters!$D$290</definedName>
    <definedName name="θ_µ_CASTO">Parameters!$D$281</definedName>
    <definedName name="θ_µ_HMETO">Parameters!$D$298</definedName>
    <definedName name="θ_µ_MEOLO">Parameters!$D$279</definedName>
    <definedName name="θ_µ_NOB">Parameters!$D$292</definedName>
    <definedName name="θ_µ_OHO">Parameters!$D$276</definedName>
    <definedName name="θ_µ_PAO_lim">Parameters!$D$282</definedName>
    <definedName name="θ_b_ALGAE">Parameters!$D$301</definedName>
    <definedName name="θ_b_AMETO">Parameters!$D$297</definedName>
    <definedName name="θ_b_AMX">Parameters!$D$295</definedName>
    <definedName name="θ_b_AOB">Parameters!$D$291</definedName>
    <definedName name="θ_b_CASTO">Parameters!$D$286</definedName>
    <definedName name="θ_b_HMETO">Parameters!$D$299</definedName>
    <definedName name="θ_b_MEOLO">Parameters!$D$280</definedName>
    <definedName name="θ_b_NOB">Parameters!$D$293</definedName>
    <definedName name="θ_b_OHO">Parameters!$D$278</definedName>
    <definedName name="θ_b_PP_ana">Parameters!$D$288</definedName>
    <definedName name="θ_b_STC">Parameters!$D$287</definedName>
    <definedName name="θ_FERM_OHO">Parameters!$D$277</definedName>
    <definedName name="θ_FERM_PAO">Parameters!$D$283</definedName>
    <definedName name="θ_q_AMMON">Parameters!$D$306</definedName>
    <definedName name="θ_q_ASSIM">Parameters!$D$310</definedName>
    <definedName name="θ_q_Fe2_OX">Parameters!$D$311</definedName>
    <definedName name="θ_q_FLOC">Parameters!$D$302</definedName>
    <definedName name="θ_q_FLOC_HAO">Parameters!$D$304</definedName>
    <definedName name="θ_q_FLOC_HFO">Parameters!$D$303</definedName>
    <definedName name="θ_q_GAO_PHA">Parameters!$D$289</definedName>
    <definedName name="θ_q_HFO_RED">Parameters!$D$312</definedName>
    <definedName name="θ_q_HYD">Parameters!$D$305</definedName>
    <definedName name="θ_q_PAO_PHA">Parameters!$D$285</definedName>
    <definedName name="θ_q_PAO_PP">Parameters!$D$284</definedName>
    <definedName name="θ_q_SPB">Parameters!$D$307</definedName>
    <definedName name="θ_q_XE">Parameters!$D$308</definedName>
    <definedName name="θ_q_XU">Parameters!$D$309</definedName>
    <definedName name="κ__">systemcode_constants!$D$63</definedName>
    <definedName name="λ_H">systemcode_constants!$D$356</definedName>
    <definedName name="ρ__">'Calculated variables'!$E$509</definedName>
    <definedName name="ρ_air">systemcode_constants!$D$50</definedName>
    <definedName name="ρ_H2O">systemcode_constants!$D$41</definedName>
    <definedName name="σ_H2O">systemcode_constants!$D$40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13" i="5" l="1"/>
  <c r="E812" i="5"/>
  <c r="E811" i="5"/>
  <c r="E810" i="5"/>
  <c r="E809" i="5"/>
  <c r="E808" i="5"/>
  <c r="E807" i="5"/>
  <c r="E803" i="5"/>
  <c r="E802" i="5"/>
  <c r="E801" i="5"/>
  <c r="E800" i="5"/>
  <c r="E799" i="5"/>
  <c r="E798" i="5"/>
  <c r="E797" i="5"/>
  <c r="E796" i="5"/>
  <c r="E795" i="5"/>
  <c r="E794" i="5"/>
  <c r="E793" i="5"/>
  <c r="E792" i="5"/>
  <c r="E791" i="5"/>
  <c r="E790" i="5"/>
  <c r="E789" i="5"/>
  <c r="E785" i="5"/>
  <c r="E784" i="5"/>
  <c r="E780" i="5"/>
  <c r="E779" i="5"/>
  <c r="E778" i="5"/>
  <c r="E777" i="5"/>
  <c r="E776" i="5"/>
  <c r="E775" i="5"/>
  <c r="E771" i="5"/>
  <c r="E770" i="5"/>
  <c r="E769" i="5"/>
  <c r="E768" i="5"/>
  <c r="E767" i="5"/>
  <c r="E763" i="5"/>
  <c r="E762" i="5"/>
  <c r="E761" i="5"/>
  <c r="E757" i="5"/>
  <c r="E756" i="5"/>
  <c r="E755" i="5"/>
  <c r="E754" i="5"/>
  <c r="E750" i="5"/>
  <c r="E749" i="5"/>
  <c r="E748" i="5"/>
  <c r="E747" i="5"/>
  <c r="E746" i="5"/>
  <c r="E745" i="5"/>
  <c r="E744" i="5"/>
  <c r="E740" i="5"/>
  <c r="E739" i="5"/>
  <c r="E735" i="5"/>
  <c r="E734" i="5"/>
  <c r="E733" i="5"/>
  <c r="E732" i="5"/>
  <c r="E731" i="5"/>
  <c r="E727" i="5"/>
  <c r="E723" i="5"/>
  <c r="E722" i="5" s="1"/>
  <c r="E717" i="5"/>
  <c r="E713" i="5"/>
  <c r="E712" i="5"/>
  <c r="E711" i="5"/>
  <c r="E710" i="5"/>
  <c r="E706" i="5"/>
  <c r="E705" i="5"/>
  <c r="E704" i="5"/>
  <c r="E703" i="5"/>
  <c r="E702" i="5"/>
  <c r="E701" i="5"/>
  <c r="E700" i="5"/>
  <c r="E699" i="5"/>
  <c r="E698" i="5"/>
  <c r="E697" i="5"/>
  <c r="E562" i="5"/>
  <c r="E503" i="5"/>
  <c r="E502" i="5"/>
  <c r="E501" i="5"/>
  <c r="E498" i="5"/>
  <c r="E497" i="5"/>
  <c r="E495" i="5"/>
  <c r="E494" i="5"/>
  <c r="E493" i="5"/>
  <c r="E490" i="5"/>
  <c r="E489" i="5"/>
  <c r="E487" i="5"/>
  <c r="CL175" i="1" s="1"/>
  <c r="E486" i="5"/>
  <c r="E485" i="5"/>
  <c r="E482" i="5"/>
  <c r="E481" i="5"/>
  <c r="E479" i="5"/>
  <c r="E478" i="5"/>
  <c r="E477" i="5"/>
  <c r="E474" i="5"/>
  <c r="E473" i="5"/>
  <c r="E471" i="5"/>
  <c r="E470" i="5"/>
  <c r="E469" i="5"/>
  <c r="E466" i="5"/>
  <c r="E462" i="5"/>
  <c r="E461" i="5"/>
  <c r="E460" i="5"/>
  <c r="E459" i="5"/>
  <c r="E458" i="5"/>
  <c r="E457" i="5"/>
  <c r="E456" i="5"/>
  <c r="E455" i="5"/>
  <c r="E454" i="5"/>
  <c r="E453" i="5"/>
  <c r="E452" i="5"/>
  <c r="E451" i="5"/>
  <c r="E450" i="5"/>
  <c r="E449" i="5"/>
  <c r="E448" i="5"/>
  <c r="E447" i="5"/>
  <c r="E446" i="5"/>
  <c r="E445" i="5"/>
  <c r="E444" i="5"/>
  <c r="E443" i="5"/>
  <c r="E442" i="5"/>
  <c r="E441" i="5"/>
  <c r="E440" i="5"/>
  <c r="E439" i="5"/>
  <c r="E438" i="5"/>
  <c r="E437" i="5"/>
  <c r="E436" i="5"/>
  <c r="E435" i="5"/>
  <c r="E434" i="5"/>
  <c r="E433" i="5"/>
  <c r="E432" i="5"/>
  <c r="E431" i="5"/>
  <c r="E430" i="5"/>
  <c r="E429" i="5"/>
  <c r="E428" i="5"/>
  <c r="E427" i="5"/>
  <c r="E426" i="5"/>
  <c r="E425" i="5"/>
  <c r="E424" i="5"/>
  <c r="E423" i="5"/>
  <c r="E422" i="5"/>
  <c r="E421" i="5"/>
  <c r="E420" i="5"/>
  <c r="E419" i="5"/>
  <c r="E418" i="5"/>
  <c r="E417" i="5"/>
  <c r="E416" i="5"/>
  <c r="E415" i="5"/>
  <c r="E414" i="5"/>
  <c r="E413" i="5"/>
  <c r="E412" i="5"/>
  <c r="E411" i="5"/>
  <c r="E410" i="5"/>
  <c r="E409" i="5"/>
  <c r="E408" i="5"/>
  <c r="E407" i="5"/>
  <c r="E406" i="5"/>
  <c r="E405" i="5"/>
  <c r="E404" i="5"/>
  <c r="E403" i="5"/>
  <c r="E402" i="5"/>
  <c r="E401" i="5"/>
  <c r="E400" i="5"/>
  <c r="E399" i="5"/>
  <c r="E398" i="5"/>
  <c r="E397" i="5"/>
  <c r="E396" i="5"/>
  <c r="E395" i="5"/>
  <c r="E394" i="5"/>
  <c r="E393" i="5"/>
  <c r="E392" i="5"/>
  <c r="E391" i="5"/>
  <c r="E390" i="5"/>
  <c r="E389" i="5"/>
  <c r="E388" i="5"/>
  <c r="E387" i="5"/>
  <c r="E386" i="5"/>
  <c r="E385" i="5"/>
  <c r="E384" i="5"/>
  <c r="E383" i="5"/>
  <c r="E382" i="5"/>
  <c r="E381" i="5"/>
  <c r="E380" i="5"/>
  <c r="E379" i="5"/>
  <c r="E378" i="5"/>
  <c r="E377" i="5"/>
  <c r="E376" i="5"/>
  <c r="E375" i="5"/>
  <c r="E374" i="5"/>
  <c r="E373" i="5"/>
  <c r="E372" i="5"/>
  <c r="E371" i="5"/>
  <c r="E370" i="5"/>
  <c r="E369" i="5"/>
  <c r="E368" i="5"/>
  <c r="E367" i="5"/>
  <c r="E366" i="5"/>
  <c r="E365" i="5"/>
  <c r="E364" i="5"/>
  <c r="E363" i="5"/>
  <c r="E362" i="5"/>
  <c r="E361" i="5"/>
  <c r="E360" i="5"/>
  <c r="E359" i="5"/>
  <c r="E358" i="5"/>
  <c r="E357" i="5"/>
  <c r="E356" i="5"/>
  <c r="E355" i="5"/>
  <c r="E354" i="5"/>
  <c r="E353" i="5"/>
  <c r="E352" i="5"/>
  <c r="E351" i="5"/>
  <c r="E350" i="5"/>
  <c r="E349" i="5"/>
  <c r="E348" i="5"/>
  <c r="E347" i="5"/>
  <c r="E346" i="5"/>
  <c r="E345" i="5"/>
  <c r="E344" i="5"/>
  <c r="E343" i="5"/>
  <c r="E342" i="5"/>
  <c r="E341" i="5"/>
  <c r="E340" i="5"/>
  <c r="E339" i="5"/>
  <c r="E327" i="5"/>
  <c r="E325" i="5"/>
  <c r="E323" i="5"/>
  <c r="E321" i="5"/>
  <c r="E319" i="5"/>
  <c r="E317" i="5"/>
  <c r="E315" i="5"/>
  <c r="E311" i="5"/>
  <c r="E310" i="5"/>
  <c r="E309" i="5"/>
  <c r="E308" i="5"/>
  <c r="E307" i="5"/>
  <c r="E306" i="5"/>
  <c r="E304" i="5"/>
  <c r="E302" i="5"/>
  <c r="E301" i="5"/>
  <c r="E300" i="5"/>
  <c r="E298" i="5"/>
  <c r="E297" i="5"/>
  <c r="E296" i="5"/>
  <c r="E294" i="5"/>
  <c r="E293" i="5"/>
  <c r="E292" i="5"/>
  <c r="E291" i="5"/>
  <c r="E286" i="5"/>
  <c r="E284" i="5"/>
  <c r="E282" i="5"/>
  <c r="E280" i="5"/>
  <c r="E278" i="5"/>
  <c r="E276" i="5"/>
  <c r="E274" i="5"/>
  <c r="E272" i="5"/>
  <c r="E270" i="5"/>
  <c r="E268" i="5"/>
  <c r="E266" i="5"/>
  <c r="E261" i="5"/>
  <c r="E259" i="5"/>
  <c r="E257" i="5"/>
  <c r="E252" i="5"/>
  <c r="E250" i="5"/>
  <c r="E248" i="5"/>
  <c r="E246" i="5"/>
  <c r="E244" i="5"/>
  <c r="E239" i="5"/>
  <c r="E237" i="5"/>
  <c r="E235" i="5"/>
  <c r="E233" i="5"/>
  <c r="E231" i="5"/>
  <c r="E229" i="5"/>
  <c r="E227" i="5"/>
  <c r="E225" i="5"/>
  <c r="E223" i="5"/>
  <c r="E218" i="5"/>
  <c r="E216" i="5"/>
  <c r="E214" i="5"/>
  <c r="E212" i="5"/>
  <c r="E210" i="5"/>
  <c r="E204" i="5"/>
  <c r="E202" i="5"/>
  <c r="E200" i="5"/>
  <c r="E198" i="5"/>
  <c r="E196" i="5"/>
  <c r="E194" i="5"/>
  <c r="E192" i="5"/>
  <c r="E190" i="5"/>
  <c r="E188" i="5"/>
  <c r="E183" i="5"/>
  <c r="E181" i="5"/>
  <c r="E179" i="5"/>
  <c r="E178" i="5"/>
  <c r="E176" i="5"/>
  <c r="E174" i="5"/>
  <c r="E169" i="5"/>
  <c r="E167" i="5"/>
  <c r="E164" i="5"/>
  <c r="E163" i="5"/>
  <c r="E161" i="5"/>
  <c r="E156" i="5"/>
  <c r="E154" i="5"/>
  <c r="E151" i="5"/>
  <c r="E149" i="5"/>
  <c r="E147" i="5"/>
  <c r="E143" i="5"/>
  <c r="E98" i="5"/>
  <c r="E91" i="5"/>
  <c r="E90" i="5"/>
  <c r="E89" i="5"/>
  <c r="E82" i="5"/>
  <c r="E81" i="5"/>
  <c r="E77" i="5"/>
  <c r="E76" i="5"/>
  <c r="E75" i="5"/>
  <c r="E71" i="5"/>
  <c r="E70" i="5"/>
  <c r="E69" i="5"/>
  <c r="E68" i="5"/>
  <c r="E67" i="5"/>
  <c r="E66" i="5"/>
  <c r="E62" i="5"/>
  <c r="E61" i="5"/>
  <c r="E60" i="5"/>
  <c r="E58" i="5"/>
  <c r="E55" i="5"/>
  <c r="E54" i="5"/>
  <c r="E53" i="5"/>
  <c r="E52" i="5"/>
  <c r="E51" i="5"/>
  <c r="E50" i="5"/>
  <c r="E49" i="5"/>
  <c r="E48" i="5"/>
  <c r="E16" i="5" s="1"/>
  <c r="E17" i="5" s="1"/>
  <c r="E23" i="5" s="1"/>
  <c r="E47" i="5"/>
  <c r="E46" i="5"/>
  <c r="E44" i="5"/>
  <c r="E43" i="5"/>
  <c r="E42" i="5"/>
  <c r="E41" i="5"/>
  <c r="E40" i="5"/>
  <c r="E39" i="5"/>
  <c r="E38" i="5"/>
  <c r="E37" i="5"/>
  <c r="E36" i="5"/>
  <c r="E35" i="5"/>
  <c r="E34" i="5"/>
  <c r="E33" i="5"/>
  <c r="E32" i="5"/>
  <c r="E31" i="5"/>
  <c r="E30" i="5"/>
  <c r="E29" i="5"/>
  <c r="E28" i="5"/>
  <c r="E27" i="5"/>
  <c r="E26" i="5"/>
  <c r="E22" i="5"/>
  <c r="E20" i="5"/>
  <c r="E21" i="5" s="1"/>
  <c r="E19" i="5"/>
  <c r="E18" i="5"/>
  <c r="E15" i="5"/>
  <c r="E14" i="5"/>
  <c r="E13" i="5"/>
  <c r="E11" i="5"/>
  <c r="E12" i="5" s="1"/>
  <c r="E10" i="5"/>
  <c r="E9" i="5"/>
  <c r="E8" i="5"/>
  <c r="E7" i="5"/>
  <c r="E6" i="5"/>
  <c r="E5" i="5"/>
  <c r="E4" i="5"/>
  <c r="CX232" i="1"/>
  <c r="CW232" i="1"/>
  <c r="CV232" i="1"/>
  <c r="CU232" i="1"/>
  <c r="CT232" i="1"/>
  <c r="CS232" i="1"/>
  <c r="CR232" i="1"/>
  <c r="CQ232" i="1"/>
  <c r="CP232" i="1"/>
  <c r="CO232" i="1"/>
  <c r="CN232" i="1"/>
  <c r="CX231" i="1"/>
  <c r="CW231" i="1"/>
  <c r="CV231" i="1"/>
  <c r="CU231" i="1"/>
  <c r="CT231" i="1"/>
  <c r="CS231" i="1"/>
  <c r="CR231" i="1"/>
  <c r="CQ231" i="1"/>
  <c r="CP231" i="1"/>
  <c r="CO231" i="1"/>
  <c r="CN231" i="1"/>
  <c r="CX230" i="1"/>
  <c r="CW230" i="1"/>
  <c r="CV230" i="1"/>
  <c r="CU230" i="1"/>
  <c r="CT230" i="1"/>
  <c r="CS230" i="1"/>
  <c r="CR230" i="1"/>
  <c r="CQ230" i="1"/>
  <c r="CP230" i="1"/>
  <c r="CO230" i="1"/>
  <c r="CN230" i="1"/>
  <c r="CX229" i="1"/>
  <c r="CW229" i="1"/>
  <c r="CV229" i="1"/>
  <c r="CU229" i="1"/>
  <c r="CT229" i="1"/>
  <c r="CS229" i="1"/>
  <c r="CR229" i="1"/>
  <c r="CQ229" i="1"/>
  <c r="CP229" i="1"/>
  <c r="CO229" i="1"/>
  <c r="CN229" i="1"/>
  <c r="CX228" i="1"/>
  <c r="CW228" i="1"/>
  <c r="CV228" i="1"/>
  <c r="CU228" i="1"/>
  <c r="CT228" i="1"/>
  <c r="CS228" i="1"/>
  <c r="CR228" i="1"/>
  <c r="CQ228" i="1"/>
  <c r="CP228" i="1"/>
  <c r="CO228" i="1"/>
  <c r="CN228" i="1"/>
  <c r="CX227" i="1"/>
  <c r="CW227" i="1"/>
  <c r="CV227" i="1"/>
  <c r="CU227" i="1"/>
  <c r="CT227" i="1"/>
  <c r="CS227" i="1"/>
  <c r="CR227" i="1"/>
  <c r="CQ227" i="1"/>
  <c r="CP227" i="1"/>
  <c r="CO227" i="1"/>
  <c r="CN227" i="1"/>
  <c r="CX226" i="1"/>
  <c r="CW226" i="1"/>
  <c r="CV226" i="1"/>
  <c r="CU226" i="1"/>
  <c r="CT226" i="1"/>
  <c r="CS226" i="1"/>
  <c r="CR226" i="1"/>
  <c r="CQ226" i="1"/>
  <c r="CP226" i="1"/>
  <c r="CO226" i="1"/>
  <c r="CN226" i="1"/>
  <c r="CX225" i="1"/>
  <c r="CW225" i="1"/>
  <c r="CV225" i="1"/>
  <c r="CU225" i="1"/>
  <c r="CT225" i="1"/>
  <c r="CS225" i="1"/>
  <c r="CR225" i="1"/>
  <c r="CQ225" i="1"/>
  <c r="CP225" i="1"/>
  <c r="CO225" i="1"/>
  <c r="CN225" i="1"/>
  <c r="CX224" i="1"/>
  <c r="CW224" i="1"/>
  <c r="CV224" i="1"/>
  <c r="CU224" i="1"/>
  <c r="CT224" i="1"/>
  <c r="CS224" i="1"/>
  <c r="CR224" i="1"/>
  <c r="CQ224" i="1"/>
  <c r="CP224" i="1"/>
  <c r="CO224" i="1"/>
  <c r="CN224" i="1"/>
  <c r="CX223" i="1"/>
  <c r="CW223" i="1"/>
  <c r="CV223" i="1"/>
  <c r="CU223" i="1"/>
  <c r="CT223" i="1"/>
  <c r="CS223" i="1"/>
  <c r="CR223" i="1"/>
  <c r="CQ223" i="1"/>
  <c r="CP223" i="1"/>
  <c r="CO223" i="1"/>
  <c r="CN223" i="1"/>
  <c r="CX222" i="1"/>
  <c r="CW222" i="1"/>
  <c r="CV222" i="1"/>
  <c r="CU222" i="1"/>
  <c r="CT222" i="1"/>
  <c r="CS222" i="1"/>
  <c r="CR222" i="1"/>
  <c r="CQ222" i="1"/>
  <c r="CP222" i="1"/>
  <c r="CO222" i="1"/>
  <c r="CN222" i="1"/>
  <c r="CX221" i="1"/>
  <c r="CW221" i="1"/>
  <c r="CV221" i="1"/>
  <c r="CU221" i="1"/>
  <c r="CT221" i="1"/>
  <c r="CS221" i="1"/>
  <c r="CR221" i="1"/>
  <c r="CQ221" i="1"/>
  <c r="CP221" i="1"/>
  <c r="CO221" i="1"/>
  <c r="CN221" i="1"/>
  <c r="CX220" i="1"/>
  <c r="CW220" i="1"/>
  <c r="CV220" i="1"/>
  <c r="CU220" i="1"/>
  <c r="CT220" i="1"/>
  <c r="CS220" i="1"/>
  <c r="CR220" i="1"/>
  <c r="CQ220" i="1"/>
  <c r="CP220" i="1"/>
  <c r="CO220" i="1"/>
  <c r="CN220" i="1"/>
  <c r="CX219" i="1"/>
  <c r="CW219" i="1"/>
  <c r="CV219" i="1"/>
  <c r="CU219" i="1"/>
  <c r="CT219" i="1"/>
  <c r="CS219" i="1"/>
  <c r="CR219" i="1"/>
  <c r="CQ219" i="1"/>
  <c r="CP219" i="1"/>
  <c r="CO219" i="1"/>
  <c r="CN219" i="1"/>
  <c r="CX218" i="1"/>
  <c r="CW218" i="1"/>
  <c r="CV218" i="1"/>
  <c r="CU218" i="1"/>
  <c r="CT218" i="1"/>
  <c r="CS218" i="1"/>
  <c r="CR218" i="1"/>
  <c r="CQ218" i="1"/>
  <c r="CP218" i="1"/>
  <c r="CO218" i="1"/>
  <c r="CN218" i="1"/>
  <c r="CX217" i="1"/>
  <c r="CW217" i="1"/>
  <c r="CV217" i="1"/>
  <c r="CU217" i="1"/>
  <c r="CT217" i="1"/>
  <c r="CS217" i="1"/>
  <c r="CR217" i="1"/>
  <c r="CQ217" i="1"/>
  <c r="CP217" i="1"/>
  <c r="CO217" i="1"/>
  <c r="CN217" i="1"/>
  <c r="CX216" i="1"/>
  <c r="CW216" i="1"/>
  <c r="CV216" i="1"/>
  <c r="CU216" i="1"/>
  <c r="CT216" i="1"/>
  <c r="CS216" i="1"/>
  <c r="CR216" i="1"/>
  <c r="CQ216" i="1"/>
  <c r="CP216" i="1"/>
  <c r="CO216" i="1"/>
  <c r="CN216" i="1"/>
  <c r="CX215" i="1"/>
  <c r="CW215" i="1"/>
  <c r="CV215" i="1"/>
  <c r="CU215" i="1"/>
  <c r="CT215" i="1"/>
  <c r="CS215" i="1"/>
  <c r="CR215" i="1"/>
  <c r="CQ215" i="1"/>
  <c r="CP215" i="1"/>
  <c r="CO215" i="1"/>
  <c r="CN215" i="1"/>
  <c r="CX214" i="1"/>
  <c r="CW214" i="1"/>
  <c r="CV214" i="1"/>
  <c r="CU214" i="1"/>
  <c r="CT214" i="1"/>
  <c r="CS214" i="1"/>
  <c r="CR214" i="1"/>
  <c r="CQ214" i="1"/>
  <c r="CP214" i="1"/>
  <c r="CO214" i="1"/>
  <c r="CN214" i="1"/>
  <c r="CX213" i="1"/>
  <c r="CW213" i="1"/>
  <c r="CV213" i="1"/>
  <c r="CU213" i="1"/>
  <c r="CT213" i="1"/>
  <c r="CS213" i="1"/>
  <c r="CR213" i="1"/>
  <c r="CQ213" i="1"/>
  <c r="CP213" i="1"/>
  <c r="CO213" i="1"/>
  <c r="CN213" i="1"/>
  <c r="CX212" i="1"/>
  <c r="CW212" i="1"/>
  <c r="CV212" i="1"/>
  <c r="CU212" i="1"/>
  <c r="CT212" i="1"/>
  <c r="CS212" i="1"/>
  <c r="CR212" i="1"/>
  <c r="CQ212" i="1"/>
  <c r="CP212" i="1"/>
  <c r="CO212" i="1"/>
  <c r="CN212" i="1"/>
  <c r="CX211" i="1"/>
  <c r="CW211" i="1"/>
  <c r="CV211" i="1"/>
  <c r="CU211" i="1"/>
  <c r="CT211" i="1"/>
  <c r="CS211" i="1"/>
  <c r="CR211" i="1"/>
  <c r="CQ211" i="1"/>
  <c r="CP211" i="1"/>
  <c r="CO211" i="1"/>
  <c r="CN211" i="1"/>
  <c r="CX210" i="1"/>
  <c r="CW210" i="1"/>
  <c r="CV210" i="1"/>
  <c r="CU210" i="1"/>
  <c r="CT210" i="1"/>
  <c r="CS210" i="1"/>
  <c r="CR210" i="1"/>
  <c r="CQ210" i="1"/>
  <c r="CP210" i="1"/>
  <c r="CO210" i="1"/>
  <c r="CN210" i="1"/>
  <c r="CX209" i="1"/>
  <c r="CW209" i="1"/>
  <c r="CV209" i="1"/>
  <c r="CU209" i="1"/>
  <c r="CT209" i="1"/>
  <c r="CS209" i="1"/>
  <c r="CR209" i="1"/>
  <c r="CQ209" i="1"/>
  <c r="CP209" i="1"/>
  <c r="CO209" i="1"/>
  <c r="CN209" i="1"/>
  <c r="CX208" i="1"/>
  <c r="CW208" i="1"/>
  <c r="CV208" i="1"/>
  <c r="CU208" i="1"/>
  <c r="CT208" i="1"/>
  <c r="CS208" i="1"/>
  <c r="CR208" i="1"/>
  <c r="CQ208" i="1"/>
  <c r="CP208" i="1"/>
  <c r="CO208" i="1"/>
  <c r="CN208" i="1"/>
  <c r="CX207" i="1"/>
  <c r="CW207" i="1"/>
  <c r="CV207" i="1"/>
  <c r="CU207" i="1"/>
  <c r="CT207" i="1"/>
  <c r="CS207" i="1"/>
  <c r="CR207" i="1"/>
  <c r="CQ207" i="1"/>
  <c r="CP207" i="1"/>
  <c r="CO207" i="1"/>
  <c r="CN207" i="1"/>
  <c r="CX206" i="1"/>
  <c r="CW206" i="1"/>
  <c r="CV206" i="1"/>
  <c r="CU206" i="1"/>
  <c r="CT206" i="1"/>
  <c r="CS206" i="1"/>
  <c r="CR206" i="1"/>
  <c r="CQ206" i="1"/>
  <c r="CP206" i="1"/>
  <c r="CO206" i="1"/>
  <c r="CN206" i="1"/>
  <c r="CX205" i="1"/>
  <c r="CW205" i="1"/>
  <c r="CV205" i="1"/>
  <c r="CU205" i="1"/>
  <c r="CT205" i="1"/>
  <c r="CS205" i="1"/>
  <c r="CR205" i="1"/>
  <c r="CQ205" i="1"/>
  <c r="CP205" i="1"/>
  <c r="CO205" i="1"/>
  <c r="CN205" i="1"/>
  <c r="CX203" i="1"/>
  <c r="CW203" i="1"/>
  <c r="CV203" i="1"/>
  <c r="CU203" i="1"/>
  <c r="CT203" i="1"/>
  <c r="CS203" i="1"/>
  <c r="CR203" i="1"/>
  <c r="CQ203" i="1"/>
  <c r="CP203" i="1"/>
  <c r="CO203" i="1"/>
  <c r="CN203" i="1"/>
  <c r="CX202" i="1"/>
  <c r="CW202" i="1"/>
  <c r="CV202" i="1"/>
  <c r="CU202" i="1"/>
  <c r="CT202" i="1"/>
  <c r="CS202" i="1"/>
  <c r="CR202" i="1"/>
  <c r="CQ202" i="1"/>
  <c r="CP202" i="1"/>
  <c r="CO202" i="1"/>
  <c r="CN202" i="1"/>
  <c r="CX201" i="1"/>
  <c r="CW201" i="1"/>
  <c r="CV201" i="1"/>
  <c r="CU201" i="1"/>
  <c r="CT201" i="1"/>
  <c r="CS201" i="1"/>
  <c r="CR201" i="1"/>
  <c r="CQ201" i="1"/>
  <c r="CP201" i="1"/>
  <c r="CO201" i="1"/>
  <c r="CN201" i="1"/>
  <c r="CX200" i="1"/>
  <c r="CW200" i="1"/>
  <c r="CV200" i="1"/>
  <c r="CU200" i="1"/>
  <c r="CT200" i="1"/>
  <c r="CS200" i="1"/>
  <c r="CR200" i="1"/>
  <c r="CQ200" i="1"/>
  <c r="CP200" i="1"/>
  <c r="CO200" i="1"/>
  <c r="CN200" i="1"/>
  <c r="CX199" i="1"/>
  <c r="CW199" i="1"/>
  <c r="CV199" i="1"/>
  <c r="CU199" i="1"/>
  <c r="CT199" i="1"/>
  <c r="CS199" i="1"/>
  <c r="CR199" i="1"/>
  <c r="CQ199" i="1"/>
  <c r="CP199" i="1"/>
  <c r="CO199" i="1"/>
  <c r="CN199" i="1"/>
  <c r="CX198" i="1"/>
  <c r="CW198" i="1"/>
  <c r="CV198" i="1"/>
  <c r="CU198" i="1"/>
  <c r="CT198" i="1"/>
  <c r="CS198" i="1"/>
  <c r="CR198" i="1"/>
  <c r="CQ198" i="1"/>
  <c r="CP198" i="1"/>
  <c r="CO198" i="1"/>
  <c r="CN198" i="1"/>
  <c r="CX197" i="1"/>
  <c r="CW197" i="1"/>
  <c r="CV197" i="1"/>
  <c r="CU197" i="1"/>
  <c r="CT197" i="1"/>
  <c r="CS197" i="1"/>
  <c r="CR197" i="1"/>
  <c r="CQ197" i="1"/>
  <c r="CP197" i="1"/>
  <c r="CO197" i="1"/>
  <c r="CN197" i="1"/>
  <c r="CX194" i="1"/>
  <c r="CW194" i="1"/>
  <c r="CV194" i="1"/>
  <c r="CU194" i="1"/>
  <c r="CT194" i="1"/>
  <c r="CS194" i="1"/>
  <c r="CR194" i="1"/>
  <c r="CQ194" i="1"/>
  <c r="CP194" i="1"/>
  <c r="CO194" i="1"/>
  <c r="CN194" i="1"/>
  <c r="CX193" i="1"/>
  <c r="CW193" i="1"/>
  <c r="CV193" i="1"/>
  <c r="CU193" i="1"/>
  <c r="CT193" i="1"/>
  <c r="CS193" i="1"/>
  <c r="CR193" i="1"/>
  <c r="CQ193" i="1"/>
  <c r="CP193" i="1"/>
  <c r="CO193" i="1"/>
  <c r="CN193" i="1"/>
  <c r="CX192" i="1"/>
  <c r="CW192" i="1"/>
  <c r="CV192" i="1"/>
  <c r="CU192" i="1"/>
  <c r="CT192" i="1"/>
  <c r="CS192" i="1"/>
  <c r="CR192" i="1"/>
  <c r="CQ192" i="1"/>
  <c r="CP192" i="1"/>
  <c r="CO192" i="1"/>
  <c r="CN192" i="1"/>
  <c r="CX191" i="1"/>
  <c r="CW191" i="1"/>
  <c r="CV191" i="1"/>
  <c r="CU191" i="1"/>
  <c r="CT191" i="1"/>
  <c r="CS191" i="1"/>
  <c r="CR191" i="1"/>
  <c r="CQ191" i="1"/>
  <c r="CP191" i="1"/>
  <c r="CO191" i="1"/>
  <c r="CN191" i="1"/>
  <c r="CX190" i="1"/>
  <c r="CW190" i="1"/>
  <c r="CV190" i="1"/>
  <c r="CU190" i="1"/>
  <c r="CT190" i="1"/>
  <c r="CS190" i="1"/>
  <c r="CR190" i="1"/>
  <c r="CQ190" i="1"/>
  <c r="CP190" i="1"/>
  <c r="CO190" i="1"/>
  <c r="CN190" i="1"/>
  <c r="CX189" i="1"/>
  <c r="CW189" i="1"/>
  <c r="CV189" i="1"/>
  <c r="CU189" i="1"/>
  <c r="CT189" i="1"/>
  <c r="CS189" i="1"/>
  <c r="CR189" i="1"/>
  <c r="CQ189" i="1"/>
  <c r="CP189" i="1"/>
  <c r="CO189" i="1"/>
  <c r="CN189" i="1"/>
  <c r="CX188" i="1"/>
  <c r="CW188" i="1"/>
  <c r="CV188" i="1"/>
  <c r="CU188" i="1"/>
  <c r="CT188" i="1"/>
  <c r="CS188" i="1"/>
  <c r="CR188" i="1"/>
  <c r="CQ188" i="1"/>
  <c r="CP188" i="1"/>
  <c r="CO188" i="1"/>
  <c r="CN188" i="1"/>
  <c r="CX187" i="1"/>
  <c r="CW187" i="1"/>
  <c r="CV187" i="1"/>
  <c r="CU187" i="1"/>
  <c r="CT187" i="1"/>
  <c r="CS187" i="1"/>
  <c r="CR187" i="1"/>
  <c r="CQ187" i="1"/>
  <c r="CP187" i="1"/>
  <c r="CO187" i="1"/>
  <c r="CN187" i="1"/>
  <c r="CX186" i="1"/>
  <c r="CW186" i="1"/>
  <c r="CV186" i="1"/>
  <c r="CU186" i="1"/>
  <c r="CT186" i="1"/>
  <c r="CS186" i="1"/>
  <c r="CR186" i="1"/>
  <c r="CQ186" i="1"/>
  <c r="CP186" i="1"/>
  <c r="CO186" i="1"/>
  <c r="CN186" i="1"/>
  <c r="CX185" i="1"/>
  <c r="CW185" i="1"/>
  <c r="CV185" i="1"/>
  <c r="CU185" i="1"/>
  <c r="CT185" i="1"/>
  <c r="CS185" i="1"/>
  <c r="CR185" i="1"/>
  <c r="CQ185" i="1"/>
  <c r="CP185" i="1"/>
  <c r="CO185" i="1"/>
  <c r="CN185" i="1"/>
  <c r="CX184" i="1"/>
  <c r="CW184" i="1"/>
  <c r="CV184" i="1"/>
  <c r="CU184" i="1"/>
  <c r="CT184" i="1"/>
  <c r="CS184" i="1"/>
  <c r="CR184" i="1"/>
  <c r="CQ184" i="1"/>
  <c r="CP184" i="1"/>
  <c r="CO184" i="1"/>
  <c r="CN184" i="1"/>
  <c r="CX183" i="1"/>
  <c r="CW183" i="1"/>
  <c r="CV183" i="1"/>
  <c r="CU183" i="1"/>
  <c r="CT183" i="1"/>
  <c r="CS183" i="1"/>
  <c r="CR183" i="1"/>
  <c r="CQ183" i="1"/>
  <c r="CP183" i="1"/>
  <c r="CO183" i="1"/>
  <c r="CN183" i="1"/>
  <c r="CX182" i="1"/>
  <c r="CW182" i="1"/>
  <c r="CV182" i="1"/>
  <c r="CU182" i="1"/>
  <c r="CT182" i="1"/>
  <c r="CS182" i="1"/>
  <c r="CR182" i="1"/>
  <c r="CQ182" i="1"/>
  <c r="CP182" i="1"/>
  <c r="CO182" i="1"/>
  <c r="CN182" i="1"/>
  <c r="CX181" i="1"/>
  <c r="CW181" i="1"/>
  <c r="CV181" i="1"/>
  <c r="CU181" i="1"/>
  <c r="CT181" i="1"/>
  <c r="CS181" i="1"/>
  <c r="CR181" i="1"/>
  <c r="CQ181" i="1"/>
  <c r="CP181" i="1"/>
  <c r="CO181" i="1"/>
  <c r="CN181" i="1"/>
  <c r="CX180" i="1"/>
  <c r="CW180" i="1"/>
  <c r="CV180" i="1"/>
  <c r="CU180" i="1"/>
  <c r="CT180" i="1"/>
  <c r="CS180" i="1"/>
  <c r="CR180" i="1"/>
  <c r="CQ180" i="1"/>
  <c r="CP180" i="1"/>
  <c r="CO180" i="1"/>
  <c r="CN180" i="1"/>
  <c r="CX178" i="1"/>
  <c r="CW178" i="1"/>
  <c r="CV178" i="1"/>
  <c r="CU178" i="1"/>
  <c r="CT178" i="1"/>
  <c r="CS178" i="1"/>
  <c r="CR178" i="1"/>
  <c r="CQ178" i="1"/>
  <c r="CP178" i="1"/>
  <c r="CO178" i="1"/>
  <c r="CN178" i="1"/>
  <c r="CX177" i="1"/>
  <c r="CW177" i="1"/>
  <c r="CV177" i="1"/>
  <c r="CU177" i="1"/>
  <c r="CT177" i="1"/>
  <c r="CS177" i="1"/>
  <c r="CR177" i="1"/>
  <c r="CQ177" i="1"/>
  <c r="CP177" i="1"/>
  <c r="CO177" i="1"/>
  <c r="CN177" i="1"/>
  <c r="CX176" i="1"/>
  <c r="CW176" i="1"/>
  <c r="CV176" i="1"/>
  <c r="CU176" i="1"/>
  <c r="CT176" i="1"/>
  <c r="CS176" i="1"/>
  <c r="CR176" i="1"/>
  <c r="CQ176" i="1"/>
  <c r="CP176" i="1"/>
  <c r="CO176" i="1"/>
  <c r="CN176" i="1"/>
  <c r="CX175" i="1"/>
  <c r="CW175" i="1"/>
  <c r="CV175" i="1"/>
  <c r="CU175" i="1"/>
  <c r="CT175" i="1"/>
  <c r="CS175" i="1"/>
  <c r="CR175" i="1"/>
  <c r="CQ175" i="1"/>
  <c r="CP175" i="1"/>
  <c r="CO175" i="1"/>
  <c r="CN175" i="1"/>
  <c r="CX174" i="1"/>
  <c r="CW174" i="1"/>
  <c r="CV174" i="1"/>
  <c r="CU174" i="1"/>
  <c r="CT174" i="1"/>
  <c r="CS174" i="1"/>
  <c r="CR174" i="1"/>
  <c r="CQ174" i="1"/>
  <c r="CP174" i="1"/>
  <c r="CO174" i="1"/>
  <c r="CN174" i="1"/>
  <c r="CX173" i="1"/>
  <c r="CW173" i="1"/>
  <c r="CV173" i="1"/>
  <c r="CU173" i="1"/>
  <c r="CT173" i="1"/>
  <c r="CS173" i="1"/>
  <c r="CR173" i="1"/>
  <c r="CQ173" i="1"/>
  <c r="CP173" i="1"/>
  <c r="CO173" i="1"/>
  <c r="CN173" i="1"/>
  <c r="CX172" i="1"/>
  <c r="CW172" i="1"/>
  <c r="CV172" i="1"/>
  <c r="CU172" i="1"/>
  <c r="CT172" i="1"/>
  <c r="CS172" i="1"/>
  <c r="CR172" i="1"/>
  <c r="CQ172" i="1"/>
  <c r="CP172" i="1"/>
  <c r="CO172" i="1"/>
  <c r="CN172" i="1"/>
  <c r="CX171" i="1"/>
  <c r="CW171" i="1"/>
  <c r="CV171" i="1"/>
  <c r="CU171" i="1"/>
  <c r="CT171" i="1"/>
  <c r="CS171" i="1"/>
  <c r="CR171" i="1"/>
  <c r="CQ171" i="1"/>
  <c r="CP171" i="1"/>
  <c r="CO171" i="1"/>
  <c r="CN171" i="1"/>
  <c r="CX170" i="1"/>
  <c r="CW170" i="1"/>
  <c r="CV170" i="1"/>
  <c r="CU170" i="1"/>
  <c r="CT170" i="1"/>
  <c r="CS170" i="1"/>
  <c r="CR170" i="1"/>
  <c r="CQ170" i="1"/>
  <c r="CP170" i="1"/>
  <c r="CO170" i="1"/>
  <c r="CN170" i="1"/>
  <c r="CX169" i="1"/>
  <c r="CW169" i="1"/>
  <c r="CV169" i="1"/>
  <c r="CU169" i="1"/>
  <c r="CT169" i="1"/>
  <c r="CS169" i="1"/>
  <c r="CR169" i="1"/>
  <c r="CQ169" i="1"/>
  <c r="CP169" i="1"/>
  <c r="CO169" i="1"/>
  <c r="CN169" i="1"/>
  <c r="CX168" i="1"/>
  <c r="CW168" i="1"/>
  <c r="CV168" i="1"/>
  <c r="CU168" i="1"/>
  <c r="CT168" i="1"/>
  <c r="CS168" i="1"/>
  <c r="CR168" i="1"/>
  <c r="CQ168" i="1"/>
  <c r="CP168" i="1"/>
  <c r="CO168" i="1"/>
  <c r="CN168" i="1"/>
  <c r="CX167" i="1"/>
  <c r="CW167" i="1"/>
  <c r="CV167" i="1"/>
  <c r="CU167" i="1"/>
  <c r="CT167" i="1"/>
  <c r="CS167" i="1"/>
  <c r="CR167" i="1"/>
  <c r="CQ167" i="1"/>
  <c r="CP167" i="1"/>
  <c r="CO167" i="1"/>
  <c r="CN167" i="1"/>
  <c r="CX166" i="1"/>
  <c r="CW166" i="1"/>
  <c r="CV166" i="1"/>
  <c r="CU166" i="1"/>
  <c r="CT166" i="1"/>
  <c r="CS166" i="1"/>
  <c r="CR166" i="1"/>
  <c r="CQ166" i="1"/>
  <c r="CP166" i="1"/>
  <c r="CO166" i="1"/>
  <c r="CN166" i="1"/>
  <c r="CX165" i="1"/>
  <c r="CW165" i="1"/>
  <c r="CV165" i="1"/>
  <c r="CU165" i="1"/>
  <c r="CT165" i="1"/>
  <c r="CS165" i="1"/>
  <c r="CR165" i="1"/>
  <c r="CQ165" i="1"/>
  <c r="CP165" i="1"/>
  <c r="CO165" i="1"/>
  <c r="CN165" i="1"/>
  <c r="CX164" i="1"/>
  <c r="CW164" i="1"/>
  <c r="CV164" i="1"/>
  <c r="CU164" i="1"/>
  <c r="CT164" i="1"/>
  <c r="CS164" i="1"/>
  <c r="CR164" i="1"/>
  <c r="CQ164" i="1"/>
  <c r="CP164" i="1"/>
  <c r="CO164" i="1"/>
  <c r="CN164" i="1"/>
  <c r="CX163" i="1"/>
  <c r="CW163" i="1"/>
  <c r="CV163" i="1"/>
  <c r="CU163" i="1"/>
  <c r="CT163" i="1"/>
  <c r="CS163" i="1"/>
  <c r="CR163" i="1"/>
  <c r="CQ163" i="1"/>
  <c r="CP163" i="1"/>
  <c r="CO163" i="1"/>
  <c r="CN163" i="1"/>
  <c r="CX160" i="1"/>
  <c r="CW160" i="1"/>
  <c r="CV160" i="1"/>
  <c r="CU160" i="1"/>
  <c r="CT160" i="1"/>
  <c r="CS160" i="1"/>
  <c r="CR160" i="1"/>
  <c r="CQ160" i="1"/>
  <c r="CP160" i="1"/>
  <c r="CO160" i="1"/>
  <c r="CN160" i="1"/>
  <c r="CX159" i="1"/>
  <c r="CW159" i="1"/>
  <c r="CV159" i="1"/>
  <c r="CU159" i="1"/>
  <c r="CT159" i="1"/>
  <c r="CS159" i="1"/>
  <c r="CR159" i="1"/>
  <c r="CQ159" i="1"/>
  <c r="CP159" i="1"/>
  <c r="CO159" i="1"/>
  <c r="CN159" i="1"/>
  <c r="CX158" i="1"/>
  <c r="CW158" i="1"/>
  <c r="CV158" i="1"/>
  <c r="CU158" i="1"/>
  <c r="CT158" i="1"/>
  <c r="CS158" i="1"/>
  <c r="CR158" i="1"/>
  <c r="CQ158" i="1"/>
  <c r="CP158" i="1"/>
  <c r="CO158" i="1"/>
  <c r="CN158" i="1"/>
  <c r="CX157" i="1"/>
  <c r="CW157" i="1"/>
  <c r="CV157" i="1"/>
  <c r="CU157" i="1"/>
  <c r="CT157" i="1"/>
  <c r="CS157" i="1"/>
  <c r="CR157" i="1"/>
  <c r="CQ157" i="1"/>
  <c r="CP157" i="1"/>
  <c r="CO157" i="1"/>
  <c r="CN157" i="1"/>
  <c r="CX153" i="1"/>
  <c r="CW153" i="1"/>
  <c r="CV153" i="1"/>
  <c r="CU153" i="1"/>
  <c r="CT153" i="1"/>
  <c r="CS153" i="1"/>
  <c r="CR153" i="1"/>
  <c r="CQ153" i="1"/>
  <c r="CP153" i="1"/>
  <c r="CO153" i="1"/>
  <c r="CN153" i="1"/>
  <c r="CX152" i="1"/>
  <c r="CW152" i="1"/>
  <c r="CV152" i="1"/>
  <c r="CU152" i="1"/>
  <c r="CT152" i="1"/>
  <c r="CS152" i="1"/>
  <c r="CR152" i="1"/>
  <c r="CQ152" i="1"/>
  <c r="CP152" i="1"/>
  <c r="CO152" i="1"/>
  <c r="CN152" i="1"/>
  <c r="CX151" i="1"/>
  <c r="CW151" i="1"/>
  <c r="CV151" i="1"/>
  <c r="CU151" i="1"/>
  <c r="CT151" i="1"/>
  <c r="CS151" i="1"/>
  <c r="CR151" i="1"/>
  <c r="CQ151" i="1"/>
  <c r="CP151" i="1"/>
  <c r="CO151" i="1"/>
  <c r="CN151" i="1"/>
  <c r="CX150" i="1"/>
  <c r="CW150" i="1"/>
  <c r="CV150" i="1"/>
  <c r="CU150" i="1"/>
  <c r="CT150" i="1"/>
  <c r="CS150" i="1"/>
  <c r="CR150" i="1"/>
  <c r="CQ150" i="1"/>
  <c r="CP150" i="1"/>
  <c r="CO150" i="1"/>
  <c r="CN150" i="1"/>
  <c r="CX149" i="1"/>
  <c r="CW149" i="1"/>
  <c r="CV149" i="1"/>
  <c r="CU149" i="1"/>
  <c r="CT149" i="1"/>
  <c r="CS149" i="1"/>
  <c r="CR149" i="1"/>
  <c r="CQ149" i="1"/>
  <c r="CP149" i="1"/>
  <c r="CO149" i="1"/>
  <c r="CN149" i="1"/>
  <c r="CX148" i="1"/>
  <c r="CW148" i="1"/>
  <c r="CV148" i="1"/>
  <c r="CU148" i="1"/>
  <c r="CT148" i="1"/>
  <c r="CS148" i="1"/>
  <c r="CR148" i="1"/>
  <c r="CQ148" i="1"/>
  <c r="CP148" i="1"/>
  <c r="CO148" i="1"/>
  <c r="CN148" i="1"/>
  <c r="CX147" i="1"/>
  <c r="CW147" i="1"/>
  <c r="CV147" i="1"/>
  <c r="CU147" i="1"/>
  <c r="CT147" i="1"/>
  <c r="CS147" i="1"/>
  <c r="CR147" i="1"/>
  <c r="CQ147" i="1"/>
  <c r="CP147" i="1"/>
  <c r="CO147" i="1"/>
  <c r="CN147" i="1"/>
  <c r="CX146" i="1"/>
  <c r="CW146" i="1"/>
  <c r="CV146" i="1"/>
  <c r="CU146" i="1"/>
  <c r="CT146" i="1"/>
  <c r="CS146" i="1"/>
  <c r="CR146" i="1"/>
  <c r="CQ146" i="1"/>
  <c r="CP146" i="1"/>
  <c r="CO146" i="1"/>
  <c r="CN146" i="1"/>
  <c r="CX142" i="1"/>
  <c r="CW142" i="1"/>
  <c r="CV142" i="1"/>
  <c r="CU142" i="1"/>
  <c r="CT142" i="1"/>
  <c r="CS142" i="1"/>
  <c r="CR142" i="1"/>
  <c r="CQ142" i="1"/>
  <c r="CP142" i="1"/>
  <c r="CO142" i="1"/>
  <c r="CN142" i="1"/>
  <c r="CX141" i="1"/>
  <c r="CW141" i="1"/>
  <c r="CV141" i="1"/>
  <c r="CU141" i="1"/>
  <c r="CT141" i="1"/>
  <c r="CS141" i="1"/>
  <c r="CR141" i="1"/>
  <c r="CQ141" i="1"/>
  <c r="CP141" i="1"/>
  <c r="CO141" i="1"/>
  <c r="CN141" i="1"/>
  <c r="CX140" i="1"/>
  <c r="CW140" i="1"/>
  <c r="CV140" i="1"/>
  <c r="CU140" i="1"/>
  <c r="CT140" i="1"/>
  <c r="CS140" i="1"/>
  <c r="CR140" i="1"/>
  <c r="CQ140" i="1"/>
  <c r="CP140" i="1"/>
  <c r="CO140" i="1"/>
  <c r="CN140" i="1"/>
  <c r="CX139" i="1"/>
  <c r="CW139" i="1"/>
  <c r="CV139" i="1"/>
  <c r="CU139" i="1"/>
  <c r="CT139" i="1"/>
  <c r="CS139" i="1"/>
  <c r="CR139" i="1"/>
  <c r="CQ139" i="1"/>
  <c r="CP139" i="1"/>
  <c r="CO139" i="1"/>
  <c r="CN139" i="1"/>
  <c r="CX138" i="1"/>
  <c r="CW138" i="1"/>
  <c r="CV138" i="1"/>
  <c r="CU138" i="1"/>
  <c r="CT138" i="1"/>
  <c r="CS138" i="1"/>
  <c r="CR138" i="1"/>
  <c r="CQ138" i="1"/>
  <c r="CP138" i="1"/>
  <c r="CO138" i="1"/>
  <c r="CN138" i="1"/>
  <c r="CX137" i="1"/>
  <c r="CW137" i="1"/>
  <c r="CV137" i="1"/>
  <c r="CU137" i="1"/>
  <c r="CT137" i="1"/>
  <c r="CS137" i="1"/>
  <c r="CR137" i="1"/>
  <c r="CQ137" i="1"/>
  <c r="CP137" i="1"/>
  <c r="CO137" i="1"/>
  <c r="CN137" i="1"/>
  <c r="CX136" i="1"/>
  <c r="CW136" i="1"/>
  <c r="CV136" i="1"/>
  <c r="CU136" i="1"/>
  <c r="CT136" i="1"/>
  <c r="CS136" i="1"/>
  <c r="CR136" i="1"/>
  <c r="CQ136" i="1"/>
  <c r="CP136" i="1"/>
  <c r="CO136" i="1"/>
  <c r="CN136" i="1"/>
  <c r="CX135" i="1"/>
  <c r="CW135" i="1"/>
  <c r="CV135" i="1"/>
  <c r="CU135" i="1"/>
  <c r="CT135" i="1"/>
  <c r="CS135" i="1"/>
  <c r="CR135" i="1"/>
  <c r="CQ135" i="1"/>
  <c r="CP135" i="1"/>
  <c r="CO135" i="1"/>
  <c r="CN135" i="1"/>
  <c r="CX134" i="1"/>
  <c r="CW134" i="1"/>
  <c r="CV134" i="1"/>
  <c r="CU134" i="1"/>
  <c r="CT134" i="1"/>
  <c r="CS134" i="1"/>
  <c r="CR134" i="1"/>
  <c r="CQ134" i="1"/>
  <c r="CP134" i="1"/>
  <c r="CO134" i="1"/>
  <c r="CN134" i="1"/>
  <c r="CX133" i="1"/>
  <c r="CW133" i="1"/>
  <c r="CV133" i="1"/>
  <c r="CU133" i="1"/>
  <c r="CT133" i="1"/>
  <c r="CS133" i="1"/>
  <c r="CR133" i="1"/>
  <c r="CQ133" i="1"/>
  <c r="CP133" i="1"/>
  <c r="CO133" i="1"/>
  <c r="CN133" i="1"/>
  <c r="CX132" i="1"/>
  <c r="CW132" i="1"/>
  <c r="CV132" i="1"/>
  <c r="CU132" i="1"/>
  <c r="CT132" i="1"/>
  <c r="CS132" i="1"/>
  <c r="CR132" i="1"/>
  <c r="CQ132" i="1"/>
  <c r="CP132" i="1"/>
  <c r="CO132" i="1"/>
  <c r="CN132" i="1"/>
  <c r="CX131" i="1"/>
  <c r="CW131" i="1"/>
  <c r="CV131" i="1"/>
  <c r="CU131" i="1"/>
  <c r="CT131" i="1"/>
  <c r="CS131" i="1"/>
  <c r="CR131" i="1"/>
  <c r="CQ131" i="1"/>
  <c r="CP131" i="1"/>
  <c r="CO131" i="1"/>
  <c r="CN131" i="1"/>
  <c r="CX130" i="1"/>
  <c r="CW130" i="1"/>
  <c r="CV130" i="1"/>
  <c r="CU130" i="1"/>
  <c r="CT130" i="1"/>
  <c r="CS130" i="1"/>
  <c r="CR130" i="1"/>
  <c r="CQ130" i="1"/>
  <c r="CP130" i="1"/>
  <c r="CO130" i="1"/>
  <c r="CN130" i="1"/>
  <c r="CX129" i="1"/>
  <c r="CW129" i="1"/>
  <c r="CV129" i="1"/>
  <c r="CU129" i="1"/>
  <c r="CT129" i="1"/>
  <c r="CS129" i="1"/>
  <c r="CR129" i="1"/>
  <c r="CQ129" i="1"/>
  <c r="CP129" i="1"/>
  <c r="CO129" i="1"/>
  <c r="CN129" i="1"/>
  <c r="CX128" i="1"/>
  <c r="CW128" i="1"/>
  <c r="CV128" i="1"/>
  <c r="CU128" i="1"/>
  <c r="CT128" i="1"/>
  <c r="CS128" i="1"/>
  <c r="CR128" i="1"/>
  <c r="CQ128" i="1"/>
  <c r="CP128" i="1"/>
  <c r="CO128" i="1"/>
  <c r="CN128" i="1"/>
  <c r="BR245" i="1"/>
  <c r="AS244" i="1"/>
  <c r="BQ243" i="1"/>
  <c r="AS243" i="1"/>
  <c r="AJ243" i="1"/>
  <c r="BP242" i="1"/>
  <c r="BO242" i="1"/>
  <c r="BN242" i="1"/>
  <c r="AS242" i="1"/>
  <c r="AJ242" i="1"/>
  <c r="AJ241" i="1"/>
  <c r="AS240" i="1"/>
  <c r="BR239" i="1"/>
  <c r="BQ239" i="1"/>
  <c r="BP239" i="1"/>
  <c r="BO239" i="1"/>
  <c r="BM239" i="1"/>
  <c r="BL239" i="1"/>
  <c r="BK239" i="1"/>
  <c r="BJ239" i="1"/>
  <c r="BF239" i="1"/>
  <c r="BE239" i="1"/>
  <c r="BD239" i="1"/>
  <c r="BC239" i="1"/>
  <c r="Z239" i="1"/>
  <c r="Y239" i="1"/>
  <c r="X239" i="1"/>
  <c r="W239" i="1"/>
  <c r="V239" i="1"/>
  <c r="U239" i="1"/>
  <c r="T239" i="1"/>
  <c r="S239" i="1"/>
  <c r="R239" i="1"/>
  <c r="Q239" i="1"/>
  <c r="P239" i="1"/>
  <c r="L239" i="1"/>
  <c r="K239" i="1"/>
  <c r="H239" i="1"/>
  <c r="CK238" i="1"/>
  <c r="CJ238" i="1"/>
  <c r="BQ238" i="1"/>
  <c r="Z238" i="1"/>
  <c r="Y238" i="1"/>
  <c r="X238" i="1"/>
  <c r="W238" i="1"/>
  <c r="V238" i="1"/>
  <c r="U238" i="1"/>
  <c r="T238" i="1"/>
  <c r="S238" i="1"/>
  <c r="R238" i="1"/>
  <c r="Q238" i="1"/>
  <c r="P238" i="1"/>
  <c r="L238" i="1"/>
  <c r="K238" i="1"/>
  <c r="H238" i="1"/>
  <c r="CG237" i="1"/>
  <c r="CF237" i="1"/>
  <c r="CA237" i="1"/>
  <c r="BN237" i="1"/>
  <c r="AP237" i="1"/>
  <c r="Z237" i="1"/>
  <c r="Y237" i="1"/>
  <c r="X237" i="1"/>
  <c r="W237" i="1"/>
  <c r="V237" i="1"/>
  <c r="U237" i="1"/>
  <c r="T237" i="1"/>
  <c r="S237" i="1"/>
  <c r="R237" i="1"/>
  <c r="Q237" i="1"/>
  <c r="P237" i="1"/>
  <c r="O237" i="1"/>
  <c r="N237" i="1"/>
  <c r="M237" i="1"/>
  <c r="L237" i="1"/>
  <c r="K237" i="1"/>
  <c r="J237" i="1"/>
  <c r="I237" i="1"/>
  <c r="H237" i="1"/>
  <c r="G237" i="1"/>
  <c r="F237" i="1"/>
  <c r="E237" i="1"/>
  <c r="CK236" i="1"/>
  <c r="CI236" i="1"/>
  <c r="CH236" i="1"/>
  <c r="CG236" i="1"/>
  <c r="CE236" i="1"/>
  <c r="BR236" i="1"/>
  <c r="AY236" i="1"/>
  <c r="AD236" i="1"/>
  <c r="AC236" i="1"/>
  <c r="AB236" i="1"/>
  <c r="CL232" i="1"/>
  <c r="CL230" i="1"/>
  <c r="CL229" i="1"/>
  <c r="CL228" i="1"/>
  <c r="CL226" i="1"/>
  <c r="CL224" i="1"/>
  <c r="CL223" i="1"/>
  <c r="CL222" i="1"/>
  <c r="CL211" i="1"/>
  <c r="CL210" i="1"/>
  <c r="CL209" i="1"/>
  <c r="CL208" i="1"/>
  <c r="CL207" i="1"/>
  <c r="CL206" i="1"/>
  <c r="CL203" i="1"/>
  <c r="CL202" i="1"/>
  <c r="CL201" i="1"/>
  <c r="CL200" i="1"/>
  <c r="CL199" i="1"/>
  <c r="CL198" i="1"/>
  <c r="CL197" i="1"/>
  <c r="CL186" i="1"/>
  <c r="CL185" i="1"/>
  <c r="CK232" i="1"/>
  <c r="CK231" i="1"/>
  <c r="CK230" i="1"/>
  <c r="CK229" i="1"/>
  <c r="CK228" i="1"/>
  <c r="CK227" i="1"/>
  <c r="CK226" i="1"/>
  <c r="CK225" i="1"/>
  <c r="CK224" i="1"/>
  <c r="CK223" i="1"/>
  <c r="CK222" i="1"/>
  <c r="CK221" i="1"/>
  <c r="CK220" i="1"/>
  <c r="CK219" i="1"/>
  <c r="CK218" i="1"/>
  <c r="CK217" i="1"/>
  <c r="CK216" i="1"/>
  <c r="CK215" i="1"/>
  <c r="CK214" i="1"/>
  <c r="CK213" i="1"/>
  <c r="CK212" i="1"/>
  <c r="CK211" i="1"/>
  <c r="CK210" i="1"/>
  <c r="CK209" i="1"/>
  <c r="CK208" i="1"/>
  <c r="CK207" i="1"/>
  <c r="CK206" i="1"/>
  <c r="CK205" i="1"/>
  <c r="CK204" i="1"/>
  <c r="CK203" i="1"/>
  <c r="CK202" i="1"/>
  <c r="CK201" i="1"/>
  <c r="CK200" i="1"/>
  <c r="CK199" i="1"/>
  <c r="CK198" i="1"/>
  <c r="CK197" i="1"/>
  <c r="CK196" i="1"/>
  <c r="CK195" i="1"/>
  <c r="CK194" i="1"/>
  <c r="CK193" i="1"/>
  <c r="CK192" i="1"/>
  <c r="CK191" i="1"/>
  <c r="CK190" i="1"/>
  <c r="CK189" i="1"/>
  <c r="CK188" i="1"/>
  <c r="CK187" i="1"/>
  <c r="CK186" i="1"/>
  <c r="CK185" i="1"/>
  <c r="CK184" i="1"/>
  <c r="CK183" i="1"/>
  <c r="CK182" i="1"/>
  <c r="CK181" i="1"/>
  <c r="CK180" i="1"/>
  <c r="CK179" i="1"/>
  <c r="CK178" i="1"/>
  <c r="CK177" i="1"/>
  <c r="CK176" i="1"/>
  <c r="CK175" i="1"/>
  <c r="CK174" i="1"/>
  <c r="CK173" i="1"/>
  <c r="CK172" i="1"/>
  <c r="CK171" i="1"/>
  <c r="CK170" i="1"/>
  <c r="CK169" i="1"/>
  <c r="CK168" i="1"/>
  <c r="CK167" i="1"/>
  <c r="CK166" i="1"/>
  <c r="CK165" i="1"/>
  <c r="CK164" i="1"/>
  <c r="CK163" i="1"/>
  <c r="CK162" i="1"/>
  <c r="CK161" i="1"/>
  <c r="CK160" i="1"/>
  <c r="CK159" i="1"/>
  <c r="CK158" i="1"/>
  <c r="CK157" i="1"/>
  <c r="CK156" i="1"/>
  <c r="CK155" i="1"/>
  <c r="CK154" i="1"/>
  <c r="CK153" i="1"/>
  <c r="CK152" i="1"/>
  <c r="CK151" i="1"/>
  <c r="CK150" i="1"/>
  <c r="CK149" i="1"/>
  <c r="CK148" i="1"/>
  <c r="CK147" i="1"/>
  <c r="CK146" i="1"/>
  <c r="CK145" i="1"/>
  <c r="CK144" i="1"/>
  <c r="CK143" i="1"/>
  <c r="CK142" i="1"/>
  <c r="CK141" i="1"/>
  <c r="CK140" i="1"/>
  <c r="CK139" i="1"/>
  <c r="CK138" i="1"/>
  <c r="CK137" i="1"/>
  <c r="CK136" i="1"/>
  <c r="CK135" i="1"/>
  <c r="CK134" i="1"/>
  <c r="CK133" i="1"/>
  <c r="CK132" i="1"/>
  <c r="CK131" i="1"/>
  <c r="CK130" i="1"/>
  <c r="CK129" i="1"/>
  <c r="CK128" i="1"/>
  <c r="CJ232" i="1"/>
  <c r="CJ231" i="1"/>
  <c r="CJ230" i="1"/>
  <c r="CJ229" i="1"/>
  <c r="CJ228" i="1"/>
  <c r="CJ227" i="1"/>
  <c r="CJ226" i="1"/>
  <c r="CJ225" i="1"/>
  <c r="CJ224" i="1"/>
  <c r="CJ223" i="1"/>
  <c r="CJ222" i="1"/>
  <c r="CJ221" i="1"/>
  <c r="CJ220" i="1"/>
  <c r="CJ219" i="1"/>
  <c r="CJ218" i="1"/>
  <c r="CJ217" i="1"/>
  <c r="CJ216" i="1"/>
  <c r="CJ215" i="1"/>
  <c r="CJ214" i="1"/>
  <c r="CJ213" i="1"/>
  <c r="CJ212" i="1"/>
  <c r="CJ211" i="1"/>
  <c r="CJ210" i="1"/>
  <c r="CJ209" i="1"/>
  <c r="CJ208" i="1"/>
  <c r="CJ207" i="1"/>
  <c r="CJ206" i="1"/>
  <c r="CJ205" i="1"/>
  <c r="CJ204" i="1"/>
  <c r="CJ203" i="1"/>
  <c r="CJ202" i="1"/>
  <c r="CJ201" i="1"/>
  <c r="CJ200" i="1"/>
  <c r="CJ199" i="1"/>
  <c r="CJ198" i="1"/>
  <c r="CJ197" i="1"/>
  <c r="CJ196" i="1"/>
  <c r="CJ195" i="1"/>
  <c r="CJ194" i="1"/>
  <c r="CJ193" i="1"/>
  <c r="CJ192" i="1"/>
  <c r="CJ191" i="1"/>
  <c r="CJ190" i="1"/>
  <c r="CJ189" i="1"/>
  <c r="CJ188" i="1"/>
  <c r="CJ187" i="1"/>
  <c r="CJ186" i="1"/>
  <c r="CJ185" i="1"/>
  <c r="CJ184" i="1"/>
  <c r="CJ183" i="1"/>
  <c r="CJ182" i="1"/>
  <c r="CJ181" i="1"/>
  <c r="CJ180" i="1"/>
  <c r="CJ179" i="1"/>
  <c r="CJ178" i="1"/>
  <c r="CJ177" i="1"/>
  <c r="CJ176" i="1"/>
  <c r="CJ175" i="1"/>
  <c r="CJ174" i="1"/>
  <c r="CJ173" i="1"/>
  <c r="CJ172" i="1"/>
  <c r="CJ171" i="1"/>
  <c r="CJ170" i="1"/>
  <c r="CJ169" i="1"/>
  <c r="CJ168" i="1"/>
  <c r="CJ167" i="1"/>
  <c r="CJ166" i="1"/>
  <c r="CJ165" i="1"/>
  <c r="CJ164" i="1"/>
  <c r="CJ163" i="1"/>
  <c r="CJ162" i="1"/>
  <c r="CJ161" i="1"/>
  <c r="CJ160" i="1"/>
  <c r="CJ159" i="1"/>
  <c r="CJ158" i="1"/>
  <c r="CJ157" i="1"/>
  <c r="CJ156" i="1"/>
  <c r="CJ155" i="1"/>
  <c r="CJ154" i="1"/>
  <c r="CJ153" i="1"/>
  <c r="CJ152" i="1"/>
  <c r="CJ151" i="1"/>
  <c r="CJ150" i="1"/>
  <c r="CJ149" i="1"/>
  <c r="CJ148" i="1"/>
  <c r="CJ147" i="1"/>
  <c r="CJ146" i="1"/>
  <c r="CJ145" i="1"/>
  <c r="CJ144" i="1"/>
  <c r="CJ143" i="1"/>
  <c r="CJ142" i="1"/>
  <c r="CJ141" i="1"/>
  <c r="CJ140" i="1"/>
  <c r="CJ139" i="1"/>
  <c r="CJ138" i="1"/>
  <c r="CJ137" i="1"/>
  <c r="CJ136" i="1"/>
  <c r="CJ135" i="1"/>
  <c r="CJ134" i="1"/>
  <c r="CJ133" i="1"/>
  <c r="CJ132" i="1"/>
  <c r="CJ131" i="1"/>
  <c r="CJ130" i="1"/>
  <c r="CJ129" i="1"/>
  <c r="CJ128"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I159" i="1"/>
  <c r="CI158" i="1"/>
  <c r="CI157" i="1"/>
  <c r="CI156" i="1"/>
  <c r="CI155" i="1"/>
  <c r="CI154" i="1"/>
  <c r="CI153" i="1"/>
  <c r="CI152" i="1"/>
  <c r="CI151" i="1"/>
  <c r="CI150" i="1"/>
  <c r="CI149" i="1"/>
  <c r="CI148" i="1"/>
  <c r="CI147" i="1"/>
  <c r="CI146" i="1"/>
  <c r="CI145" i="1"/>
  <c r="CI144" i="1"/>
  <c r="CI143" i="1"/>
  <c r="CI142" i="1"/>
  <c r="CI141" i="1"/>
  <c r="CI140" i="1"/>
  <c r="CI139" i="1"/>
  <c r="CI138" i="1"/>
  <c r="CI137" i="1"/>
  <c r="CI136" i="1"/>
  <c r="CI135" i="1"/>
  <c r="CI134" i="1"/>
  <c r="CI133" i="1"/>
  <c r="CI132" i="1"/>
  <c r="CI131" i="1"/>
  <c r="CI130" i="1"/>
  <c r="CI129" i="1"/>
  <c r="CI128" i="1"/>
  <c r="CH232" i="1"/>
  <c r="CH231" i="1"/>
  <c r="CH230" i="1"/>
  <c r="CH229" i="1"/>
  <c r="CH228" i="1"/>
  <c r="CH227" i="1"/>
  <c r="CH226" i="1"/>
  <c r="CH225" i="1"/>
  <c r="CH224" i="1"/>
  <c r="CH223" i="1"/>
  <c r="CH222" i="1"/>
  <c r="CH221" i="1"/>
  <c r="CH220" i="1"/>
  <c r="CH219" i="1"/>
  <c r="CH218" i="1"/>
  <c r="CH217" i="1"/>
  <c r="CH216" i="1"/>
  <c r="CH215" i="1"/>
  <c r="CH214" i="1"/>
  <c r="CH213" i="1"/>
  <c r="CH212" i="1"/>
  <c r="CH211" i="1"/>
  <c r="CH210" i="1"/>
  <c r="CH209" i="1"/>
  <c r="CH208" i="1"/>
  <c r="CH207"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H159" i="1"/>
  <c r="CH158" i="1"/>
  <c r="CH157" i="1"/>
  <c r="CH156" i="1"/>
  <c r="CH155" i="1"/>
  <c r="CH154" i="1"/>
  <c r="CH153" i="1"/>
  <c r="CH152" i="1"/>
  <c r="CH151" i="1"/>
  <c r="CH150" i="1"/>
  <c r="CH149" i="1"/>
  <c r="CH148" i="1"/>
  <c r="CH147" i="1"/>
  <c r="CH146" i="1"/>
  <c r="CH145" i="1"/>
  <c r="CH144" i="1"/>
  <c r="CH143" i="1"/>
  <c r="CH142" i="1"/>
  <c r="CH141" i="1"/>
  <c r="CH140" i="1"/>
  <c r="CH139" i="1"/>
  <c r="CH138" i="1"/>
  <c r="CH137" i="1"/>
  <c r="CH136" i="1"/>
  <c r="CH135" i="1"/>
  <c r="CH134" i="1"/>
  <c r="CH133" i="1"/>
  <c r="CH132" i="1"/>
  <c r="CH131" i="1"/>
  <c r="CH130" i="1"/>
  <c r="CH129" i="1"/>
  <c r="CH128" i="1"/>
  <c r="CG232" i="1"/>
  <c r="CG231" i="1"/>
  <c r="CG230" i="1"/>
  <c r="CG229" i="1"/>
  <c r="CG228" i="1"/>
  <c r="CG227" i="1"/>
  <c r="CG226" i="1"/>
  <c r="CG225" i="1"/>
  <c r="CG224" i="1"/>
  <c r="CG223" i="1"/>
  <c r="CG222" i="1"/>
  <c r="CG221" i="1"/>
  <c r="CG220" i="1"/>
  <c r="CG219" i="1"/>
  <c r="CG218" i="1"/>
  <c r="CG217" i="1"/>
  <c r="CG216" i="1"/>
  <c r="CG215" i="1"/>
  <c r="CG214" i="1"/>
  <c r="CG213" i="1"/>
  <c r="CG212" i="1"/>
  <c r="CG211" i="1"/>
  <c r="CG210" i="1"/>
  <c r="CG209" i="1"/>
  <c r="CG208" i="1"/>
  <c r="CG207" i="1"/>
  <c r="CG206" i="1"/>
  <c r="CG205" i="1"/>
  <c r="CG204" i="1"/>
  <c r="CG203" i="1"/>
  <c r="CG202" i="1"/>
  <c r="CG201" i="1"/>
  <c r="CG200" i="1"/>
  <c r="CG199" i="1"/>
  <c r="CG198" i="1"/>
  <c r="CG197" i="1"/>
  <c r="CG196" i="1"/>
  <c r="CG195" i="1"/>
  <c r="CG194" i="1"/>
  <c r="CG193" i="1"/>
  <c r="CG192" i="1"/>
  <c r="CG191" i="1"/>
  <c r="CG190" i="1"/>
  <c r="CG189" i="1"/>
  <c r="CG188" i="1"/>
  <c r="CG187" i="1"/>
  <c r="CG186" i="1"/>
  <c r="CG185" i="1"/>
  <c r="CG184" i="1"/>
  <c r="CG183" i="1"/>
  <c r="CG182" i="1"/>
  <c r="CG181" i="1"/>
  <c r="CG180" i="1"/>
  <c r="CG179" i="1"/>
  <c r="CG178" i="1"/>
  <c r="CG177" i="1"/>
  <c r="CG176" i="1"/>
  <c r="CG175" i="1"/>
  <c r="CG174" i="1"/>
  <c r="CG173" i="1"/>
  <c r="CG172" i="1"/>
  <c r="CG171" i="1"/>
  <c r="CG170" i="1"/>
  <c r="CG169" i="1"/>
  <c r="CG168" i="1"/>
  <c r="CG167" i="1"/>
  <c r="CG166" i="1"/>
  <c r="CG165" i="1"/>
  <c r="CG164" i="1"/>
  <c r="CG163" i="1"/>
  <c r="CG162" i="1"/>
  <c r="CG161" i="1"/>
  <c r="CG160" i="1"/>
  <c r="CG159" i="1"/>
  <c r="CG158" i="1"/>
  <c r="CG157" i="1"/>
  <c r="CG156" i="1"/>
  <c r="CG155" i="1"/>
  <c r="CG154" i="1"/>
  <c r="CG153" i="1"/>
  <c r="CG152" i="1"/>
  <c r="CG151" i="1"/>
  <c r="CG150" i="1"/>
  <c r="CG149" i="1"/>
  <c r="CG148" i="1"/>
  <c r="CG147" i="1"/>
  <c r="CG146" i="1"/>
  <c r="CG145" i="1"/>
  <c r="CG144" i="1"/>
  <c r="CG143" i="1"/>
  <c r="CG142" i="1"/>
  <c r="CG141" i="1"/>
  <c r="CG140" i="1"/>
  <c r="CG139" i="1"/>
  <c r="CG138" i="1"/>
  <c r="CG137" i="1"/>
  <c r="CG136" i="1"/>
  <c r="CG135" i="1"/>
  <c r="CG134" i="1"/>
  <c r="CG133" i="1"/>
  <c r="CG132" i="1"/>
  <c r="CG131" i="1"/>
  <c r="CG130" i="1"/>
  <c r="CG129" i="1"/>
  <c r="CG128" i="1"/>
  <c r="CF232" i="1"/>
  <c r="CF231" i="1"/>
  <c r="CF230" i="1"/>
  <c r="CF229" i="1"/>
  <c r="CF228" i="1"/>
  <c r="CF227" i="1"/>
  <c r="CF226" i="1"/>
  <c r="CF225" i="1"/>
  <c r="CF224" i="1"/>
  <c r="CF223" i="1"/>
  <c r="CF222" i="1"/>
  <c r="CF221" i="1"/>
  <c r="CF220" i="1"/>
  <c r="CF219" i="1"/>
  <c r="CF218" i="1"/>
  <c r="CF217" i="1"/>
  <c r="CF216" i="1"/>
  <c r="CF215" i="1"/>
  <c r="CF214" i="1"/>
  <c r="CF213" i="1"/>
  <c r="CF212" i="1"/>
  <c r="CF211" i="1"/>
  <c r="CF210" i="1"/>
  <c r="CF209" i="1"/>
  <c r="CF208" i="1"/>
  <c r="CF207" i="1"/>
  <c r="CF206" i="1"/>
  <c r="CF205" i="1"/>
  <c r="CF204" i="1"/>
  <c r="CF203" i="1"/>
  <c r="CF202" i="1"/>
  <c r="CF201" i="1"/>
  <c r="CF200" i="1"/>
  <c r="CF199" i="1"/>
  <c r="CF198" i="1"/>
  <c r="CF197" i="1"/>
  <c r="CF196" i="1"/>
  <c r="CF195" i="1"/>
  <c r="CF194" i="1"/>
  <c r="CF193" i="1"/>
  <c r="CF192" i="1"/>
  <c r="CF191" i="1"/>
  <c r="CF190" i="1"/>
  <c r="CF189" i="1"/>
  <c r="CF188" i="1"/>
  <c r="CF187" i="1"/>
  <c r="CF186" i="1"/>
  <c r="CF185" i="1"/>
  <c r="CF184" i="1"/>
  <c r="CF183" i="1"/>
  <c r="CF182" i="1"/>
  <c r="CF181" i="1"/>
  <c r="CF180" i="1"/>
  <c r="CF179" i="1"/>
  <c r="CF178" i="1"/>
  <c r="CF177" i="1"/>
  <c r="CF176" i="1"/>
  <c r="CF175" i="1"/>
  <c r="CF174" i="1"/>
  <c r="CF173" i="1"/>
  <c r="CF172" i="1"/>
  <c r="CF171" i="1"/>
  <c r="CF170" i="1"/>
  <c r="CF169" i="1"/>
  <c r="CF168" i="1"/>
  <c r="CF167" i="1"/>
  <c r="CF166" i="1"/>
  <c r="CF165" i="1"/>
  <c r="CF164" i="1"/>
  <c r="CF163" i="1"/>
  <c r="CF162" i="1"/>
  <c r="CF161" i="1"/>
  <c r="CF160" i="1"/>
  <c r="CF159" i="1"/>
  <c r="CF158" i="1"/>
  <c r="CF157" i="1"/>
  <c r="CF156" i="1"/>
  <c r="CF155" i="1"/>
  <c r="CF154" i="1"/>
  <c r="CF153" i="1"/>
  <c r="CF152" i="1"/>
  <c r="CF151" i="1"/>
  <c r="CF150" i="1"/>
  <c r="CF149" i="1"/>
  <c r="CF148" i="1"/>
  <c r="CF147" i="1"/>
  <c r="CF146" i="1"/>
  <c r="CF145" i="1"/>
  <c r="CF144" i="1"/>
  <c r="CF143" i="1"/>
  <c r="CF142" i="1"/>
  <c r="CF141" i="1"/>
  <c r="CF140" i="1"/>
  <c r="CF139" i="1"/>
  <c r="CF138" i="1"/>
  <c r="CF137" i="1"/>
  <c r="CF136" i="1"/>
  <c r="CF135" i="1"/>
  <c r="CF134" i="1"/>
  <c r="CF133" i="1"/>
  <c r="CF132" i="1"/>
  <c r="CF131" i="1"/>
  <c r="CF130" i="1"/>
  <c r="CF129" i="1"/>
  <c r="CF128" i="1"/>
  <c r="CE232" i="1"/>
  <c r="CE231" i="1"/>
  <c r="CE230" i="1"/>
  <c r="CE229" i="1"/>
  <c r="CE228" i="1"/>
  <c r="CE227" i="1"/>
  <c r="CE226" i="1"/>
  <c r="CE225" i="1"/>
  <c r="CE224" i="1"/>
  <c r="CE223" i="1"/>
  <c r="CE222" i="1"/>
  <c r="CE221" i="1"/>
  <c r="CE220" i="1"/>
  <c r="CE219" i="1"/>
  <c r="CE218" i="1"/>
  <c r="CE217" i="1"/>
  <c r="CE216" i="1"/>
  <c r="CE215" i="1"/>
  <c r="CE214" i="1"/>
  <c r="CE213" i="1"/>
  <c r="CE212" i="1"/>
  <c r="CE211" i="1"/>
  <c r="CE210" i="1"/>
  <c r="CE209" i="1"/>
  <c r="CE208" i="1"/>
  <c r="CE207" i="1"/>
  <c r="CE206" i="1"/>
  <c r="CE205" i="1"/>
  <c r="CE204" i="1"/>
  <c r="CE203" i="1"/>
  <c r="CE202" i="1"/>
  <c r="CE201" i="1"/>
  <c r="CE200" i="1"/>
  <c r="CE199" i="1"/>
  <c r="CE198" i="1"/>
  <c r="CE197" i="1"/>
  <c r="CE196" i="1"/>
  <c r="CE195" i="1"/>
  <c r="CE194" i="1"/>
  <c r="CE193" i="1"/>
  <c r="CE192" i="1"/>
  <c r="CE191" i="1"/>
  <c r="CE190" i="1"/>
  <c r="CE189" i="1"/>
  <c r="CE188" i="1"/>
  <c r="CE187" i="1"/>
  <c r="CE186" i="1"/>
  <c r="CE185" i="1"/>
  <c r="CE184" i="1"/>
  <c r="CE183" i="1"/>
  <c r="CE182" i="1"/>
  <c r="CE181" i="1"/>
  <c r="CE180" i="1"/>
  <c r="CE179" i="1"/>
  <c r="CE178" i="1"/>
  <c r="CE177" i="1"/>
  <c r="CE176" i="1"/>
  <c r="CE175" i="1"/>
  <c r="CE174" i="1"/>
  <c r="CE173" i="1"/>
  <c r="CE172" i="1"/>
  <c r="CE171" i="1"/>
  <c r="CE170" i="1"/>
  <c r="CE169" i="1"/>
  <c r="CE168" i="1"/>
  <c r="CE167" i="1"/>
  <c r="CE166" i="1"/>
  <c r="CE165" i="1"/>
  <c r="CE164" i="1"/>
  <c r="CE163" i="1"/>
  <c r="CE162" i="1"/>
  <c r="CE161" i="1"/>
  <c r="CE160" i="1"/>
  <c r="CE159" i="1"/>
  <c r="CE158" i="1"/>
  <c r="CE157" i="1"/>
  <c r="CE156" i="1"/>
  <c r="CE155" i="1"/>
  <c r="CE154" i="1"/>
  <c r="CE153" i="1"/>
  <c r="CE152" i="1"/>
  <c r="CE151" i="1"/>
  <c r="CE150" i="1"/>
  <c r="CE149" i="1"/>
  <c r="CE148" i="1"/>
  <c r="CE147" i="1"/>
  <c r="CE146" i="1"/>
  <c r="CE145" i="1"/>
  <c r="CE144" i="1"/>
  <c r="CE143" i="1"/>
  <c r="CE142" i="1"/>
  <c r="CE141" i="1"/>
  <c r="CE140" i="1"/>
  <c r="CE139" i="1"/>
  <c r="CE138" i="1"/>
  <c r="CE137" i="1"/>
  <c r="CE136" i="1"/>
  <c r="CE135" i="1"/>
  <c r="CE134" i="1"/>
  <c r="CE133" i="1"/>
  <c r="CE132" i="1"/>
  <c r="CE131" i="1"/>
  <c r="CE130" i="1"/>
  <c r="CE129" i="1"/>
  <c r="CE128" i="1"/>
  <c r="CD232" i="1"/>
  <c r="CD231" i="1"/>
  <c r="CD230" i="1"/>
  <c r="CD229" i="1"/>
  <c r="CD228" i="1"/>
  <c r="CD227" i="1"/>
  <c r="CD226" i="1"/>
  <c r="CD225" i="1"/>
  <c r="CD224" i="1"/>
  <c r="CD223" i="1"/>
  <c r="CD222" i="1"/>
  <c r="CD221" i="1"/>
  <c r="CD220" i="1"/>
  <c r="CD219" i="1"/>
  <c r="CD218" i="1"/>
  <c r="CD217" i="1"/>
  <c r="CD216" i="1"/>
  <c r="CD215" i="1"/>
  <c r="CD214" i="1"/>
  <c r="CD213" i="1"/>
  <c r="CD212" i="1"/>
  <c r="CD211" i="1"/>
  <c r="CD210" i="1"/>
  <c r="CD209" i="1"/>
  <c r="CD208" i="1"/>
  <c r="CD207" i="1"/>
  <c r="CD206" i="1"/>
  <c r="CD205" i="1"/>
  <c r="CD204" i="1"/>
  <c r="CD203" i="1"/>
  <c r="CD202" i="1"/>
  <c r="CD201" i="1"/>
  <c r="CD200" i="1"/>
  <c r="CD199" i="1"/>
  <c r="CD198" i="1"/>
  <c r="CD197" i="1"/>
  <c r="CD196" i="1"/>
  <c r="CD195" i="1"/>
  <c r="CD194" i="1"/>
  <c r="CD193" i="1"/>
  <c r="CD192" i="1"/>
  <c r="CD191" i="1"/>
  <c r="CD190" i="1"/>
  <c r="CD189" i="1"/>
  <c r="CD188" i="1"/>
  <c r="CD187" i="1"/>
  <c r="CD186" i="1"/>
  <c r="CD185" i="1"/>
  <c r="CD184" i="1"/>
  <c r="CD183" i="1"/>
  <c r="CD182" i="1"/>
  <c r="CD181" i="1"/>
  <c r="CD180" i="1"/>
  <c r="CD179" i="1"/>
  <c r="CD178" i="1"/>
  <c r="CD177" i="1"/>
  <c r="CD176" i="1"/>
  <c r="CD175" i="1"/>
  <c r="CD174" i="1"/>
  <c r="CD173" i="1"/>
  <c r="CD172" i="1"/>
  <c r="CD171" i="1"/>
  <c r="CD170" i="1"/>
  <c r="CD169" i="1"/>
  <c r="CD168" i="1"/>
  <c r="CD167" i="1"/>
  <c r="CD166" i="1"/>
  <c r="CD165" i="1"/>
  <c r="CD164" i="1"/>
  <c r="CD163" i="1"/>
  <c r="CD162" i="1"/>
  <c r="CD161" i="1"/>
  <c r="CD160" i="1"/>
  <c r="CD159" i="1"/>
  <c r="CD158" i="1"/>
  <c r="CD157" i="1"/>
  <c r="CD156" i="1"/>
  <c r="CD155" i="1"/>
  <c r="CD154" i="1"/>
  <c r="CD153" i="1"/>
  <c r="CD152" i="1"/>
  <c r="CD151" i="1"/>
  <c r="CD150" i="1"/>
  <c r="CD149" i="1"/>
  <c r="CD148" i="1"/>
  <c r="CD147" i="1"/>
  <c r="CD146" i="1"/>
  <c r="CD145" i="1"/>
  <c r="CD144" i="1"/>
  <c r="CD143" i="1"/>
  <c r="CD142" i="1"/>
  <c r="CD141" i="1"/>
  <c r="CD140" i="1"/>
  <c r="CD139" i="1"/>
  <c r="CD138" i="1"/>
  <c r="CD137" i="1"/>
  <c r="CD136" i="1"/>
  <c r="CD135" i="1"/>
  <c r="CD134" i="1"/>
  <c r="CD133" i="1"/>
  <c r="CD132" i="1"/>
  <c r="CD131" i="1"/>
  <c r="CD130" i="1"/>
  <c r="CD129" i="1"/>
  <c r="CD128" i="1"/>
  <c r="CC232" i="1"/>
  <c r="CC231" i="1"/>
  <c r="CC230" i="1"/>
  <c r="CC229" i="1"/>
  <c r="CC228" i="1"/>
  <c r="CC227" i="1"/>
  <c r="CC226" i="1"/>
  <c r="CC225" i="1"/>
  <c r="CC224" i="1"/>
  <c r="CC223" i="1"/>
  <c r="CC222" i="1"/>
  <c r="CC221" i="1"/>
  <c r="CC220" i="1"/>
  <c r="CC219" i="1"/>
  <c r="CC218" i="1"/>
  <c r="CC217" i="1"/>
  <c r="CC216" i="1"/>
  <c r="CC215" i="1"/>
  <c r="CC214" i="1"/>
  <c r="CC213" i="1"/>
  <c r="CC212" i="1"/>
  <c r="CC211" i="1"/>
  <c r="CC210" i="1"/>
  <c r="CC209" i="1"/>
  <c r="CC208" i="1"/>
  <c r="CC207" i="1"/>
  <c r="CC206" i="1"/>
  <c r="CC205" i="1"/>
  <c r="CC204" i="1"/>
  <c r="CC203" i="1"/>
  <c r="CC202" i="1"/>
  <c r="CC201" i="1"/>
  <c r="CC200" i="1"/>
  <c r="CC199" i="1"/>
  <c r="CC198" i="1"/>
  <c r="CC197" i="1"/>
  <c r="CC196" i="1"/>
  <c r="CC195" i="1"/>
  <c r="CC194" i="1"/>
  <c r="CC193" i="1"/>
  <c r="CC192" i="1"/>
  <c r="CC191" i="1"/>
  <c r="CC190" i="1"/>
  <c r="CC189" i="1"/>
  <c r="CC188" i="1"/>
  <c r="CC187" i="1"/>
  <c r="CC186" i="1"/>
  <c r="CC185" i="1"/>
  <c r="CC184" i="1"/>
  <c r="CC183" i="1"/>
  <c r="CC182" i="1"/>
  <c r="CC181" i="1"/>
  <c r="CC180" i="1"/>
  <c r="CC179" i="1"/>
  <c r="CC178" i="1"/>
  <c r="CC177" i="1"/>
  <c r="CC176" i="1"/>
  <c r="CC175" i="1"/>
  <c r="CC174" i="1"/>
  <c r="CC173" i="1"/>
  <c r="CC172" i="1"/>
  <c r="CC171" i="1"/>
  <c r="CC170" i="1"/>
  <c r="CC169" i="1"/>
  <c r="CC168" i="1"/>
  <c r="CC167" i="1"/>
  <c r="CC166" i="1"/>
  <c r="CC165" i="1"/>
  <c r="CC164" i="1"/>
  <c r="CC163" i="1"/>
  <c r="CC162" i="1"/>
  <c r="CC161" i="1"/>
  <c r="CC160" i="1"/>
  <c r="CC159" i="1"/>
  <c r="CC158" i="1"/>
  <c r="CC157" i="1"/>
  <c r="CC156" i="1"/>
  <c r="CC155" i="1"/>
  <c r="CC154" i="1"/>
  <c r="CC153" i="1"/>
  <c r="CC152" i="1"/>
  <c r="CC151" i="1"/>
  <c r="CC150" i="1"/>
  <c r="CC149" i="1"/>
  <c r="CC148" i="1"/>
  <c r="CC147" i="1"/>
  <c r="CC146" i="1"/>
  <c r="CC145" i="1"/>
  <c r="CC144" i="1"/>
  <c r="CC143" i="1"/>
  <c r="CC142" i="1"/>
  <c r="CC141" i="1"/>
  <c r="CC140" i="1"/>
  <c r="CC139" i="1"/>
  <c r="CC138" i="1"/>
  <c r="CC137" i="1"/>
  <c r="CC136" i="1"/>
  <c r="CC135" i="1"/>
  <c r="CC134" i="1"/>
  <c r="CC133" i="1"/>
  <c r="CC132" i="1"/>
  <c r="CC131" i="1"/>
  <c r="CC130" i="1"/>
  <c r="CC129" i="1"/>
  <c r="CC128" i="1"/>
  <c r="CB232" i="1"/>
  <c r="CB231" i="1"/>
  <c r="CB230" i="1"/>
  <c r="CB229" i="1"/>
  <c r="CB228" i="1"/>
  <c r="CB227" i="1"/>
  <c r="CB226" i="1"/>
  <c r="CB225" i="1"/>
  <c r="CB224" i="1"/>
  <c r="CB223" i="1"/>
  <c r="CB222" i="1"/>
  <c r="CB221" i="1"/>
  <c r="CB220" i="1"/>
  <c r="CB219" i="1"/>
  <c r="CB218" i="1"/>
  <c r="CB217" i="1"/>
  <c r="CB216" i="1"/>
  <c r="CB215" i="1"/>
  <c r="CB214" i="1"/>
  <c r="CB213" i="1"/>
  <c r="CB212" i="1"/>
  <c r="CB211" i="1"/>
  <c r="CB210" i="1"/>
  <c r="CB209" i="1"/>
  <c r="CB208" i="1"/>
  <c r="CB207" i="1"/>
  <c r="CB206" i="1"/>
  <c r="CB205" i="1"/>
  <c r="CB204" i="1"/>
  <c r="CB203" i="1"/>
  <c r="CB202" i="1"/>
  <c r="CB201" i="1"/>
  <c r="CB200" i="1"/>
  <c r="CB199" i="1"/>
  <c r="CB198" i="1"/>
  <c r="CB197" i="1"/>
  <c r="CB196" i="1"/>
  <c r="CB195" i="1"/>
  <c r="CB194" i="1"/>
  <c r="CB193" i="1"/>
  <c r="CB192" i="1"/>
  <c r="CB191" i="1"/>
  <c r="CB190" i="1"/>
  <c r="CB189" i="1"/>
  <c r="CB188" i="1"/>
  <c r="CB187" i="1"/>
  <c r="CB186" i="1"/>
  <c r="CB185" i="1"/>
  <c r="CB184" i="1"/>
  <c r="CB183" i="1"/>
  <c r="CB182" i="1"/>
  <c r="CB181" i="1"/>
  <c r="CB180" i="1"/>
  <c r="CB179" i="1"/>
  <c r="CB178" i="1"/>
  <c r="CB177" i="1"/>
  <c r="CB176" i="1"/>
  <c r="CB175" i="1"/>
  <c r="CB174" i="1"/>
  <c r="CB173" i="1"/>
  <c r="CB172" i="1"/>
  <c r="CB171" i="1"/>
  <c r="CB170" i="1"/>
  <c r="CB169" i="1"/>
  <c r="CB168" i="1"/>
  <c r="CB167" i="1"/>
  <c r="CB166" i="1"/>
  <c r="CB165" i="1"/>
  <c r="CB164" i="1"/>
  <c r="CB163" i="1"/>
  <c r="CB162" i="1"/>
  <c r="CB161" i="1"/>
  <c r="CB160" i="1"/>
  <c r="CB159" i="1"/>
  <c r="CB158" i="1"/>
  <c r="CB157" i="1"/>
  <c r="CB156" i="1"/>
  <c r="CB155" i="1"/>
  <c r="CB154" i="1"/>
  <c r="CB153" i="1"/>
  <c r="CB152" i="1"/>
  <c r="CB151" i="1"/>
  <c r="CB150" i="1"/>
  <c r="CB149" i="1"/>
  <c r="CB148" i="1"/>
  <c r="CB147" i="1"/>
  <c r="CB146" i="1"/>
  <c r="CB145" i="1"/>
  <c r="CB144" i="1"/>
  <c r="CB143" i="1"/>
  <c r="CB142" i="1"/>
  <c r="CB141" i="1"/>
  <c r="CB140" i="1"/>
  <c r="CB139" i="1"/>
  <c r="CB138" i="1"/>
  <c r="CB137" i="1"/>
  <c r="CB136" i="1"/>
  <c r="CB135" i="1"/>
  <c r="CB134" i="1"/>
  <c r="CB133" i="1"/>
  <c r="CB132" i="1"/>
  <c r="CB131" i="1"/>
  <c r="CB130" i="1"/>
  <c r="CB129" i="1"/>
  <c r="CB128" i="1"/>
  <c r="CA232" i="1"/>
  <c r="CA231" i="1"/>
  <c r="CA230" i="1"/>
  <c r="CA229" i="1"/>
  <c r="CA228" i="1"/>
  <c r="CA227" i="1"/>
  <c r="CA226" i="1"/>
  <c r="CA225" i="1"/>
  <c r="CA224" i="1"/>
  <c r="CA223" i="1"/>
  <c r="CA222" i="1"/>
  <c r="CA221" i="1"/>
  <c r="CA220" i="1"/>
  <c r="CA219" i="1"/>
  <c r="CA218" i="1"/>
  <c r="CA217" i="1"/>
  <c r="CA216" i="1"/>
  <c r="CA215" i="1"/>
  <c r="CA214" i="1"/>
  <c r="CA213" i="1"/>
  <c r="CA212" i="1"/>
  <c r="CA211" i="1"/>
  <c r="CA210" i="1"/>
  <c r="CA209" i="1"/>
  <c r="CA208" i="1"/>
  <c r="CA207" i="1"/>
  <c r="CA206" i="1"/>
  <c r="CA205" i="1"/>
  <c r="CA204" i="1"/>
  <c r="CA203" i="1"/>
  <c r="CA202" i="1"/>
  <c r="CA201" i="1"/>
  <c r="CA200" i="1"/>
  <c r="CA199" i="1"/>
  <c r="CA198" i="1"/>
  <c r="CA197" i="1"/>
  <c r="CA196" i="1"/>
  <c r="CA195" i="1"/>
  <c r="CA194" i="1"/>
  <c r="CA193" i="1"/>
  <c r="CA192" i="1"/>
  <c r="CA191" i="1"/>
  <c r="CA190" i="1"/>
  <c r="CA189" i="1"/>
  <c r="CA188" i="1"/>
  <c r="CA187" i="1"/>
  <c r="CA186" i="1"/>
  <c r="CA185" i="1"/>
  <c r="CA184" i="1"/>
  <c r="CA183" i="1"/>
  <c r="CA182" i="1"/>
  <c r="CA181" i="1"/>
  <c r="CA180" i="1"/>
  <c r="CA179" i="1"/>
  <c r="CA178" i="1"/>
  <c r="CA177" i="1"/>
  <c r="CA176" i="1"/>
  <c r="CA175" i="1"/>
  <c r="CA174" i="1"/>
  <c r="CA173" i="1"/>
  <c r="CA172" i="1"/>
  <c r="CA171" i="1"/>
  <c r="CA170" i="1"/>
  <c r="CA169" i="1"/>
  <c r="CA168" i="1"/>
  <c r="CA167" i="1"/>
  <c r="CA166" i="1"/>
  <c r="CA165" i="1"/>
  <c r="CA164" i="1"/>
  <c r="CA163" i="1"/>
  <c r="CA162" i="1"/>
  <c r="CA161" i="1"/>
  <c r="CA160" i="1"/>
  <c r="CA159" i="1"/>
  <c r="CA158" i="1"/>
  <c r="CA157" i="1"/>
  <c r="CA156" i="1"/>
  <c r="CA155" i="1"/>
  <c r="CA154" i="1"/>
  <c r="CA153" i="1"/>
  <c r="CA152" i="1"/>
  <c r="CA151" i="1"/>
  <c r="CA150" i="1"/>
  <c r="CA149" i="1"/>
  <c r="CA148" i="1"/>
  <c r="CA147" i="1"/>
  <c r="CA146" i="1"/>
  <c r="CA145" i="1"/>
  <c r="CA144" i="1"/>
  <c r="CA143" i="1"/>
  <c r="CA142" i="1"/>
  <c r="CA141" i="1"/>
  <c r="CA140" i="1"/>
  <c r="CA139" i="1"/>
  <c r="CA138" i="1"/>
  <c r="CA137" i="1"/>
  <c r="CA136" i="1"/>
  <c r="CA135" i="1"/>
  <c r="CA134" i="1"/>
  <c r="CA133" i="1"/>
  <c r="CA132" i="1"/>
  <c r="CA131" i="1"/>
  <c r="CA130" i="1"/>
  <c r="CA129" i="1"/>
  <c r="CA128" i="1"/>
  <c r="BZ232" i="1"/>
  <c r="BZ231" i="1"/>
  <c r="BZ230" i="1"/>
  <c r="BZ229" i="1"/>
  <c r="BZ228" i="1"/>
  <c r="BZ227" i="1"/>
  <c r="BZ226" i="1"/>
  <c r="BZ225" i="1"/>
  <c r="BZ224" i="1"/>
  <c r="BZ223" i="1"/>
  <c r="BZ222" i="1"/>
  <c r="BZ221" i="1"/>
  <c r="BZ220" i="1"/>
  <c r="BZ219" i="1"/>
  <c r="BZ218" i="1"/>
  <c r="BZ217" i="1"/>
  <c r="BZ216" i="1"/>
  <c r="BZ215" i="1"/>
  <c r="BZ214" i="1"/>
  <c r="BZ213" i="1"/>
  <c r="BZ212" i="1"/>
  <c r="BZ211" i="1"/>
  <c r="BZ210" i="1"/>
  <c r="BZ209" i="1"/>
  <c r="BZ208" i="1"/>
  <c r="BZ207" i="1"/>
  <c r="BZ206" i="1"/>
  <c r="BZ205" i="1"/>
  <c r="BZ204" i="1"/>
  <c r="BZ203" i="1"/>
  <c r="BZ202" i="1"/>
  <c r="BZ201" i="1"/>
  <c r="BZ200" i="1"/>
  <c r="BZ199" i="1"/>
  <c r="BZ198" i="1"/>
  <c r="BZ197" i="1"/>
  <c r="BZ196" i="1"/>
  <c r="BZ195" i="1"/>
  <c r="BZ194" i="1"/>
  <c r="BZ193" i="1"/>
  <c r="BZ192" i="1"/>
  <c r="BZ191" i="1"/>
  <c r="BZ190" i="1"/>
  <c r="BZ189" i="1"/>
  <c r="BZ188" i="1"/>
  <c r="BZ187" i="1"/>
  <c r="BZ186" i="1"/>
  <c r="BZ185" i="1"/>
  <c r="BZ184" i="1"/>
  <c r="BZ183" i="1"/>
  <c r="BZ182" i="1"/>
  <c r="BZ181" i="1"/>
  <c r="BZ180" i="1"/>
  <c r="BZ179" i="1"/>
  <c r="BZ178" i="1"/>
  <c r="BZ177" i="1"/>
  <c r="BZ176" i="1"/>
  <c r="BZ175" i="1"/>
  <c r="BZ174" i="1"/>
  <c r="BZ173" i="1"/>
  <c r="BZ172" i="1"/>
  <c r="BZ171" i="1"/>
  <c r="BZ170" i="1"/>
  <c r="BZ169" i="1"/>
  <c r="BZ168" i="1"/>
  <c r="BZ167" i="1"/>
  <c r="BZ166" i="1"/>
  <c r="BZ165" i="1"/>
  <c r="BZ164" i="1"/>
  <c r="BZ163" i="1"/>
  <c r="BZ162" i="1"/>
  <c r="BZ161" i="1"/>
  <c r="BZ160" i="1"/>
  <c r="BZ159" i="1"/>
  <c r="BZ158" i="1"/>
  <c r="BZ157" i="1"/>
  <c r="BZ156" i="1"/>
  <c r="BZ155" i="1"/>
  <c r="BZ154" i="1"/>
  <c r="BZ153" i="1"/>
  <c r="BZ152" i="1"/>
  <c r="BZ151" i="1"/>
  <c r="BZ150" i="1"/>
  <c r="BZ149" i="1"/>
  <c r="BZ148" i="1"/>
  <c r="BZ147" i="1"/>
  <c r="BZ146" i="1"/>
  <c r="BZ145" i="1"/>
  <c r="BZ144" i="1"/>
  <c r="BZ143" i="1"/>
  <c r="BZ142" i="1"/>
  <c r="BZ141" i="1"/>
  <c r="BZ140" i="1"/>
  <c r="BZ139" i="1"/>
  <c r="BZ138" i="1"/>
  <c r="BZ137" i="1"/>
  <c r="BZ136" i="1"/>
  <c r="BZ135" i="1"/>
  <c r="BZ134" i="1"/>
  <c r="BZ133" i="1"/>
  <c r="BZ132" i="1"/>
  <c r="BZ131" i="1"/>
  <c r="BZ130" i="1"/>
  <c r="BZ129" i="1"/>
  <c r="BZ128" i="1"/>
  <c r="BY232" i="1"/>
  <c r="BY231" i="1"/>
  <c r="BY230" i="1"/>
  <c r="BY229" i="1"/>
  <c r="BY228" i="1"/>
  <c r="BY227" i="1"/>
  <c r="BY226" i="1"/>
  <c r="BY225" i="1"/>
  <c r="BY224" i="1"/>
  <c r="BY223" i="1"/>
  <c r="BY222" i="1"/>
  <c r="BY221" i="1"/>
  <c r="BY220" i="1"/>
  <c r="BY219" i="1"/>
  <c r="BY218" i="1"/>
  <c r="BY217" i="1"/>
  <c r="BY216" i="1"/>
  <c r="BY215" i="1"/>
  <c r="BY214" i="1"/>
  <c r="BY213" i="1"/>
  <c r="BY212" i="1"/>
  <c r="BY211" i="1"/>
  <c r="BY210" i="1"/>
  <c r="BY209" i="1"/>
  <c r="BY208" i="1"/>
  <c r="BY207" i="1"/>
  <c r="BY206" i="1"/>
  <c r="BY205" i="1"/>
  <c r="BY204" i="1"/>
  <c r="BY203" i="1"/>
  <c r="BY202" i="1"/>
  <c r="BY201" i="1"/>
  <c r="BY200" i="1"/>
  <c r="BY199" i="1"/>
  <c r="BY198" i="1"/>
  <c r="BY197" i="1"/>
  <c r="BY196" i="1"/>
  <c r="BY195" i="1"/>
  <c r="BY194" i="1"/>
  <c r="BY193" i="1"/>
  <c r="BY192" i="1"/>
  <c r="BY191" i="1"/>
  <c r="BY190" i="1"/>
  <c r="BY189" i="1"/>
  <c r="BY188" i="1"/>
  <c r="BY187" i="1"/>
  <c r="BY186" i="1"/>
  <c r="BY185" i="1"/>
  <c r="BY184" i="1"/>
  <c r="BY183" i="1"/>
  <c r="BY182" i="1"/>
  <c r="BY181" i="1"/>
  <c r="BY180" i="1"/>
  <c r="BY179" i="1"/>
  <c r="BY178" i="1"/>
  <c r="BY177" i="1"/>
  <c r="BY176" i="1"/>
  <c r="BY175" i="1"/>
  <c r="BY174" i="1"/>
  <c r="BY173" i="1"/>
  <c r="BY172" i="1"/>
  <c r="BY171" i="1"/>
  <c r="BY170" i="1"/>
  <c r="BY169" i="1"/>
  <c r="BY168" i="1"/>
  <c r="BY167" i="1"/>
  <c r="BY166" i="1"/>
  <c r="BY165" i="1"/>
  <c r="BY164" i="1"/>
  <c r="BY163" i="1"/>
  <c r="BY162" i="1"/>
  <c r="BY161" i="1"/>
  <c r="BY160" i="1"/>
  <c r="BY159" i="1"/>
  <c r="BY158" i="1"/>
  <c r="BY157" i="1"/>
  <c r="BY156" i="1"/>
  <c r="BY155" i="1"/>
  <c r="BY154" i="1"/>
  <c r="BY153" i="1"/>
  <c r="BY152" i="1"/>
  <c r="BY151" i="1"/>
  <c r="BY150" i="1"/>
  <c r="BY149" i="1"/>
  <c r="BY148" i="1"/>
  <c r="BY147" i="1"/>
  <c r="BY146" i="1"/>
  <c r="BY145" i="1"/>
  <c r="BY144" i="1"/>
  <c r="BY143" i="1"/>
  <c r="BY142" i="1"/>
  <c r="BY141" i="1"/>
  <c r="BY140" i="1"/>
  <c r="BY139" i="1"/>
  <c r="BY138" i="1"/>
  <c r="BY137" i="1"/>
  <c r="BY136" i="1"/>
  <c r="BY135" i="1"/>
  <c r="BY134" i="1"/>
  <c r="BY133" i="1"/>
  <c r="BY132" i="1"/>
  <c r="BY131" i="1"/>
  <c r="BY130" i="1"/>
  <c r="BY129" i="1"/>
  <c r="BY128" i="1"/>
  <c r="BX232" i="1"/>
  <c r="BX231" i="1"/>
  <c r="BX230" i="1"/>
  <c r="BX229" i="1"/>
  <c r="BX228" i="1"/>
  <c r="BX227" i="1"/>
  <c r="BX226" i="1"/>
  <c r="BX225" i="1"/>
  <c r="BX224" i="1"/>
  <c r="BX223" i="1"/>
  <c r="BX222" i="1"/>
  <c r="BX221" i="1"/>
  <c r="BX220" i="1"/>
  <c r="BX219" i="1"/>
  <c r="BX218" i="1"/>
  <c r="BX217" i="1"/>
  <c r="BX216" i="1"/>
  <c r="BX215" i="1"/>
  <c r="BX214" i="1"/>
  <c r="BX213" i="1"/>
  <c r="BX212" i="1"/>
  <c r="BX211" i="1"/>
  <c r="BX210" i="1"/>
  <c r="BX209" i="1"/>
  <c r="BX208" i="1"/>
  <c r="BX207" i="1"/>
  <c r="BX206" i="1"/>
  <c r="BX205" i="1"/>
  <c r="BX204" i="1"/>
  <c r="BX203" i="1"/>
  <c r="BX202" i="1"/>
  <c r="BX201" i="1"/>
  <c r="BX200" i="1"/>
  <c r="BX199" i="1"/>
  <c r="BX198" i="1"/>
  <c r="BX197" i="1"/>
  <c r="BX196" i="1"/>
  <c r="BX195" i="1"/>
  <c r="BX194" i="1"/>
  <c r="BX193" i="1"/>
  <c r="BX192" i="1"/>
  <c r="BX191" i="1"/>
  <c r="BX190" i="1"/>
  <c r="BX189" i="1"/>
  <c r="BX188" i="1"/>
  <c r="BX187" i="1"/>
  <c r="BX186" i="1"/>
  <c r="BX185" i="1"/>
  <c r="BX184" i="1"/>
  <c r="BX183" i="1"/>
  <c r="BX182" i="1"/>
  <c r="BX181" i="1"/>
  <c r="BX180" i="1"/>
  <c r="BX179" i="1"/>
  <c r="BX178" i="1"/>
  <c r="BX177" i="1"/>
  <c r="BX176" i="1"/>
  <c r="BX175" i="1"/>
  <c r="BX174" i="1"/>
  <c r="BX173" i="1"/>
  <c r="BX172" i="1"/>
  <c r="BX171" i="1"/>
  <c r="BX170" i="1"/>
  <c r="BX169" i="1"/>
  <c r="BX168" i="1"/>
  <c r="BX167" i="1"/>
  <c r="BX166" i="1"/>
  <c r="BX165" i="1"/>
  <c r="BX164" i="1"/>
  <c r="BX163" i="1"/>
  <c r="BX162" i="1"/>
  <c r="BX161" i="1"/>
  <c r="BX160" i="1"/>
  <c r="BX159" i="1"/>
  <c r="BX158" i="1"/>
  <c r="BX157" i="1"/>
  <c r="BX156" i="1"/>
  <c r="BX155" i="1"/>
  <c r="BX154" i="1"/>
  <c r="BX153" i="1"/>
  <c r="BX152" i="1"/>
  <c r="BX151" i="1"/>
  <c r="BX150" i="1"/>
  <c r="BX149" i="1"/>
  <c r="BX148" i="1"/>
  <c r="BX147" i="1"/>
  <c r="BX146" i="1"/>
  <c r="BX145" i="1"/>
  <c r="BX144" i="1"/>
  <c r="BX143" i="1"/>
  <c r="BX142" i="1"/>
  <c r="BX141" i="1"/>
  <c r="BX140" i="1"/>
  <c r="BX139" i="1"/>
  <c r="BX138" i="1"/>
  <c r="BX137" i="1"/>
  <c r="BX136" i="1"/>
  <c r="BX135" i="1"/>
  <c r="BX134" i="1"/>
  <c r="BX133" i="1"/>
  <c r="BX132" i="1"/>
  <c r="BX131" i="1"/>
  <c r="BX130" i="1"/>
  <c r="BX129" i="1"/>
  <c r="BX128" i="1"/>
  <c r="BW232" i="1"/>
  <c r="BW231" i="1"/>
  <c r="BW230" i="1"/>
  <c r="BW229" i="1"/>
  <c r="BW228" i="1"/>
  <c r="BW227" i="1"/>
  <c r="BW226" i="1"/>
  <c r="BW225" i="1"/>
  <c r="BW224" i="1"/>
  <c r="BW223" i="1"/>
  <c r="BW222" i="1"/>
  <c r="BW221" i="1"/>
  <c r="BW220" i="1"/>
  <c r="BW219" i="1"/>
  <c r="BW218" i="1"/>
  <c r="BW217" i="1"/>
  <c r="BW216" i="1"/>
  <c r="BW215" i="1"/>
  <c r="BW214" i="1"/>
  <c r="BW213" i="1"/>
  <c r="BW212" i="1"/>
  <c r="BW211" i="1"/>
  <c r="BW210" i="1"/>
  <c r="BW209" i="1"/>
  <c r="BW208" i="1"/>
  <c r="BW207" i="1"/>
  <c r="BW206" i="1"/>
  <c r="BW205" i="1"/>
  <c r="BW204" i="1"/>
  <c r="BW203" i="1"/>
  <c r="BW202" i="1"/>
  <c r="BW201" i="1"/>
  <c r="BW200" i="1"/>
  <c r="BW199" i="1"/>
  <c r="BW198" i="1"/>
  <c r="BW197" i="1"/>
  <c r="BW196" i="1"/>
  <c r="BW195" i="1"/>
  <c r="BW194" i="1"/>
  <c r="BW193" i="1"/>
  <c r="BW192" i="1"/>
  <c r="BW191" i="1"/>
  <c r="BW190" i="1"/>
  <c r="BW189" i="1"/>
  <c r="BW188" i="1"/>
  <c r="BW187" i="1"/>
  <c r="BW186" i="1"/>
  <c r="BW185" i="1"/>
  <c r="BW184" i="1"/>
  <c r="BW183" i="1"/>
  <c r="BW182" i="1"/>
  <c r="BW181" i="1"/>
  <c r="BW180" i="1"/>
  <c r="BW179" i="1"/>
  <c r="BW178" i="1"/>
  <c r="BW177" i="1"/>
  <c r="BW176" i="1"/>
  <c r="BW175" i="1"/>
  <c r="BW174" i="1"/>
  <c r="BW173" i="1"/>
  <c r="BW172" i="1"/>
  <c r="BW171" i="1"/>
  <c r="BW170" i="1"/>
  <c r="BW169" i="1"/>
  <c r="BW168" i="1"/>
  <c r="BW167" i="1"/>
  <c r="BW166" i="1"/>
  <c r="BW165" i="1"/>
  <c r="BW164" i="1"/>
  <c r="BW163" i="1"/>
  <c r="BW162" i="1"/>
  <c r="BW161" i="1"/>
  <c r="BW160" i="1"/>
  <c r="BW159" i="1"/>
  <c r="BW158" i="1"/>
  <c r="BW157" i="1"/>
  <c r="BW156" i="1"/>
  <c r="BW155" i="1"/>
  <c r="BW154" i="1"/>
  <c r="BW153" i="1"/>
  <c r="BW152" i="1"/>
  <c r="BW151" i="1"/>
  <c r="BW150" i="1"/>
  <c r="BW149" i="1"/>
  <c r="BW148" i="1"/>
  <c r="BW147" i="1"/>
  <c r="BW146" i="1"/>
  <c r="BW145" i="1"/>
  <c r="BW144" i="1"/>
  <c r="BW143" i="1"/>
  <c r="BW142" i="1"/>
  <c r="BW141" i="1"/>
  <c r="BW140" i="1"/>
  <c r="BW139" i="1"/>
  <c r="BW138" i="1"/>
  <c r="BW137" i="1"/>
  <c r="BW136" i="1"/>
  <c r="BW135" i="1"/>
  <c r="BW134" i="1"/>
  <c r="BW133" i="1"/>
  <c r="BW132" i="1"/>
  <c r="BW131" i="1"/>
  <c r="BW130" i="1"/>
  <c r="BW129" i="1"/>
  <c r="BW128" i="1"/>
  <c r="BV232" i="1"/>
  <c r="BV231" i="1"/>
  <c r="BV230" i="1"/>
  <c r="BV229" i="1"/>
  <c r="BV228" i="1"/>
  <c r="BV227" i="1"/>
  <c r="BV226" i="1"/>
  <c r="BV225" i="1"/>
  <c r="BV224" i="1"/>
  <c r="BV223" i="1"/>
  <c r="BV222" i="1"/>
  <c r="BV221" i="1"/>
  <c r="BV220" i="1"/>
  <c r="BV219" i="1"/>
  <c r="BV218" i="1"/>
  <c r="BV217" i="1"/>
  <c r="BV216" i="1"/>
  <c r="BV215" i="1"/>
  <c r="BV214" i="1"/>
  <c r="BV213" i="1"/>
  <c r="BV212" i="1"/>
  <c r="BV211" i="1"/>
  <c r="BV210" i="1"/>
  <c r="BV209" i="1"/>
  <c r="BV208" i="1"/>
  <c r="BV207" i="1"/>
  <c r="BV206" i="1"/>
  <c r="BV205" i="1"/>
  <c r="BV204" i="1"/>
  <c r="BV203" i="1"/>
  <c r="BV202" i="1"/>
  <c r="BV201" i="1"/>
  <c r="BV200" i="1"/>
  <c r="BV199" i="1"/>
  <c r="BV198" i="1"/>
  <c r="BV197" i="1"/>
  <c r="BV196" i="1"/>
  <c r="BV195" i="1"/>
  <c r="BV194" i="1"/>
  <c r="BV193" i="1"/>
  <c r="BV192" i="1"/>
  <c r="BV191" i="1"/>
  <c r="BV190" i="1"/>
  <c r="BV189" i="1"/>
  <c r="BV188" i="1"/>
  <c r="BV187" i="1"/>
  <c r="BV186" i="1"/>
  <c r="BV185" i="1"/>
  <c r="BV184" i="1"/>
  <c r="BV183" i="1"/>
  <c r="BV182" i="1"/>
  <c r="BV181" i="1"/>
  <c r="BV180" i="1"/>
  <c r="BV179" i="1"/>
  <c r="BV178" i="1"/>
  <c r="BV177" i="1"/>
  <c r="BV176" i="1"/>
  <c r="BV175" i="1"/>
  <c r="BV174" i="1"/>
  <c r="BV173" i="1"/>
  <c r="BV172" i="1"/>
  <c r="BV171" i="1"/>
  <c r="BV170" i="1"/>
  <c r="BV169" i="1"/>
  <c r="BV168" i="1"/>
  <c r="BV167" i="1"/>
  <c r="BV166" i="1"/>
  <c r="BV165" i="1"/>
  <c r="BV164" i="1"/>
  <c r="BV163" i="1"/>
  <c r="BV162" i="1"/>
  <c r="BV161" i="1"/>
  <c r="BV160" i="1"/>
  <c r="BV159" i="1"/>
  <c r="BV158" i="1"/>
  <c r="BV157" i="1"/>
  <c r="BV156" i="1"/>
  <c r="BV155" i="1"/>
  <c r="BV154" i="1"/>
  <c r="BV153" i="1"/>
  <c r="BV152" i="1"/>
  <c r="BV151" i="1"/>
  <c r="BV150" i="1"/>
  <c r="BV149" i="1"/>
  <c r="BV148" i="1"/>
  <c r="BV147" i="1"/>
  <c r="BV146" i="1"/>
  <c r="BV145" i="1"/>
  <c r="BV144" i="1"/>
  <c r="BV143" i="1"/>
  <c r="BV142" i="1"/>
  <c r="BV141" i="1"/>
  <c r="BV140" i="1"/>
  <c r="BV139" i="1"/>
  <c r="BV138" i="1"/>
  <c r="BV137" i="1"/>
  <c r="BV136" i="1"/>
  <c r="BV135" i="1"/>
  <c r="BV134" i="1"/>
  <c r="BV133" i="1"/>
  <c r="BV132" i="1"/>
  <c r="BV131" i="1"/>
  <c r="BV130" i="1"/>
  <c r="BV129" i="1"/>
  <c r="BV128" i="1"/>
  <c r="BU232" i="1"/>
  <c r="BU231" i="1"/>
  <c r="BU230" i="1"/>
  <c r="BU229" i="1"/>
  <c r="BU228" i="1"/>
  <c r="BU227" i="1"/>
  <c r="BU226" i="1"/>
  <c r="BU225" i="1"/>
  <c r="BU224" i="1"/>
  <c r="BU223" i="1"/>
  <c r="BU222" i="1"/>
  <c r="BU221" i="1"/>
  <c r="BU220" i="1"/>
  <c r="BU219" i="1"/>
  <c r="BU218" i="1"/>
  <c r="BU217" i="1"/>
  <c r="BU216" i="1"/>
  <c r="BU215" i="1"/>
  <c r="BU214" i="1"/>
  <c r="BU213" i="1"/>
  <c r="BU212" i="1"/>
  <c r="BU211" i="1"/>
  <c r="BU210" i="1"/>
  <c r="BU209" i="1"/>
  <c r="BU208" i="1"/>
  <c r="BU207" i="1"/>
  <c r="BU206" i="1"/>
  <c r="BU205" i="1"/>
  <c r="BU204" i="1"/>
  <c r="BU203" i="1"/>
  <c r="BU202" i="1"/>
  <c r="BU201" i="1"/>
  <c r="BU200" i="1"/>
  <c r="BU199" i="1"/>
  <c r="BU198" i="1"/>
  <c r="BU197" i="1"/>
  <c r="BU196" i="1"/>
  <c r="BU195" i="1"/>
  <c r="BU194" i="1"/>
  <c r="BU193" i="1"/>
  <c r="BU192" i="1"/>
  <c r="BU191" i="1"/>
  <c r="BU190" i="1"/>
  <c r="BU189" i="1"/>
  <c r="BU188" i="1"/>
  <c r="BU187" i="1"/>
  <c r="BU186" i="1"/>
  <c r="BU185" i="1"/>
  <c r="BU184" i="1"/>
  <c r="BU183" i="1"/>
  <c r="BU182" i="1"/>
  <c r="BU181" i="1"/>
  <c r="BU180" i="1"/>
  <c r="BU179" i="1"/>
  <c r="BU178" i="1"/>
  <c r="BU177" i="1"/>
  <c r="BU176" i="1"/>
  <c r="BU175" i="1"/>
  <c r="BU174" i="1"/>
  <c r="BU173" i="1"/>
  <c r="BU172" i="1"/>
  <c r="BU171" i="1"/>
  <c r="BU170" i="1"/>
  <c r="BU169" i="1"/>
  <c r="BU168" i="1"/>
  <c r="BU167" i="1"/>
  <c r="BU166" i="1"/>
  <c r="BU165" i="1"/>
  <c r="BU164" i="1"/>
  <c r="BU163" i="1"/>
  <c r="BU162" i="1"/>
  <c r="BU161" i="1"/>
  <c r="BU160" i="1"/>
  <c r="BU159" i="1"/>
  <c r="BU158" i="1"/>
  <c r="BU157" i="1"/>
  <c r="BU156" i="1"/>
  <c r="BU155" i="1"/>
  <c r="BU154" i="1"/>
  <c r="BU153" i="1"/>
  <c r="BU152" i="1"/>
  <c r="BU151" i="1"/>
  <c r="BU150" i="1"/>
  <c r="BU149" i="1"/>
  <c r="BU148" i="1"/>
  <c r="BU147" i="1"/>
  <c r="BU146" i="1"/>
  <c r="BU145" i="1"/>
  <c r="BU144" i="1"/>
  <c r="BU143" i="1"/>
  <c r="BU142" i="1"/>
  <c r="BU141" i="1"/>
  <c r="BU140" i="1"/>
  <c r="BU139" i="1"/>
  <c r="BU138" i="1"/>
  <c r="BU137" i="1"/>
  <c r="BU136" i="1"/>
  <c r="BU135" i="1"/>
  <c r="BU134" i="1"/>
  <c r="BU133" i="1"/>
  <c r="BU132" i="1"/>
  <c r="BU131" i="1"/>
  <c r="BU130" i="1"/>
  <c r="BU129" i="1"/>
  <c r="BU128" i="1"/>
  <c r="BT232" i="1"/>
  <c r="BT231" i="1"/>
  <c r="BT230" i="1"/>
  <c r="BT229" i="1"/>
  <c r="BT228" i="1"/>
  <c r="BT227" i="1"/>
  <c r="BT226" i="1"/>
  <c r="BT225" i="1"/>
  <c r="BT224" i="1"/>
  <c r="BT223" i="1"/>
  <c r="BT222" i="1"/>
  <c r="BT221" i="1"/>
  <c r="BT220" i="1"/>
  <c r="BT219" i="1"/>
  <c r="BT218" i="1"/>
  <c r="BT217" i="1"/>
  <c r="BT216" i="1"/>
  <c r="BT215" i="1"/>
  <c r="BT214" i="1"/>
  <c r="BT213" i="1"/>
  <c r="BT212" i="1"/>
  <c r="BT211" i="1"/>
  <c r="BT210" i="1"/>
  <c r="BT209" i="1"/>
  <c r="BT208" i="1"/>
  <c r="BT207" i="1"/>
  <c r="BT206" i="1"/>
  <c r="BT205" i="1"/>
  <c r="BT204" i="1"/>
  <c r="BT203" i="1"/>
  <c r="BT202" i="1"/>
  <c r="BT201" i="1"/>
  <c r="BT200" i="1"/>
  <c r="BT199" i="1"/>
  <c r="BT198" i="1"/>
  <c r="BT197" i="1"/>
  <c r="BT196" i="1"/>
  <c r="BT195" i="1"/>
  <c r="BT194" i="1"/>
  <c r="BT193" i="1"/>
  <c r="BT192" i="1"/>
  <c r="BT191" i="1"/>
  <c r="BT190" i="1"/>
  <c r="BT189" i="1"/>
  <c r="BT188" i="1"/>
  <c r="BT187" i="1"/>
  <c r="BT186" i="1"/>
  <c r="BT185" i="1"/>
  <c r="BT184" i="1"/>
  <c r="BT183" i="1"/>
  <c r="BT182" i="1"/>
  <c r="BT181" i="1"/>
  <c r="BT180" i="1"/>
  <c r="BT179" i="1"/>
  <c r="BT178" i="1"/>
  <c r="BT177" i="1"/>
  <c r="BT176" i="1"/>
  <c r="BT175" i="1"/>
  <c r="BT174" i="1"/>
  <c r="BT173" i="1"/>
  <c r="BT172" i="1"/>
  <c r="BT171" i="1"/>
  <c r="BT170" i="1"/>
  <c r="BT169" i="1"/>
  <c r="BT168" i="1"/>
  <c r="BT167" i="1"/>
  <c r="BT166" i="1"/>
  <c r="BT165" i="1"/>
  <c r="BT164" i="1"/>
  <c r="BT163" i="1"/>
  <c r="BT162" i="1"/>
  <c r="BT161" i="1"/>
  <c r="BT160" i="1"/>
  <c r="BT159" i="1"/>
  <c r="BT158" i="1"/>
  <c r="BT157" i="1"/>
  <c r="BT156" i="1"/>
  <c r="BT155" i="1"/>
  <c r="BT154" i="1"/>
  <c r="BT153" i="1"/>
  <c r="BT152" i="1"/>
  <c r="BT151" i="1"/>
  <c r="BT150" i="1"/>
  <c r="BT149" i="1"/>
  <c r="BT148" i="1"/>
  <c r="BT147" i="1"/>
  <c r="BT146" i="1"/>
  <c r="BT145" i="1"/>
  <c r="BT144" i="1"/>
  <c r="BT143" i="1"/>
  <c r="BT142" i="1"/>
  <c r="BT141" i="1"/>
  <c r="BT140" i="1"/>
  <c r="BT139" i="1"/>
  <c r="BT138" i="1"/>
  <c r="BT137" i="1"/>
  <c r="BT136" i="1"/>
  <c r="BT135" i="1"/>
  <c r="BT134" i="1"/>
  <c r="BT133" i="1"/>
  <c r="BT132" i="1"/>
  <c r="BT131" i="1"/>
  <c r="BT130" i="1"/>
  <c r="BT129" i="1"/>
  <c r="BT128" i="1"/>
  <c r="BS232" i="1"/>
  <c r="BS231" i="1"/>
  <c r="BS230" i="1"/>
  <c r="BS229" i="1"/>
  <c r="BS228" i="1"/>
  <c r="BS227" i="1"/>
  <c r="BS226" i="1"/>
  <c r="BS225" i="1"/>
  <c r="BS224" i="1"/>
  <c r="BS223" i="1"/>
  <c r="BS222" i="1"/>
  <c r="BS221" i="1"/>
  <c r="BS220" i="1"/>
  <c r="BS219" i="1"/>
  <c r="BS218" i="1"/>
  <c r="BS217" i="1"/>
  <c r="BS216" i="1"/>
  <c r="BS215" i="1"/>
  <c r="BS214" i="1"/>
  <c r="BS213" i="1"/>
  <c r="BS212" i="1"/>
  <c r="BS211" i="1"/>
  <c r="BS210" i="1"/>
  <c r="BS209" i="1"/>
  <c r="BS208" i="1"/>
  <c r="BS207" i="1"/>
  <c r="BS206" i="1"/>
  <c r="BS205" i="1"/>
  <c r="BS204" i="1"/>
  <c r="BS203" i="1"/>
  <c r="BS202" i="1"/>
  <c r="BS201" i="1"/>
  <c r="BS200" i="1"/>
  <c r="BS199" i="1"/>
  <c r="BS198" i="1"/>
  <c r="BS197" i="1"/>
  <c r="BS196" i="1"/>
  <c r="BS195" i="1"/>
  <c r="BS194" i="1"/>
  <c r="BS193" i="1"/>
  <c r="BS192" i="1"/>
  <c r="BS191" i="1"/>
  <c r="BS190" i="1"/>
  <c r="BS189" i="1"/>
  <c r="BS188" i="1"/>
  <c r="BS187" i="1"/>
  <c r="BS186" i="1"/>
  <c r="BS185" i="1"/>
  <c r="BS184" i="1"/>
  <c r="BS183" i="1"/>
  <c r="BS182" i="1"/>
  <c r="BS181" i="1"/>
  <c r="BS180" i="1"/>
  <c r="BS179" i="1"/>
  <c r="BS178" i="1"/>
  <c r="BS177" i="1"/>
  <c r="BS176" i="1"/>
  <c r="BS175" i="1"/>
  <c r="BS174" i="1"/>
  <c r="BS173" i="1"/>
  <c r="BS172" i="1"/>
  <c r="BS171" i="1"/>
  <c r="BS170" i="1"/>
  <c r="BS169" i="1"/>
  <c r="BS168" i="1"/>
  <c r="BS167" i="1"/>
  <c r="BS166" i="1"/>
  <c r="BS165" i="1"/>
  <c r="BS164" i="1"/>
  <c r="BS163" i="1"/>
  <c r="BS162" i="1"/>
  <c r="BS161" i="1"/>
  <c r="BS160" i="1"/>
  <c r="BS159" i="1"/>
  <c r="BS158" i="1"/>
  <c r="BS157" i="1"/>
  <c r="BS156" i="1"/>
  <c r="BS155" i="1"/>
  <c r="BS154" i="1"/>
  <c r="BS153" i="1"/>
  <c r="BS152" i="1"/>
  <c r="BS151" i="1"/>
  <c r="BS150" i="1"/>
  <c r="BS149" i="1"/>
  <c r="BS148" i="1"/>
  <c r="BS147" i="1"/>
  <c r="BS146" i="1"/>
  <c r="BS145" i="1"/>
  <c r="BS144" i="1"/>
  <c r="BS143" i="1"/>
  <c r="BS142" i="1"/>
  <c r="BS141" i="1"/>
  <c r="BS140" i="1"/>
  <c r="BS139" i="1"/>
  <c r="BS138" i="1"/>
  <c r="BS137" i="1"/>
  <c r="BS136" i="1"/>
  <c r="BS135" i="1"/>
  <c r="BS134" i="1"/>
  <c r="BS133" i="1"/>
  <c r="BS132" i="1"/>
  <c r="BS131" i="1"/>
  <c r="BS130" i="1"/>
  <c r="BS129" i="1"/>
  <c r="BS128" i="1"/>
  <c r="BR232" i="1"/>
  <c r="BR231" i="1"/>
  <c r="BR230" i="1"/>
  <c r="BR229" i="1"/>
  <c r="BR228" i="1"/>
  <c r="BR227" i="1"/>
  <c r="BR226" i="1"/>
  <c r="BR225" i="1"/>
  <c r="BR224" i="1"/>
  <c r="BR223" i="1"/>
  <c r="BR222" i="1"/>
  <c r="BR221" i="1"/>
  <c r="BR220" i="1"/>
  <c r="BR219" i="1"/>
  <c r="BR218" i="1"/>
  <c r="BR217" i="1"/>
  <c r="BR216" i="1"/>
  <c r="BR215" i="1"/>
  <c r="BR214" i="1"/>
  <c r="BR213" i="1"/>
  <c r="BR212" i="1"/>
  <c r="BR211" i="1"/>
  <c r="BR210" i="1"/>
  <c r="BR209" i="1"/>
  <c r="BR208" i="1"/>
  <c r="BR207" i="1"/>
  <c r="BR206" i="1"/>
  <c r="BR205" i="1"/>
  <c r="BR204" i="1"/>
  <c r="BR203" i="1"/>
  <c r="BR202" i="1"/>
  <c r="BR201" i="1"/>
  <c r="BR200" i="1"/>
  <c r="BR199" i="1"/>
  <c r="BR198" i="1"/>
  <c r="BR197" i="1"/>
  <c r="BR196" i="1"/>
  <c r="BR195" i="1"/>
  <c r="BR194" i="1"/>
  <c r="BR193" i="1"/>
  <c r="BR192" i="1"/>
  <c r="BR191" i="1"/>
  <c r="BR190" i="1"/>
  <c r="BR189" i="1"/>
  <c r="BR188" i="1"/>
  <c r="BR187" i="1"/>
  <c r="BR186" i="1"/>
  <c r="BR185" i="1"/>
  <c r="BR184" i="1"/>
  <c r="BR183" i="1"/>
  <c r="BR182" i="1"/>
  <c r="BR181" i="1"/>
  <c r="BR180" i="1"/>
  <c r="BR179" i="1"/>
  <c r="BR178" i="1"/>
  <c r="BR177" i="1"/>
  <c r="BR176" i="1"/>
  <c r="BR175" i="1"/>
  <c r="BR174" i="1"/>
  <c r="BR173" i="1"/>
  <c r="BR172" i="1"/>
  <c r="BR171" i="1"/>
  <c r="BR170" i="1"/>
  <c r="BR169" i="1"/>
  <c r="BR168" i="1"/>
  <c r="BR167" i="1"/>
  <c r="BR166" i="1"/>
  <c r="BR165" i="1"/>
  <c r="BR164" i="1"/>
  <c r="BR163" i="1"/>
  <c r="BR162" i="1"/>
  <c r="BR161" i="1"/>
  <c r="BR160" i="1"/>
  <c r="BR159" i="1"/>
  <c r="BR158" i="1"/>
  <c r="BR157" i="1"/>
  <c r="BR156" i="1"/>
  <c r="BR155" i="1"/>
  <c r="BR154" i="1"/>
  <c r="BR153" i="1"/>
  <c r="BR152" i="1"/>
  <c r="BR151" i="1"/>
  <c r="BR150" i="1"/>
  <c r="BR149" i="1"/>
  <c r="BR148" i="1"/>
  <c r="BR147" i="1"/>
  <c r="BR146" i="1"/>
  <c r="BR145" i="1"/>
  <c r="BR144" i="1"/>
  <c r="BR143" i="1"/>
  <c r="BR142" i="1"/>
  <c r="BR141" i="1"/>
  <c r="BR140" i="1"/>
  <c r="BR139" i="1"/>
  <c r="BR138" i="1"/>
  <c r="BR137" i="1"/>
  <c r="BR136" i="1"/>
  <c r="BR135" i="1"/>
  <c r="BR134" i="1"/>
  <c r="BR133" i="1"/>
  <c r="BR132" i="1"/>
  <c r="BR131" i="1"/>
  <c r="BR130" i="1"/>
  <c r="BR129" i="1"/>
  <c r="BR128" i="1"/>
  <c r="BQ232" i="1"/>
  <c r="BQ231" i="1"/>
  <c r="BQ230" i="1"/>
  <c r="BQ229" i="1"/>
  <c r="BQ228" i="1"/>
  <c r="BQ227" i="1"/>
  <c r="BQ226" i="1"/>
  <c r="BQ225" i="1"/>
  <c r="BQ224" i="1"/>
  <c r="BQ223" i="1"/>
  <c r="BQ222" i="1"/>
  <c r="BQ221" i="1"/>
  <c r="BQ220" i="1"/>
  <c r="BQ219" i="1"/>
  <c r="BQ218" i="1"/>
  <c r="BQ217" i="1"/>
  <c r="BQ216" i="1"/>
  <c r="BQ215" i="1"/>
  <c r="BQ214" i="1"/>
  <c r="BQ213" i="1"/>
  <c r="BQ212" i="1"/>
  <c r="BQ211" i="1"/>
  <c r="BQ210" i="1"/>
  <c r="BQ209" i="1"/>
  <c r="BQ208" i="1"/>
  <c r="BQ207" i="1"/>
  <c r="BQ206" i="1"/>
  <c r="BQ205" i="1"/>
  <c r="BQ204" i="1"/>
  <c r="BQ203" i="1"/>
  <c r="BQ202" i="1"/>
  <c r="BQ201" i="1"/>
  <c r="BQ200" i="1"/>
  <c r="BQ199" i="1"/>
  <c r="BQ198" i="1"/>
  <c r="BQ197" i="1"/>
  <c r="BQ196" i="1"/>
  <c r="BQ195" i="1"/>
  <c r="BQ194" i="1"/>
  <c r="BQ193" i="1"/>
  <c r="BQ192" i="1"/>
  <c r="BQ191" i="1"/>
  <c r="BQ190" i="1"/>
  <c r="BQ189" i="1"/>
  <c r="BQ188" i="1"/>
  <c r="BQ187" i="1"/>
  <c r="BQ186" i="1"/>
  <c r="BQ185" i="1"/>
  <c r="BQ184" i="1"/>
  <c r="BQ183" i="1"/>
  <c r="BQ182" i="1"/>
  <c r="BQ181" i="1"/>
  <c r="BQ180" i="1"/>
  <c r="BQ179" i="1"/>
  <c r="BQ178" i="1"/>
  <c r="BQ177" i="1"/>
  <c r="BQ176" i="1"/>
  <c r="BQ175" i="1"/>
  <c r="BQ174" i="1"/>
  <c r="BQ173" i="1"/>
  <c r="BQ172" i="1"/>
  <c r="BQ171" i="1"/>
  <c r="BQ170" i="1"/>
  <c r="BQ169" i="1"/>
  <c r="BQ168" i="1"/>
  <c r="BQ167" i="1"/>
  <c r="BQ166" i="1"/>
  <c r="BQ165" i="1"/>
  <c r="BQ164" i="1"/>
  <c r="BQ163" i="1"/>
  <c r="BQ162" i="1"/>
  <c r="BQ161" i="1"/>
  <c r="BQ160" i="1"/>
  <c r="BQ159" i="1"/>
  <c r="BQ158" i="1"/>
  <c r="BQ157" i="1"/>
  <c r="BQ156" i="1"/>
  <c r="BQ155" i="1"/>
  <c r="BQ154" i="1"/>
  <c r="BQ153" i="1"/>
  <c r="BQ152" i="1"/>
  <c r="BQ151" i="1"/>
  <c r="BQ150" i="1"/>
  <c r="BQ149" i="1"/>
  <c r="BQ148" i="1"/>
  <c r="BQ147" i="1"/>
  <c r="BQ146" i="1"/>
  <c r="BQ145" i="1"/>
  <c r="BQ144" i="1"/>
  <c r="BQ143" i="1"/>
  <c r="BQ142" i="1"/>
  <c r="BQ141" i="1"/>
  <c r="BQ140" i="1"/>
  <c r="BQ139" i="1"/>
  <c r="BQ138" i="1"/>
  <c r="BQ137" i="1"/>
  <c r="BQ136" i="1"/>
  <c r="BQ135" i="1"/>
  <c r="BQ134" i="1"/>
  <c r="BQ133" i="1"/>
  <c r="BQ132" i="1"/>
  <c r="BQ131" i="1"/>
  <c r="BQ130" i="1"/>
  <c r="BQ129" i="1"/>
  <c r="BQ128" i="1"/>
  <c r="BP232" i="1"/>
  <c r="BP231" i="1"/>
  <c r="BP230" i="1"/>
  <c r="BP229" i="1"/>
  <c r="BP228" i="1"/>
  <c r="BP227" i="1"/>
  <c r="BP226" i="1"/>
  <c r="BP225" i="1"/>
  <c r="BP224" i="1"/>
  <c r="BP223" i="1"/>
  <c r="BP222" i="1"/>
  <c r="BP221" i="1"/>
  <c r="BP220" i="1"/>
  <c r="BP219" i="1"/>
  <c r="BP218" i="1"/>
  <c r="BP217" i="1"/>
  <c r="BP216" i="1"/>
  <c r="BP215" i="1"/>
  <c r="BP214" i="1"/>
  <c r="BP213" i="1"/>
  <c r="BP212" i="1"/>
  <c r="BP211" i="1"/>
  <c r="BP210" i="1"/>
  <c r="BP209" i="1"/>
  <c r="BP208" i="1"/>
  <c r="BP207" i="1"/>
  <c r="BP206" i="1"/>
  <c r="BP205" i="1"/>
  <c r="BP204" i="1"/>
  <c r="BP203" i="1"/>
  <c r="BP202" i="1"/>
  <c r="BP201" i="1"/>
  <c r="BP200" i="1"/>
  <c r="BP199" i="1"/>
  <c r="BP198" i="1"/>
  <c r="BP197" i="1"/>
  <c r="BP196" i="1"/>
  <c r="BP195" i="1"/>
  <c r="BP194" i="1"/>
  <c r="BP193" i="1"/>
  <c r="BP192" i="1"/>
  <c r="BP191" i="1"/>
  <c r="BP190" i="1"/>
  <c r="BP189" i="1"/>
  <c r="BP188" i="1"/>
  <c r="BP187" i="1"/>
  <c r="BP186" i="1"/>
  <c r="BP185" i="1"/>
  <c r="BP184" i="1"/>
  <c r="BP183" i="1"/>
  <c r="BP182" i="1"/>
  <c r="BP181" i="1"/>
  <c r="BP180" i="1"/>
  <c r="BP179" i="1"/>
  <c r="BP178" i="1"/>
  <c r="BP177" i="1"/>
  <c r="BP176" i="1"/>
  <c r="BP175" i="1"/>
  <c r="BP174" i="1"/>
  <c r="BP173" i="1"/>
  <c r="BP172" i="1"/>
  <c r="BP171" i="1"/>
  <c r="BP170" i="1"/>
  <c r="BP169" i="1"/>
  <c r="BP168" i="1"/>
  <c r="BP167" i="1"/>
  <c r="BP166" i="1"/>
  <c r="BP165" i="1"/>
  <c r="BP164" i="1"/>
  <c r="BP163" i="1"/>
  <c r="BP162" i="1"/>
  <c r="BP161" i="1"/>
  <c r="BP160" i="1"/>
  <c r="BP159" i="1"/>
  <c r="BP158" i="1"/>
  <c r="BP157" i="1"/>
  <c r="BP156" i="1"/>
  <c r="BP155" i="1"/>
  <c r="BP154" i="1"/>
  <c r="BP153" i="1"/>
  <c r="BP152" i="1"/>
  <c r="BP151" i="1"/>
  <c r="BP150" i="1"/>
  <c r="BP149" i="1"/>
  <c r="BP148" i="1"/>
  <c r="BP147" i="1"/>
  <c r="BP146" i="1"/>
  <c r="BP145" i="1"/>
  <c r="BP144" i="1"/>
  <c r="BP143" i="1"/>
  <c r="BP142" i="1"/>
  <c r="BP141" i="1"/>
  <c r="BP140" i="1"/>
  <c r="BP139" i="1"/>
  <c r="BP138" i="1"/>
  <c r="BP137" i="1"/>
  <c r="BP136" i="1"/>
  <c r="BP135" i="1"/>
  <c r="BP134" i="1"/>
  <c r="BP133" i="1"/>
  <c r="BP132" i="1"/>
  <c r="BP131" i="1"/>
  <c r="BP130" i="1"/>
  <c r="BP129" i="1"/>
  <c r="BP128" i="1"/>
  <c r="BO232" i="1"/>
  <c r="BO231" i="1"/>
  <c r="BO230" i="1"/>
  <c r="BO229" i="1"/>
  <c r="BO228" i="1"/>
  <c r="BO227" i="1"/>
  <c r="BO226" i="1"/>
  <c r="BO225" i="1"/>
  <c r="BO224" i="1"/>
  <c r="BO223" i="1"/>
  <c r="BO222" i="1"/>
  <c r="BO221" i="1"/>
  <c r="BO220" i="1"/>
  <c r="BO219" i="1"/>
  <c r="BO218" i="1"/>
  <c r="BO217" i="1"/>
  <c r="BO216" i="1"/>
  <c r="BO215" i="1"/>
  <c r="BO214" i="1"/>
  <c r="BO213" i="1"/>
  <c r="BO212" i="1"/>
  <c r="BO211" i="1"/>
  <c r="BO210" i="1"/>
  <c r="BO209" i="1"/>
  <c r="BO208" i="1"/>
  <c r="BO207" i="1"/>
  <c r="BO206" i="1"/>
  <c r="BO205" i="1"/>
  <c r="BO204" i="1"/>
  <c r="BO203" i="1"/>
  <c r="BO202" i="1"/>
  <c r="BO201" i="1"/>
  <c r="BO200" i="1"/>
  <c r="BO199" i="1"/>
  <c r="BO198" i="1"/>
  <c r="BO197" i="1"/>
  <c r="BO196" i="1"/>
  <c r="BO195"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O159" i="1"/>
  <c r="BO158" i="1"/>
  <c r="BO157" i="1"/>
  <c r="BO156" i="1"/>
  <c r="BO155" i="1"/>
  <c r="BO154" i="1"/>
  <c r="BO153" i="1"/>
  <c r="BO152" i="1"/>
  <c r="BO151" i="1"/>
  <c r="BO150" i="1"/>
  <c r="BO149" i="1"/>
  <c r="BO148" i="1"/>
  <c r="BO147" i="1"/>
  <c r="BO146" i="1"/>
  <c r="BO145" i="1"/>
  <c r="BO144" i="1"/>
  <c r="BO143" i="1"/>
  <c r="BO142" i="1"/>
  <c r="BO141" i="1"/>
  <c r="BO140" i="1"/>
  <c r="BO139" i="1"/>
  <c r="BO138" i="1"/>
  <c r="BO137" i="1"/>
  <c r="BO136" i="1"/>
  <c r="BO135" i="1"/>
  <c r="BO134" i="1"/>
  <c r="BO133" i="1"/>
  <c r="BO132" i="1"/>
  <c r="BO131" i="1"/>
  <c r="BO130" i="1"/>
  <c r="BO129" i="1"/>
  <c r="BO128" i="1"/>
  <c r="BN232" i="1"/>
  <c r="BN231" i="1"/>
  <c r="BN230" i="1"/>
  <c r="BN229" i="1"/>
  <c r="BN228" i="1"/>
  <c r="BN227" i="1"/>
  <c r="BN226" i="1"/>
  <c r="BN225" i="1"/>
  <c r="BN224" i="1"/>
  <c r="BN223" i="1"/>
  <c r="BN222" i="1"/>
  <c r="BN221" i="1"/>
  <c r="BN220" i="1"/>
  <c r="BN219" i="1"/>
  <c r="BN218" i="1"/>
  <c r="BN217" i="1"/>
  <c r="BN216" i="1"/>
  <c r="BN215" i="1"/>
  <c r="BN214" i="1"/>
  <c r="BN213" i="1"/>
  <c r="BN212" i="1"/>
  <c r="BN211" i="1"/>
  <c r="BN210" i="1"/>
  <c r="BN209" i="1"/>
  <c r="BN208" i="1"/>
  <c r="BN207" i="1"/>
  <c r="BN206" i="1"/>
  <c r="BN205" i="1"/>
  <c r="BN204" i="1"/>
  <c r="BN203" i="1"/>
  <c r="BN202" i="1"/>
  <c r="BN201" i="1"/>
  <c r="BN200" i="1"/>
  <c r="BN199" i="1"/>
  <c r="BN198" i="1"/>
  <c r="BN197" i="1"/>
  <c r="BN196" i="1"/>
  <c r="BN195" i="1"/>
  <c r="BN194" i="1"/>
  <c r="BN193" i="1"/>
  <c r="BN192" i="1"/>
  <c r="BN191" i="1"/>
  <c r="BN190" i="1"/>
  <c r="BN189" i="1"/>
  <c r="BN188" i="1"/>
  <c r="BN187" i="1"/>
  <c r="BN186" i="1"/>
  <c r="BN185" i="1"/>
  <c r="BN184" i="1"/>
  <c r="BN183" i="1"/>
  <c r="BN182" i="1"/>
  <c r="BN181" i="1"/>
  <c r="BN180" i="1"/>
  <c r="BN179" i="1"/>
  <c r="BN178" i="1"/>
  <c r="BN177" i="1"/>
  <c r="BN176" i="1"/>
  <c r="BN175" i="1"/>
  <c r="BN174" i="1"/>
  <c r="BN173" i="1"/>
  <c r="BN172" i="1"/>
  <c r="BN171" i="1"/>
  <c r="BN170" i="1"/>
  <c r="BN169" i="1"/>
  <c r="BN168" i="1"/>
  <c r="BN167" i="1"/>
  <c r="BN166" i="1"/>
  <c r="BN165" i="1"/>
  <c r="BN164" i="1"/>
  <c r="BN163" i="1"/>
  <c r="BN162" i="1"/>
  <c r="BN161" i="1"/>
  <c r="BN160" i="1"/>
  <c r="BN159" i="1"/>
  <c r="BN158" i="1"/>
  <c r="BN157" i="1"/>
  <c r="BN156" i="1"/>
  <c r="BN155" i="1"/>
  <c r="BN154" i="1"/>
  <c r="BN153" i="1"/>
  <c r="BN152" i="1"/>
  <c r="BN151" i="1"/>
  <c r="BN150" i="1"/>
  <c r="BN149" i="1"/>
  <c r="BN148" i="1"/>
  <c r="BN147" i="1"/>
  <c r="BN146" i="1"/>
  <c r="BN145" i="1"/>
  <c r="BN144" i="1"/>
  <c r="BN143" i="1"/>
  <c r="BN142" i="1"/>
  <c r="BN141" i="1"/>
  <c r="BN140" i="1"/>
  <c r="BN139" i="1"/>
  <c r="BN138" i="1"/>
  <c r="BN137" i="1"/>
  <c r="BN136" i="1"/>
  <c r="BN135" i="1"/>
  <c r="BN134" i="1"/>
  <c r="BN133" i="1"/>
  <c r="BN132" i="1"/>
  <c r="BN131" i="1"/>
  <c r="BN130" i="1"/>
  <c r="BN129" i="1"/>
  <c r="BN128" i="1"/>
  <c r="BM232" i="1"/>
  <c r="BM231" i="1"/>
  <c r="BM230" i="1"/>
  <c r="BM229" i="1"/>
  <c r="BM228" i="1"/>
  <c r="BM227" i="1"/>
  <c r="BM226" i="1"/>
  <c r="BM225" i="1"/>
  <c r="BM224" i="1"/>
  <c r="BM223" i="1"/>
  <c r="BM222" i="1"/>
  <c r="BM221" i="1"/>
  <c r="BM220" i="1"/>
  <c r="BM219" i="1"/>
  <c r="BM218" i="1"/>
  <c r="BM217" i="1"/>
  <c r="BM216" i="1"/>
  <c r="BM215" i="1"/>
  <c r="BM214" i="1"/>
  <c r="BM213" i="1"/>
  <c r="BM212" i="1"/>
  <c r="BM211" i="1"/>
  <c r="BM210" i="1"/>
  <c r="BM209" i="1"/>
  <c r="BM208" i="1"/>
  <c r="BM207" i="1"/>
  <c r="BM206" i="1"/>
  <c r="BM205" i="1"/>
  <c r="BM204" i="1"/>
  <c r="BM203" i="1"/>
  <c r="BM202" i="1"/>
  <c r="BM201" i="1"/>
  <c r="BM200" i="1"/>
  <c r="BM199" i="1"/>
  <c r="BM198" i="1"/>
  <c r="BM197" i="1"/>
  <c r="BM196" i="1"/>
  <c r="BM195" i="1"/>
  <c r="BM194" i="1"/>
  <c r="BM193" i="1"/>
  <c r="BM192" i="1"/>
  <c r="BM191" i="1"/>
  <c r="BM190" i="1"/>
  <c r="BM189" i="1"/>
  <c r="BM188" i="1"/>
  <c r="BM187" i="1"/>
  <c r="BM186" i="1"/>
  <c r="BM185" i="1"/>
  <c r="BM184" i="1"/>
  <c r="BM183" i="1"/>
  <c r="BM182" i="1"/>
  <c r="BM181" i="1"/>
  <c r="BM180" i="1"/>
  <c r="BM179" i="1"/>
  <c r="BM178" i="1"/>
  <c r="BM177" i="1"/>
  <c r="BM176" i="1"/>
  <c r="BM175" i="1"/>
  <c r="BM174" i="1"/>
  <c r="BM173" i="1"/>
  <c r="BM172" i="1"/>
  <c r="BM171" i="1"/>
  <c r="BM170" i="1"/>
  <c r="BM169" i="1"/>
  <c r="BM168" i="1"/>
  <c r="BM167" i="1"/>
  <c r="BM166" i="1"/>
  <c r="BM165" i="1"/>
  <c r="BM164" i="1"/>
  <c r="BM163" i="1"/>
  <c r="BM162" i="1"/>
  <c r="BM161" i="1"/>
  <c r="BM160" i="1"/>
  <c r="BM159" i="1"/>
  <c r="BM158" i="1"/>
  <c r="BM157" i="1"/>
  <c r="BM156" i="1"/>
  <c r="BM155" i="1"/>
  <c r="BM154" i="1"/>
  <c r="BM153" i="1"/>
  <c r="BM152" i="1"/>
  <c r="BM151" i="1"/>
  <c r="BM150" i="1"/>
  <c r="BM149" i="1"/>
  <c r="BM148" i="1"/>
  <c r="BM147" i="1"/>
  <c r="BM146" i="1"/>
  <c r="BM145" i="1"/>
  <c r="BM144" i="1"/>
  <c r="BM143" i="1"/>
  <c r="BM142" i="1"/>
  <c r="BM141" i="1"/>
  <c r="BM140" i="1"/>
  <c r="BM139" i="1"/>
  <c r="BM138" i="1"/>
  <c r="BM137" i="1"/>
  <c r="BM136" i="1"/>
  <c r="BM135" i="1"/>
  <c r="BM134" i="1"/>
  <c r="BM133" i="1"/>
  <c r="BM132" i="1"/>
  <c r="BM131" i="1"/>
  <c r="BM130" i="1"/>
  <c r="BM129" i="1"/>
  <c r="BM128" i="1"/>
  <c r="BL232" i="1"/>
  <c r="BL231" i="1"/>
  <c r="BL230" i="1"/>
  <c r="BL229" i="1"/>
  <c r="BL228" i="1"/>
  <c r="BL227" i="1"/>
  <c r="BL226" i="1"/>
  <c r="BL225" i="1"/>
  <c r="BL224" i="1"/>
  <c r="BL223" i="1"/>
  <c r="BL222" i="1"/>
  <c r="BL221" i="1"/>
  <c r="BL220" i="1"/>
  <c r="BL219" i="1"/>
  <c r="BL218" i="1"/>
  <c r="BL217" i="1"/>
  <c r="BL216" i="1"/>
  <c r="BL215" i="1"/>
  <c r="BL214" i="1"/>
  <c r="BL213" i="1"/>
  <c r="BL212" i="1"/>
  <c r="BL211" i="1"/>
  <c r="BL210" i="1"/>
  <c r="BL209" i="1"/>
  <c r="BL208" i="1"/>
  <c r="BL207" i="1"/>
  <c r="BL206" i="1"/>
  <c r="BL205" i="1"/>
  <c r="BL204" i="1"/>
  <c r="BL203" i="1"/>
  <c r="BL202" i="1"/>
  <c r="BL201" i="1"/>
  <c r="BL200" i="1"/>
  <c r="BL199" i="1"/>
  <c r="BL198" i="1"/>
  <c r="BL197" i="1"/>
  <c r="BL196" i="1"/>
  <c r="BL195" i="1"/>
  <c r="BL194" i="1"/>
  <c r="BL193" i="1"/>
  <c r="BL192" i="1"/>
  <c r="BL191" i="1"/>
  <c r="BL190" i="1"/>
  <c r="BL189" i="1"/>
  <c r="BL188" i="1"/>
  <c r="BL187" i="1"/>
  <c r="BL186" i="1"/>
  <c r="BL185" i="1"/>
  <c r="BL184" i="1"/>
  <c r="BL183" i="1"/>
  <c r="BL182" i="1"/>
  <c r="BL181" i="1"/>
  <c r="BL180" i="1"/>
  <c r="BL179" i="1"/>
  <c r="BL178" i="1"/>
  <c r="BL177" i="1"/>
  <c r="BL176" i="1"/>
  <c r="BL175" i="1"/>
  <c r="BL174" i="1"/>
  <c r="BL173" i="1"/>
  <c r="BL172" i="1"/>
  <c r="BL171" i="1"/>
  <c r="BL170" i="1"/>
  <c r="BL169" i="1"/>
  <c r="BL168" i="1"/>
  <c r="BL167" i="1"/>
  <c r="BL166" i="1"/>
  <c r="BL165" i="1"/>
  <c r="BL164" i="1"/>
  <c r="BL163" i="1"/>
  <c r="BL162" i="1"/>
  <c r="BL161" i="1"/>
  <c r="BL160" i="1"/>
  <c r="BL159" i="1"/>
  <c r="BL158" i="1"/>
  <c r="BL157" i="1"/>
  <c r="BL156" i="1"/>
  <c r="BL155" i="1"/>
  <c r="BL154" i="1"/>
  <c r="BL153" i="1"/>
  <c r="BL152" i="1"/>
  <c r="BL151" i="1"/>
  <c r="BL150" i="1"/>
  <c r="BL149" i="1"/>
  <c r="BL148" i="1"/>
  <c r="BL147" i="1"/>
  <c r="BL146" i="1"/>
  <c r="BL145" i="1"/>
  <c r="BL144" i="1"/>
  <c r="BL143" i="1"/>
  <c r="BL142" i="1"/>
  <c r="BL141" i="1"/>
  <c r="BL140" i="1"/>
  <c r="BL139" i="1"/>
  <c r="BL138" i="1"/>
  <c r="BL137" i="1"/>
  <c r="BL136" i="1"/>
  <c r="BL135" i="1"/>
  <c r="BL134" i="1"/>
  <c r="BL133" i="1"/>
  <c r="BL132" i="1"/>
  <c r="BL131" i="1"/>
  <c r="BL130" i="1"/>
  <c r="BL129" i="1"/>
  <c r="BL128" i="1"/>
  <c r="BK232" i="1"/>
  <c r="BK231" i="1"/>
  <c r="BK230" i="1"/>
  <c r="BK229" i="1"/>
  <c r="BK228" i="1"/>
  <c r="BK227" i="1"/>
  <c r="BK226" i="1"/>
  <c r="BK225" i="1"/>
  <c r="BK224" i="1"/>
  <c r="BK223" i="1"/>
  <c r="BK222" i="1"/>
  <c r="BK221" i="1"/>
  <c r="BK220" i="1"/>
  <c r="BK219" i="1"/>
  <c r="BK218" i="1"/>
  <c r="BK217" i="1"/>
  <c r="BK216" i="1"/>
  <c r="BK215" i="1"/>
  <c r="BK214" i="1"/>
  <c r="BK213" i="1"/>
  <c r="BK212" i="1"/>
  <c r="BK211" i="1"/>
  <c r="BK210" i="1"/>
  <c r="BK209" i="1"/>
  <c r="BK208" i="1"/>
  <c r="BK207" i="1"/>
  <c r="BK206" i="1"/>
  <c r="BK205" i="1"/>
  <c r="BK204" i="1"/>
  <c r="BK203" i="1"/>
  <c r="BK202" i="1"/>
  <c r="BK201" i="1"/>
  <c r="BK200" i="1"/>
  <c r="BK199" i="1"/>
  <c r="BK198" i="1"/>
  <c r="BK197" i="1"/>
  <c r="BK196" i="1"/>
  <c r="BK195" i="1"/>
  <c r="BK194" i="1"/>
  <c r="BK193" i="1"/>
  <c r="BK192" i="1"/>
  <c r="BK191" i="1"/>
  <c r="BK190" i="1"/>
  <c r="BK189" i="1"/>
  <c r="BK188" i="1"/>
  <c r="BK187" i="1"/>
  <c r="BK186" i="1"/>
  <c r="BK185" i="1"/>
  <c r="BK184" i="1"/>
  <c r="BK183" i="1"/>
  <c r="BK182" i="1"/>
  <c r="BK181" i="1"/>
  <c r="BK180" i="1"/>
  <c r="BK179" i="1"/>
  <c r="BK178" i="1"/>
  <c r="BK177" i="1"/>
  <c r="BK176" i="1"/>
  <c r="BK175" i="1"/>
  <c r="BK174" i="1"/>
  <c r="BK173" i="1"/>
  <c r="BK172" i="1"/>
  <c r="BK171" i="1"/>
  <c r="BK170" i="1"/>
  <c r="BK169" i="1"/>
  <c r="BK168" i="1"/>
  <c r="BK167" i="1"/>
  <c r="BK166" i="1"/>
  <c r="BK165" i="1"/>
  <c r="BK164" i="1"/>
  <c r="BK163" i="1"/>
  <c r="BK162" i="1"/>
  <c r="BK161" i="1"/>
  <c r="BK160" i="1"/>
  <c r="BK159" i="1"/>
  <c r="BK158" i="1"/>
  <c r="BK157" i="1"/>
  <c r="BK156" i="1"/>
  <c r="BK155" i="1"/>
  <c r="BK154" i="1"/>
  <c r="BK153" i="1"/>
  <c r="BK152" i="1"/>
  <c r="BK151" i="1"/>
  <c r="BK150" i="1"/>
  <c r="BK149" i="1"/>
  <c r="BK148" i="1"/>
  <c r="BK147" i="1"/>
  <c r="BK146" i="1"/>
  <c r="BK145" i="1"/>
  <c r="BK144" i="1"/>
  <c r="BK143" i="1"/>
  <c r="BK142" i="1"/>
  <c r="BK141" i="1"/>
  <c r="BK140" i="1"/>
  <c r="BK139" i="1"/>
  <c r="BK138" i="1"/>
  <c r="BK137" i="1"/>
  <c r="BK136" i="1"/>
  <c r="BK135" i="1"/>
  <c r="BK134" i="1"/>
  <c r="BK133" i="1"/>
  <c r="BK132" i="1"/>
  <c r="BK131" i="1"/>
  <c r="BK130" i="1"/>
  <c r="BK129" i="1"/>
  <c r="BK128" i="1"/>
  <c r="BJ232" i="1"/>
  <c r="BJ231" i="1"/>
  <c r="BJ230" i="1"/>
  <c r="BJ229" i="1"/>
  <c r="BJ228" i="1"/>
  <c r="BJ227" i="1"/>
  <c r="BJ226" i="1"/>
  <c r="BJ225" i="1"/>
  <c r="BJ224" i="1"/>
  <c r="BJ223" i="1"/>
  <c r="BJ222" i="1"/>
  <c r="BJ221" i="1"/>
  <c r="BJ220" i="1"/>
  <c r="BJ219" i="1"/>
  <c r="BJ218" i="1"/>
  <c r="BJ217" i="1"/>
  <c r="BJ216" i="1"/>
  <c r="BJ215" i="1"/>
  <c r="BJ214" i="1"/>
  <c r="BJ213" i="1"/>
  <c r="BJ212" i="1"/>
  <c r="BJ211" i="1"/>
  <c r="BJ210" i="1"/>
  <c r="BJ209" i="1"/>
  <c r="BJ208" i="1"/>
  <c r="BJ207" i="1"/>
  <c r="BJ206" i="1"/>
  <c r="BJ205" i="1"/>
  <c r="BJ204" i="1"/>
  <c r="BJ203" i="1"/>
  <c r="BJ202" i="1"/>
  <c r="BJ201" i="1"/>
  <c r="BJ200" i="1"/>
  <c r="BJ199" i="1"/>
  <c r="BJ198" i="1"/>
  <c r="BJ197" i="1"/>
  <c r="BJ196" i="1"/>
  <c r="BJ195" i="1"/>
  <c r="BJ194" i="1"/>
  <c r="BJ193" i="1"/>
  <c r="BJ192" i="1"/>
  <c r="BJ191" i="1"/>
  <c r="BJ190" i="1"/>
  <c r="BJ189" i="1"/>
  <c r="BJ188" i="1"/>
  <c r="BJ187" i="1"/>
  <c r="BJ186" i="1"/>
  <c r="BJ185" i="1"/>
  <c r="BJ184" i="1"/>
  <c r="BJ183" i="1"/>
  <c r="BJ182" i="1"/>
  <c r="BJ181" i="1"/>
  <c r="BJ180" i="1"/>
  <c r="BJ179" i="1"/>
  <c r="BJ178" i="1"/>
  <c r="BJ177" i="1"/>
  <c r="BJ176" i="1"/>
  <c r="BJ175" i="1"/>
  <c r="BJ174" i="1"/>
  <c r="BJ173" i="1"/>
  <c r="BJ172" i="1"/>
  <c r="BJ171" i="1"/>
  <c r="BJ170" i="1"/>
  <c r="BJ169" i="1"/>
  <c r="BJ168" i="1"/>
  <c r="BJ167" i="1"/>
  <c r="BJ166" i="1"/>
  <c r="BJ165" i="1"/>
  <c r="BJ164" i="1"/>
  <c r="BJ163" i="1"/>
  <c r="BJ162" i="1"/>
  <c r="BJ161" i="1"/>
  <c r="BJ160" i="1"/>
  <c r="BJ159" i="1"/>
  <c r="BJ158" i="1"/>
  <c r="BJ157" i="1"/>
  <c r="BJ156" i="1"/>
  <c r="BJ155" i="1"/>
  <c r="BJ154" i="1"/>
  <c r="BJ153" i="1"/>
  <c r="BJ152" i="1"/>
  <c r="BJ151" i="1"/>
  <c r="BJ150" i="1"/>
  <c r="BJ149" i="1"/>
  <c r="BJ148" i="1"/>
  <c r="BJ147" i="1"/>
  <c r="BJ146" i="1"/>
  <c r="BJ145" i="1"/>
  <c r="BJ144" i="1"/>
  <c r="BJ143" i="1"/>
  <c r="BJ142" i="1"/>
  <c r="BJ141" i="1"/>
  <c r="BJ140" i="1"/>
  <c r="BJ139" i="1"/>
  <c r="BJ138" i="1"/>
  <c r="BJ137" i="1"/>
  <c r="BJ136" i="1"/>
  <c r="BJ135" i="1"/>
  <c r="BJ134" i="1"/>
  <c r="BJ133" i="1"/>
  <c r="BJ132" i="1"/>
  <c r="BJ131" i="1"/>
  <c r="BJ130" i="1"/>
  <c r="BJ129" i="1"/>
  <c r="BJ128" i="1"/>
  <c r="BI232" i="1"/>
  <c r="BI231" i="1"/>
  <c r="BI230" i="1"/>
  <c r="BI229" i="1"/>
  <c r="BI228" i="1"/>
  <c r="BI227" i="1"/>
  <c r="BI226" i="1"/>
  <c r="BI225" i="1"/>
  <c r="BI224" i="1"/>
  <c r="BI223" i="1"/>
  <c r="BI222" i="1"/>
  <c r="BI221" i="1"/>
  <c r="BI220" i="1"/>
  <c r="BI219" i="1"/>
  <c r="BI218" i="1"/>
  <c r="BI217" i="1"/>
  <c r="BI216" i="1"/>
  <c r="BI215" i="1"/>
  <c r="BI214" i="1"/>
  <c r="BI213" i="1"/>
  <c r="BI212" i="1"/>
  <c r="BI211" i="1"/>
  <c r="BI210" i="1"/>
  <c r="BI209" i="1"/>
  <c r="BI208" i="1"/>
  <c r="BI207" i="1"/>
  <c r="BI206" i="1"/>
  <c r="BI205" i="1"/>
  <c r="BI204" i="1"/>
  <c r="BI203" i="1"/>
  <c r="BI202" i="1"/>
  <c r="BI201" i="1"/>
  <c r="BI200" i="1"/>
  <c r="BI199" i="1"/>
  <c r="BI198" i="1"/>
  <c r="BI197" i="1"/>
  <c r="BI196" i="1"/>
  <c r="BI195" i="1"/>
  <c r="BI194" i="1"/>
  <c r="BI193" i="1"/>
  <c r="BI192" i="1"/>
  <c r="BI191" i="1"/>
  <c r="BI190" i="1"/>
  <c r="BI189" i="1"/>
  <c r="BI188" i="1"/>
  <c r="BI187" i="1"/>
  <c r="BI186" i="1"/>
  <c r="BI185" i="1"/>
  <c r="BI184" i="1"/>
  <c r="BI183" i="1"/>
  <c r="BI182" i="1"/>
  <c r="BI181" i="1"/>
  <c r="BI180" i="1"/>
  <c r="BI179" i="1"/>
  <c r="BI178" i="1"/>
  <c r="BI177" i="1"/>
  <c r="BI176" i="1"/>
  <c r="BI175" i="1"/>
  <c r="BI174" i="1"/>
  <c r="BI173" i="1"/>
  <c r="BI172" i="1"/>
  <c r="BI171" i="1"/>
  <c r="BI170" i="1"/>
  <c r="BI169" i="1"/>
  <c r="BI168" i="1"/>
  <c r="BI167" i="1"/>
  <c r="BI166" i="1"/>
  <c r="BI165" i="1"/>
  <c r="BI164" i="1"/>
  <c r="BI163" i="1"/>
  <c r="BI162" i="1"/>
  <c r="BI161" i="1"/>
  <c r="BI160" i="1"/>
  <c r="BI159" i="1"/>
  <c r="BI158" i="1"/>
  <c r="BI157" i="1"/>
  <c r="BI156" i="1"/>
  <c r="BI155" i="1"/>
  <c r="BI154" i="1"/>
  <c r="BI153" i="1"/>
  <c r="BI152" i="1"/>
  <c r="BI151" i="1"/>
  <c r="BI150" i="1"/>
  <c r="BI149" i="1"/>
  <c r="BI148" i="1"/>
  <c r="BI147" i="1"/>
  <c r="BI146" i="1"/>
  <c r="BI145" i="1"/>
  <c r="BI144" i="1"/>
  <c r="BI143" i="1"/>
  <c r="BI142" i="1"/>
  <c r="BI141" i="1"/>
  <c r="BI140" i="1"/>
  <c r="BI139" i="1"/>
  <c r="BI138" i="1"/>
  <c r="BI137" i="1"/>
  <c r="BI136" i="1"/>
  <c r="BI135" i="1"/>
  <c r="BI134" i="1"/>
  <c r="BI133" i="1"/>
  <c r="BI132" i="1"/>
  <c r="BI131" i="1"/>
  <c r="BI130" i="1"/>
  <c r="BI129" i="1"/>
  <c r="BI128" i="1"/>
  <c r="BH232" i="1"/>
  <c r="BH231" i="1"/>
  <c r="BH230" i="1"/>
  <c r="BH229" i="1"/>
  <c r="BH228" i="1"/>
  <c r="BH227" i="1"/>
  <c r="BH226" i="1"/>
  <c r="BH225" i="1"/>
  <c r="BH224" i="1"/>
  <c r="BH223" i="1"/>
  <c r="BH222" i="1"/>
  <c r="BH221" i="1"/>
  <c r="BH220" i="1"/>
  <c r="BH219" i="1"/>
  <c r="BH218" i="1"/>
  <c r="BH217" i="1"/>
  <c r="BH216" i="1"/>
  <c r="BH215" i="1"/>
  <c r="BH214" i="1"/>
  <c r="BH213" i="1"/>
  <c r="BH212" i="1"/>
  <c r="BH211" i="1"/>
  <c r="BH210" i="1"/>
  <c r="BH209" i="1"/>
  <c r="BH208" i="1"/>
  <c r="BH207" i="1"/>
  <c r="BH206" i="1"/>
  <c r="BH205" i="1"/>
  <c r="BH204" i="1"/>
  <c r="BH203" i="1"/>
  <c r="BH202" i="1"/>
  <c r="BH201" i="1"/>
  <c r="BH200" i="1"/>
  <c r="BH199" i="1"/>
  <c r="BH198" i="1"/>
  <c r="BH197" i="1"/>
  <c r="BH196" i="1"/>
  <c r="BH195" i="1"/>
  <c r="BH194" i="1"/>
  <c r="BH193" i="1"/>
  <c r="BH192" i="1"/>
  <c r="BH191" i="1"/>
  <c r="BH190" i="1"/>
  <c r="BH189" i="1"/>
  <c r="BH188"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40" i="1"/>
  <c r="BH139" i="1"/>
  <c r="BH138" i="1"/>
  <c r="BH137" i="1"/>
  <c r="BH136" i="1"/>
  <c r="BH135" i="1"/>
  <c r="BH134" i="1"/>
  <c r="BH133" i="1"/>
  <c r="BH132" i="1"/>
  <c r="BH131" i="1"/>
  <c r="BH130" i="1"/>
  <c r="BH129" i="1"/>
  <c r="BH128" i="1"/>
  <c r="BG232" i="1"/>
  <c r="BG231" i="1"/>
  <c r="BG230" i="1"/>
  <c r="BG229" i="1"/>
  <c r="BG228" i="1"/>
  <c r="BG227" i="1"/>
  <c r="BG226" i="1"/>
  <c r="BG225" i="1"/>
  <c r="BG224" i="1"/>
  <c r="BG223" i="1"/>
  <c r="BG222" i="1"/>
  <c r="BG221" i="1"/>
  <c r="BG220" i="1"/>
  <c r="BG219" i="1"/>
  <c r="BG218" i="1"/>
  <c r="BG217" i="1"/>
  <c r="BG216" i="1"/>
  <c r="BG215" i="1"/>
  <c r="BG214" i="1"/>
  <c r="BG213" i="1"/>
  <c r="BG212" i="1"/>
  <c r="BG211" i="1"/>
  <c r="BG210" i="1"/>
  <c r="BG209" i="1"/>
  <c r="BG208" i="1"/>
  <c r="BG207" i="1"/>
  <c r="BG206" i="1"/>
  <c r="BG205" i="1"/>
  <c r="BG204" i="1"/>
  <c r="BG203" i="1"/>
  <c r="BG202" i="1"/>
  <c r="BG201" i="1"/>
  <c r="BG200" i="1"/>
  <c r="BG199" i="1"/>
  <c r="BG198" i="1"/>
  <c r="BG197" i="1"/>
  <c r="BG196" i="1"/>
  <c r="BG195" i="1"/>
  <c r="BG194" i="1"/>
  <c r="BG193" i="1"/>
  <c r="BG192" i="1"/>
  <c r="BG191" i="1"/>
  <c r="BG190" i="1"/>
  <c r="BG189" i="1"/>
  <c r="BG188" i="1"/>
  <c r="BG187" i="1"/>
  <c r="BG186" i="1"/>
  <c r="BG185" i="1"/>
  <c r="BG184" i="1"/>
  <c r="BG183" i="1"/>
  <c r="BG182" i="1"/>
  <c r="BG181" i="1"/>
  <c r="BG180" i="1"/>
  <c r="BG179" i="1"/>
  <c r="BG178" i="1"/>
  <c r="BG177" i="1"/>
  <c r="BG176" i="1"/>
  <c r="BG175" i="1"/>
  <c r="BG174" i="1"/>
  <c r="BG173" i="1"/>
  <c r="BG172" i="1"/>
  <c r="BG171" i="1"/>
  <c r="BG170" i="1"/>
  <c r="BG169" i="1"/>
  <c r="BG168" i="1"/>
  <c r="BG167" i="1"/>
  <c r="BG166" i="1"/>
  <c r="BG165" i="1"/>
  <c r="BG164" i="1"/>
  <c r="BG163" i="1"/>
  <c r="BG162" i="1"/>
  <c r="BG161" i="1"/>
  <c r="BG160" i="1"/>
  <c r="BG159" i="1"/>
  <c r="BG158" i="1"/>
  <c r="BG157" i="1"/>
  <c r="BG156" i="1"/>
  <c r="BG155" i="1"/>
  <c r="BG154" i="1"/>
  <c r="BG153" i="1"/>
  <c r="BG152" i="1"/>
  <c r="BG151" i="1"/>
  <c r="BG150" i="1"/>
  <c r="BG149" i="1"/>
  <c r="BG148" i="1"/>
  <c r="BG147" i="1"/>
  <c r="BG146" i="1"/>
  <c r="BG145" i="1"/>
  <c r="BG144" i="1"/>
  <c r="BG143" i="1"/>
  <c r="BG142" i="1"/>
  <c r="BG141" i="1"/>
  <c r="BG140" i="1"/>
  <c r="BG139" i="1"/>
  <c r="BG138" i="1"/>
  <c r="BG137" i="1"/>
  <c r="BG136" i="1"/>
  <c r="BG135" i="1"/>
  <c r="BG134" i="1"/>
  <c r="BG133" i="1"/>
  <c r="BG132" i="1"/>
  <c r="BG131" i="1"/>
  <c r="BG130" i="1"/>
  <c r="BG129" i="1"/>
  <c r="BG128" i="1"/>
  <c r="BF232" i="1"/>
  <c r="BF231" i="1"/>
  <c r="BF230" i="1"/>
  <c r="BF229" i="1"/>
  <c r="BF228" i="1"/>
  <c r="BF227" i="1"/>
  <c r="BF226" i="1"/>
  <c r="BF225" i="1"/>
  <c r="BF224" i="1"/>
  <c r="BF223" i="1"/>
  <c r="BF222" i="1"/>
  <c r="BF221" i="1"/>
  <c r="BF220" i="1"/>
  <c r="BF219" i="1"/>
  <c r="BF218" i="1"/>
  <c r="BF217" i="1"/>
  <c r="BF216" i="1"/>
  <c r="BF215" i="1"/>
  <c r="BF214" i="1"/>
  <c r="BF213" i="1"/>
  <c r="BF212" i="1"/>
  <c r="BF211" i="1"/>
  <c r="BF210" i="1"/>
  <c r="BF209" i="1"/>
  <c r="BF208" i="1"/>
  <c r="BF207" i="1"/>
  <c r="BF206" i="1"/>
  <c r="BF205" i="1"/>
  <c r="BF204" i="1"/>
  <c r="BF203" i="1"/>
  <c r="BF202" i="1"/>
  <c r="BF201" i="1"/>
  <c r="BF200" i="1"/>
  <c r="BF199" i="1"/>
  <c r="BF198" i="1"/>
  <c r="BF197" i="1"/>
  <c r="BF196" i="1"/>
  <c r="BF195" i="1"/>
  <c r="BF194" i="1"/>
  <c r="BF193" i="1"/>
  <c r="BF192" i="1"/>
  <c r="BF191" i="1"/>
  <c r="BF190" i="1"/>
  <c r="BF189" i="1"/>
  <c r="BF188" i="1"/>
  <c r="BF187" i="1"/>
  <c r="BF186" i="1"/>
  <c r="BF185" i="1"/>
  <c r="BF184" i="1"/>
  <c r="BF183" i="1"/>
  <c r="BF182" i="1"/>
  <c r="BF181" i="1"/>
  <c r="BF180" i="1"/>
  <c r="BF179" i="1"/>
  <c r="BF178" i="1"/>
  <c r="BF177" i="1"/>
  <c r="BF176" i="1"/>
  <c r="BF175" i="1"/>
  <c r="BF174" i="1"/>
  <c r="BF173" i="1"/>
  <c r="BF172" i="1"/>
  <c r="BF171" i="1"/>
  <c r="BF170" i="1"/>
  <c r="BF169" i="1"/>
  <c r="BF168" i="1"/>
  <c r="BF167" i="1"/>
  <c r="BF166" i="1"/>
  <c r="BF165" i="1"/>
  <c r="BF164" i="1"/>
  <c r="BF163" i="1"/>
  <c r="BF162" i="1"/>
  <c r="BF161" i="1"/>
  <c r="BF160" i="1"/>
  <c r="BF159" i="1"/>
  <c r="BF158" i="1"/>
  <c r="BF157" i="1"/>
  <c r="BF156" i="1"/>
  <c r="BF155" i="1"/>
  <c r="BF154" i="1"/>
  <c r="BF153" i="1"/>
  <c r="BF152" i="1"/>
  <c r="BF151" i="1"/>
  <c r="BF150" i="1"/>
  <c r="BF149" i="1"/>
  <c r="BF148" i="1"/>
  <c r="BF147" i="1"/>
  <c r="BF146" i="1"/>
  <c r="BF145" i="1"/>
  <c r="BF144" i="1"/>
  <c r="BF143" i="1"/>
  <c r="BF142" i="1"/>
  <c r="BF141" i="1"/>
  <c r="BF140" i="1"/>
  <c r="BF139" i="1"/>
  <c r="BF138" i="1"/>
  <c r="BF137" i="1"/>
  <c r="BF136" i="1"/>
  <c r="BF135" i="1"/>
  <c r="BF134" i="1"/>
  <c r="BF133" i="1"/>
  <c r="BF132" i="1"/>
  <c r="BF131" i="1"/>
  <c r="BF130" i="1"/>
  <c r="BF129" i="1"/>
  <c r="BF128" i="1"/>
  <c r="BE232" i="1"/>
  <c r="BE231" i="1"/>
  <c r="BE230" i="1"/>
  <c r="BE229" i="1"/>
  <c r="BE228" i="1"/>
  <c r="BE227" i="1"/>
  <c r="BE226" i="1"/>
  <c r="BE225" i="1"/>
  <c r="BE224" i="1"/>
  <c r="BE223" i="1"/>
  <c r="BE222" i="1"/>
  <c r="BE221" i="1"/>
  <c r="BE220" i="1"/>
  <c r="BE219" i="1"/>
  <c r="BE218" i="1"/>
  <c r="BE217" i="1"/>
  <c r="BE216" i="1"/>
  <c r="BE215" i="1"/>
  <c r="BE214" i="1"/>
  <c r="BE213" i="1"/>
  <c r="BE212" i="1"/>
  <c r="BE211" i="1"/>
  <c r="BE210" i="1"/>
  <c r="BE209" i="1"/>
  <c r="BE208" i="1"/>
  <c r="BE207" i="1"/>
  <c r="BE206" i="1"/>
  <c r="BE205" i="1"/>
  <c r="BE204" i="1"/>
  <c r="BE203" i="1"/>
  <c r="BE202" i="1"/>
  <c r="BE201" i="1"/>
  <c r="BE200" i="1"/>
  <c r="BE199" i="1"/>
  <c r="BE198" i="1"/>
  <c r="BE197" i="1"/>
  <c r="BE196" i="1"/>
  <c r="BE195" i="1"/>
  <c r="BE194" i="1"/>
  <c r="BE193" i="1"/>
  <c r="BE192" i="1"/>
  <c r="BE191" i="1"/>
  <c r="BE190" i="1"/>
  <c r="BE189" i="1"/>
  <c r="BE188" i="1"/>
  <c r="BE187" i="1"/>
  <c r="BE186" i="1"/>
  <c r="BE185"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8" i="1"/>
  <c r="BE147" i="1"/>
  <c r="BE146" i="1"/>
  <c r="BE145" i="1"/>
  <c r="BE144" i="1"/>
  <c r="BE143" i="1"/>
  <c r="BE142" i="1"/>
  <c r="BE141" i="1"/>
  <c r="BE140" i="1"/>
  <c r="BE139" i="1"/>
  <c r="BE138" i="1"/>
  <c r="BE137" i="1"/>
  <c r="BE136" i="1"/>
  <c r="BE135" i="1"/>
  <c r="BE134" i="1"/>
  <c r="BE133" i="1"/>
  <c r="BE132" i="1"/>
  <c r="BE131" i="1"/>
  <c r="BE130" i="1"/>
  <c r="BE129" i="1"/>
  <c r="BE128" i="1"/>
  <c r="BD232" i="1"/>
  <c r="BD231" i="1"/>
  <c r="BD230" i="1"/>
  <c r="BD229" i="1"/>
  <c r="BD228" i="1"/>
  <c r="BD227" i="1"/>
  <c r="BD226" i="1"/>
  <c r="BD225" i="1"/>
  <c r="BD224" i="1"/>
  <c r="BD223" i="1"/>
  <c r="BD222" i="1"/>
  <c r="BD221" i="1"/>
  <c r="BD220" i="1"/>
  <c r="BD219" i="1"/>
  <c r="BD218" i="1"/>
  <c r="BD217" i="1"/>
  <c r="BD216" i="1"/>
  <c r="BD215" i="1"/>
  <c r="BD214" i="1"/>
  <c r="BD213" i="1"/>
  <c r="BD212" i="1"/>
  <c r="BD211" i="1"/>
  <c r="BD210" i="1"/>
  <c r="BD209" i="1"/>
  <c r="BD208" i="1"/>
  <c r="BD207" i="1"/>
  <c r="BD206" i="1"/>
  <c r="BD205" i="1"/>
  <c r="BD204" i="1"/>
  <c r="BD203" i="1"/>
  <c r="BD202" i="1"/>
  <c r="BD201" i="1"/>
  <c r="BD200" i="1"/>
  <c r="BD199" i="1"/>
  <c r="BD198" i="1"/>
  <c r="BD197" i="1"/>
  <c r="BD196" i="1"/>
  <c r="BD195" i="1"/>
  <c r="BD194" i="1"/>
  <c r="BD193" i="1"/>
  <c r="BD192" i="1"/>
  <c r="BD191" i="1"/>
  <c r="BD190" i="1"/>
  <c r="BD189" i="1"/>
  <c r="BD188" i="1"/>
  <c r="BD187" i="1"/>
  <c r="BD186" i="1"/>
  <c r="BD185" i="1"/>
  <c r="BD184" i="1"/>
  <c r="BD183" i="1"/>
  <c r="BD182" i="1"/>
  <c r="BD181" i="1"/>
  <c r="BD180" i="1"/>
  <c r="BD179" i="1"/>
  <c r="BD178" i="1"/>
  <c r="BD177" i="1"/>
  <c r="BD176" i="1"/>
  <c r="BD175" i="1"/>
  <c r="BD174" i="1"/>
  <c r="BD173" i="1"/>
  <c r="BD172" i="1"/>
  <c r="BD171" i="1"/>
  <c r="BD170" i="1"/>
  <c r="BD169" i="1"/>
  <c r="BD168" i="1"/>
  <c r="BD167" i="1"/>
  <c r="BD166" i="1"/>
  <c r="BD165" i="1"/>
  <c r="BD164" i="1"/>
  <c r="BD163" i="1"/>
  <c r="BD162" i="1"/>
  <c r="BD161" i="1"/>
  <c r="BD160" i="1"/>
  <c r="BD159" i="1"/>
  <c r="BD158" i="1"/>
  <c r="BD157" i="1"/>
  <c r="BD156" i="1"/>
  <c r="BD155" i="1"/>
  <c r="BD154" i="1"/>
  <c r="BD153" i="1"/>
  <c r="BD152" i="1"/>
  <c r="BD151" i="1"/>
  <c r="BD150" i="1"/>
  <c r="BD149" i="1"/>
  <c r="BD148" i="1"/>
  <c r="BD147" i="1"/>
  <c r="BD146" i="1"/>
  <c r="BD145" i="1"/>
  <c r="BD144" i="1"/>
  <c r="BD143" i="1"/>
  <c r="BD142" i="1"/>
  <c r="BD141" i="1"/>
  <c r="BD140" i="1"/>
  <c r="BD139" i="1"/>
  <c r="BD138" i="1"/>
  <c r="BD137" i="1"/>
  <c r="BD136" i="1"/>
  <c r="BD135" i="1"/>
  <c r="BD134" i="1"/>
  <c r="BD133" i="1"/>
  <c r="BD132" i="1"/>
  <c r="BD131" i="1"/>
  <c r="BD130" i="1"/>
  <c r="BD129" i="1"/>
  <c r="BD128" i="1"/>
  <c r="BC232" i="1"/>
  <c r="BC231" i="1"/>
  <c r="BC230" i="1"/>
  <c r="BC229" i="1"/>
  <c r="BC228" i="1"/>
  <c r="BC227" i="1"/>
  <c r="BC226" i="1"/>
  <c r="BC225" i="1"/>
  <c r="BC224" i="1"/>
  <c r="BC223" i="1"/>
  <c r="BC222" i="1"/>
  <c r="BC221" i="1"/>
  <c r="BC220" i="1"/>
  <c r="BC219" i="1"/>
  <c r="BC218" i="1"/>
  <c r="BC217" i="1"/>
  <c r="BC216" i="1"/>
  <c r="BC215" i="1"/>
  <c r="BC214" i="1"/>
  <c r="BC213" i="1"/>
  <c r="BC212" i="1"/>
  <c r="BC211" i="1"/>
  <c r="BC210" i="1"/>
  <c r="BC209" i="1"/>
  <c r="BC208" i="1"/>
  <c r="BC207" i="1"/>
  <c r="BC206" i="1"/>
  <c r="BC205" i="1"/>
  <c r="BC204" i="1"/>
  <c r="BC203" i="1"/>
  <c r="BC202" i="1"/>
  <c r="BC201" i="1"/>
  <c r="BC200" i="1"/>
  <c r="BC199" i="1"/>
  <c r="BC198" i="1"/>
  <c r="BC197" i="1"/>
  <c r="BC196" i="1"/>
  <c r="BC195" i="1"/>
  <c r="BC194" i="1"/>
  <c r="BC193" i="1"/>
  <c r="BC192" i="1"/>
  <c r="BC191" i="1"/>
  <c r="BC190" i="1"/>
  <c r="BC189" i="1"/>
  <c r="BC188" i="1"/>
  <c r="BC187" i="1"/>
  <c r="BC186" i="1"/>
  <c r="BC185" i="1"/>
  <c r="BC184" i="1"/>
  <c r="BC183" i="1"/>
  <c r="BC182" i="1"/>
  <c r="BC181" i="1"/>
  <c r="BC180" i="1"/>
  <c r="BC179" i="1"/>
  <c r="BC178" i="1"/>
  <c r="BC177" i="1"/>
  <c r="BC176" i="1"/>
  <c r="BC175" i="1"/>
  <c r="BC174" i="1"/>
  <c r="BC173" i="1"/>
  <c r="BC172" i="1"/>
  <c r="BC171" i="1"/>
  <c r="BC170" i="1"/>
  <c r="BC169" i="1"/>
  <c r="BC168" i="1"/>
  <c r="BC167" i="1"/>
  <c r="BC166" i="1"/>
  <c r="BC165" i="1"/>
  <c r="BC164" i="1"/>
  <c r="BC163" i="1"/>
  <c r="BC162" i="1"/>
  <c r="BC161" i="1"/>
  <c r="BC160" i="1"/>
  <c r="BC159" i="1"/>
  <c r="BC158" i="1"/>
  <c r="BC157" i="1"/>
  <c r="BC156" i="1"/>
  <c r="BC155" i="1"/>
  <c r="BC154" i="1"/>
  <c r="BC153" i="1"/>
  <c r="BC152" i="1"/>
  <c r="BC151" i="1"/>
  <c r="BC150" i="1"/>
  <c r="BC149" i="1"/>
  <c r="BC148" i="1"/>
  <c r="BC147" i="1"/>
  <c r="BC146" i="1"/>
  <c r="BC145" i="1"/>
  <c r="BC144" i="1"/>
  <c r="BC143" i="1"/>
  <c r="BC142" i="1"/>
  <c r="BC141" i="1"/>
  <c r="BC140" i="1"/>
  <c r="BC139" i="1"/>
  <c r="BC138" i="1"/>
  <c r="BC137" i="1"/>
  <c r="BC136" i="1"/>
  <c r="BC135" i="1"/>
  <c r="BC134" i="1"/>
  <c r="BC133" i="1"/>
  <c r="BC132" i="1"/>
  <c r="BC131" i="1"/>
  <c r="BC130" i="1"/>
  <c r="BC129" i="1"/>
  <c r="BC128" i="1"/>
  <c r="BB232" i="1"/>
  <c r="BB231" i="1"/>
  <c r="BB230" i="1"/>
  <c r="BB229" i="1"/>
  <c r="BB228" i="1"/>
  <c r="BB227" i="1"/>
  <c r="BB226" i="1"/>
  <c r="BB225" i="1"/>
  <c r="BB224" i="1"/>
  <c r="BB223" i="1"/>
  <c r="BB222" i="1"/>
  <c r="BB221" i="1"/>
  <c r="BB220" i="1"/>
  <c r="BB219" i="1"/>
  <c r="BB218" i="1"/>
  <c r="BB217" i="1"/>
  <c r="BB216" i="1"/>
  <c r="BB215" i="1"/>
  <c r="BB214" i="1"/>
  <c r="BB213" i="1"/>
  <c r="BB212" i="1"/>
  <c r="BB211" i="1"/>
  <c r="BB210" i="1"/>
  <c r="BB209" i="1"/>
  <c r="BB208" i="1"/>
  <c r="BB207" i="1"/>
  <c r="BB206" i="1"/>
  <c r="BB205" i="1"/>
  <c r="BB204" i="1"/>
  <c r="BB203" i="1"/>
  <c r="BB202" i="1"/>
  <c r="BB201" i="1"/>
  <c r="BB200" i="1"/>
  <c r="BB199" i="1"/>
  <c r="BB198" i="1"/>
  <c r="BB197" i="1"/>
  <c r="BB196" i="1"/>
  <c r="BB195"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B159" i="1"/>
  <c r="BB158" i="1"/>
  <c r="BB157" i="1"/>
  <c r="BB156" i="1"/>
  <c r="BB155" i="1"/>
  <c r="BB154" i="1"/>
  <c r="BB153" i="1"/>
  <c r="BB152" i="1"/>
  <c r="BB151" i="1"/>
  <c r="BB150" i="1"/>
  <c r="BB149" i="1"/>
  <c r="BB148" i="1"/>
  <c r="BB147" i="1"/>
  <c r="BB146" i="1"/>
  <c r="BB145" i="1"/>
  <c r="BB144" i="1"/>
  <c r="BB143" i="1"/>
  <c r="BB142" i="1"/>
  <c r="BB141" i="1"/>
  <c r="BB140" i="1"/>
  <c r="BB139" i="1"/>
  <c r="BB138" i="1"/>
  <c r="BB137" i="1"/>
  <c r="BB136" i="1"/>
  <c r="BB135" i="1"/>
  <c r="BB134" i="1"/>
  <c r="BB133" i="1"/>
  <c r="BB132" i="1"/>
  <c r="BB131" i="1"/>
  <c r="BB130" i="1"/>
  <c r="BB129" i="1"/>
  <c r="BB128" i="1"/>
  <c r="BA232" i="1"/>
  <c r="BA231" i="1"/>
  <c r="BA230" i="1"/>
  <c r="BA229" i="1"/>
  <c r="BA228" i="1"/>
  <c r="BA227" i="1"/>
  <c r="BA226" i="1"/>
  <c r="BA225" i="1"/>
  <c r="BA224" i="1"/>
  <c r="BA223" i="1"/>
  <c r="BA222" i="1"/>
  <c r="BA221" i="1"/>
  <c r="BA220" i="1"/>
  <c r="BA219" i="1"/>
  <c r="BA218" i="1"/>
  <c r="BA217" i="1"/>
  <c r="BA216" i="1"/>
  <c r="BA215" i="1"/>
  <c r="BA214" i="1"/>
  <c r="BA213" i="1"/>
  <c r="BA212" i="1"/>
  <c r="BA211" i="1"/>
  <c r="BA210" i="1"/>
  <c r="BA209" i="1"/>
  <c r="BA208" i="1"/>
  <c r="BA207" i="1"/>
  <c r="BA206" i="1"/>
  <c r="BA205" i="1"/>
  <c r="BA204" i="1"/>
  <c r="CR204" i="1" s="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BA159" i="1"/>
  <c r="BA158" i="1"/>
  <c r="BA157" i="1"/>
  <c r="BA156" i="1"/>
  <c r="BA155" i="1"/>
  <c r="BA154" i="1"/>
  <c r="BA153" i="1"/>
  <c r="BA152" i="1"/>
  <c r="BA151" i="1"/>
  <c r="BA150" i="1"/>
  <c r="BA149" i="1"/>
  <c r="BA148" i="1"/>
  <c r="BA147" i="1"/>
  <c r="BA146" i="1"/>
  <c r="BA145" i="1"/>
  <c r="BA144" i="1"/>
  <c r="BA143" i="1"/>
  <c r="BA142" i="1"/>
  <c r="BA141" i="1"/>
  <c r="BA140" i="1"/>
  <c r="BA139" i="1"/>
  <c r="BA138" i="1"/>
  <c r="BA137" i="1"/>
  <c r="BA136" i="1"/>
  <c r="BA135" i="1"/>
  <c r="BA134" i="1"/>
  <c r="BA133" i="1"/>
  <c r="BA132" i="1"/>
  <c r="BA131" i="1"/>
  <c r="BA130" i="1"/>
  <c r="BA129" i="1"/>
  <c r="BA128"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Y232" i="1"/>
  <c r="AY231" i="1"/>
  <c r="AY230" i="1"/>
  <c r="AY229" i="1"/>
  <c r="AY228" i="1"/>
  <c r="AY227" i="1"/>
  <c r="AY226" i="1"/>
  <c r="AY225" i="1"/>
  <c r="AY224" i="1"/>
  <c r="AY223" i="1"/>
  <c r="AY222" i="1"/>
  <c r="AY221" i="1"/>
  <c r="AY220" i="1"/>
  <c r="AY219" i="1"/>
  <c r="AY218" i="1"/>
  <c r="AY217" i="1"/>
  <c r="AY216" i="1"/>
  <c r="AY215" i="1"/>
  <c r="AY214" i="1"/>
  <c r="AY213" i="1"/>
  <c r="AY212" i="1"/>
  <c r="AY211" i="1"/>
  <c r="AY210" i="1"/>
  <c r="AY209" i="1"/>
  <c r="AY208" i="1"/>
  <c r="AY207" i="1"/>
  <c r="AY206" i="1"/>
  <c r="AY205" i="1"/>
  <c r="AY204" i="1"/>
  <c r="AY203" i="1"/>
  <c r="AY202" i="1"/>
  <c r="AY201" i="1"/>
  <c r="AY200" i="1"/>
  <c r="AY199" i="1"/>
  <c r="AY198" i="1"/>
  <c r="AY197" i="1"/>
  <c r="AY196" i="1"/>
  <c r="AY195" i="1"/>
  <c r="AY194" i="1"/>
  <c r="AY193" i="1"/>
  <c r="AY192" i="1"/>
  <c r="AY191" i="1"/>
  <c r="AY190" i="1"/>
  <c r="AY189" i="1"/>
  <c r="AY188" i="1"/>
  <c r="AY187" i="1"/>
  <c r="AY186" i="1"/>
  <c r="AY185" i="1"/>
  <c r="AY184" i="1"/>
  <c r="AY183" i="1"/>
  <c r="AY182" i="1"/>
  <c r="AY181" i="1"/>
  <c r="AY180" i="1"/>
  <c r="AY179" i="1"/>
  <c r="AY178" i="1"/>
  <c r="AY177" i="1"/>
  <c r="AY176" i="1"/>
  <c r="AY175" i="1"/>
  <c r="AY174" i="1"/>
  <c r="AY173" i="1"/>
  <c r="AY172" i="1"/>
  <c r="AY171" i="1"/>
  <c r="AY170" i="1"/>
  <c r="AY169" i="1"/>
  <c r="AY168" i="1"/>
  <c r="AY167" i="1"/>
  <c r="AY166" i="1"/>
  <c r="AY165" i="1"/>
  <c r="AY164" i="1"/>
  <c r="AY163" i="1"/>
  <c r="AY162" i="1"/>
  <c r="AY161" i="1"/>
  <c r="AY160" i="1"/>
  <c r="AY159" i="1"/>
  <c r="AY158" i="1"/>
  <c r="AY157" i="1"/>
  <c r="AY156" i="1"/>
  <c r="AY155" i="1"/>
  <c r="AY154" i="1"/>
  <c r="AY153" i="1"/>
  <c r="AY152" i="1"/>
  <c r="AY151" i="1"/>
  <c r="AY150" i="1"/>
  <c r="AY149" i="1"/>
  <c r="AY148" i="1"/>
  <c r="AY147" i="1"/>
  <c r="AY146" i="1"/>
  <c r="AY145" i="1"/>
  <c r="AY144" i="1"/>
  <c r="AY143" i="1"/>
  <c r="AY142" i="1"/>
  <c r="AY141" i="1"/>
  <c r="AY140" i="1"/>
  <c r="AY139" i="1"/>
  <c r="AY138" i="1"/>
  <c r="AY137" i="1"/>
  <c r="AY136" i="1"/>
  <c r="AY135" i="1"/>
  <c r="AY134" i="1"/>
  <c r="AY133" i="1"/>
  <c r="AY132" i="1"/>
  <c r="AY131" i="1"/>
  <c r="AY130" i="1"/>
  <c r="AY129" i="1"/>
  <c r="AY128" i="1"/>
  <c r="AX232" i="1"/>
  <c r="AX231" i="1"/>
  <c r="AX230" i="1"/>
  <c r="AX229" i="1"/>
  <c r="AX228" i="1"/>
  <c r="AX227" i="1"/>
  <c r="AX226" i="1"/>
  <c r="AX225" i="1"/>
  <c r="AX224" i="1"/>
  <c r="AX223" i="1"/>
  <c r="AX222" i="1"/>
  <c r="AX221" i="1"/>
  <c r="AX220" i="1"/>
  <c r="AX219" i="1"/>
  <c r="AX218" i="1"/>
  <c r="AX217" i="1"/>
  <c r="AX216" i="1"/>
  <c r="AX215" i="1"/>
  <c r="AX214" i="1"/>
  <c r="AX213" i="1"/>
  <c r="AX212" i="1"/>
  <c r="AX211" i="1"/>
  <c r="AX210" i="1"/>
  <c r="AX209" i="1"/>
  <c r="AX208" i="1"/>
  <c r="AX207" i="1"/>
  <c r="AX206" i="1"/>
  <c r="AX205" i="1"/>
  <c r="AX204" i="1"/>
  <c r="AX203" i="1"/>
  <c r="AX202" i="1"/>
  <c r="AX201" i="1"/>
  <c r="AX200" i="1"/>
  <c r="AX199" i="1"/>
  <c r="AX198" i="1"/>
  <c r="AX197" i="1"/>
  <c r="AX196" i="1"/>
  <c r="AX195" i="1"/>
  <c r="AX194" i="1"/>
  <c r="AX193" i="1"/>
  <c r="AX192" i="1"/>
  <c r="AX191" i="1"/>
  <c r="AX190" i="1"/>
  <c r="AX189" i="1"/>
  <c r="AX188" i="1"/>
  <c r="AX187" i="1"/>
  <c r="AX186" i="1"/>
  <c r="AX185" i="1"/>
  <c r="AX184" i="1"/>
  <c r="AX183" i="1"/>
  <c r="AX182" i="1"/>
  <c r="AX181" i="1"/>
  <c r="AX180" i="1"/>
  <c r="AX179" i="1"/>
  <c r="AX178" i="1"/>
  <c r="AX177" i="1"/>
  <c r="AX176" i="1"/>
  <c r="AX175" i="1"/>
  <c r="AX174" i="1"/>
  <c r="AX173" i="1"/>
  <c r="AX172" i="1"/>
  <c r="AX171" i="1"/>
  <c r="AX170" i="1"/>
  <c r="AX169" i="1"/>
  <c r="AX168" i="1"/>
  <c r="AX167" i="1"/>
  <c r="AX166" i="1"/>
  <c r="AX165" i="1"/>
  <c r="AX164" i="1"/>
  <c r="AX163" i="1"/>
  <c r="AX162" i="1"/>
  <c r="AX161" i="1"/>
  <c r="AX160" i="1"/>
  <c r="AX159" i="1"/>
  <c r="AX158" i="1"/>
  <c r="AX157" i="1"/>
  <c r="AX156" i="1"/>
  <c r="AX155" i="1"/>
  <c r="AX154" i="1"/>
  <c r="AX153" i="1"/>
  <c r="AX152" i="1"/>
  <c r="AX151" i="1"/>
  <c r="AX150" i="1"/>
  <c r="AX149" i="1"/>
  <c r="AX148" i="1"/>
  <c r="AX147" i="1"/>
  <c r="AX146" i="1"/>
  <c r="AX145" i="1"/>
  <c r="AX144" i="1"/>
  <c r="AX143" i="1"/>
  <c r="AX142" i="1"/>
  <c r="AX141" i="1"/>
  <c r="AX140" i="1"/>
  <c r="AX139" i="1"/>
  <c r="AX138" i="1"/>
  <c r="AX137" i="1"/>
  <c r="AX136" i="1"/>
  <c r="AX135" i="1"/>
  <c r="AX134" i="1"/>
  <c r="AX133" i="1"/>
  <c r="AX132" i="1"/>
  <c r="AX131" i="1"/>
  <c r="AX130" i="1"/>
  <c r="AX129" i="1"/>
  <c r="AX128" i="1"/>
  <c r="AW232" i="1"/>
  <c r="AW231" i="1"/>
  <c r="AW230" i="1"/>
  <c r="AW229" i="1"/>
  <c r="AW228" i="1"/>
  <c r="AW227" i="1"/>
  <c r="AW226" i="1"/>
  <c r="AW225" i="1"/>
  <c r="AW224" i="1"/>
  <c r="AW223" i="1"/>
  <c r="AW222" i="1"/>
  <c r="AW221" i="1"/>
  <c r="AW220" i="1"/>
  <c r="AW219" i="1"/>
  <c r="AW218" i="1"/>
  <c r="AW217" i="1"/>
  <c r="AW216" i="1"/>
  <c r="AW215" i="1"/>
  <c r="AW214" i="1"/>
  <c r="AW213" i="1"/>
  <c r="AW212" i="1"/>
  <c r="AW211" i="1"/>
  <c r="AW210" i="1"/>
  <c r="AW209" i="1"/>
  <c r="AW208" i="1"/>
  <c r="AW207" i="1"/>
  <c r="AW206" i="1"/>
  <c r="AW205" i="1"/>
  <c r="AW204" i="1"/>
  <c r="AW203" i="1"/>
  <c r="AW202" i="1"/>
  <c r="AW201" i="1"/>
  <c r="AW200" i="1"/>
  <c r="AW199" i="1"/>
  <c r="AW198" i="1"/>
  <c r="AW197" i="1"/>
  <c r="AW196" i="1"/>
  <c r="AW195" i="1"/>
  <c r="AW194" i="1"/>
  <c r="AW193" i="1"/>
  <c r="AW192" i="1"/>
  <c r="AW191" i="1"/>
  <c r="AW190" i="1"/>
  <c r="AW189" i="1"/>
  <c r="AW188" i="1"/>
  <c r="AW187" i="1"/>
  <c r="AW186" i="1"/>
  <c r="AW185" i="1"/>
  <c r="AW184" i="1"/>
  <c r="AW183" i="1"/>
  <c r="AW182" i="1"/>
  <c r="AW181" i="1"/>
  <c r="AW180" i="1"/>
  <c r="AW179" i="1"/>
  <c r="AW178" i="1"/>
  <c r="AW177" i="1"/>
  <c r="AW176" i="1"/>
  <c r="AW175" i="1"/>
  <c r="AW174" i="1"/>
  <c r="AW173" i="1"/>
  <c r="AW172" i="1"/>
  <c r="AW171" i="1"/>
  <c r="AW170" i="1"/>
  <c r="AW169" i="1"/>
  <c r="AW168" i="1"/>
  <c r="AW167" i="1"/>
  <c r="AW166" i="1"/>
  <c r="AW165" i="1"/>
  <c r="AW164" i="1"/>
  <c r="AW163" i="1"/>
  <c r="AW162" i="1"/>
  <c r="AW161" i="1"/>
  <c r="AW160" i="1"/>
  <c r="AW159" i="1"/>
  <c r="AW158" i="1"/>
  <c r="AW157" i="1"/>
  <c r="AW156" i="1"/>
  <c r="AW155" i="1"/>
  <c r="AW154" i="1"/>
  <c r="AW153" i="1"/>
  <c r="AW152" i="1"/>
  <c r="AW151" i="1"/>
  <c r="AW150" i="1"/>
  <c r="AW149" i="1"/>
  <c r="AW148" i="1"/>
  <c r="AW147" i="1"/>
  <c r="AW146" i="1"/>
  <c r="AW145" i="1"/>
  <c r="AW144" i="1"/>
  <c r="AW143" i="1"/>
  <c r="AW142" i="1"/>
  <c r="AW141" i="1"/>
  <c r="AW140" i="1"/>
  <c r="AW139" i="1"/>
  <c r="AW138" i="1"/>
  <c r="AW137" i="1"/>
  <c r="AW136" i="1"/>
  <c r="AW135" i="1"/>
  <c r="AW134" i="1"/>
  <c r="AW133" i="1"/>
  <c r="AW132" i="1"/>
  <c r="AW131" i="1"/>
  <c r="AW130" i="1"/>
  <c r="AW129" i="1"/>
  <c r="AW128" i="1"/>
  <c r="AV232" i="1"/>
  <c r="AV231" i="1"/>
  <c r="AV230" i="1"/>
  <c r="AV229" i="1"/>
  <c r="AV228" i="1"/>
  <c r="AV227" i="1"/>
  <c r="AV226" i="1"/>
  <c r="AV225" i="1"/>
  <c r="AV224" i="1"/>
  <c r="AV223" i="1"/>
  <c r="AV222" i="1"/>
  <c r="AV221" i="1"/>
  <c r="AV220" i="1"/>
  <c r="AV219" i="1"/>
  <c r="AV218" i="1"/>
  <c r="AV217" i="1"/>
  <c r="AV216" i="1"/>
  <c r="AV215" i="1"/>
  <c r="AV214" i="1"/>
  <c r="AV213" i="1"/>
  <c r="AV212" i="1"/>
  <c r="AV211" i="1"/>
  <c r="AV210" i="1"/>
  <c r="AV209" i="1"/>
  <c r="AV208" i="1"/>
  <c r="AV207" i="1"/>
  <c r="AV206" i="1"/>
  <c r="AV205" i="1"/>
  <c r="AV204" i="1"/>
  <c r="AV203" i="1"/>
  <c r="AV202" i="1"/>
  <c r="AV201" i="1"/>
  <c r="AV200" i="1"/>
  <c r="AV199" i="1"/>
  <c r="AV198" i="1"/>
  <c r="AV197" i="1"/>
  <c r="AV196" i="1"/>
  <c r="AV195" i="1"/>
  <c r="AV194" i="1"/>
  <c r="AV193" i="1"/>
  <c r="AV192" i="1"/>
  <c r="AV191" i="1"/>
  <c r="AV190" i="1"/>
  <c r="AV189" i="1"/>
  <c r="AV188" i="1"/>
  <c r="AV187" i="1"/>
  <c r="AV186" i="1"/>
  <c r="AV185" i="1"/>
  <c r="AV184" i="1"/>
  <c r="AV183" i="1"/>
  <c r="AV182" i="1"/>
  <c r="AV181" i="1"/>
  <c r="AV180" i="1"/>
  <c r="AV179" i="1"/>
  <c r="AV178" i="1"/>
  <c r="AV177" i="1"/>
  <c r="AV176" i="1"/>
  <c r="AV175" i="1"/>
  <c r="AV174" i="1"/>
  <c r="AV173" i="1"/>
  <c r="AV172" i="1"/>
  <c r="AV171" i="1"/>
  <c r="AV170" i="1"/>
  <c r="AV169" i="1"/>
  <c r="AV168" i="1"/>
  <c r="AV167" i="1"/>
  <c r="AV166" i="1"/>
  <c r="AV165" i="1"/>
  <c r="AV164" i="1"/>
  <c r="AV163" i="1"/>
  <c r="AV162" i="1"/>
  <c r="AV161" i="1"/>
  <c r="AV160" i="1"/>
  <c r="AV159" i="1"/>
  <c r="AV158" i="1"/>
  <c r="AV157" i="1"/>
  <c r="AV156" i="1"/>
  <c r="AV155" i="1"/>
  <c r="AV154" i="1"/>
  <c r="AV153" i="1"/>
  <c r="AV152" i="1"/>
  <c r="AV151" i="1"/>
  <c r="AV150" i="1"/>
  <c r="AV149" i="1"/>
  <c r="AV148" i="1"/>
  <c r="AV147" i="1"/>
  <c r="AV146" i="1"/>
  <c r="AV145" i="1"/>
  <c r="AV144" i="1"/>
  <c r="AV143" i="1"/>
  <c r="AV142" i="1"/>
  <c r="AV141" i="1"/>
  <c r="AV140" i="1"/>
  <c r="AV139" i="1"/>
  <c r="AV138" i="1"/>
  <c r="AV137" i="1"/>
  <c r="AV136" i="1"/>
  <c r="AV135" i="1"/>
  <c r="AV134" i="1"/>
  <c r="AV133" i="1"/>
  <c r="AV132" i="1"/>
  <c r="AV131" i="1"/>
  <c r="AV130" i="1"/>
  <c r="AV129" i="1"/>
  <c r="AV128" i="1"/>
  <c r="AU232" i="1"/>
  <c r="AU231" i="1"/>
  <c r="AU230" i="1"/>
  <c r="AU229" i="1"/>
  <c r="AU228" i="1"/>
  <c r="AU227" i="1"/>
  <c r="AU226" i="1"/>
  <c r="AU225" i="1"/>
  <c r="AU224" i="1"/>
  <c r="AU223" i="1"/>
  <c r="AU222" i="1"/>
  <c r="AU221" i="1"/>
  <c r="AU220" i="1"/>
  <c r="AU219" i="1"/>
  <c r="AU218" i="1"/>
  <c r="AU217" i="1"/>
  <c r="AU216" i="1"/>
  <c r="AU215" i="1"/>
  <c r="AU214" i="1"/>
  <c r="AU213" i="1"/>
  <c r="AU212" i="1"/>
  <c r="AU211" i="1"/>
  <c r="AU210" i="1"/>
  <c r="AU209" i="1"/>
  <c r="AU208" i="1"/>
  <c r="AU207" i="1"/>
  <c r="AU206" i="1"/>
  <c r="AU205" i="1"/>
  <c r="AU204" i="1"/>
  <c r="AU203" i="1"/>
  <c r="AU202" i="1"/>
  <c r="AU201" i="1"/>
  <c r="AU200" i="1"/>
  <c r="AU199" i="1"/>
  <c r="AU198" i="1"/>
  <c r="AU197" i="1"/>
  <c r="AU196" i="1"/>
  <c r="AU195" i="1"/>
  <c r="AU194" i="1"/>
  <c r="AU193" i="1"/>
  <c r="AU192" i="1"/>
  <c r="AU191" i="1"/>
  <c r="AU190" i="1"/>
  <c r="AU189" i="1"/>
  <c r="AU188" i="1"/>
  <c r="AU187" i="1"/>
  <c r="AU186" i="1"/>
  <c r="AU185" i="1"/>
  <c r="AU184" i="1"/>
  <c r="AU183" i="1"/>
  <c r="AU182" i="1"/>
  <c r="AU181" i="1"/>
  <c r="AU180" i="1"/>
  <c r="AU179" i="1"/>
  <c r="AU178" i="1"/>
  <c r="AU177" i="1"/>
  <c r="AU176" i="1"/>
  <c r="AU175" i="1"/>
  <c r="AU174" i="1"/>
  <c r="AU173" i="1"/>
  <c r="AU172" i="1"/>
  <c r="AU171" i="1"/>
  <c r="AU170" i="1"/>
  <c r="AU169" i="1"/>
  <c r="AU168" i="1"/>
  <c r="AU167" i="1"/>
  <c r="AU166" i="1"/>
  <c r="AU165" i="1"/>
  <c r="AU164" i="1"/>
  <c r="AU163" i="1"/>
  <c r="AU162" i="1"/>
  <c r="AU161" i="1"/>
  <c r="AU160" i="1"/>
  <c r="AU159" i="1"/>
  <c r="AU158" i="1"/>
  <c r="AU157" i="1"/>
  <c r="AU156" i="1"/>
  <c r="AU155" i="1"/>
  <c r="AU154" i="1"/>
  <c r="AU153" i="1"/>
  <c r="AU152" i="1"/>
  <c r="AU151" i="1"/>
  <c r="AU150" i="1"/>
  <c r="AU149" i="1"/>
  <c r="AU148" i="1"/>
  <c r="AU147" i="1"/>
  <c r="AU146" i="1"/>
  <c r="AU145" i="1"/>
  <c r="AU144" i="1"/>
  <c r="AU143" i="1"/>
  <c r="AU142" i="1"/>
  <c r="AU141" i="1"/>
  <c r="AU140" i="1"/>
  <c r="AU139" i="1"/>
  <c r="AU138" i="1"/>
  <c r="AU137" i="1"/>
  <c r="AU136" i="1"/>
  <c r="AU135" i="1"/>
  <c r="AU134" i="1"/>
  <c r="AU133" i="1"/>
  <c r="AU132" i="1"/>
  <c r="AU131" i="1"/>
  <c r="AU130" i="1"/>
  <c r="AU129" i="1"/>
  <c r="AU128" i="1"/>
  <c r="AT232" i="1"/>
  <c r="AT231" i="1"/>
  <c r="AT230" i="1"/>
  <c r="AT229" i="1"/>
  <c r="AT228" i="1"/>
  <c r="AT227" i="1"/>
  <c r="AT226" i="1"/>
  <c r="AT225" i="1"/>
  <c r="AT224" i="1"/>
  <c r="AT223" i="1"/>
  <c r="AT222" i="1"/>
  <c r="AT221" i="1"/>
  <c r="AT220" i="1"/>
  <c r="AT219" i="1"/>
  <c r="AT218" i="1"/>
  <c r="AT217" i="1"/>
  <c r="AT216" i="1"/>
  <c r="AT215" i="1"/>
  <c r="AT214" i="1"/>
  <c r="AT213" i="1"/>
  <c r="AT212" i="1"/>
  <c r="AT211" i="1"/>
  <c r="AT210" i="1"/>
  <c r="AT209" i="1"/>
  <c r="AT208" i="1"/>
  <c r="AT207" i="1"/>
  <c r="AT206" i="1"/>
  <c r="AT205" i="1"/>
  <c r="AT204" i="1"/>
  <c r="AT203" i="1"/>
  <c r="AT202" i="1"/>
  <c r="AT201" i="1"/>
  <c r="AT200" i="1"/>
  <c r="AT199" i="1"/>
  <c r="AT198" i="1"/>
  <c r="AT197" i="1"/>
  <c r="AT196" i="1"/>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T159" i="1"/>
  <c r="AT158" i="1"/>
  <c r="AT157" i="1"/>
  <c r="AT156" i="1"/>
  <c r="AT155" i="1"/>
  <c r="AT154" i="1"/>
  <c r="AT153" i="1"/>
  <c r="AT152" i="1"/>
  <c r="AT151" i="1"/>
  <c r="AT150" i="1"/>
  <c r="AT149" i="1"/>
  <c r="AT148" i="1"/>
  <c r="AT147" i="1"/>
  <c r="AT146" i="1"/>
  <c r="AT145" i="1"/>
  <c r="AT144" i="1"/>
  <c r="AT143" i="1"/>
  <c r="AT142" i="1"/>
  <c r="AT141" i="1"/>
  <c r="AT140" i="1"/>
  <c r="AT139" i="1"/>
  <c r="AT138" i="1"/>
  <c r="AT137" i="1"/>
  <c r="AT136" i="1"/>
  <c r="AT135" i="1"/>
  <c r="AT134" i="1"/>
  <c r="AT133" i="1"/>
  <c r="AT132" i="1"/>
  <c r="AT131" i="1"/>
  <c r="AT130" i="1"/>
  <c r="AT129" i="1"/>
  <c r="AT128" i="1"/>
  <c r="AS232" i="1"/>
  <c r="AS231" i="1"/>
  <c r="AS230" i="1"/>
  <c r="AS229" i="1"/>
  <c r="AS228" i="1"/>
  <c r="AS227" i="1"/>
  <c r="AS226" i="1"/>
  <c r="AS225" i="1"/>
  <c r="AS224" i="1"/>
  <c r="AS223" i="1"/>
  <c r="AS222" i="1"/>
  <c r="AS221" i="1"/>
  <c r="AS220" i="1"/>
  <c r="AS219" i="1"/>
  <c r="AS218" i="1"/>
  <c r="AS217" i="1"/>
  <c r="AS216" i="1"/>
  <c r="AS215" i="1"/>
  <c r="AS214" i="1"/>
  <c r="AS213" i="1"/>
  <c r="AS212" i="1"/>
  <c r="AS211" i="1"/>
  <c r="AS210" i="1"/>
  <c r="AS209" i="1"/>
  <c r="AS208" i="1"/>
  <c r="AS207" i="1"/>
  <c r="AS206" i="1"/>
  <c r="AS205" i="1"/>
  <c r="AS204" i="1"/>
  <c r="AS203" i="1"/>
  <c r="AS202" i="1"/>
  <c r="AS201" i="1"/>
  <c r="AS200" i="1"/>
  <c r="AS199" i="1"/>
  <c r="AS198" i="1"/>
  <c r="AS197" i="1"/>
  <c r="AS196" i="1"/>
  <c r="AS195" i="1"/>
  <c r="AS194" i="1"/>
  <c r="AS193" i="1"/>
  <c r="AS192" i="1"/>
  <c r="AS191" i="1"/>
  <c r="AS190" i="1"/>
  <c r="AS189" i="1"/>
  <c r="AS188" i="1"/>
  <c r="AS187" i="1"/>
  <c r="AS186" i="1"/>
  <c r="AS185" i="1"/>
  <c r="AS184" i="1"/>
  <c r="AS183" i="1"/>
  <c r="AS182" i="1"/>
  <c r="AS181" i="1"/>
  <c r="AS180" i="1"/>
  <c r="AS179" i="1"/>
  <c r="AS178" i="1"/>
  <c r="AS177" i="1"/>
  <c r="AS176" i="1"/>
  <c r="AS175" i="1"/>
  <c r="AS174" i="1"/>
  <c r="AS173" i="1"/>
  <c r="AS172" i="1"/>
  <c r="AS171" i="1"/>
  <c r="AS170" i="1"/>
  <c r="AS169" i="1"/>
  <c r="AS168" i="1"/>
  <c r="AS167" i="1"/>
  <c r="AS166" i="1"/>
  <c r="AS165" i="1"/>
  <c r="AS164" i="1"/>
  <c r="AS163" i="1"/>
  <c r="AS162" i="1"/>
  <c r="AS161" i="1"/>
  <c r="AS160" i="1"/>
  <c r="AS159" i="1"/>
  <c r="AS158" i="1"/>
  <c r="AS157" i="1"/>
  <c r="AS156" i="1"/>
  <c r="AS155" i="1"/>
  <c r="AS154" i="1"/>
  <c r="AS153" i="1"/>
  <c r="AS152" i="1"/>
  <c r="AS151" i="1"/>
  <c r="AS150" i="1"/>
  <c r="AS149" i="1"/>
  <c r="AS148" i="1"/>
  <c r="AS147" i="1"/>
  <c r="AS146" i="1"/>
  <c r="AS145" i="1"/>
  <c r="AS144" i="1"/>
  <c r="AS143" i="1"/>
  <c r="AS142" i="1"/>
  <c r="AS141" i="1"/>
  <c r="AS140" i="1"/>
  <c r="AS139" i="1"/>
  <c r="AS138" i="1"/>
  <c r="AS137" i="1"/>
  <c r="AS136" i="1"/>
  <c r="AS135" i="1"/>
  <c r="AS134" i="1"/>
  <c r="AS133" i="1"/>
  <c r="AS132" i="1"/>
  <c r="AS131" i="1"/>
  <c r="AS130" i="1"/>
  <c r="AS129" i="1"/>
  <c r="AS128" i="1"/>
  <c r="AR232" i="1"/>
  <c r="AR231" i="1"/>
  <c r="AR230" i="1"/>
  <c r="AR229" i="1"/>
  <c r="AR228" i="1"/>
  <c r="AR227" i="1"/>
  <c r="AR226" i="1"/>
  <c r="AR225" i="1"/>
  <c r="AR224" i="1"/>
  <c r="AR223" i="1"/>
  <c r="AR222" i="1"/>
  <c r="AR221" i="1"/>
  <c r="AR220" i="1"/>
  <c r="AR219" i="1"/>
  <c r="AR218" i="1"/>
  <c r="AR217" i="1"/>
  <c r="AR216" i="1"/>
  <c r="AR215" i="1"/>
  <c r="AR214" i="1"/>
  <c r="AR213" i="1"/>
  <c r="AR212" i="1"/>
  <c r="AR211" i="1"/>
  <c r="AR210" i="1"/>
  <c r="AR209" i="1"/>
  <c r="AR208" i="1"/>
  <c r="AR207" i="1"/>
  <c r="AR206" i="1"/>
  <c r="AR205" i="1"/>
  <c r="AR204" i="1"/>
  <c r="AR203" i="1"/>
  <c r="AR202" i="1"/>
  <c r="AR201" i="1"/>
  <c r="AR200" i="1"/>
  <c r="AR199" i="1"/>
  <c r="AR198" i="1"/>
  <c r="AR197" i="1"/>
  <c r="AR196" i="1"/>
  <c r="AR195" i="1"/>
  <c r="AR194" i="1"/>
  <c r="AR193" i="1"/>
  <c r="AR192" i="1"/>
  <c r="AR191" i="1"/>
  <c r="AR190" i="1"/>
  <c r="AR189" i="1"/>
  <c r="AR188" i="1"/>
  <c r="AR187" i="1"/>
  <c r="AR186" i="1"/>
  <c r="AR185" i="1"/>
  <c r="AR184" i="1"/>
  <c r="AR183" i="1"/>
  <c r="AR182" i="1"/>
  <c r="AR181" i="1"/>
  <c r="AR180" i="1"/>
  <c r="AR179" i="1"/>
  <c r="AR178" i="1"/>
  <c r="AR177" i="1"/>
  <c r="AR176" i="1"/>
  <c r="AR175" i="1"/>
  <c r="AR174" i="1"/>
  <c r="AR173" i="1"/>
  <c r="AR172" i="1"/>
  <c r="AR171" i="1"/>
  <c r="AR170" i="1"/>
  <c r="AR169" i="1"/>
  <c r="AR168" i="1"/>
  <c r="AR167" i="1"/>
  <c r="AR166" i="1"/>
  <c r="AR165" i="1"/>
  <c r="AR164" i="1"/>
  <c r="AR163" i="1"/>
  <c r="AR160" i="1"/>
  <c r="AR159" i="1"/>
  <c r="AR158" i="1"/>
  <c r="AR157" i="1"/>
  <c r="AR153" i="1"/>
  <c r="AR152" i="1"/>
  <c r="AR151" i="1"/>
  <c r="AR150" i="1"/>
  <c r="AR149" i="1"/>
  <c r="AR148" i="1"/>
  <c r="AR147" i="1"/>
  <c r="AR146" i="1"/>
  <c r="AR142" i="1"/>
  <c r="AR141" i="1"/>
  <c r="AR140" i="1"/>
  <c r="AR139" i="1"/>
  <c r="AR138" i="1"/>
  <c r="AR137" i="1"/>
  <c r="AR136" i="1"/>
  <c r="AR135" i="1"/>
  <c r="AR134" i="1"/>
  <c r="AR133" i="1"/>
  <c r="AR132" i="1"/>
  <c r="AR131" i="1"/>
  <c r="AR130" i="1"/>
  <c r="AR129" i="1"/>
  <c r="AR128" i="1"/>
  <c r="AQ232" i="1"/>
  <c r="AQ231" i="1"/>
  <c r="AQ230" i="1"/>
  <c r="AQ229" i="1"/>
  <c r="AQ228" i="1"/>
  <c r="AQ227" i="1"/>
  <c r="AQ226" i="1"/>
  <c r="AQ225" i="1"/>
  <c r="AQ224" i="1"/>
  <c r="AQ223" i="1"/>
  <c r="AQ222" i="1"/>
  <c r="AQ221" i="1"/>
  <c r="AQ220" i="1"/>
  <c r="AQ219" i="1"/>
  <c r="AQ218" i="1"/>
  <c r="AQ217" i="1"/>
  <c r="AQ216" i="1"/>
  <c r="AQ215" i="1"/>
  <c r="AQ214" i="1"/>
  <c r="AQ213" i="1"/>
  <c r="AQ212" i="1"/>
  <c r="AQ211" i="1"/>
  <c r="AQ210" i="1"/>
  <c r="AQ209" i="1"/>
  <c r="AQ208" i="1"/>
  <c r="AQ207" i="1"/>
  <c r="AQ206" i="1"/>
  <c r="AQ205" i="1"/>
  <c r="AQ204" i="1"/>
  <c r="AQ203" i="1"/>
  <c r="AQ202" i="1"/>
  <c r="AQ201" i="1"/>
  <c r="AQ200" i="1"/>
  <c r="AQ199" i="1"/>
  <c r="AQ198" i="1"/>
  <c r="AQ197" i="1"/>
  <c r="AQ196" i="1"/>
  <c r="AQ195" i="1"/>
  <c r="AQ194" i="1"/>
  <c r="AQ193" i="1"/>
  <c r="AQ192" i="1"/>
  <c r="AQ191" i="1"/>
  <c r="AQ190" i="1"/>
  <c r="AQ189" i="1"/>
  <c r="AQ188" i="1"/>
  <c r="AQ187" i="1"/>
  <c r="AQ186" i="1"/>
  <c r="AQ185" i="1"/>
  <c r="AQ184" i="1"/>
  <c r="AQ183" i="1"/>
  <c r="AQ182" i="1"/>
  <c r="AQ181" i="1"/>
  <c r="AQ180" i="1"/>
  <c r="AQ179" i="1"/>
  <c r="AQ178" i="1"/>
  <c r="AQ177" i="1"/>
  <c r="AQ176" i="1"/>
  <c r="AQ175" i="1"/>
  <c r="AQ174" i="1"/>
  <c r="AQ173" i="1"/>
  <c r="AQ172" i="1"/>
  <c r="AQ171" i="1"/>
  <c r="AQ170" i="1"/>
  <c r="AQ169" i="1"/>
  <c r="AQ168" i="1"/>
  <c r="AQ167" i="1"/>
  <c r="AQ166" i="1"/>
  <c r="AQ165" i="1"/>
  <c r="AQ164" i="1"/>
  <c r="AQ163" i="1"/>
  <c r="AQ162" i="1"/>
  <c r="AQ161" i="1"/>
  <c r="AQ160" i="1"/>
  <c r="AQ159" i="1"/>
  <c r="AQ158" i="1"/>
  <c r="AQ157" i="1"/>
  <c r="AQ156" i="1"/>
  <c r="AQ155" i="1"/>
  <c r="AQ154" i="1"/>
  <c r="AQ153" i="1"/>
  <c r="AQ152" i="1"/>
  <c r="AQ151" i="1"/>
  <c r="AQ150" i="1"/>
  <c r="AQ149" i="1"/>
  <c r="AQ148" i="1"/>
  <c r="AQ147" i="1"/>
  <c r="AQ146" i="1"/>
  <c r="AQ145" i="1"/>
  <c r="AQ144" i="1"/>
  <c r="AQ143" i="1"/>
  <c r="AQ142" i="1"/>
  <c r="AQ141" i="1"/>
  <c r="AQ140" i="1"/>
  <c r="AQ139" i="1"/>
  <c r="AQ138" i="1"/>
  <c r="AQ137" i="1"/>
  <c r="AQ136" i="1"/>
  <c r="AQ135" i="1"/>
  <c r="AQ134" i="1"/>
  <c r="AQ133" i="1"/>
  <c r="AQ132" i="1"/>
  <c r="AQ131" i="1"/>
  <c r="AQ130" i="1"/>
  <c r="AQ129" i="1"/>
  <c r="AQ128" i="1"/>
  <c r="AP232" i="1"/>
  <c r="AP231" i="1"/>
  <c r="AP230" i="1"/>
  <c r="AP229" i="1"/>
  <c r="AP228" i="1"/>
  <c r="AP227" i="1"/>
  <c r="AP226" i="1"/>
  <c r="AP225" i="1"/>
  <c r="AP224" i="1"/>
  <c r="AP223" i="1"/>
  <c r="AP222" i="1"/>
  <c r="AP221" i="1"/>
  <c r="AP220" i="1"/>
  <c r="AP219" i="1"/>
  <c r="AP218" i="1"/>
  <c r="AP217" i="1"/>
  <c r="AP216" i="1"/>
  <c r="AP215" i="1"/>
  <c r="AP214" i="1"/>
  <c r="AP213" i="1"/>
  <c r="AP212" i="1"/>
  <c r="AP211" i="1"/>
  <c r="AP210" i="1"/>
  <c r="AP209" i="1"/>
  <c r="AP208" i="1"/>
  <c r="AP207" i="1"/>
  <c r="AP206" i="1"/>
  <c r="AP205" i="1"/>
  <c r="AP204" i="1"/>
  <c r="AP203" i="1"/>
  <c r="AP202" i="1"/>
  <c r="AP201" i="1"/>
  <c r="AP200" i="1"/>
  <c r="AP199" i="1"/>
  <c r="AP198" i="1"/>
  <c r="AP197" i="1"/>
  <c r="AP196" i="1"/>
  <c r="AP195" i="1"/>
  <c r="AP194" i="1"/>
  <c r="AP193" i="1"/>
  <c r="AP192" i="1"/>
  <c r="AP191" i="1"/>
  <c r="AP190" i="1"/>
  <c r="AP189" i="1"/>
  <c r="AP188" i="1"/>
  <c r="AP187" i="1"/>
  <c r="AP186" i="1"/>
  <c r="AP185" i="1"/>
  <c r="AP184" i="1"/>
  <c r="AP183" i="1"/>
  <c r="AP182" i="1"/>
  <c r="AP181" i="1"/>
  <c r="AP180" i="1"/>
  <c r="AP179" i="1"/>
  <c r="AP178" i="1"/>
  <c r="AP177" i="1"/>
  <c r="AP176" i="1"/>
  <c r="AP175" i="1"/>
  <c r="AP174" i="1"/>
  <c r="AP173" i="1"/>
  <c r="AP172" i="1"/>
  <c r="AP171" i="1"/>
  <c r="AP170" i="1"/>
  <c r="AP169" i="1"/>
  <c r="AP168" i="1"/>
  <c r="AP167" i="1"/>
  <c r="AP166" i="1"/>
  <c r="AP165" i="1"/>
  <c r="AP164" i="1"/>
  <c r="AP163" i="1"/>
  <c r="AP162" i="1"/>
  <c r="AP161" i="1"/>
  <c r="AP160" i="1"/>
  <c r="AP159" i="1"/>
  <c r="AP158" i="1"/>
  <c r="AP157" i="1"/>
  <c r="AP156" i="1"/>
  <c r="AP155" i="1"/>
  <c r="AP154" i="1"/>
  <c r="AP153" i="1"/>
  <c r="AP152" i="1"/>
  <c r="AP151" i="1"/>
  <c r="AP150" i="1"/>
  <c r="AP149" i="1"/>
  <c r="AP148" i="1"/>
  <c r="AP147" i="1"/>
  <c r="AP146" i="1"/>
  <c r="AP145" i="1"/>
  <c r="AP144" i="1"/>
  <c r="AP143" i="1"/>
  <c r="AP142" i="1"/>
  <c r="AP141" i="1"/>
  <c r="AP140" i="1"/>
  <c r="AP139" i="1"/>
  <c r="AP138" i="1"/>
  <c r="AP137" i="1"/>
  <c r="AP136" i="1"/>
  <c r="AP135" i="1"/>
  <c r="AP134" i="1"/>
  <c r="AP133" i="1"/>
  <c r="AP132" i="1"/>
  <c r="AP131" i="1"/>
  <c r="AP130" i="1"/>
  <c r="AP129" i="1"/>
  <c r="AP128" i="1"/>
  <c r="AO232" i="1"/>
  <c r="AO231" i="1"/>
  <c r="AO230" i="1"/>
  <c r="AO229" i="1"/>
  <c r="AO228" i="1"/>
  <c r="AO227" i="1"/>
  <c r="AO226" i="1"/>
  <c r="AO225" i="1"/>
  <c r="AO224" i="1"/>
  <c r="AO223" i="1"/>
  <c r="AO222" i="1"/>
  <c r="AO221" i="1"/>
  <c r="AO220" i="1"/>
  <c r="AO219" i="1"/>
  <c r="AO218" i="1"/>
  <c r="AO217" i="1"/>
  <c r="AO216" i="1"/>
  <c r="AO215" i="1"/>
  <c r="AO214" i="1"/>
  <c r="AO213" i="1"/>
  <c r="AO212" i="1"/>
  <c r="AO211" i="1"/>
  <c r="AO210" i="1"/>
  <c r="AO209" i="1"/>
  <c r="AO208" i="1"/>
  <c r="AO207" i="1"/>
  <c r="AO206" i="1"/>
  <c r="AO205" i="1"/>
  <c r="AO204" i="1"/>
  <c r="AO203" i="1"/>
  <c r="AO202" i="1"/>
  <c r="AO201" i="1"/>
  <c r="AO200" i="1"/>
  <c r="AO199" i="1"/>
  <c r="AO198" i="1"/>
  <c r="AO197" i="1"/>
  <c r="AO196" i="1"/>
  <c r="AO195" i="1"/>
  <c r="AO194" i="1"/>
  <c r="AO193" i="1"/>
  <c r="AO192" i="1"/>
  <c r="AO191" i="1"/>
  <c r="AO190" i="1"/>
  <c r="AO189" i="1"/>
  <c r="AO188" i="1"/>
  <c r="AO187" i="1"/>
  <c r="AO186" i="1"/>
  <c r="AO185" i="1"/>
  <c r="AO184" i="1"/>
  <c r="AO183" i="1"/>
  <c r="AO182" i="1"/>
  <c r="AO181" i="1"/>
  <c r="AO180" i="1"/>
  <c r="AO179" i="1"/>
  <c r="AO178" i="1"/>
  <c r="AO177" i="1"/>
  <c r="AO176" i="1"/>
  <c r="AO175" i="1"/>
  <c r="AO174" i="1"/>
  <c r="AO173" i="1"/>
  <c r="AO172" i="1"/>
  <c r="AO171" i="1"/>
  <c r="AO170" i="1"/>
  <c r="AO169" i="1"/>
  <c r="AO168" i="1"/>
  <c r="AO167" i="1"/>
  <c r="AO166" i="1"/>
  <c r="AO165" i="1"/>
  <c r="AO164" i="1"/>
  <c r="AO163" i="1"/>
  <c r="AO162" i="1"/>
  <c r="AO161" i="1"/>
  <c r="AO160" i="1"/>
  <c r="AO159" i="1"/>
  <c r="AO158" i="1"/>
  <c r="AO157" i="1"/>
  <c r="AO156" i="1"/>
  <c r="AO155" i="1"/>
  <c r="AO154" i="1"/>
  <c r="AO153" i="1"/>
  <c r="AO152" i="1"/>
  <c r="AO151" i="1"/>
  <c r="AO150" i="1"/>
  <c r="AO149" i="1"/>
  <c r="AO148" i="1"/>
  <c r="AO147" i="1"/>
  <c r="AO146" i="1"/>
  <c r="AO145" i="1"/>
  <c r="AO144" i="1"/>
  <c r="AO142" i="1"/>
  <c r="AO141" i="1"/>
  <c r="AO140" i="1"/>
  <c r="AO139" i="1"/>
  <c r="AO138" i="1"/>
  <c r="AO137" i="1"/>
  <c r="AO136" i="1"/>
  <c r="AO135" i="1"/>
  <c r="AO134" i="1"/>
  <c r="AO133" i="1"/>
  <c r="AO132" i="1"/>
  <c r="AO131" i="1"/>
  <c r="AO130" i="1"/>
  <c r="AO129" i="1"/>
  <c r="AO128" i="1"/>
  <c r="AN232" i="1"/>
  <c r="AN231" i="1"/>
  <c r="AN230" i="1"/>
  <c r="AN229" i="1"/>
  <c r="AN228" i="1"/>
  <c r="AN227" i="1"/>
  <c r="AN226" i="1"/>
  <c r="AN225" i="1"/>
  <c r="AN224" i="1"/>
  <c r="AN223" i="1"/>
  <c r="AN222" i="1"/>
  <c r="AN221" i="1"/>
  <c r="AN220" i="1"/>
  <c r="AN219" i="1"/>
  <c r="AN218" i="1"/>
  <c r="AN217" i="1"/>
  <c r="AN216" i="1"/>
  <c r="AN215" i="1"/>
  <c r="AN214" i="1"/>
  <c r="AN213" i="1"/>
  <c r="AN212" i="1"/>
  <c r="AN211" i="1"/>
  <c r="AN210" i="1"/>
  <c r="AN209" i="1"/>
  <c r="AN208" i="1"/>
  <c r="AN207"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N159" i="1"/>
  <c r="AN158" i="1"/>
  <c r="AN157" i="1"/>
  <c r="AN156" i="1"/>
  <c r="AN155" i="1"/>
  <c r="AN154" i="1"/>
  <c r="AN153" i="1"/>
  <c r="AN152" i="1"/>
  <c r="AN151" i="1"/>
  <c r="AN150" i="1"/>
  <c r="AN149" i="1"/>
  <c r="AN148" i="1"/>
  <c r="AN147" i="1"/>
  <c r="AN146" i="1"/>
  <c r="AN145" i="1"/>
  <c r="AN144" i="1"/>
  <c r="AN143" i="1"/>
  <c r="AN142" i="1"/>
  <c r="AN141" i="1"/>
  <c r="AN140" i="1"/>
  <c r="AN139" i="1"/>
  <c r="AN138" i="1"/>
  <c r="AN137" i="1"/>
  <c r="AN136" i="1"/>
  <c r="AN135" i="1"/>
  <c r="AN134" i="1"/>
  <c r="AN133" i="1"/>
  <c r="AN132" i="1"/>
  <c r="AN131" i="1"/>
  <c r="AN130" i="1"/>
  <c r="AN129" i="1"/>
  <c r="AN128" i="1"/>
  <c r="AM232" i="1"/>
  <c r="AM231" i="1"/>
  <c r="AM230" i="1"/>
  <c r="AM229" i="1"/>
  <c r="AM228" i="1"/>
  <c r="AM227" i="1"/>
  <c r="AM226" i="1"/>
  <c r="AM225" i="1"/>
  <c r="AM224" i="1"/>
  <c r="AM223" i="1"/>
  <c r="AM222" i="1"/>
  <c r="AM221" i="1"/>
  <c r="AM220" i="1"/>
  <c r="AM219" i="1"/>
  <c r="AM218" i="1"/>
  <c r="AM217" i="1"/>
  <c r="AM216" i="1"/>
  <c r="AM215" i="1"/>
  <c r="AM214" i="1"/>
  <c r="AM213" i="1"/>
  <c r="AM212" i="1"/>
  <c r="AM211" i="1"/>
  <c r="AM210" i="1"/>
  <c r="AM209" i="1"/>
  <c r="AM208" i="1"/>
  <c r="AM207" i="1"/>
  <c r="AM206" i="1"/>
  <c r="AM205" i="1"/>
  <c r="AM204" i="1"/>
  <c r="AM203" i="1"/>
  <c r="AM202" i="1"/>
  <c r="AM201" i="1"/>
  <c r="AM200" i="1"/>
  <c r="AM199" i="1"/>
  <c r="AM198" i="1"/>
  <c r="AM197" i="1"/>
  <c r="AM196" i="1"/>
  <c r="AM195" i="1"/>
  <c r="AM194" i="1"/>
  <c r="AM193" i="1"/>
  <c r="AM192" i="1"/>
  <c r="AM191" i="1"/>
  <c r="AM190" i="1"/>
  <c r="AM189" i="1"/>
  <c r="AM188" i="1"/>
  <c r="AM187" i="1"/>
  <c r="AM186" i="1"/>
  <c r="AM185" i="1"/>
  <c r="AM184" i="1"/>
  <c r="AM183" i="1"/>
  <c r="AM182" i="1"/>
  <c r="AM181" i="1"/>
  <c r="AM180" i="1"/>
  <c r="AM179" i="1"/>
  <c r="AM178" i="1"/>
  <c r="AM177" i="1"/>
  <c r="AM176" i="1"/>
  <c r="AM175" i="1"/>
  <c r="AM174" i="1"/>
  <c r="AM173" i="1"/>
  <c r="AM172" i="1"/>
  <c r="AM171" i="1"/>
  <c r="AM170" i="1"/>
  <c r="AM169" i="1"/>
  <c r="AM168" i="1"/>
  <c r="AM167" i="1"/>
  <c r="AM166" i="1"/>
  <c r="AM165" i="1"/>
  <c r="AM164" i="1"/>
  <c r="AM163" i="1"/>
  <c r="AM162" i="1"/>
  <c r="AM161" i="1"/>
  <c r="AM160" i="1"/>
  <c r="AM159" i="1"/>
  <c r="AM158" i="1"/>
  <c r="AM157" i="1"/>
  <c r="AM156" i="1"/>
  <c r="AM155" i="1"/>
  <c r="AM154" i="1"/>
  <c r="AM153" i="1"/>
  <c r="AM152" i="1"/>
  <c r="AM151" i="1"/>
  <c r="AM150" i="1"/>
  <c r="AM149" i="1"/>
  <c r="AM148" i="1"/>
  <c r="AM147" i="1"/>
  <c r="AM146" i="1"/>
  <c r="AM145" i="1"/>
  <c r="AM144" i="1"/>
  <c r="AM143" i="1"/>
  <c r="AM142" i="1"/>
  <c r="AM141" i="1"/>
  <c r="AM140" i="1"/>
  <c r="AM139" i="1"/>
  <c r="AM138" i="1"/>
  <c r="AM137" i="1"/>
  <c r="AM136" i="1"/>
  <c r="AM135" i="1"/>
  <c r="AM134" i="1"/>
  <c r="AM133" i="1"/>
  <c r="AM132" i="1"/>
  <c r="AM131" i="1"/>
  <c r="AM130" i="1"/>
  <c r="AM129" i="1"/>
  <c r="AM128" i="1"/>
  <c r="AL232" i="1"/>
  <c r="AL231" i="1"/>
  <c r="AL230" i="1"/>
  <c r="AL229" i="1"/>
  <c r="AL228" i="1"/>
  <c r="AL227" i="1"/>
  <c r="AL226" i="1"/>
  <c r="AL225" i="1"/>
  <c r="AL224" i="1"/>
  <c r="AL223" i="1"/>
  <c r="AL222" i="1"/>
  <c r="AL221" i="1"/>
  <c r="AL220" i="1"/>
  <c r="AL219" i="1"/>
  <c r="AL218" i="1"/>
  <c r="AL217" i="1"/>
  <c r="AL216" i="1"/>
  <c r="AL215" i="1"/>
  <c r="AL214" i="1"/>
  <c r="AL213" i="1"/>
  <c r="AL212" i="1"/>
  <c r="AL211" i="1"/>
  <c r="AL210" i="1"/>
  <c r="AL209" i="1"/>
  <c r="AL208" i="1"/>
  <c r="AL207" i="1"/>
  <c r="AL206" i="1"/>
  <c r="AL205" i="1"/>
  <c r="AL204" i="1"/>
  <c r="AL203" i="1"/>
  <c r="AL202" i="1"/>
  <c r="AL201" i="1"/>
  <c r="AL200" i="1"/>
  <c r="AL199" i="1"/>
  <c r="AL198" i="1"/>
  <c r="AL197" i="1"/>
  <c r="AL196" i="1"/>
  <c r="AL195" i="1"/>
  <c r="AL194" i="1"/>
  <c r="AL193" i="1"/>
  <c r="AL192" i="1"/>
  <c r="AL191" i="1"/>
  <c r="AL190" i="1"/>
  <c r="AL189" i="1"/>
  <c r="AL188" i="1"/>
  <c r="AL187" i="1"/>
  <c r="AL186" i="1"/>
  <c r="AL185" i="1"/>
  <c r="AL184" i="1"/>
  <c r="AL183" i="1"/>
  <c r="AL182" i="1"/>
  <c r="AL181" i="1"/>
  <c r="AL180" i="1"/>
  <c r="AL179" i="1"/>
  <c r="AL178" i="1"/>
  <c r="AL177" i="1"/>
  <c r="AL176" i="1"/>
  <c r="AL175" i="1"/>
  <c r="AL174" i="1"/>
  <c r="AL173" i="1"/>
  <c r="AL172" i="1"/>
  <c r="AL171" i="1"/>
  <c r="AL170" i="1"/>
  <c r="AL169" i="1"/>
  <c r="AL168" i="1"/>
  <c r="AL167" i="1"/>
  <c r="AL166" i="1"/>
  <c r="AL165" i="1"/>
  <c r="AL164" i="1"/>
  <c r="AL163" i="1"/>
  <c r="AL162" i="1"/>
  <c r="AL161" i="1"/>
  <c r="AL160" i="1"/>
  <c r="AL159" i="1"/>
  <c r="AL158" i="1"/>
  <c r="AL157" i="1"/>
  <c r="AL156" i="1"/>
  <c r="AL155" i="1"/>
  <c r="AL154" i="1"/>
  <c r="AL153" i="1"/>
  <c r="AL152" i="1"/>
  <c r="AL151" i="1"/>
  <c r="AL150" i="1"/>
  <c r="AL149" i="1"/>
  <c r="AL148" i="1"/>
  <c r="AL147" i="1"/>
  <c r="AL146" i="1"/>
  <c r="AL145" i="1"/>
  <c r="AL144" i="1"/>
  <c r="AL143" i="1"/>
  <c r="AL142" i="1"/>
  <c r="AL141" i="1"/>
  <c r="AL140" i="1"/>
  <c r="AL139" i="1"/>
  <c r="AL138" i="1"/>
  <c r="AL137" i="1"/>
  <c r="AL136" i="1"/>
  <c r="AL135" i="1"/>
  <c r="AL134" i="1"/>
  <c r="AL133" i="1"/>
  <c r="AL132" i="1"/>
  <c r="AL131" i="1"/>
  <c r="AL130" i="1"/>
  <c r="AL129" i="1"/>
  <c r="AL128" i="1"/>
  <c r="AK232" i="1"/>
  <c r="AK231" i="1"/>
  <c r="AK230" i="1"/>
  <c r="AK229" i="1"/>
  <c r="AK228" i="1"/>
  <c r="AK227" i="1"/>
  <c r="AK226" i="1"/>
  <c r="AK225" i="1"/>
  <c r="AK224" i="1"/>
  <c r="AK223" i="1"/>
  <c r="AK222" i="1"/>
  <c r="AK221" i="1"/>
  <c r="AK220" i="1"/>
  <c r="AK219" i="1"/>
  <c r="AK218" i="1"/>
  <c r="AK217"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K153" i="1"/>
  <c r="AK152" i="1"/>
  <c r="AK151" i="1"/>
  <c r="AK150" i="1"/>
  <c r="AK149" i="1"/>
  <c r="AK148" i="1"/>
  <c r="AK147" i="1"/>
  <c r="AK146" i="1"/>
  <c r="AK145" i="1"/>
  <c r="AK144" i="1"/>
  <c r="AK143" i="1"/>
  <c r="AK142" i="1"/>
  <c r="AK141" i="1"/>
  <c r="AK140" i="1"/>
  <c r="AK139" i="1"/>
  <c r="AK138" i="1"/>
  <c r="AK137" i="1"/>
  <c r="AK136" i="1"/>
  <c r="AK135" i="1"/>
  <c r="AK134" i="1"/>
  <c r="AK133" i="1"/>
  <c r="AK132" i="1"/>
  <c r="AK131" i="1"/>
  <c r="AK130" i="1"/>
  <c r="AK129" i="1"/>
  <c r="AK128" i="1"/>
  <c r="AJ232" i="1"/>
  <c r="AJ231" i="1"/>
  <c r="AJ230" i="1"/>
  <c r="AJ229" i="1"/>
  <c r="AJ228" i="1"/>
  <c r="AJ227" i="1"/>
  <c r="AJ226" i="1"/>
  <c r="AJ225" i="1"/>
  <c r="AJ224" i="1"/>
  <c r="AJ223" i="1"/>
  <c r="AJ222" i="1"/>
  <c r="AJ221" i="1"/>
  <c r="AJ220" i="1"/>
  <c r="AJ219" i="1"/>
  <c r="AJ218" i="1"/>
  <c r="AJ217" i="1"/>
  <c r="AJ216" i="1"/>
  <c r="AJ215" i="1"/>
  <c r="AJ214" i="1"/>
  <c r="AJ213" i="1"/>
  <c r="AJ212" i="1"/>
  <c r="AJ211" i="1"/>
  <c r="AJ210" i="1"/>
  <c r="AJ209" i="1"/>
  <c r="AJ208" i="1"/>
  <c r="AJ207" i="1"/>
  <c r="AJ206" i="1"/>
  <c r="AJ205" i="1"/>
  <c r="AJ204" i="1"/>
  <c r="AJ203" i="1"/>
  <c r="AJ202" i="1"/>
  <c r="AJ201" i="1"/>
  <c r="AJ200" i="1"/>
  <c r="AJ199" i="1"/>
  <c r="AJ198" i="1"/>
  <c r="AJ197" i="1"/>
  <c r="AJ196" i="1"/>
  <c r="AJ195" i="1"/>
  <c r="AJ194" i="1"/>
  <c r="AJ193" i="1"/>
  <c r="AJ192" i="1"/>
  <c r="AJ191" i="1"/>
  <c r="AJ190" i="1"/>
  <c r="AJ189" i="1"/>
  <c r="AJ188" i="1"/>
  <c r="AJ187" i="1"/>
  <c r="AJ186" i="1"/>
  <c r="AJ185" i="1"/>
  <c r="AJ184" i="1"/>
  <c r="AJ183" i="1"/>
  <c r="AJ182" i="1"/>
  <c r="AJ181" i="1"/>
  <c r="AJ180" i="1"/>
  <c r="AJ179" i="1"/>
  <c r="AJ178" i="1"/>
  <c r="AJ177" i="1"/>
  <c r="AJ176" i="1"/>
  <c r="AJ175" i="1"/>
  <c r="AJ174" i="1"/>
  <c r="AJ173" i="1"/>
  <c r="AJ172" i="1"/>
  <c r="AJ171" i="1"/>
  <c r="AJ170" i="1"/>
  <c r="AJ169" i="1"/>
  <c r="AJ168" i="1"/>
  <c r="AJ167" i="1"/>
  <c r="AJ166" i="1"/>
  <c r="AJ165" i="1"/>
  <c r="AJ164" i="1"/>
  <c r="AJ163" i="1"/>
  <c r="AJ162" i="1"/>
  <c r="AJ161" i="1"/>
  <c r="AJ160" i="1"/>
  <c r="AJ159" i="1"/>
  <c r="AJ158" i="1"/>
  <c r="AJ157" i="1"/>
  <c r="AJ156" i="1"/>
  <c r="AJ155" i="1"/>
  <c r="AJ154" i="1"/>
  <c r="AJ153" i="1"/>
  <c r="AJ152" i="1"/>
  <c r="AJ151" i="1"/>
  <c r="AJ150" i="1"/>
  <c r="AJ149" i="1"/>
  <c r="AJ148" i="1"/>
  <c r="AJ147" i="1"/>
  <c r="AJ146" i="1"/>
  <c r="AJ145" i="1"/>
  <c r="AJ144" i="1"/>
  <c r="AJ143" i="1"/>
  <c r="AJ142" i="1"/>
  <c r="AJ141" i="1"/>
  <c r="AJ140" i="1"/>
  <c r="AJ139" i="1"/>
  <c r="AJ138" i="1"/>
  <c r="AJ137" i="1"/>
  <c r="AJ136" i="1"/>
  <c r="AJ135" i="1"/>
  <c r="AJ134" i="1"/>
  <c r="AJ133" i="1"/>
  <c r="AJ132" i="1"/>
  <c r="AJ131" i="1"/>
  <c r="AJ130" i="1"/>
  <c r="AJ129" i="1"/>
  <c r="AJ128"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9" i="1"/>
  <c r="AI208" i="1"/>
  <c r="AI207" i="1"/>
  <c r="AI206" i="1"/>
  <c r="AI205" i="1"/>
  <c r="AI204" i="1"/>
  <c r="CW204" i="1" s="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I142" i="1"/>
  <c r="AI141" i="1"/>
  <c r="AI140" i="1"/>
  <c r="AI139" i="1"/>
  <c r="AI138" i="1"/>
  <c r="AI137" i="1"/>
  <c r="AI136" i="1"/>
  <c r="AI135" i="1"/>
  <c r="AI134" i="1"/>
  <c r="AI133" i="1"/>
  <c r="AI132" i="1"/>
  <c r="AI131" i="1"/>
  <c r="AI130" i="1"/>
  <c r="AI129" i="1"/>
  <c r="AI128"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G232" i="1"/>
  <c r="AG231" i="1"/>
  <c r="AG230" i="1"/>
  <c r="AG229" i="1"/>
  <c r="AG228" i="1"/>
  <c r="AG227" i="1"/>
  <c r="AG226" i="1"/>
  <c r="AG225" i="1"/>
  <c r="AG224" i="1"/>
  <c r="AG223" i="1"/>
  <c r="AG222" i="1"/>
  <c r="AG221" i="1"/>
  <c r="AG220" i="1"/>
  <c r="AG219" i="1"/>
  <c r="AG218" i="1"/>
  <c r="AG217" i="1"/>
  <c r="AG216" i="1"/>
  <c r="AG215" i="1"/>
  <c r="AG214" i="1"/>
  <c r="AG213" i="1"/>
  <c r="AG212" i="1"/>
  <c r="AG211" i="1"/>
  <c r="AG210" i="1"/>
  <c r="AG209" i="1"/>
  <c r="AG208" i="1"/>
  <c r="AG207" i="1"/>
  <c r="AG206" i="1"/>
  <c r="AG205" i="1"/>
  <c r="AG204" i="1"/>
  <c r="AG203" i="1"/>
  <c r="AG202" i="1"/>
  <c r="AG201" i="1"/>
  <c r="AG200" i="1"/>
  <c r="AG199" i="1"/>
  <c r="AG198" i="1"/>
  <c r="AG197" i="1"/>
  <c r="AG196" i="1"/>
  <c r="AG195" i="1"/>
  <c r="AG194" i="1"/>
  <c r="AG193" i="1"/>
  <c r="AG192" i="1"/>
  <c r="AG191" i="1"/>
  <c r="AG190" i="1"/>
  <c r="AG189" i="1"/>
  <c r="AG188" i="1"/>
  <c r="AG187" i="1"/>
  <c r="AG186" i="1"/>
  <c r="AG185" i="1"/>
  <c r="AG184" i="1"/>
  <c r="AG183" i="1"/>
  <c r="AG182" i="1"/>
  <c r="AG181" i="1"/>
  <c r="AG180" i="1"/>
  <c r="AG179" i="1"/>
  <c r="AG178" i="1"/>
  <c r="AG177" i="1"/>
  <c r="AG176" i="1"/>
  <c r="AG175" i="1"/>
  <c r="AG174" i="1"/>
  <c r="AG173" i="1"/>
  <c r="AG172" i="1"/>
  <c r="AG171" i="1"/>
  <c r="AG170" i="1"/>
  <c r="AG169" i="1"/>
  <c r="AG168" i="1"/>
  <c r="AG167" i="1"/>
  <c r="AG166" i="1"/>
  <c r="AG165" i="1"/>
  <c r="AG164" i="1"/>
  <c r="AG163" i="1"/>
  <c r="AG162" i="1"/>
  <c r="AG161" i="1"/>
  <c r="AG160" i="1"/>
  <c r="AG159" i="1"/>
  <c r="AG158" i="1"/>
  <c r="AG157" i="1"/>
  <c r="AG156" i="1"/>
  <c r="AG155" i="1"/>
  <c r="AG154" i="1"/>
  <c r="AG153" i="1"/>
  <c r="AG152" i="1"/>
  <c r="AG151" i="1"/>
  <c r="AG150" i="1"/>
  <c r="AG149" i="1"/>
  <c r="AG148" i="1"/>
  <c r="AG147" i="1"/>
  <c r="AG146" i="1"/>
  <c r="AG145" i="1"/>
  <c r="AG144" i="1"/>
  <c r="AG143" i="1"/>
  <c r="AG142" i="1"/>
  <c r="AG141" i="1"/>
  <c r="AG140" i="1"/>
  <c r="AG139" i="1"/>
  <c r="AG138" i="1"/>
  <c r="AG137" i="1"/>
  <c r="AG136" i="1"/>
  <c r="AG135" i="1"/>
  <c r="AG134" i="1"/>
  <c r="AG133" i="1"/>
  <c r="AG132" i="1"/>
  <c r="AG131" i="1"/>
  <c r="AG130" i="1"/>
  <c r="AG129" i="1"/>
  <c r="AG128" i="1"/>
  <c r="AF232" i="1"/>
  <c r="AF231" i="1"/>
  <c r="AF230" i="1"/>
  <c r="AF229" i="1"/>
  <c r="AF228" i="1"/>
  <c r="AF227" i="1"/>
  <c r="AF226" i="1"/>
  <c r="AF225" i="1"/>
  <c r="AF224" i="1"/>
  <c r="AF223" i="1"/>
  <c r="AF222" i="1"/>
  <c r="AF221" i="1"/>
  <c r="AF220" i="1"/>
  <c r="AF219" i="1"/>
  <c r="AF218" i="1"/>
  <c r="AF217" i="1"/>
  <c r="AF216" i="1"/>
  <c r="AF215" i="1"/>
  <c r="AF214" i="1"/>
  <c r="AF213" i="1"/>
  <c r="AF212" i="1"/>
  <c r="AF211" i="1"/>
  <c r="AF210" i="1"/>
  <c r="AF209" i="1"/>
  <c r="AF208" i="1"/>
  <c r="AF207" i="1"/>
  <c r="AF206" i="1"/>
  <c r="AF205" i="1"/>
  <c r="AF204" i="1"/>
  <c r="AF203" i="1"/>
  <c r="AF202" i="1"/>
  <c r="AF201" i="1"/>
  <c r="AF200" i="1"/>
  <c r="AF199" i="1"/>
  <c r="AF198" i="1"/>
  <c r="AF197" i="1"/>
  <c r="AF196" i="1"/>
  <c r="AF195" i="1"/>
  <c r="AF194" i="1"/>
  <c r="AF193" i="1"/>
  <c r="AF192" i="1"/>
  <c r="AF191" i="1"/>
  <c r="AF190" i="1"/>
  <c r="AF189" i="1"/>
  <c r="AF188" i="1"/>
  <c r="AF187" i="1"/>
  <c r="AF186" i="1"/>
  <c r="AF185" i="1"/>
  <c r="AF184" i="1"/>
  <c r="AF183" i="1"/>
  <c r="AF182" i="1"/>
  <c r="AF181" i="1"/>
  <c r="AF180" i="1"/>
  <c r="AF179" i="1"/>
  <c r="AF178" i="1"/>
  <c r="AF177" i="1"/>
  <c r="AF176" i="1"/>
  <c r="AF175" i="1"/>
  <c r="AF174" i="1"/>
  <c r="AF173" i="1"/>
  <c r="AF172" i="1"/>
  <c r="AF171" i="1"/>
  <c r="AF170" i="1"/>
  <c r="AF169" i="1"/>
  <c r="AF168" i="1"/>
  <c r="AF167" i="1"/>
  <c r="AF166" i="1"/>
  <c r="AF165" i="1"/>
  <c r="AF164" i="1"/>
  <c r="AF163" i="1"/>
  <c r="AF162" i="1"/>
  <c r="AF161" i="1"/>
  <c r="AF160" i="1"/>
  <c r="AF159" i="1"/>
  <c r="AF158" i="1"/>
  <c r="AF157" i="1"/>
  <c r="AF156" i="1"/>
  <c r="AF155" i="1"/>
  <c r="AF154" i="1"/>
  <c r="AF153" i="1"/>
  <c r="AF152" i="1"/>
  <c r="AF151" i="1"/>
  <c r="AF150" i="1"/>
  <c r="AF149" i="1"/>
  <c r="AF148" i="1"/>
  <c r="AF147" i="1"/>
  <c r="AF146" i="1"/>
  <c r="AF145" i="1"/>
  <c r="AF144" i="1"/>
  <c r="AF143" i="1"/>
  <c r="AF142" i="1"/>
  <c r="AF141" i="1"/>
  <c r="AF140" i="1"/>
  <c r="AF139" i="1"/>
  <c r="AF138" i="1"/>
  <c r="AF137" i="1"/>
  <c r="AF136" i="1"/>
  <c r="AF135" i="1"/>
  <c r="AF134" i="1"/>
  <c r="AF133" i="1"/>
  <c r="AF132" i="1"/>
  <c r="AF131" i="1"/>
  <c r="AF130" i="1"/>
  <c r="AF129" i="1"/>
  <c r="AF128"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E142" i="1"/>
  <c r="AE141" i="1"/>
  <c r="AE140" i="1"/>
  <c r="AE139" i="1"/>
  <c r="AE138" i="1"/>
  <c r="AE137" i="1"/>
  <c r="AE136" i="1"/>
  <c r="AE135" i="1"/>
  <c r="AE134" i="1"/>
  <c r="AE133" i="1"/>
  <c r="AE132" i="1"/>
  <c r="AE131" i="1"/>
  <c r="AE130" i="1"/>
  <c r="AE129" i="1"/>
  <c r="AE128"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3" i="1"/>
  <c r="AD142" i="1"/>
  <c r="AD141" i="1"/>
  <c r="AD140" i="1"/>
  <c r="AD139" i="1"/>
  <c r="AD138" i="1"/>
  <c r="AD137" i="1"/>
  <c r="AD136" i="1"/>
  <c r="AD135" i="1"/>
  <c r="AD134" i="1"/>
  <c r="AD133" i="1"/>
  <c r="AD132" i="1"/>
  <c r="AD131" i="1"/>
  <c r="AD130" i="1"/>
  <c r="AD129" i="1"/>
  <c r="AD128" i="1"/>
  <c r="AC232" i="1"/>
  <c r="AC231" i="1"/>
  <c r="AC230" i="1"/>
  <c r="AC229" i="1"/>
  <c r="AC228" i="1"/>
  <c r="AC227" i="1"/>
  <c r="AC226" i="1"/>
  <c r="AC225" i="1"/>
  <c r="AC224" i="1"/>
  <c r="AC223" i="1"/>
  <c r="AC222" i="1"/>
  <c r="AC221" i="1"/>
  <c r="AC220" i="1"/>
  <c r="AC219" i="1"/>
  <c r="AC218" i="1"/>
  <c r="AC217" i="1"/>
  <c r="AC216" i="1"/>
  <c r="AC215" i="1"/>
  <c r="AC214" i="1"/>
  <c r="AC213" i="1"/>
  <c r="AC212" i="1"/>
  <c r="AC211" i="1"/>
  <c r="AC210" i="1"/>
  <c r="AC209" i="1"/>
  <c r="AC208" i="1"/>
  <c r="AC207"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4" i="1"/>
  <c r="AC163" i="1"/>
  <c r="AC162" i="1"/>
  <c r="AC161" i="1"/>
  <c r="AC160" i="1"/>
  <c r="AC159" i="1"/>
  <c r="AC158" i="1"/>
  <c r="AC157" i="1"/>
  <c r="AC156" i="1"/>
  <c r="AC155" i="1"/>
  <c r="AC154" i="1"/>
  <c r="AC153" i="1"/>
  <c r="AC152" i="1"/>
  <c r="AC151" i="1"/>
  <c r="AC150" i="1"/>
  <c r="AC149" i="1"/>
  <c r="AC148" i="1"/>
  <c r="AC147" i="1"/>
  <c r="AC146" i="1"/>
  <c r="AC144" i="1"/>
  <c r="AC143" i="1"/>
  <c r="AC142" i="1"/>
  <c r="AC141" i="1"/>
  <c r="AC140" i="1"/>
  <c r="AC139" i="1"/>
  <c r="AC138" i="1"/>
  <c r="AC137" i="1"/>
  <c r="AC136" i="1"/>
  <c r="AC135" i="1"/>
  <c r="AC134" i="1"/>
  <c r="AC133" i="1"/>
  <c r="AC132" i="1"/>
  <c r="AC131" i="1"/>
  <c r="AC130" i="1"/>
  <c r="AC129" i="1"/>
  <c r="AC128"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CT179" i="1" s="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3" i="1"/>
  <c r="AB142" i="1"/>
  <c r="AB141" i="1"/>
  <c r="AB140" i="1"/>
  <c r="AB139" i="1"/>
  <c r="AB138" i="1"/>
  <c r="AB137" i="1"/>
  <c r="AB136" i="1"/>
  <c r="AB135" i="1"/>
  <c r="AB134" i="1"/>
  <c r="AB133" i="1"/>
  <c r="AB132" i="1"/>
  <c r="AB131" i="1"/>
  <c r="AB130" i="1"/>
  <c r="AB129" i="1"/>
  <c r="AB128"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W134" i="1"/>
  <c r="W133" i="1"/>
  <c r="W132" i="1"/>
  <c r="W131" i="1"/>
  <c r="W130" i="1"/>
  <c r="W129" i="1"/>
  <c r="W128"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CU196" i="1" s="1"/>
  <c r="R195" i="1"/>
  <c r="CX195" i="1" s="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3" i="1"/>
  <c r="O152" i="1"/>
  <c r="O151" i="1"/>
  <c r="O150" i="1"/>
  <c r="O149" i="1"/>
  <c r="O148" i="1"/>
  <c r="O147" i="1"/>
  <c r="O146" i="1"/>
  <c r="O142" i="1"/>
  <c r="O141" i="1"/>
  <c r="O140" i="1"/>
  <c r="O139" i="1"/>
  <c r="O138" i="1"/>
  <c r="O137" i="1"/>
  <c r="O136" i="1"/>
  <c r="O135" i="1"/>
  <c r="O134" i="1"/>
  <c r="O133" i="1"/>
  <c r="O132" i="1"/>
  <c r="O131" i="1"/>
  <c r="O130" i="1"/>
  <c r="O129" i="1"/>
  <c r="O128"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3" i="1"/>
  <c r="N152" i="1"/>
  <c r="N151" i="1"/>
  <c r="N150" i="1"/>
  <c r="N149" i="1"/>
  <c r="N148" i="1"/>
  <c r="N147" i="1"/>
  <c r="N146" i="1"/>
  <c r="N142" i="1"/>
  <c r="N141" i="1"/>
  <c r="N140" i="1"/>
  <c r="N139" i="1"/>
  <c r="N138" i="1"/>
  <c r="N137" i="1"/>
  <c r="N136" i="1"/>
  <c r="N135" i="1"/>
  <c r="N134" i="1"/>
  <c r="N133" i="1"/>
  <c r="N132" i="1"/>
  <c r="N131" i="1"/>
  <c r="N130" i="1"/>
  <c r="N129" i="1"/>
  <c r="N128"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I232" i="1"/>
  <c r="I231" i="1"/>
  <c r="I230" i="1"/>
  <c r="I229" i="1"/>
  <c r="I228" i="1"/>
  <c r="I227" i="1"/>
  <c r="I226" i="1"/>
  <c r="I225" i="1"/>
  <c r="I224" i="1"/>
  <c r="I223" i="1"/>
  <c r="I222" i="1"/>
  <c r="I221" i="1"/>
  <c r="I220" i="1"/>
  <c r="I219" i="1"/>
  <c r="I218" i="1"/>
  <c r="I217" i="1"/>
  <c r="I216" i="1"/>
  <c r="I215" i="1"/>
  <c r="I214" i="1"/>
  <c r="I213" i="1"/>
  <c r="I212" i="1"/>
  <c r="I211" i="1"/>
  <c r="I210" i="1"/>
  <c r="I209" i="1"/>
  <c r="I208" i="1"/>
  <c r="I207" i="1"/>
  <c r="I206" i="1"/>
  <c r="I205" i="1"/>
  <c r="I204" i="1"/>
  <c r="I203" i="1"/>
  <c r="I202" i="1"/>
  <c r="I201" i="1"/>
  <c r="I200" i="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Y46" i="4"/>
  <c r="Y45" i="4"/>
  <c r="D25" i="20"/>
  <c r="Y40" i="4"/>
  <c r="Y39" i="4"/>
  <c r="Y38" i="4"/>
  <c r="Y37" i="4"/>
  <c r="Y36" i="4"/>
  <c r="Y35" i="4"/>
  <c r="Y34" i="4"/>
  <c r="Y33" i="4"/>
  <c r="Y32" i="4"/>
  <c r="Y31" i="4"/>
  <c r="Y30" i="4"/>
  <c r="Y29" i="4"/>
  <c r="Y28" i="4"/>
  <c r="X46" i="4"/>
  <c r="X45" i="4"/>
  <c r="D24" i="20"/>
  <c r="X40" i="4"/>
  <c r="X39" i="4"/>
  <c r="X38" i="4"/>
  <c r="X37" i="4"/>
  <c r="X36" i="4"/>
  <c r="X35" i="4"/>
  <c r="X34" i="4"/>
  <c r="X33" i="4"/>
  <c r="X32" i="4"/>
  <c r="X31" i="4"/>
  <c r="X30" i="4"/>
  <c r="X29" i="4"/>
  <c r="X28" i="4"/>
  <c r="W46" i="4"/>
  <c r="W45" i="4"/>
  <c r="D23" i="20"/>
  <c r="W40" i="4"/>
  <c r="W39" i="4"/>
  <c r="W38" i="4"/>
  <c r="W37" i="4"/>
  <c r="W36" i="4"/>
  <c r="W35" i="4"/>
  <c r="W34" i="4"/>
  <c r="W33" i="4"/>
  <c r="W32" i="4"/>
  <c r="W31" i="4"/>
  <c r="W30" i="4"/>
  <c r="W29" i="4"/>
  <c r="W28" i="4"/>
  <c r="V46" i="4"/>
  <c r="V45" i="4"/>
  <c r="D22" i="20"/>
  <c r="V40" i="4"/>
  <c r="V39" i="4"/>
  <c r="V38" i="4"/>
  <c r="V37" i="4"/>
  <c r="V36" i="4"/>
  <c r="V35" i="4"/>
  <c r="V34" i="4"/>
  <c r="V33" i="4"/>
  <c r="V32" i="4"/>
  <c r="V31" i="4"/>
  <c r="V30" i="4"/>
  <c r="V29" i="4"/>
  <c r="V28" i="4"/>
  <c r="U46" i="4"/>
  <c r="U45" i="4"/>
  <c r="D21" i="20"/>
  <c r="U40" i="4"/>
  <c r="U39" i="4"/>
  <c r="U38" i="4"/>
  <c r="U37" i="4"/>
  <c r="U36" i="4"/>
  <c r="U35" i="4"/>
  <c r="U34" i="4"/>
  <c r="U33" i="4"/>
  <c r="U32" i="4"/>
  <c r="U31" i="4"/>
  <c r="U30" i="4"/>
  <c r="U29" i="4"/>
  <c r="U28" i="4"/>
  <c r="T46" i="4"/>
  <c r="T45" i="4"/>
  <c r="D20" i="20"/>
  <c r="T40" i="4"/>
  <c r="T39" i="4"/>
  <c r="T38" i="4"/>
  <c r="T37" i="4"/>
  <c r="T36" i="4"/>
  <c r="T35" i="4"/>
  <c r="T34" i="4"/>
  <c r="T33" i="4"/>
  <c r="T32" i="4"/>
  <c r="T31" i="4"/>
  <c r="T30" i="4"/>
  <c r="T29" i="4"/>
  <c r="T28" i="4"/>
  <c r="S40" i="4"/>
  <c r="S39" i="4"/>
  <c r="S38" i="4"/>
  <c r="S37" i="4"/>
  <c r="S36" i="4"/>
  <c r="S35" i="4"/>
  <c r="S33" i="4"/>
  <c r="S32" i="4"/>
  <c r="S31" i="4"/>
  <c r="S30" i="4"/>
  <c r="S29" i="4"/>
  <c r="S28" i="4"/>
  <c r="R40" i="4"/>
  <c r="R39" i="4"/>
  <c r="R38" i="4"/>
  <c r="R37" i="4"/>
  <c r="R36" i="4"/>
  <c r="R35" i="4"/>
  <c r="R33" i="4"/>
  <c r="R32" i="4"/>
  <c r="R31" i="4"/>
  <c r="R30" i="4"/>
  <c r="R29" i="4"/>
  <c r="R28" i="4"/>
  <c r="Q40" i="4"/>
  <c r="Q39" i="4"/>
  <c r="Q38" i="4"/>
  <c r="Q37" i="4"/>
  <c r="Q36" i="4"/>
  <c r="Q35" i="4"/>
  <c r="Q34" i="4"/>
  <c r="Q32" i="4"/>
  <c r="Q31" i="4"/>
  <c r="Q30" i="4"/>
  <c r="Q29" i="4"/>
  <c r="Q28" i="4"/>
  <c r="P40" i="4"/>
  <c r="P39" i="4"/>
  <c r="P38" i="4"/>
  <c r="P37" i="4"/>
  <c r="P36" i="4"/>
  <c r="P35" i="4"/>
  <c r="P34" i="4"/>
  <c r="P32" i="4"/>
  <c r="P31" i="4"/>
  <c r="P30" i="4"/>
  <c r="P29" i="4"/>
  <c r="P28" i="4"/>
  <c r="O40" i="4"/>
  <c r="O39" i="4"/>
  <c r="O38" i="4"/>
  <c r="O37" i="4"/>
  <c r="O36" i="4"/>
  <c r="O35" i="4"/>
  <c r="O34" i="4"/>
  <c r="O32" i="4"/>
  <c r="O31" i="4"/>
  <c r="O30" i="4"/>
  <c r="O29" i="4"/>
  <c r="O28" i="4"/>
  <c r="N40" i="4"/>
  <c r="N39" i="4"/>
  <c r="N38" i="4"/>
  <c r="N37" i="4"/>
  <c r="N36" i="4"/>
  <c r="N35" i="4"/>
  <c r="N34" i="4"/>
  <c r="N32" i="4"/>
  <c r="N31" i="4"/>
  <c r="N30" i="4"/>
  <c r="N29" i="4"/>
  <c r="N28" i="4"/>
  <c r="M40" i="4"/>
  <c r="M39" i="4"/>
  <c r="M38" i="4"/>
  <c r="M37" i="4"/>
  <c r="M36" i="4"/>
  <c r="M35" i="4"/>
  <c r="M34" i="4"/>
  <c r="M33" i="4"/>
  <c r="M31" i="4"/>
  <c r="M30" i="4"/>
  <c r="M29" i="4"/>
  <c r="M28" i="4"/>
  <c r="L40" i="4"/>
  <c r="L39" i="4"/>
  <c r="L38" i="4"/>
  <c r="L37" i="4"/>
  <c r="L36" i="4"/>
  <c r="L35" i="4"/>
  <c r="L34" i="4"/>
  <c r="L33" i="4"/>
  <c r="L31" i="4"/>
  <c r="L30" i="4"/>
  <c r="L29" i="4"/>
  <c r="L28" i="4"/>
  <c r="K40" i="4"/>
  <c r="K39" i="4"/>
  <c r="K38" i="4"/>
  <c r="K37" i="4"/>
  <c r="K36" i="4"/>
  <c r="K35" i="4"/>
  <c r="K34" i="4"/>
  <c r="K33" i="4"/>
  <c r="K31" i="4"/>
  <c r="K30" i="4"/>
  <c r="K29" i="4"/>
  <c r="K28" i="4"/>
  <c r="J46" i="4"/>
  <c r="J45" i="4"/>
  <c r="D10" i="20"/>
  <c r="J40" i="4"/>
  <c r="J39" i="4"/>
  <c r="J38" i="4"/>
  <c r="J37" i="4"/>
  <c r="J36" i="4"/>
  <c r="J35" i="4"/>
  <c r="J34" i="4"/>
  <c r="J33" i="4"/>
  <c r="J32" i="4"/>
  <c r="J31" i="4"/>
  <c r="J30" i="4"/>
  <c r="J29" i="4"/>
  <c r="J28" i="4"/>
  <c r="I40" i="4"/>
  <c r="I39" i="4"/>
  <c r="I38" i="4"/>
  <c r="I37" i="4"/>
  <c r="I36" i="4"/>
  <c r="I35" i="4"/>
  <c r="I34" i="4"/>
  <c r="I33" i="4"/>
  <c r="I32" i="4"/>
  <c r="I31" i="4"/>
  <c r="I29" i="4"/>
  <c r="I28" i="4"/>
  <c r="H40" i="4"/>
  <c r="H39" i="4"/>
  <c r="H38" i="4"/>
  <c r="H37" i="4"/>
  <c r="H36" i="4"/>
  <c r="H35" i="4"/>
  <c r="H34" i="4"/>
  <c r="H33" i="4"/>
  <c r="H32" i="4"/>
  <c r="H31" i="4"/>
  <c r="H29" i="4"/>
  <c r="H28" i="4"/>
  <c r="G40" i="4"/>
  <c r="G39" i="4"/>
  <c r="G38" i="4"/>
  <c r="G37" i="4"/>
  <c r="G36" i="4"/>
  <c r="G35" i="4"/>
  <c r="G34" i="4"/>
  <c r="G33" i="4"/>
  <c r="G32" i="4"/>
  <c r="G31" i="4"/>
  <c r="G30" i="4"/>
  <c r="G28" i="4"/>
  <c r="F40" i="4"/>
  <c r="F39" i="4"/>
  <c r="F38" i="4"/>
  <c r="F37" i="4"/>
  <c r="F36" i="4"/>
  <c r="F35" i="4"/>
  <c r="F34" i="4"/>
  <c r="F33" i="4"/>
  <c r="F32" i="4"/>
  <c r="F31" i="4"/>
  <c r="F30" i="4"/>
  <c r="F28" i="4"/>
  <c r="E40" i="4"/>
  <c r="E39" i="4"/>
  <c r="E38" i="4"/>
  <c r="E37" i="4"/>
  <c r="E36" i="4"/>
  <c r="E35" i="4"/>
  <c r="E34" i="4"/>
  <c r="E33" i="4"/>
  <c r="E32" i="4"/>
  <c r="E31" i="4"/>
  <c r="E30" i="4"/>
  <c r="E29" i="4"/>
  <c r="D46" i="4"/>
  <c r="D45" i="4"/>
  <c r="D4" i="20"/>
  <c r="D40" i="4"/>
  <c r="D39" i="4"/>
  <c r="D38" i="4"/>
  <c r="D37" i="4"/>
  <c r="D36" i="4"/>
  <c r="D35" i="4"/>
  <c r="D34" i="4"/>
  <c r="D33" i="4"/>
  <c r="D32" i="4"/>
  <c r="D31" i="4"/>
  <c r="D30" i="4"/>
  <c r="D29" i="4"/>
  <c r="D28" i="4"/>
  <c r="Z46" i="4"/>
  <c r="Z45" i="4"/>
  <c r="CL212" i="1"/>
  <c r="CL178" i="1"/>
  <c r="CL172" i="1"/>
  <c r="CL166" i="1"/>
  <c r="CL142" i="1"/>
  <c r="AR162" i="1"/>
  <c r="AD144" i="1"/>
  <c r="AO143" i="1"/>
  <c r="E528" i="5" l="1"/>
  <c r="E530" i="5"/>
  <c r="E542" i="5" s="1"/>
  <c r="E529" i="5"/>
  <c r="E522" i="5"/>
  <c r="E508" i="5"/>
  <c r="E92" i="5"/>
  <c r="E93" i="5" s="1"/>
  <c r="E73" i="5" s="1"/>
  <c r="E472" i="5"/>
  <c r="E480" i="5"/>
  <c r="E488" i="5"/>
  <c r="E496" i="5"/>
  <c r="E509" i="5"/>
  <c r="E467" i="5"/>
  <c r="E475" i="5"/>
  <c r="E483" i="5"/>
  <c r="CL169" i="1" s="1"/>
  <c r="E491" i="5"/>
  <c r="CL182" i="1" s="1"/>
  <c r="E499" i="5"/>
  <c r="CL191" i="1" s="1"/>
  <c r="E468" i="5"/>
  <c r="E476" i="5"/>
  <c r="E484" i="5"/>
  <c r="E492" i="5"/>
  <c r="E500" i="5"/>
  <c r="CL193" i="1" s="1"/>
  <c r="E507" i="5"/>
  <c r="E523" i="5"/>
  <c r="E524" i="5"/>
  <c r="E525" i="5"/>
  <c r="E526" i="5"/>
  <c r="E527" i="5"/>
  <c r="CL181" i="1"/>
  <c r="CL184" i="1"/>
  <c r="CL196" i="1"/>
  <c r="CL195" i="1"/>
  <c r="CL177" i="1"/>
  <c r="CL174" i="1"/>
  <c r="CL156" i="1"/>
  <c r="CL140" i="1"/>
  <c r="CL141" i="1"/>
  <c r="CL139" i="1"/>
  <c r="CL134" i="1"/>
  <c r="CL129" i="1"/>
  <c r="CL135" i="1"/>
  <c r="CL137" i="1"/>
  <c r="CL130" i="1"/>
  <c r="CL138" i="1"/>
  <c r="CL194" i="1"/>
  <c r="CL136" i="1"/>
  <c r="CL205" i="1"/>
  <c r="CL128" i="1"/>
  <c r="CL133" i="1"/>
  <c r="CL131" i="1"/>
  <c r="CL132" i="1"/>
  <c r="CL171" i="1"/>
  <c r="CL165" i="1"/>
  <c r="E74" i="5"/>
  <c r="AB144" i="1"/>
  <c r="AB145" i="1"/>
  <c r="O143" i="1"/>
  <c r="CX143" i="1" s="1"/>
  <c r="N143" i="1"/>
  <c r="CL157" i="1"/>
  <c r="E162" i="1"/>
  <c r="N145" i="1"/>
  <c r="O144" i="1"/>
  <c r="AR155" i="1"/>
  <c r="N154" i="1"/>
  <c r="O145" i="1"/>
  <c r="AR156" i="1"/>
  <c r="N155" i="1"/>
  <c r="O154" i="1"/>
  <c r="CL143" i="1"/>
  <c r="N156" i="1"/>
  <c r="O155" i="1"/>
  <c r="CL144" i="1"/>
  <c r="O156" i="1"/>
  <c r="AR143" i="1"/>
  <c r="CL145" i="1"/>
  <c r="AR144" i="1"/>
  <c r="CL154" i="1"/>
  <c r="AR145" i="1"/>
  <c r="AR161" i="1"/>
  <c r="CL155" i="1"/>
  <c r="E161" i="1"/>
  <c r="N144" i="1"/>
  <c r="AC145" i="1"/>
  <c r="AR154" i="1"/>
  <c r="E59" i="5"/>
  <c r="E45" i="5"/>
  <c r="CL183" i="1"/>
  <c r="E24" i="5"/>
  <c r="E25" i="5" s="1"/>
  <c r="CP204" i="1"/>
  <c r="CX204" i="1"/>
  <c r="CQ204" i="1"/>
  <c r="CS204" i="1"/>
  <c r="CT204" i="1"/>
  <c r="CU204" i="1"/>
  <c r="CN204" i="1"/>
  <c r="CV204" i="1"/>
  <c r="CO204" i="1"/>
  <c r="CU179" i="1"/>
  <c r="CN179" i="1"/>
  <c r="CV179" i="1"/>
  <c r="CO179" i="1"/>
  <c r="CW179" i="1"/>
  <c r="CP179" i="1"/>
  <c r="CX179" i="1"/>
  <c r="CQ179" i="1"/>
  <c r="CL176" i="1"/>
  <c r="CR179" i="1"/>
  <c r="CS179" i="1"/>
  <c r="CL187" i="1"/>
  <c r="CL189" i="1"/>
  <c r="CL190" i="1"/>
  <c r="CL188" i="1"/>
  <c r="CQ195" i="1"/>
  <c r="CN196" i="1"/>
  <c r="CV196" i="1"/>
  <c r="CL218" i="1"/>
  <c r="CR195" i="1"/>
  <c r="CO196" i="1"/>
  <c r="CW196" i="1"/>
  <c r="CL219" i="1"/>
  <c r="CS195" i="1"/>
  <c r="CP196" i="1"/>
  <c r="CX196" i="1"/>
  <c r="CL220" i="1"/>
  <c r="CT195" i="1"/>
  <c r="CQ196" i="1"/>
  <c r="CU195" i="1"/>
  <c r="CR196" i="1"/>
  <c r="CN195" i="1"/>
  <c r="CV195" i="1"/>
  <c r="CS196" i="1"/>
  <c r="CO195" i="1"/>
  <c r="CW195" i="1"/>
  <c r="CT196" i="1"/>
  <c r="CP195" i="1"/>
  <c r="E72" i="5" l="1"/>
  <c r="CL153" i="1" s="1"/>
  <c r="CL168" i="1"/>
  <c r="E535" i="5"/>
  <c r="E518" i="5"/>
  <c r="E517" i="5"/>
  <c r="E536" i="5" s="1"/>
  <c r="E516" i="5"/>
  <c r="E515" i="5"/>
  <c r="E512" i="5" s="1"/>
  <c r="E514" i="5"/>
  <c r="E511" i="5" s="1"/>
  <c r="E513" i="5"/>
  <c r="E510" i="5" s="1"/>
  <c r="F29" i="4"/>
  <c r="D6" i="20" s="1"/>
  <c r="G29" i="4"/>
  <c r="D7" i="20" s="1"/>
  <c r="CL192" i="1"/>
  <c r="CL160" i="1"/>
  <c r="CL159" i="1"/>
  <c r="CT143" i="1"/>
  <c r="CP143" i="1"/>
  <c r="CV143" i="1"/>
  <c r="CU143" i="1"/>
  <c r="CS143" i="1"/>
  <c r="CW143" i="1"/>
  <c r="CS145" i="1"/>
  <c r="CR145" i="1"/>
  <c r="CQ145" i="1"/>
  <c r="CX145" i="1"/>
  <c r="CP145" i="1"/>
  <c r="CW145" i="1"/>
  <c r="CO145" i="1"/>
  <c r="CV145" i="1"/>
  <c r="CN145" i="1"/>
  <c r="CU145" i="1"/>
  <c r="CT145" i="1"/>
  <c r="CN143" i="1"/>
  <c r="CX162" i="1"/>
  <c r="CP162" i="1"/>
  <c r="CW162" i="1"/>
  <c r="CO162" i="1"/>
  <c r="CV162" i="1"/>
  <c r="CN162" i="1"/>
  <c r="CU162" i="1"/>
  <c r="CT162" i="1"/>
  <c r="CS162" i="1"/>
  <c r="CR162" i="1"/>
  <c r="CQ162" i="1"/>
  <c r="CR143" i="1"/>
  <c r="CQ143" i="1"/>
  <c r="CV144" i="1"/>
  <c r="CN144" i="1"/>
  <c r="CU144" i="1"/>
  <c r="CT144" i="1"/>
  <c r="CS144" i="1"/>
  <c r="CR144" i="1"/>
  <c r="CQ144" i="1"/>
  <c r="CX144" i="1"/>
  <c r="CP144" i="1"/>
  <c r="CW144" i="1"/>
  <c r="CO144" i="1"/>
  <c r="CO143" i="1"/>
  <c r="CR156" i="1"/>
  <c r="CQ156" i="1"/>
  <c r="CX156" i="1"/>
  <c r="CP156" i="1"/>
  <c r="CW156" i="1"/>
  <c r="CO156" i="1"/>
  <c r="CV156" i="1"/>
  <c r="CN156" i="1"/>
  <c r="CU156" i="1"/>
  <c r="CT156" i="1"/>
  <c r="CS156" i="1"/>
  <c r="CX154" i="1"/>
  <c r="CP154" i="1"/>
  <c r="CW154" i="1"/>
  <c r="CO154" i="1"/>
  <c r="CV154" i="1"/>
  <c r="CN154" i="1"/>
  <c r="CU154" i="1"/>
  <c r="CT154" i="1"/>
  <c r="CS154" i="1"/>
  <c r="CR154" i="1"/>
  <c r="CQ154" i="1"/>
  <c r="CS161" i="1"/>
  <c r="CR161" i="1"/>
  <c r="CQ161" i="1"/>
  <c r="CX161" i="1"/>
  <c r="CP161" i="1"/>
  <c r="CW161" i="1"/>
  <c r="CO161" i="1"/>
  <c r="CV161" i="1"/>
  <c r="CN161" i="1"/>
  <c r="CU161" i="1"/>
  <c r="CT161" i="1"/>
  <c r="CL147" i="1"/>
  <c r="CL162" i="1"/>
  <c r="CL150" i="1"/>
  <c r="CL151" i="1"/>
  <c r="CL148" i="1"/>
  <c r="CL158" i="1"/>
  <c r="CU155" i="1"/>
  <c r="CT155" i="1"/>
  <c r="CS155" i="1"/>
  <c r="CR155" i="1"/>
  <c r="CQ155" i="1"/>
  <c r="CX155" i="1"/>
  <c r="CP155" i="1"/>
  <c r="CW155" i="1"/>
  <c r="CO155" i="1"/>
  <c r="CV155" i="1"/>
  <c r="CN155" i="1"/>
  <c r="E56" i="5"/>
  <c r="I35" i="2"/>
  <c r="E693" i="5" l="1"/>
  <c r="E691" i="5"/>
  <c r="CL225" i="1" s="1"/>
  <c r="E538" i="5"/>
  <c r="E537" i="5"/>
  <c r="E541" i="5"/>
  <c r="E557" i="5" s="1"/>
  <c r="E540" i="5"/>
  <c r="E556" i="5" s="1"/>
  <c r="E534" i="5"/>
  <c r="E548" i="5"/>
  <c r="E547" i="5"/>
  <c r="E546" i="5"/>
  <c r="E549" i="5"/>
  <c r="E550" i="5"/>
  <c r="E539" i="5"/>
  <c r="G46" i="4"/>
  <c r="G45" i="4"/>
  <c r="F46" i="4"/>
  <c r="E335" i="5"/>
  <c r="E331" i="5"/>
  <c r="F45" i="4"/>
  <c r="E128" i="5"/>
  <c r="CL149" i="1"/>
  <c r="CL146" i="1"/>
  <c r="CL161" i="1"/>
  <c r="CL152" i="1"/>
  <c r="CL180" i="1"/>
  <c r="CL179" i="1"/>
  <c r="E28" i="4"/>
  <c r="D5" i="20" s="1"/>
  <c r="CL231" i="1"/>
  <c r="CL173" i="1"/>
  <c r="E137" i="5" s="1"/>
  <c r="E555" i="5" l="1"/>
  <c r="E554" i="5"/>
  <c r="P33" i="4"/>
  <c r="D16" i="20" s="1"/>
  <c r="E110" i="5" s="1"/>
  <c r="E113" i="5" s="1"/>
  <c r="CL215" i="1" s="1"/>
  <c r="M32" i="4"/>
  <c r="D13" i="20" s="1"/>
  <c r="M45" i="4" s="1"/>
  <c r="Q33" i="4"/>
  <c r="D17" i="20" s="1"/>
  <c r="I30" i="4"/>
  <c r="D9" i="20" s="1"/>
  <c r="H30" i="4"/>
  <c r="D8" i="20" s="1"/>
  <c r="O33" i="4"/>
  <c r="D15" i="20" s="1"/>
  <c r="N33" i="4"/>
  <c r="D14" i="20" s="1"/>
  <c r="S34" i="4"/>
  <c r="D19" i="20" s="1"/>
  <c r="R34" i="4"/>
  <c r="D18" i="20" s="1"/>
  <c r="E46" i="4"/>
  <c r="E45" i="4"/>
  <c r="L32" i="4"/>
  <c r="D12" i="20" s="1"/>
  <c r="K32" i="4"/>
  <c r="D11" i="20" s="1"/>
  <c r="E138" i="5"/>
  <c r="E83" i="5" s="1"/>
  <c r="E84" i="5" s="1"/>
  <c r="E85" i="5" s="1"/>
  <c r="E94" i="5" s="1"/>
  <c r="CL204" i="1" s="1"/>
  <c r="E134" i="5"/>
  <c r="E126" i="5"/>
  <c r="E692" i="5" l="1"/>
  <c r="CL227" i="1" s="1"/>
  <c r="E690" i="5"/>
  <c r="CL221" i="1" s="1"/>
  <c r="E102" i="5"/>
  <c r="E105" i="5" s="1"/>
  <c r="CL216" i="1" s="1"/>
  <c r="E558" i="5"/>
  <c r="E57" i="5" s="1"/>
  <c r="P46" i="4"/>
  <c r="Q46" i="4"/>
  <c r="P45" i="4"/>
  <c r="E106" i="5"/>
  <c r="E109" i="5" s="1"/>
  <c r="CL214" i="1" s="1"/>
  <c r="M46" i="4"/>
  <c r="E114" i="5"/>
  <c r="E117" i="5" s="1"/>
  <c r="CL213" i="1" s="1"/>
  <c r="Q45" i="4"/>
  <c r="E118" i="5"/>
  <c r="E121" i="5" s="1"/>
  <c r="CL217" i="1" s="1"/>
  <c r="K45" i="4"/>
  <c r="K46" i="4"/>
  <c r="R46" i="4"/>
  <c r="R45" i="4"/>
  <c r="I45" i="4"/>
  <c r="I46" i="4"/>
  <c r="S46" i="4"/>
  <c r="S45" i="4"/>
  <c r="E330" i="5"/>
  <c r="L46" i="4"/>
  <c r="L45" i="4"/>
  <c r="E333" i="5"/>
  <c r="E332" i="5"/>
  <c r="CL167" i="1" s="1"/>
  <c r="N45" i="4"/>
  <c r="N46" i="4"/>
  <c r="O46" i="4"/>
  <c r="O45" i="4"/>
  <c r="E329" i="5"/>
  <c r="H46" i="4"/>
  <c r="E334" i="5"/>
  <c r="H45" i="4"/>
  <c r="CL163" i="1"/>
  <c r="E136" i="5"/>
  <c r="E199" i="5"/>
  <c r="E217" i="5"/>
  <c r="E219" i="5"/>
  <c r="E135" i="5" l="1"/>
  <c r="CL170" i="1"/>
  <c r="E131" i="5" s="1"/>
  <c r="Z20" i="4"/>
  <c r="E604" i="5" s="1"/>
  <c r="Z21" i="4"/>
  <c r="E605" i="5" s="1"/>
  <c r="CL164" i="1"/>
  <c r="E328" i="5"/>
  <c r="E326" i="5"/>
  <c r="E129" i="5" l="1"/>
  <c r="E130" i="5"/>
  <c r="E133" i="5"/>
  <c r="E132" i="5" s="1"/>
  <c r="E127" i="5"/>
  <c r="E125" i="5" s="1"/>
  <c r="E615" i="5"/>
  <c r="E613" i="5"/>
  <c r="E120" i="5"/>
  <c r="E116" i="5"/>
  <c r="E112" i="5"/>
  <c r="E108" i="5"/>
  <c r="E104" i="5"/>
  <c r="E633" i="5" l="1"/>
  <c r="E618" i="5"/>
  <c r="E627" i="5" l="1"/>
  <c r="E626" i="5"/>
  <c r="E616" i="5"/>
  <c r="E631" i="5"/>
  <c r="E617" i="5"/>
  <c r="E628" i="5"/>
  <c r="E629" i="5"/>
  <c r="E645" i="5" l="1"/>
  <c r="E643" i="5"/>
  <c r="E651" i="5" l="1"/>
  <c r="E641" i="5"/>
  <c r="E639" i="5"/>
  <c r="E640" i="5"/>
  <c r="E650" i="5"/>
  <c r="E638" i="5"/>
  <c r="E320" i="5"/>
  <c r="E318" i="5"/>
  <c r="E684" i="5" l="1"/>
  <c r="D415" i="9" l="1"/>
  <c r="D238" i="36" l="1"/>
  <c r="D385" i="9"/>
  <c r="D219" i="36"/>
  <c r="D273" i="36"/>
  <c r="D327" i="36"/>
  <c r="D328" i="36"/>
  <c r="D324" i="36"/>
  <c r="D337" i="36"/>
  <c r="D331" i="36"/>
  <c r="D332" i="36"/>
  <c r="D282" i="36"/>
  <c r="D234" i="36"/>
  <c r="D215" i="36"/>
  <c r="D300" i="36"/>
  <c r="D316" i="36"/>
  <c r="D315" i="36"/>
  <c r="D313" i="36"/>
  <c r="D295" i="36"/>
  <c r="E295" i="5"/>
  <c r="D334" i="9"/>
  <c r="D27" i="36"/>
  <c r="D293" i="36"/>
  <c r="D271" i="36"/>
  <c r="D270" i="36"/>
  <c r="N403" i="9"/>
  <c r="N402" i="9"/>
  <c r="M402" i="9"/>
  <c r="M404" i="9" s="1"/>
  <c r="N401" i="9"/>
  <c r="M401" i="9"/>
  <c r="N400" i="9"/>
  <c r="M400" i="9"/>
  <c r="N399" i="9"/>
  <c r="M399" i="9"/>
  <c r="E249" i="5"/>
  <c r="L449" i="36"/>
  <c r="L448" i="36"/>
  <c r="L447" i="36"/>
  <c r="L446" i="36"/>
  <c r="L442" i="36"/>
  <c r="L441" i="36"/>
  <c r="L440" i="36"/>
  <c r="L439" i="36"/>
  <c r="L438" i="36"/>
  <c r="L437" i="36"/>
  <c r="L436" i="36"/>
  <c r="L435" i="36"/>
  <c r="L434" i="36"/>
  <c r="D396" i="36"/>
  <c r="D395" i="36" s="1"/>
  <c r="D393" i="36"/>
  <c r="D392" i="36"/>
  <c r="D339" i="36"/>
  <c r="D338" i="36"/>
  <c r="D336" i="36"/>
  <c r="D335" i="36"/>
  <c r="D334" i="36"/>
  <c r="D333" i="36"/>
  <c r="D330" i="36"/>
  <c r="D329" i="36"/>
  <c r="D326" i="36"/>
  <c r="D325" i="36"/>
  <c r="D320" i="36"/>
  <c r="D318" i="36"/>
  <c r="D309" i="36"/>
  <c r="D308" i="36"/>
  <c r="D307" i="36"/>
  <c r="D306" i="36"/>
  <c r="D305" i="36"/>
  <c r="D301" i="36"/>
  <c r="D299" i="36"/>
  <c r="D298" i="36"/>
  <c r="D297" i="36"/>
  <c r="D296" i="36"/>
  <c r="D294" i="36"/>
  <c r="D289" i="36"/>
  <c r="D288" i="36"/>
  <c r="D286" i="36"/>
  <c r="D284" i="36"/>
  <c r="D283" i="36"/>
  <c r="D281" i="36"/>
  <c r="D275" i="36"/>
  <c r="D236" i="36" s="1"/>
  <c r="D274" i="36"/>
  <c r="D272" i="36"/>
  <c r="D269" i="36"/>
  <c r="D267" i="36"/>
  <c r="D268" i="36" s="1"/>
  <c r="D266" i="36"/>
  <c r="D265" i="36"/>
  <c r="D264" i="36"/>
  <c r="D263" i="36"/>
  <c r="D262" i="36"/>
  <c r="D261" i="36"/>
  <c r="D260" i="36"/>
  <c r="D259" i="36"/>
  <c r="D258" i="36"/>
  <c r="D257" i="36"/>
  <c r="D256" i="36"/>
  <c r="D255" i="36"/>
  <c r="D254" i="36"/>
  <c r="D253" i="36"/>
  <c r="D252" i="36"/>
  <c r="D251" i="36"/>
  <c r="D250" i="36"/>
  <c r="D249" i="36"/>
  <c r="D248" i="36"/>
  <c r="D247" i="36"/>
  <c r="D246" i="36"/>
  <c r="D245" i="36"/>
  <c r="D244" i="36"/>
  <c r="D243" i="36"/>
  <c r="D242" i="36"/>
  <c r="D241" i="36"/>
  <c r="D240" i="36"/>
  <c r="D208" i="36" s="1"/>
  <c r="D239" i="36"/>
  <c r="D237" i="36"/>
  <c r="D235" i="36"/>
  <c r="D233" i="36"/>
  <c r="D232" i="36"/>
  <c r="D231" i="36"/>
  <c r="D230" i="36"/>
  <c r="D229" i="36"/>
  <c r="D228" i="36"/>
  <c r="D227" i="36"/>
  <c r="D226" i="36"/>
  <c r="D225" i="36"/>
  <c r="D224" i="36"/>
  <c r="D223" i="36"/>
  <c r="D222" i="36"/>
  <c r="D221" i="36"/>
  <c r="D220" i="36"/>
  <c r="D218" i="36"/>
  <c r="D216" i="36"/>
  <c r="D214" i="36"/>
  <c r="D213" i="36"/>
  <c r="D207" i="36"/>
  <c r="D206" i="36"/>
  <c r="D205" i="36"/>
  <c r="D204" i="36"/>
  <c r="D203" i="36"/>
  <c r="D202" i="36"/>
  <c r="D201" i="36"/>
  <c r="D200" i="36"/>
  <c r="D62" i="36"/>
  <c r="D42" i="36"/>
  <c r="K32" i="36"/>
  <c r="D32" i="36"/>
  <c r="K31" i="36"/>
  <c r="D31" i="36"/>
  <c r="E568" i="5"/>
  <c r="E299" i="5"/>
  <c r="E564" i="5"/>
  <c r="E570" i="5"/>
  <c r="E569" i="5"/>
  <c r="E563" i="5"/>
  <c r="E260" i="5"/>
  <c r="E251" i="5"/>
  <c r="E213" i="5"/>
  <c r="E180" i="5"/>
  <c r="E205" i="5"/>
  <c r="E206" i="5"/>
  <c r="E591" i="5"/>
  <c r="E590" i="5"/>
  <c r="E593" i="5" s="1"/>
  <c r="E598" i="5"/>
  <c r="E597" i="5"/>
  <c r="E230" i="5"/>
  <c r="E324" i="5"/>
  <c r="E322" i="5"/>
  <c r="E316" i="5"/>
  <c r="E287" i="5"/>
  <c r="E285" i="5"/>
  <c r="E283" i="5"/>
  <c r="E281" i="5"/>
  <c r="E275" i="5"/>
  <c r="E273" i="5"/>
  <c r="E271" i="5"/>
  <c r="E269" i="5"/>
  <c r="E267" i="5"/>
  <c r="E262" i="5"/>
  <c r="E258" i="5"/>
  <c r="E253" i="5"/>
  <c r="E247" i="5"/>
  <c r="E245" i="5"/>
  <c r="E240" i="5"/>
  <c r="E238" i="5"/>
  <c r="E236" i="5"/>
  <c r="E234" i="5"/>
  <c r="E232" i="5"/>
  <c r="E228" i="5"/>
  <c r="E226" i="5"/>
  <c r="E224" i="5"/>
  <c r="E215" i="5"/>
  <c r="E211" i="5"/>
  <c r="E203" i="5"/>
  <c r="E201" i="5"/>
  <c r="E197" i="5"/>
  <c r="E195" i="5"/>
  <c r="E193" i="5"/>
  <c r="E191" i="5"/>
  <c r="E189" i="5"/>
  <c r="E184" i="5"/>
  <c r="E182" i="5"/>
  <c r="E177" i="5"/>
  <c r="E175" i="5"/>
  <c r="E170" i="5"/>
  <c r="E168" i="5"/>
  <c r="E166" i="5"/>
  <c r="E165" i="5"/>
  <c r="E162" i="5"/>
  <c r="E157" i="5"/>
  <c r="E155" i="5"/>
  <c r="E153" i="5"/>
  <c r="E152" i="5"/>
  <c r="E150" i="5"/>
  <c r="E148" i="5"/>
  <c r="E142" i="5"/>
  <c r="E625" i="5" l="1"/>
  <c r="E632" i="5"/>
  <c r="E649" i="5"/>
  <c r="E652" i="5"/>
  <c r="E653" i="5"/>
  <c r="E630" i="5"/>
  <c r="D212" i="36"/>
  <c r="D276" i="36"/>
  <c r="D277" i="36"/>
  <c r="D217" i="36"/>
  <c r="E303" i="5"/>
  <c r="E305" i="5"/>
  <c r="N404" i="9"/>
  <c r="E592" i="5"/>
  <c r="E599" i="5"/>
  <c r="E600" i="5"/>
  <c r="E644" i="5" l="1"/>
  <c r="E637" i="5"/>
  <c r="E642" i="5"/>
  <c r="E115" i="5"/>
  <c r="E685" i="5"/>
  <c r="E682" i="5"/>
  <c r="E683" i="5"/>
  <c r="E111" i="5" l="1"/>
  <c r="E107" i="5"/>
  <c r="E103" i="5"/>
  <c r="E119" i="5"/>
  <c r="E716" i="5"/>
  <c r="E715" i="5"/>
  <c r="E714" i="5"/>
  <c r="E686" i="5"/>
  <c r="E718" i="5" l="1"/>
  <c r="E60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tc={EFC543CF-5BE4-43AF-B9F4-EDB24559D8ED}</author>
  </authors>
  <commentList>
    <comment ref="D59" authorId="0" shapeId="0" xr:uid="{00000000-0006-0000-0A00-000001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
      </text>
    </comment>
  </commentList>
</comments>
</file>

<file path=xl/sharedStrings.xml><?xml version="1.0" encoding="utf-8"?>
<sst xmlns="http://schemas.openxmlformats.org/spreadsheetml/2006/main" count="11330" uniqueCount="5399">
  <si>
    <t>Symbol</t>
  </si>
  <si>
    <t>Name</t>
  </si>
  <si>
    <t>Unit</t>
  </si>
  <si>
    <t>Handling</t>
  </si>
  <si>
    <t xml:space="preserve">Equilibrium matrix </t>
  </si>
  <si>
    <t>Expression</t>
  </si>
  <si>
    <t>Elemental composition</t>
  </si>
  <si>
    <t>Chemical formula</t>
  </si>
  <si>
    <t>Charge</t>
  </si>
  <si>
    <t>Reaction</t>
  </si>
  <si>
    <t>The elemental composition matrix should have as many columns as the kinetic matrix (minus Rate and Reaction)</t>
  </si>
  <si>
    <t>pH</t>
  </si>
  <si>
    <t>Influent</t>
  </si>
  <si>
    <t>Initial concentration</t>
  </si>
  <si>
    <t>Phase</t>
  </si>
  <si>
    <t>IS</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</si>
  <si>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</si>
  <si>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</si>
  <si>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</si>
  <si>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</si>
  <si>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</si>
  <si>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</si>
  <si>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</si>
  <si>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</si>
  <si>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</si>
  <si>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</si>
  <si>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</si>
  <si>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</si>
  <si>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</si>
  <si>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</si>
  <si>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</si>
  <si>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</si>
  <si>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</si>
  <si>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</si>
  <si>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</si>
  <si>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</si>
  <si>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</si>
  <si>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</si>
  <si>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</si>
  <si>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</si>
  <si>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</si>
  <si>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</si>
  <si>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</si>
  <si>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</si>
  <si>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</si>
  <si>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</si>
  <si>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</si>
  <si>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</si>
  <si>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</si>
  <si>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</si>
  <si>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</si>
  <si>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</si>
  <si>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</si>
  <si>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</si>
  <si>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</si>
  <si>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</si>
  <si>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</si>
  <si>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</si>
  <si>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</si>
  <si>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</si>
  <si>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</si>
  <si>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</si>
  <si>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</si>
  <si>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</si>
  <si>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</si>
  <si>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</si>
  <si>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</si>
  <si>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</si>
  <si>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</si>
  <si>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</si>
  <si>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</si>
  <si>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</si>
  <si>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</si>
  <si>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</si>
  <si>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</si>
  <si>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</si>
  <si>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</si>
  <si>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</si>
  <si>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</si>
  <si>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</si>
  <si>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</si>
  <si>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</si>
  <si>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</si>
  <si>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</si>
  <si>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</si>
  <si>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</si>
  <si>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</si>
  <si>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</si>
  <si>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</si>
  <si>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</si>
  <si>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</si>
  <si>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</si>
  <si>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</si>
  <si>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</si>
  <si>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</si>
  <si>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</si>
  <si>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</si>
  <si>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</si>
  <si>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</si>
  <si>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</si>
  <si>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</si>
  <si>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</si>
  <si>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</si>
  <si>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</si>
  <si>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</si>
  <si>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</si>
  <si>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</si>
  <si>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</si>
  <si>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</si>
  <si>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</si>
  <si>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</si>
  <si>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</si>
  <si>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</si>
  <si>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</si>
  <si>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</si>
  <si>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</si>
  <si>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</si>
  <si>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</si>
  <si>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</si>
  <si>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</si>
  <si>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</si>
  <si>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</si>
  <si>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</si>
  <si>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</si>
  <si>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</si>
  <si>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</si>
  <si>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</si>
  <si>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</si>
  <si>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</si>
  <si>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</si>
  <si>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</si>
  <si>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</si>
  <si>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</si>
  <si>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</si>
  <si>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</si>
  <si>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</si>
  <si>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</si>
  <si>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</si>
  <si>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</si>
  <si>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</si>
  <si>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</si>
  <si>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</si>
  <si>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</si>
  <si>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</si>
  <si>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</si>
  <si>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</si>
  <si>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</si>
  <si>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</si>
  <si>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</si>
  <si>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</si>
  <si>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</si>
  <si>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</si>
  <si>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</si>
  <si>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</si>
  <si>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</si>
  <si>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</si>
  <si>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</si>
  <si>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</si>
  <si>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</si>
  <si>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</si>
  <si>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</si>
  <si>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</si>
  <si>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</si>
  <si>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</si>
  <si>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</si>
  <si>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</si>
  <si>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</si>
  <si>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</si>
  <si>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</si>
  <si>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</si>
  <si>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</si>
  <si>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</si>
  <si>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</si>
  <si>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</si>
  <si>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</si>
  <si>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</si>
  <si>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</si>
  <si>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</si>
  <si>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</si>
  <si>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</si>
  <si>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</si>
  <si>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</si>
  <si>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</si>
  <si>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</si>
  <si>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</si>
  <si>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</si>
  <si>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</si>
  <si>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</si>
  <si>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</si>
  <si>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</si>
  <si>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</si>
  <si>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</si>
  <si>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</si>
  <si>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</si>
  <si>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</si>
  <si>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</si>
  <si>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</si>
  <si>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</si>
  <si>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</si>
  <si>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</si>
  <si>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</si>
  <si>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</si>
  <si>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</si>
  <si>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</si>
  <si>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</si>
  <si>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</si>
  <si>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</si>
  <si>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</si>
  <si>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</si>
  <si>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</si>
  <si>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</si>
  <si>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</si>
  <si>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</si>
  <si>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</si>
  <si>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Colloidal biodegradable substrate</t>
  </si>
  <si>
    <t>Slowly biodegradable substrate</t>
  </si>
  <si>
    <t>Soluble unbiodegradable organics</t>
  </si>
  <si>
    <t>Colloidal unbiodegradable organics</t>
  </si>
  <si>
    <t>Particulate unbiodegradable organics</t>
  </si>
  <si>
    <t>Endogenous decay products</t>
  </si>
  <si>
    <t>Hydrolysis</t>
  </si>
  <si>
    <t>Fermentation</t>
  </si>
  <si>
    <t>Anoxic methylotrophs</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</si>
  <si>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</si>
  <si>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</si>
  <si>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</si>
  <si>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</si>
  <si>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</si>
  <si>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</si>
  <si>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</si>
  <si>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</si>
  <si>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</si>
  <si>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</si>
  <si>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</si>
  <si>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</si>
  <si>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</si>
  <si>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</si>
  <si>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</si>
  <si>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</si>
  <si>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</si>
  <si>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</si>
  <si>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</si>
  <si>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</si>
  <si>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</si>
  <si>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</si>
  <si>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</si>
  <si>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</si>
  <si>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</si>
  <si>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</si>
  <si>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</si>
  <si>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</si>
  <si>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</si>
  <si>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r32</t>
  </si>
  <si>
    <t>r33</t>
  </si>
  <si>
    <t>N</t>
  </si>
  <si>
    <t>P</t>
  </si>
  <si>
    <t>L</t>
  </si>
  <si>
    <t>S</t>
  </si>
  <si>
    <t>C</t>
  </si>
  <si>
    <t>X</t>
  </si>
  <si>
    <t>Integrated</t>
  </si>
  <si>
    <t>Atomic mass of oxygen</t>
  </si>
  <si>
    <t>Atomic mass of nitrogen</t>
  </si>
  <si>
    <t>base is ammonia</t>
  </si>
  <si>
    <t>Atomic mass of iron</t>
  </si>
  <si>
    <t>Atomic mass of aluminium</t>
  </si>
  <si>
    <t>Atomic mass of phosphorus</t>
  </si>
  <si>
    <t>MRsat(s;x;k)</t>
  </si>
  <si>
    <t>Monod ratio saturation</t>
  </si>
  <si>
    <t>MRinh(s;x;k)</t>
  </si>
  <si>
    <t>Monod ratio inhibition</t>
  </si>
  <si>
    <t>Atomic mass of hydrogen</t>
  </si>
  <si>
    <t>TSS content of PP</t>
  </si>
  <si>
    <t>Particulate unbiodegradable organic N</t>
  </si>
  <si>
    <t>Maximum specific growth rate of OHOs</t>
  </si>
  <si>
    <t>Temperature dependency</t>
  </si>
  <si>
    <t>N content of biomasses</t>
  </si>
  <si>
    <t>P content of biomasses</t>
  </si>
  <si>
    <t>Atomic mass of carbon</t>
  </si>
  <si>
    <t>Temperature calculations</t>
  </si>
  <si>
    <t>Arrhenius base temperature</t>
  </si>
  <si>
    <t>COD of all biomasses</t>
  </si>
  <si>
    <t>-</t>
  </si>
  <si>
    <t>Temperature sensitvity</t>
  </si>
  <si>
    <t>T</t>
  </si>
  <si>
    <t>Chemical P removal (based on SCM approach)</t>
  </si>
  <si>
    <t>Anaerobic digestion</t>
  </si>
  <si>
    <t>Struvite precipitation</t>
  </si>
  <si>
    <t>OHO decay</t>
  </si>
  <si>
    <t>MEOLO decay</t>
  </si>
  <si>
    <t>Readily biodegradable substrate (non-VFA)</t>
  </si>
  <si>
    <t>Atomic mass of sodium</t>
  </si>
  <si>
    <t>Anaerobic methanol conversion</t>
  </si>
  <si>
    <t>HMETO decay</t>
  </si>
  <si>
    <t>AMETO decay</t>
  </si>
  <si>
    <t>2CH3OH -&gt; CH3COOH + 2H2</t>
  </si>
  <si>
    <t>r37</t>
  </si>
  <si>
    <r>
      <t>Total inorganic carbon (CO</t>
    </r>
    <r>
      <rPr>
        <vertAlign val="subscript"/>
        <sz val="11"/>
        <color rgb="FF000000"/>
        <rFont val="Calibri"/>
        <family val="2"/>
        <scheme val="minor"/>
      </rPr>
      <t>2</t>
    </r>
    <r>
      <rPr>
        <sz val="11"/>
        <color rgb="FF000000"/>
        <rFont val="Calibri"/>
        <family val="2"/>
        <charset val="238"/>
        <scheme val="minor"/>
      </rPr>
      <t>)</t>
    </r>
  </si>
  <si>
    <t>Decimals</t>
  </si>
  <si>
    <t>Type(Kinetic)</t>
  </si>
  <si>
    <t>Conversion kinetics</t>
  </si>
  <si>
    <t>Common switches</t>
  </si>
  <si>
    <t>AMETO growth</t>
  </si>
  <si>
    <t>HMETO growth</t>
  </si>
  <si>
    <t>Maximum specific growth rate of AMETO</t>
  </si>
  <si>
    <t>CO2+4H2 -&gt; CH4+2H2O</t>
  </si>
  <si>
    <t>Dissociation of water</t>
  </si>
  <si>
    <t>10^(-pH)</t>
  </si>
  <si>
    <t>Ionization of ammonia</t>
  </si>
  <si>
    <t>Nitrate fully dissociated</t>
  </si>
  <si>
    <t>Sodium fully dissociated</t>
  </si>
  <si>
    <t>Chloride fully dissociated</t>
  </si>
  <si>
    <t>Carbonate dissociation</t>
  </si>
  <si>
    <t>Phosphate dissociation</t>
  </si>
  <si>
    <t>VFA (HAc) dissociation</t>
  </si>
  <si>
    <t>Type(Stoichiometric)</t>
  </si>
  <si>
    <t>Charge balance</t>
  </si>
  <si>
    <t>Type(Equilibrium)</t>
  </si>
  <si>
    <t>Calculated variables</t>
  </si>
  <si>
    <r>
      <t>g COD.m</t>
    </r>
    <r>
      <rPr>
        <vertAlign val="superscript"/>
        <sz val="11"/>
        <rFont val="Calibri"/>
        <family val="2"/>
      </rPr>
      <t>-3</t>
    </r>
  </si>
  <si>
    <t>Particulate ultimate biochemical oxygen demand</t>
  </si>
  <si>
    <t>Total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</si>
  <si>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</si>
  <si>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</si>
  <si>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</si>
  <si>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</si>
  <si>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Total chemical oxygen demand</t>
  </si>
  <si>
    <t>Uptake rates</t>
  </si>
  <si>
    <t>OUR</t>
  </si>
  <si>
    <t>Reactive</t>
  </si>
  <si>
    <t>Nitrate uptake rate (N3UR)</t>
  </si>
  <si>
    <t>AUR</t>
  </si>
  <si>
    <t>Ammonia uptake rate (AUR)</t>
  </si>
  <si>
    <t>Total Kjeldahl nitrogen (TKN)</t>
  </si>
  <si>
    <r>
      <t>g N.m</t>
    </r>
    <r>
      <rPr>
        <vertAlign val="superscript"/>
        <sz val="11"/>
        <rFont val="Calibri"/>
        <family val="2"/>
      </rPr>
      <t>-3</t>
    </r>
  </si>
  <si>
    <t>Total nitrogen</t>
  </si>
  <si>
    <t>Activity coefficients</t>
  </si>
  <si>
    <r>
      <t>f</t>
    </r>
    <r>
      <rPr>
        <vertAlign val="subscript"/>
        <sz val="11"/>
        <rFont val="Calibri"/>
        <family val="2"/>
        <scheme val="minor"/>
      </rPr>
      <t>mono</t>
    </r>
  </si>
  <si>
    <t>Monovalent activity coefficient</t>
  </si>
  <si>
    <r>
      <t>f</t>
    </r>
    <r>
      <rPr>
        <vertAlign val="subscript"/>
        <sz val="11"/>
        <rFont val="Calibri"/>
        <family val="2"/>
        <scheme val="minor"/>
      </rPr>
      <t>di</t>
    </r>
  </si>
  <si>
    <t>Divalent activity coefficient</t>
  </si>
  <si>
    <r>
      <t>f</t>
    </r>
    <r>
      <rPr>
        <vertAlign val="subscript"/>
        <sz val="11"/>
        <rFont val="Calibri"/>
        <family val="2"/>
        <scheme val="minor"/>
      </rPr>
      <t>tri</t>
    </r>
  </si>
  <si>
    <t>Trivalent activity coefficient</t>
  </si>
  <si>
    <r>
      <t>K</t>
    </r>
    <r>
      <rPr>
        <vertAlign val="subscript"/>
        <sz val="11"/>
        <rFont val="Calibri"/>
        <family val="2"/>
        <scheme val="minor"/>
      </rPr>
      <t>W</t>
    </r>
  </si>
  <si>
    <r>
      <t>K</t>
    </r>
    <r>
      <rPr>
        <vertAlign val="subscript"/>
        <sz val="11"/>
        <rFont val="Calibri"/>
        <family val="2"/>
        <scheme val="minor"/>
      </rPr>
      <t>C1</t>
    </r>
  </si>
  <si>
    <r>
      <t>K</t>
    </r>
    <r>
      <rPr>
        <vertAlign val="subscript"/>
        <sz val="11"/>
        <rFont val="Calibri"/>
        <family val="2"/>
        <scheme val="minor"/>
      </rPr>
      <t>C2</t>
    </r>
  </si>
  <si>
    <t>Yield on ultimate BOD</t>
  </si>
  <si>
    <t>Particulate biochemical oxygen demand (5 days)</t>
  </si>
  <si>
    <t>Total biochemical oxygen demand (5 days)</t>
  </si>
  <si>
    <r>
      <t>SC</t>
    </r>
    <r>
      <rPr>
        <vertAlign val="subscript"/>
        <sz val="11"/>
        <rFont val="Calibri"/>
        <family val="2"/>
        <scheme val="minor"/>
      </rPr>
      <t>COD</t>
    </r>
  </si>
  <si>
    <t>Filtered flocculated chemical oxygen demand</t>
  </si>
  <si>
    <r>
      <t>g O2.m</t>
    </r>
    <r>
      <rPr>
        <vertAlign val="superscript"/>
        <sz val="11"/>
        <rFont val="Calibri"/>
        <family val="2"/>
        <scheme val="minor"/>
      </rPr>
      <t>-3</t>
    </r>
    <r>
      <rPr>
        <sz val="11"/>
        <rFont val="Calibri"/>
        <family val="2"/>
        <scheme val="minor"/>
      </rPr>
      <t>.d</t>
    </r>
    <r>
      <rPr>
        <vertAlign val="superscript"/>
        <sz val="11"/>
        <rFont val="Calibri"/>
        <family val="2"/>
        <scheme val="minor"/>
      </rPr>
      <t>-1</t>
    </r>
  </si>
  <si>
    <t>r41</t>
  </si>
  <si>
    <t>Magnesium</t>
  </si>
  <si>
    <r>
      <t>X</t>
    </r>
    <r>
      <rPr>
        <b/>
        <vertAlign val="subscript"/>
        <sz val="12"/>
        <rFont val="Calibri"/>
        <family val="2"/>
        <scheme val="minor"/>
      </rPr>
      <t>STR</t>
    </r>
  </si>
  <si>
    <r>
      <t>K</t>
    </r>
    <r>
      <rPr>
        <vertAlign val="subscript"/>
        <sz val="11"/>
        <rFont val="Calibri"/>
        <family val="2"/>
        <scheme val="minor"/>
      </rPr>
      <t>P1</t>
    </r>
  </si>
  <si>
    <r>
      <t>K</t>
    </r>
    <r>
      <rPr>
        <vertAlign val="subscript"/>
        <sz val="11"/>
        <rFont val="Calibri"/>
        <family val="2"/>
        <scheme val="minor"/>
      </rPr>
      <t>P2</t>
    </r>
  </si>
  <si>
    <r>
      <t>K</t>
    </r>
    <r>
      <rPr>
        <vertAlign val="subscript"/>
        <sz val="11"/>
        <rFont val="Calibri"/>
        <family val="2"/>
        <scheme val="minor"/>
      </rPr>
      <t>P3</t>
    </r>
  </si>
  <si>
    <r>
      <t>g TSS.m</t>
    </r>
    <r>
      <rPr>
        <vertAlign val="superscript"/>
        <sz val="11"/>
        <rFont val="Calibri"/>
        <family val="2"/>
      </rPr>
      <t>-3</t>
    </r>
  </si>
  <si>
    <r>
      <t>AM</t>
    </r>
    <r>
      <rPr>
        <vertAlign val="subscript"/>
        <sz val="11"/>
        <rFont val="Calibri"/>
        <family val="2"/>
        <scheme val="minor"/>
      </rPr>
      <t>C</t>
    </r>
  </si>
  <si>
    <r>
      <t>g.mol</t>
    </r>
    <r>
      <rPr>
        <vertAlign val="superscript"/>
        <sz val="11"/>
        <rFont val="Calibri"/>
        <family val="2"/>
        <scheme val="minor"/>
      </rPr>
      <t>-1</t>
    </r>
  </si>
  <si>
    <r>
      <t>AM</t>
    </r>
    <r>
      <rPr>
        <vertAlign val="subscript"/>
        <sz val="11"/>
        <rFont val="Calibri"/>
        <family val="2"/>
        <scheme val="minor"/>
      </rPr>
      <t>P</t>
    </r>
  </si>
  <si>
    <r>
      <t>AM</t>
    </r>
    <r>
      <rPr>
        <vertAlign val="subscript"/>
        <sz val="11"/>
        <rFont val="Calibri"/>
        <family val="2"/>
        <scheme val="minor"/>
      </rPr>
      <t>N</t>
    </r>
  </si>
  <si>
    <r>
      <t>AM</t>
    </r>
    <r>
      <rPr>
        <vertAlign val="subscript"/>
        <sz val="11"/>
        <rFont val="Calibri"/>
        <family val="2"/>
        <scheme val="minor"/>
      </rPr>
      <t>O</t>
    </r>
  </si>
  <si>
    <r>
      <t>AM</t>
    </r>
    <r>
      <rPr>
        <vertAlign val="subscript"/>
        <sz val="11"/>
        <rFont val="Calibri"/>
        <family val="2"/>
        <scheme val="minor"/>
      </rPr>
      <t>Ca</t>
    </r>
  </si>
  <si>
    <t>Atomic mass of calcium</t>
  </si>
  <si>
    <r>
      <rPr>
        <sz val="11"/>
        <rFont val="Calibri"/>
        <family val="2"/>
        <scheme val="minor"/>
      </rPr>
      <t>AM</t>
    </r>
    <r>
      <rPr>
        <vertAlign val="subscript"/>
        <sz val="11"/>
        <rFont val="Calibri"/>
        <family val="2"/>
        <scheme val="minor"/>
      </rPr>
      <t>Fe</t>
    </r>
  </si>
  <si>
    <r>
      <t>AM</t>
    </r>
    <r>
      <rPr>
        <vertAlign val="subscript"/>
        <sz val="11"/>
        <rFont val="Calibri"/>
        <family val="2"/>
        <scheme val="minor"/>
      </rPr>
      <t>Al</t>
    </r>
  </si>
  <si>
    <r>
      <t>AM</t>
    </r>
    <r>
      <rPr>
        <vertAlign val="subscript"/>
        <sz val="11"/>
        <rFont val="Calibri"/>
        <family val="2"/>
        <scheme val="minor"/>
      </rPr>
      <t>H</t>
    </r>
  </si>
  <si>
    <r>
      <t>AM</t>
    </r>
    <r>
      <rPr>
        <vertAlign val="subscript"/>
        <sz val="11"/>
        <rFont val="Calibri"/>
        <family val="2"/>
        <scheme val="minor"/>
      </rPr>
      <t>Na</t>
    </r>
  </si>
  <si>
    <r>
      <t>AM</t>
    </r>
    <r>
      <rPr>
        <vertAlign val="subscript"/>
        <sz val="11"/>
        <rFont val="Calibri"/>
        <family val="2"/>
        <scheme val="minor"/>
      </rPr>
      <t>Cl</t>
    </r>
  </si>
  <si>
    <t>Atomic mass of chlorine</t>
  </si>
  <si>
    <t>Newton-Raphson</t>
  </si>
  <si>
    <t>Target</t>
  </si>
  <si>
    <t>Minimum</t>
  </si>
  <si>
    <t>Maximum</t>
  </si>
  <si>
    <t>chargebalanceerror</t>
  </si>
  <si>
    <t>pHunit</t>
  </si>
  <si>
    <t>Ionic strength (IS)</t>
  </si>
  <si>
    <t>ISerror</t>
  </si>
  <si>
    <t>ISunit</t>
  </si>
  <si>
    <t>Key cation component</t>
  </si>
  <si>
    <t>0</t>
  </si>
  <si>
    <r>
      <t>mol.L</t>
    </r>
    <r>
      <rPr>
        <vertAlign val="superscript"/>
        <sz val="11"/>
        <rFont val="Calibri"/>
        <family val="2"/>
        <scheme val="minor"/>
      </rPr>
      <t>-1</t>
    </r>
  </si>
  <si>
    <t>Fit ionic strength</t>
  </si>
  <si>
    <r>
      <t>S</t>
    </r>
    <r>
      <rPr>
        <vertAlign val="subscript"/>
        <sz val="11"/>
        <rFont val="Calibri"/>
        <family val="2"/>
        <scheme val="minor"/>
      </rPr>
      <t>CO2</t>
    </r>
  </si>
  <si>
    <t>Main buffer system component</t>
  </si>
  <si>
    <t>SCO2error</t>
  </si>
  <si>
    <t>chargebalance</t>
  </si>
  <si>
    <t>Ionic strength error</t>
  </si>
  <si>
    <t>Alkalinity error for CO2 calculation</t>
  </si>
  <si>
    <r>
      <t>S</t>
    </r>
    <r>
      <rPr>
        <vertAlign val="subscript"/>
        <sz val="11"/>
        <rFont val="Calibri"/>
        <family val="2"/>
        <scheme val="minor"/>
      </rPr>
      <t>ALK</t>
    </r>
    <r>
      <rPr>
        <sz val="11"/>
        <rFont val="Calibri"/>
        <family val="2"/>
        <scheme val="minor"/>
      </rPr>
      <t>-S</t>
    </r>
    <r>
      <rPr>
        <vertAlign val="subscript"/>
        <sz val="11"/>
        <rFont val="Calibri"/>
        <family val="2"/>
        <scheme val="minor"/>
      </rPr>
      <t>ALK,input</t>
    </r>
  </si>
  <si>
    <t>Charge balance and ionic strength</t>
  </si>
  <si>
    <t>Alkalinity (ALK)</t>
  </si>
  <si>
    <t>Equilibrium species</t>
  </si>
  <si>
    <r>
      <t>[H</t>
    </r>
    <r>
      <rPr>
        <b/>
        <vertAlign val="superscript"/>
        <sz val="11"/>
        <rFont val="Calibri"/>
        <family val="2"/>
      </rPr>
      <t>+</t>
    </r>
    <r>
      <rPr>
        <b/>
        <sz val="11"/>
        <rFont val="Calibri"/>
        <family val="2"/>
      </rPr>
      <t>]</t>
    </r>
  </si>
  <si>
    <t>Proton</t>
  </si>
  <si>
    <r>
      <t>[OH</t>
    </r>
    <r>
      <rPr>
        <b/>
        <vertAlign val="superscript"/>
        <sz val="11"/>
        <rFont val="Calibri"/>
        <family val="2"/>
      </rPr>
      <t>-</t>
    </r>
    <r>
      <rPr>
        <b/>
        <sz val="11"/>
        <rFont val="Calibri"/>
        <family val="2"/>
      </rPr>
      <t>]</t>
    </r>
  </si>
  <si>
    <t>Hydroxide ion</t>
  </si>
  <si>
    <r>
      <t>[NH</t>
    </r>
    <r>
      <rPr>
        <b/>
        <vertAlign val="subscript"/>
        <sz val="11"/>
        <rFont val="Calibri"/>
        <family val="2"/>
      </rPr>
      <t>3</t>
    </r>
    <r>
      <rPr>
        <b/>
        <sz val="11"/>
        <rFont val="Calibri"/>
        <family val="2"/>
      </rPr>
      <t>]</t>
    </r>
  </si>
  <si>
    <t>Free ammonia</t>
  </si>
  <si>
    <r>
      <t>[NH</t>
    </r>
    <r>
      <rPr>
        <b/>
        <vertAlign val="subscript"/>
        <sz val="11"/>
        <rFont val="Calibri"/>
        <family val="2"/>
      </rPr>
      <t>4</t>
    </r>
    <r>
      <rPr>
        <b/>
        <vertAlign val="superscript"/>
        <sz val="11"/>
        <rFont val="Calibri"/>
        <family val="2"/>
      </rPr>
      <t>+</t>
    </r>
    <r>
      <rPr>
        <b/>
        <sz val="11"/>
        <rFont val="Calibri"/>
        <family val="2"/>
      </rPr>
      <t>]</t>
    </r>
  </si>
  <si>
    <t>Ammonium</t>
  </si>
  <si>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</si>
  <si>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t>Carbonic acid</t>
  </si>
  <si>
    <r>
      <t>[HCO</t>
    </r>
    <r>
      <rPr>
        <b/>
        <vertAlign val="subscript"/>
        <sz val="11"/>
        <rFont val="Calibri"/>
        <family val="2"/>
      </rPr>
      <t>3</t>
    </r>
    <r>
      <rPr>
        <b/>
        <vertAlign val="superscript"/>
        <sz val="11"/>
        <rFont val="Calibri"/>
        <family val="2"/>
      </rPr>
      <t>-</t>
    </r>
    <r>
      <rPr>
        <b/>
        <sz val="11"/>
        <rFont val="Calibri"/>
        <family val="2"/>
      </rPr>
      <t>]</t>
    </r>
  </si>
  <si>
    <t>Bicarbonate ion</t>
  </si>
  <si>
    <r>
      <t>[CO</t>
    </r>
    <r>
      <rPr>
        <b/>
        <vertAlign val="subscript"/>
        <sz val="11"/>
        <rFont val="Calibri"/>
        <family val="2"/>
      </rPr>
      <t>3</t>
    </r>
    <r>
      <rPr>
        <b/>
        <vertAlign val="superscript"/>
        <sz val="11"/>
        <rFont val="Calibri"/>
        <family val="2"/>
      </rPr>
      <t>2-</t>
    </r>
    <r>
      <rPr>
        <b/>
        <sz val="11"/>
        <rFont val="Calibri"/>
        <family val="2"/>
      </rPr>
      <t>]</t>
    </r>
  </si>
  <si>
    <t>Carbonate ion</t>
  </si>
  <si>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</si>
  <si>
    <t>Phosphoric acid</t>
  </si>
  <si>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</si>
  <si>
    <t>Dihydrogen phosphate ion</t>
  </si>
  <si>
    <r>
      <t>[HPO</t>
    </r>
    <r>
      <rPr>
        <b/>
        <vertAlign val="subscript"/>
        <sz val="11"/>
        <rFont val="Calibri"/>
        <family val="2"/>
      </rPr>
      <t>4</t>
    </r>
    <r>
      <rPr>
        <b/>
        <vertAlign val="superscript"/>
        <sz val="11"/>
        <rFont val="Calibri"/>
        <family val="2"/>
      </rPr>
      <t>2-</t>
    </r>
    <r>
      <rPr>
        <b/>
        <sz val="11"/>
        <rFont val="Calibri"/>
        <family val="2"/>
      </rPr>
      <t>]</t>
    </r>
  </si>
  <si>
    <t>Hydrogen phosphate ion</t>
  </si>
  <si>
    <r>
      <t>[PO</t>
    </r>
    <r>
      <rPr>
        <b/>
        <vertAlign val="subscript"/>
        <sz val="11"/>
        <rFont val="Calibri"/>
        <family val="2"/>
      </rPr>
      <t>4</t>
    </r>
    <r>
      <rPr>
        <b/>
        <vertAlign val="superscript"/>
        <sz val="11"/>
        <rFont val="Calibri"/>
        <family val="2"/>
      </rPr>
      <t>3-</t>
    </r>
    <r>
      <rPr>
        <b/>
        <sz val="11"/>
        <rFont val="Calibri"/>
        <family val="2"/>
      </rPr>
      <t>]</t>
    </r>
  </si>
  <si>
    <t>Phosphate ion</t>
  </si>
  <si>
    <t>[HAc]</t>
  </si>
  <si>
    <t>Acetic acid</t>
  </si>
  <si>
    <r>
      <t>[Ac</t>
    </r>
    <r>
      <rPr>
        <b/>
        <vertAlign val="superscript"/>
        <sz val="11"/>
        <rFont val="Calibri"/>
        <family val="2"/>
      </rPr>
      <t>-</t>
    </r>
    <r>
      <rPr>
        <b/>
        <sz val="11"/>
        <rFont val="Calibri"/>
        <family val="2"/>
      </rPr>
      <t>]</t>
    </r>
  </si>
  <si>
    <t>Acetate ion</t>
  </si>
  <si>
    <t>Nitrate ion</t>
  </si>
  <si>
    <r>
      <t>[NO</t>
    </r>
    <r>
      <rPr>
        <b/>
        <vertAlign val="subscript"/>
        <sz val="11"/>
        <rFont val="Calibri"/>
        <family val="2"/>
      </rPr>
      <t>3</t>
    </r>
    <r>
      <rPr>
        <b/>
        <vertAlign val="superscript"/>
        <sz val="11"/>
        <rFont val="Calibri"/>
        <family val="2"/>
      </rPr>
      <t>-</t>
    </r>
    <r>
      <rPr>
        <b/>
        <sz val="11"/>
        <rFont val="Calibri"/>
        <family val="2"/>
      </rPr>
      <t>]</t>
    </r>
  </si>
  <si>
    <r>
      <t>diss</t>
    </r>
    <r>
      <rPr>
        <vertAlign val="subscript"/>
        <sz val="11"/>
        <rFont val="Calibri"/>
        <family val="2"/>
      </rPr>
      <t>H2O</t>
    </r>
  </si>
  <si>
    <r>
      <t>K</t>
    </r>
    <r>
      <rPr>
        <vertAlign val="subscript"/>
        <sz val="11"/>
        <rFont val="Calibri"/>
        <family val="2"/>
      </rPr>
      <t>W</t>
    </r>
    <r>
      <rPr>
        <sz val="11"/>
        <rFont val="Calibri"/>
        <family val="2"/>
      </rPr>
      <t>/[H</t>
    </r>
    <r>
      <rPr>
        <vertAlign val="superscript"/>
        <sz val="11"/>
        <rFont val="Calibri"/>
        <family val="2"/>
      </rPr>
      <t>+</t>
    </r>
    <r>
      <rPr>
        <sz val="11"/>
        <rFont val="Calibri"/>
        <family val="2"/>
      </rPr>
      <t>]</t>
    </r>
  </si>
  <si>
    <r>
      <t>diss</t>
    </r>
    <r>
      <rPr>
        <vertAlign val="subscript"/>
        <sz val="11"/>
        <rFont val="Calibri"/>
        <family val="2"/>
      </rPr>
      <t>CO2</t>
    </r>
  </si>
  <si>
    <r>
      <t>diss</t>
    </r>
    <r>
      <rPr>
        <vertAlign val="subscript"/>
        <sz val="11"/>
        <rFont val="Calibri"/>
        <family val="2"/>
      </rPr>
      <t>PO4</t>
    </r>
  </si>
  <si>
    <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</si>
  <si>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]^2*K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</si>
  <si>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</si>
  <si>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K</t>
    </r>
    <r>
      <rPr>
        <vertAlign val="subscript"/>
        <sz val="11"/>
        <rFont val="Calibri"/>
        <family val="2"/>
      </rPr>
      <t>P3</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</si>
  <si>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diss</t>
    </r>
    <r>
      <rPr>
        <vertAlign val="subscript"/>
        <sz val="11"/>
        <rFont val="Calibri"/>
        <family val="2"/>
      </rPr>
      <t>VFA</t>
    </r>
  </si>
  <si>
    <r>
      <t>map</t>
    </r>
    <r>
      <rPr>
        <vertAlign val="subscript"/>
        <sz val="11"/>
        <rFont val="Calibri"/>
        <family val="2"/>
      </rPr>
      <t>Na</t>
    </r>
  </si>
  <si>
    <r>
      <t>map</t>
    </r>
    <r>
      <rPr>
        <vertAlign val="subscript"/>
        <sz val="11"/>
        <rFont val="Calibri"/>
        <family val="2"/>
      </rPr>
      <t>Cl</t>
    </r>
  </si>
  <si>
    <r>
      <t>G</t>
    </r>
    <r>
      <rPr>
        <b/>
        <vertAlign val="subscript"/>
        <sz val="11"/>
        <rFont val="Calibri"/>
        <family val="2"/>
        <charset val="238"/>
      </rPr>
      <t>CO2</t>
    </r>
  </si>
  <si>
    <t>G</t>
  </si>
  <si>
    <r>
      <t>G</t>
    </r>
    <r>
      <rPr>
        <b/>
        <vertAlign val="subscript"/>
        <sz val="11"/>
        <rFont val="Calibri"/>
        <family val="2"/>
        <charset val="238"/>
      </rPr>
      <t>CH4</t>
    </r>
  </si>
  <si>
    <r>
      <t>G</t>
    </r>
    <r>
      <rPr>
        <b/>
        <vertAlign val="subscript"/>
        <sz val="11"/>
        <rFont val="Calibri"/>
        <family val="2"/>
        <charset val="238"/>
      </rPr>
      <t>H2</t>
    </r>
  </si>
  <si>
    <r>
      <t>G</t>
    </r>
    <r>
      <rPr>
        <b/>
        <vertAlign val="subscript"/>
        <sz val="11"/>
        <rFont val="Calibri"/>
        <family val="2"/>
        <charset val="238"/>
      </rPr>
      <t>O2</t>
    </r>
  </si>
  <si>
    <r>
      <t>G</t>
    </r>
    <r>
      <rPr>
        <b/>
        <vertAlign val="subscript"/>
        <sz val="11"/>
        <rFont val="Calibri"/>
        <family val="2"/>
        <charset val="238"/>
      </rPr>
      <t>N2</t>
    </r>
  </si>
  <si>
    <t>r45</t>
  </si>
  <si>
    <t>r46</t>
  </si>
  <si>
    <t>Calculated gas transfer coefficients</t>
  </si>
  <si>
    <r>
      <t>d</t>
    </r>
    <r>
      <rPr>
        <vertAlign val="superscript"/>
        <sz val="11"/>
        <rFont val="Calibri"/>
        <family val="2"/>
        <scheme val="minor"/>
      </rPr>
      <t>-1</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</si>
  <si>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</si>
  <si>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Henry coefficient for CH</t>
    </r>
    <r>
      <rPr>
        <vertAlign val="subscript"/>
        <sz val="11"/>
        <rFont val="Calibri"/>
        <family val="2"/>
        <scheme val="minor"/>
      </rPr>
      <t xml:space="preserve">4 </t>
    </r>
    <r>
      <rPr>
        <sz val="11"/>
        <rFont val="Calibri"/>
        <family val="2"/>
        <scheme val="minor"/>
      </rPr>
      <t>@25°C</t>
    </r>
  </si>
  <si>
    <r>
      <t>MM</t>
    </r>
    <r>
      <rPr>
        <vertAlign val="subscript"/>
        <sz val="11"/>
        <rFont val="Calibri"/>
        <family val="2"/>
        <scheme val="minor"/>
      </rPr>
      <t>GO2</t>
    </r>
  </si>
  <si>
    <t>Molecular mass of oxygen</t>
  </si>
  <si>
    <r>
      <t>MM</t>
    </r>
    <r>
      <rPr>
        <vertAlign val="subscript"/>
        <sz val="11"/>
        <rFont val="Calibri"/>
        <family val="2"/>
        <scheme val="minor"/>
      </rPr>
      <t>O2</t>
    </r>
  </si>
  <si>
    <r>
      <t>MM</t>
    </r>
    <r>
      <rPr>
        <vertAlign val="subscript"/>
        <sz val="11"/>
        <rFont val="Calibri"/>
        <family val="2"/>
        <scheme val="minor"/>
      </rPr>
      <t>N2</t>
    </r>
  </si>
  <si>
    <t>Molecular mass of nitrogen</t>
  </si>
  <si>
    <r>
      <t>MM</t>
    </r>
    <r>
      <rPr>
        <vertAlign val="subscript"/>
        <sz val="11"/>
        <rFont val="Calibri"/>
        <family val="2"/>
        <scheme val="minor"/>
      </rPr>
      <t>GN2</t>
    </r>
  </si>
  <si>
    <t>Molecular mass of hydrogen</t>
  </si>
  <si>
    <t>Molecular mass of methane</t>
  </si>
  <si>
    <t>Diffusion coefficient of oxygen in water</t>
  </si>
  <si>
    <t>Diffusion coefficient of nitrogen in water</t>
  </si>
  <si>
    <t>Diffusion coefficient of carbon dioxide in water</t>
  </si>
  <si>
    <t>Diffusion coefficient of hydrogen in water @ 25°C</t>
  </si>
  <si>
    <t>Diffusion coefficient of methane in water @ 25°C</t>
  </si>
  <si>
    <r>
      <t>MM</t>
    </r>
    <r>
      <rPr>
        <vertAlign val="subscript"/>
        <sz val="11"/>
        <rFont val="Calibri"/>
        <family val="2"/>
        <scheme val="minor"/>
      </rPr>
      <t>GH2</t>
    </r>
  </si>
  <si>
    <r>
      <t>MM</t>
    </r>
    <r>
      <rPr>
        <vertAlign val="subscript"/>
        <sz val="11"/>
        <rFont val="Calibri"/>
        <family val="2"/>
        <scheme val="minor"/>
      </rPr>
      <t>GCH4</t>
    </r>
  </si>
  <si>
    <r>
      <t>X</t>
    </r>
    <r>
      <rPr>
        <b/>
        <vertAlign val="subscript"/>
        <sz val="11"/>
        <rFont val="Calibri"/>
        <family val="2"/>
        <charset val="238"/>
        <scheme val="minor"/>
      </rPr>
      <t>HFO,L,P</t>
    </r>
  </si>
  <si>
    <r>
      <t>X</t>
    </r>
    <r>
      <rPr>
        <b/>
        <vertAlign val="subscript"/>
        <sz val="11"/>
        <rFont val="Calibri"/>
        <family val="2"/>
        <charset val="238"/>
        <scheme val="minor"/>
      </rPr>
      <t>HFO,H,P</t>
    </r>
  </si>
  <si>
    <r>
      <t>X</t>
    </r>
    <r>
      <rPr>
        <b/>
        <vertAlign val="subscript"/>
        <sz val="11"/>
        <rFont val="Calibri"/>
        <family val="2"/>
        <charset val="238"/>
        <scheme val="minor"/>
      </rPr>
      <t>HFO,old</t>
    </r>
  </si>
  <si>
    <t>r47</t>
  </si>
  <si>
    <t>r48</t>
  </si>
  <si>
    <t>r49</t>
  </si>
  <si>
    <t>Total HFOs</t>
  </si>
  <si>
    <r>
      <t>g Fe.m</t>
    </r>
    <r>
      <rPr>
        <vertAlign val="superscript"/>
        <sz val="8"/>
        <rFont val="Arial"/>
        <family val="2"/>
      </rPr>
      <t>-3</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</si>
  <si>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</si>
  <si>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</si>
  <si>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</si>
  <si>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</si>
  <si>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</si>
  <si>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</si>
  <si>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</si>
  <si>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</si>
  <si>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</si>
  <si>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</si>
  <si>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</si>
  <si>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</si>
  <si>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</si>
  <si>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</si>
  <si>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</si>
  <si>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Temperature dependency factor for CH</t>
    </r>
    <r>
      <rPr>
        <vertAlign val="subscript"/>
        <sz val="11"/>
        <rFont val="Calibri"/>
        <family val="2"/>
        <scheme val="minor"/>
      </rPr>
      <t>4</t>
    </r>
    <r>
      <rPr>
        <sz val="11"/>
        <rFont val="Calibri"/>
        <family val="2"/>
        <scheme val="minor"/>
      </rPr>
      <t xml:space="preserve"> Henry coefficient</t>
    </r>
  </si>
  <si>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</si>
  <si>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r>
      <t>m</t>
    </r>
    <r>
      <rPr>
        <vertAlign val="superscript"/>
        <sz val="11"/>
        <rFont val="Calibri"/>
        <family val="2"/>
      </rPr>
      <t>2</t>
    </r>
    <r>
      <rPr>
        <sz val="11"/>
        <rFont val="Calibri"/>
        <family val="2"/>
      </rPr>
      <t>.d</t>
    </r>
    <r>
      <rPr>
        <vertAlign val="superscript"/>
        <sz val="11"/>
        <rFont val="Calibri"/>
        <family val="2"/>
      </rPr>
      <t>-1</t>
    </r>
  </si>
  <si>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</si>
  <si>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</si>
  <si>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</si>
  <si>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</si>
  <si>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</si>
  <si>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</si>
  <si>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</si>
  <si>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</si>
  <si>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</si>
  <si>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</si>
  <si>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</si>
  <si>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</si>
  <si>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</si>
  <si>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</si>
  <si>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</si>
  <si>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</si>
  <si>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</si>
  <si>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</si>
  <si>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</si>
  <si>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</si>
  <si>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</si>
  <si>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</si>
  <si>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</si>
  <si>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</si>
  <si>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</si>
  <si>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</si>
  <si>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</si>
  <si>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</si>
  <si>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</si>
  <si>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</si>
  <si>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</si>
  <si>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</si>
  <si>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</si>
  <si>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</si>
  <si>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</si>
  <si>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</si>
  <si>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</si>
  <si>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</si>
  <si>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</si>
  <si>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</si>
  <si>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</si>
  <si>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</si>
  <si>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</si>
  <si>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</si>
  <si>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Mg</t>
    </r>
  </si>
  <si>
    <t>Atomic mass of magnesium</t>
  </si>
  <si>
    <r>
      <t>AM</t>
    </r>
    <r>
      <rPr>
        <vertAlign val="subscript"/>
        <sz val="11"/>
        <rFont val="Calibri"/>
        <family val="2"/>
        <scheme val="minor"/>
      </rPr>
      <t>Si</t>
    </r>
  </si>
  <si>
    <t>Atomic mass of silicon</t>
  </si>
  <si>
    <r>
      <t>AM</t>
    </r>
    <r>
      <rPr>
        <vertAlign val="subscript"/>
        <sz val="11"/>
        <rFont val="Calibri"/>
        <family val="2"/>
        <scheme val="minor"/>
      </rPr>
      <t>S</t>
    </r>
  </si>
  <si>
    <t>Atomic mass of sulphur</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</si>
  <si>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</si>
  <si>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</si>
  <si>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</si>
  <si>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</si>
  <si>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</si>
  <si>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</si>
  <si>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</si>
  <si>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</si>
  <si>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</si>
  <si>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</si>
  <si>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</si>
  <si>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</si>
  <si>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</si>
  <si>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</si>
  <si>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</si>
  <si>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</si>
  <si>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</si>
  <si>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</si>
  <si>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</si>
  <si>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</si>
  <si>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</si>
  <si>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</si>
  <si>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</si>
  <si>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</si>
  <si>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</si>
  <si>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</si>
  <si>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</si>
  <si>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</si>
  <si>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</si>
  <si>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</si>
  <si>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</si>
  <si>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</si>
  <si>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</si>
  <si>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</si>
  <si>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</si>
  <si>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</si>
  <si>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</si>
  <si>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</si>
  <si>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</si>
  <si>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</si>
  <si>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</si>
  <si>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</si>
  <si>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</si>
  <si>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</si>
  <si>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</si>
  <si>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</si>
  <si>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</si>
  <si>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</si>
  <si>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</si>
  <si>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</si>
  <si>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</si>
  <si>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</si>
  <si>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</si>
  <si>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</si>
  <si>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</si>
  <si>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</si>
  <si>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</si>
  <si>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</si>
  <si>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</si>
  <si>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</si>
  <si>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</si>
  <si>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</si>
  <si>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</si>
  <si>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</si>
  <si>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</si>
  <si>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</si>
  <si>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</si>
  <si>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</si>
  <si>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</si>
  <si>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</si>
  <si>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</si>
  <si>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</si>
  <si>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</si>
  <si>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</si>
  <si>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</si>
  <si>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</si>
  <si>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</si>
  <si>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</si>
  <si>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</si>
  <si>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</si>
  <si>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</si>
  <si>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</si>
  <si>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</si>
  <si>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</si>
  <si>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</si>
  <si>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</si>
  <si>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</si>
  <si>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</si>
  <si>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</si>
  <si>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</si>
  <si>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</si>
  <si>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</si>
  <si>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</si>
  <si>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</si>
  <si>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</si>
  <si>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</si>
  <si>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</si>
  <si>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</si>
  <si>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</si>
  <si>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</si>
  <si>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</si>
  <si>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</si>
  <si>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</si>
  <si>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</si>
  <si>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</si>
  <si>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</si>
  <si>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</si>
  <si>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</si>
  <si>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</si>
  <si>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</si>
  <si>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</si>
  <si>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</si>
  <si>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</si>
  <si>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</si>
  <si>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</si>
  <si>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</si>
  <si>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</si>
  <si>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</si>
  <si>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</si>
  <si>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</si>
  <si>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</si>
  <si>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</si>
  <si>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</si>
  <si>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</si>
  <si>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</si>
  <si>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</si>
  <si>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</si>
  <si>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</si>
  <si>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</si>
  <si>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</si>
  <si>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</si>
  <si>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</si>
  <si>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</si>
  <si>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</si>
  <si>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</si>
  <si>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</si>
  <si>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</si>
  <si>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</si>
  <si>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</si>
  <si>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</si>
  <si>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</si>
  <si>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</si>
  <si>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</si>
  <si>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</si>
  <si>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</si>
  <si>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</si>
  <si>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</si>
  <si>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</si>
  <si>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</si>
  <si>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</si>
  <si>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</si>
  <si>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</si>
  <si>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</si>
  <si>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</si>
  <si>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</si>
  <si>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</si>
  <si>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</si>
  <si>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</si>
  <si>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</si>
  <si>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</si>
  <si>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</si>
  <si>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</si>
  <si>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</si>
  <si>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</si>
  <si>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</si>
  <si>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</si>
  <si>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</si>
  <si>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</si>
  <si>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</si>
  <si>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</si>
  <si>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</si>
  <si>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</si>
  <si>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</si>
  <si>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</si>
  <si>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</si>
  <si>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</si>
  <si>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</si>
  <si>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</si>
  <si>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</si>
  <si>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</si>
  <si>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</si>
  <si>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</si>
  <si>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</si>
  <si>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</si>
  <si>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</si>
  <si>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</si>
  <si>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</si>
  <si>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</si>
  <si>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</si>
  <si>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</si>
  <si>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</si>
  <si>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</si>
  <si>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</si>
  <si>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</si>
  <si>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</si>
  <si>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</si>
  <si>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</si>
  <si>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</si>
  <si>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</si>
  <si>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GCO2</t>
    </r>
  </si>
  <si>
    <t>Molecular mass of carbon dioxide</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</si>
  <si>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</si>
  <si>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</si>
  <si>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</si>
  <si>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</si>
  <si>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</si>
  <si>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</si>
  <si>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</si>
  <si>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</si>
  <si>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</si>
  <si>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</si>
  <si>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</si>
  <si>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</si>
  <si>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</si>
  <si>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</si>
  <si>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</si>
  <si>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</si>
  <si>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</si>
  <si>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</si>
  <si>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</si>
  <si>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Nitrite dissociation</t>
  </si>
  <si>
    <t>Electron equivalences</t>
  </si>
  <si>
    <r>
      <t>EEQ</t>
    </r>
    <r>
      <rPr>
        <vertAlign val="subscript"/>
        <sz val="11"/>
        <rFont val="Calibri"/>
        <family val="2"/>
      </rPr>
      <t>N2</t>
    </r>
  </si>
  <si>
    <r>
      <t>Electron equivalence of N</t>
    </r>
    <r>
      <rPr>
        <vertAlign val="subscript"/>
        <sz val="11"/>
        <rFont val="Calibri"/>
        <family val="2"/>
      </rPr>
      <t>2</t>
    </r>
  </si>
  <si>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</si>
  <si>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</si>
  <si>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</si>
  <si>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</si>
  <si>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</si>
  <si>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</si>
  <si>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</si>
  <si>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</si>
  <si>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</si>
  <si>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</si>
  <si>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</si>
  <si>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</si>
  <si>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</si>
  <si>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t>(s/x)/(s/x+k)</t>
  </si>
  <si>
    <t>Sign(x)</t>
  </si>
  <si>
    <t>Sign</t>
  </si>
  <si>
    <t>Temperature dependent Henry coefficient for NO</t>
  </si>
  <si>
    <t>Max(lolim;Min(hilim;var))</t>
  </si>
  <si>
    <t>If(x&gt;0;1;If(x&lt;0;-1;0))</t>
  </si>
  <si>
    <t>SUMO functions</t>
  </si>
  <si>
    <t>this can be used in Excel from FuncEngine 1.5.2</t>
  </si>
  <si>
    <t>Diffusion coefficient of NO in water @ 25°C</t>
  </si>
  <si>
    <r>
      <t>g.m</t>
    </r>
    <r>
      <rPr>
        <vertAlign val="superscript"/>
        <sz val="11"/>
        <rFont val="Calibri"/>
        <family val="2"/>
        <scheme val="minor"/>
      </rPr>
      <t>-3</t>
    </r>
  </si>
  <si>
    <t>Pa</t>
  </si>
  <si>
    <t>Other parameters</t>
  </si>
  <si>
    <t>pH effects on/not on from systemcode</t>
  </si>
  <si>
    <t>Boolean</t>
  </si>
  <si>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</si>
  <si>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Total phosphorus</t>
  </si>
  <si>
    <r>
      <t>g P.m</t>
    </r>
    <r>
      <rPr>
        <vertAlign val="superscript"/>
        <sz val="11"/>
        <rFont val="Calibri"/>
        <family val="2"/>
      </rPr>
      <t>-3</t>
    </r>
  </si>
  <si>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</si>
  <si>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</si>
  <si>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</si>
  <si>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</si>
  <si>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</si>
  <si>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</si>
  <si>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</si>
  <si>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</si>
  <si>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General stoichiometry</t>
  </si>
  <si>
    <t>Set</t>
  </si>
  <si>
    <t>input alkalinity - in feed PU</t>
  </si>
  <si>
    <r>
      <t>S</t>
    </r>
    <r>
      <rPr>
        <vertAlign val="subscript"/>
        <sz val="11"/>
        <rFont val="Calibri"/>
        <family val="2"/>
        <charset val="238"/>
      </rPr>
      <t>ALK,input</t>
    </r>
  </si>
  <si>
    <r>
      <t>S</t>
    </r>
    <r>
      <rPr>
        <b/>
        <vertAlign val="subscript"/>
        <sz val="11"/>
        <rFont val="Calibri"/>
        <family val="2"/>
        <scheme val="minor"/>
      </rPr>
      <t>VFA</t>
    </r>
  </si>
  <si>
    <r>
      <t>S</t>
    </r>
    <r>
      <rPr>
        <b/>
        <vertAlign val="subscript"/>
        <sz val="11"/>
        <rFont val="Calibri"/>
        <family val="2"/>
        <scheme val="minor"/>
      </rPr>
      <t>B</t>
    </r>
  </si>
  <si>
    <r>
      <t>S</t>
    </r>
    <r>
      <rPr>
        <b/>
        <vertAlign val="subscript"/>
        <sz val="11"/>
        <rFont val="Calibri"/>
        <family val="2"/>
        <scheme val="minor"/>
      </rPr>
      <t>MEOL</t>
    </r>
  </si>
  <si>
    <r>
      <t>C</t>
    </r>
    <r>
      <rPr>
        <b/>
        <vertAlign val="subscript"/>
        <sz val="11"/>
        <rFont val="Calibri"/>
        <family val="2"/>
        <scheme val="minor"/>
      </rPr>
      <t>B</t>
    </r>
  </si>
  <si>
    <r>
      <t>X</t>
    </r>
    <r>
      <rPr>
        <b/>
        <vertAlign val="subscript"/>
        <sz val="11"/>
        <rFont val="Calibri"/>
        <family val="2"/>
        <scheme val="minor"/>
      </rPr>
      <t>B</t>
    </r>
  </si>
  <si>
    <r>
      <t>S</t>
    </r>
    <r>
      <rPr>
        <b/>
        <vertAlign val="subscript"/>
        <sz val="11"/>
        <rFont val="Calibri"/>
        <family val="2"/>
        <scheme val="minor"/>
      </rPr>
      <t>U</t>
    </r>
  </si>
  <si>
    <r>
      <t>C</t>
    </r>
    <r>
      <rPr>
        <b/>
        <vertAlign val="subscript"/>
        <sz val="11"/>
        <rFont val="Calibri"/>
        <family val="2"/>
        <scheme val="minor"/>
      </rPr>
      <t>U</t>
    </r>
  </si>
  <si>
    <r>
      <t>X</t>
    </r>
    <r>
      <rPr>
        <b/>
        <vertAlign val="subscript"/>
        <sz val="11"/>
        <rFont val="Calibri"/>
        <family val="2"/>
        <scheme val="minor"/>
      </rPr>
      <t>U</t>
    </r>
  </si>
  <si>
    <r>
      <t>X</t>
    </r>
    <r>
      <rPr>
        <b/>
        <vertAlign val="subscript"/>
        <sz val="11"/>
        <rFont val="Calibri"/>
        <family val="2"/>
        <scheme val="minor"/>
      </rPr>
      <t>E</t>
    </r>
  </si>
  <si>
    <r>
      <t>X</t>
    </r>
    <r>
      <rPr>
        <b/>
        <vertAlign val="subscript"/>
        <sz val="11"/>
        <rFont val="Calibri"/>
        <family val="2"/>
        <scheme val="minor"/>
      </rPr>
      <t>OHO</t>
    </r>
  </si>
  <si>
    <r>
      <t>X</t>
    </r>
    <r>
      <rPr>
        <b/>
        <vertAlign val="subscript"/>
        <sz val="11"/>
        <rFont val="Calibri"/>
        <family val="2"/>
        <scheme val="minor"/>
      </rPr>
      <t>MEOLO</t>
    </r>
  </si>
  <si>
    <r>
      <t>X</t>
    </r>
    <r>
      <rPr>
        <b/>
        <vertAlign val="subscript"/>
        <sz val="11"/>
        <rFont val="Calibri"/>
        <family val="2"/>
        <scheme val="minor"/>
      </rPr>
      <t>AMETO</t>
    </r>
  </si>
  <si>
    <r>
      <t>X</t>
    </r>
    <r>
      <rPr>
        <b/>
        <vertAlign val="subscript"/>
        <sz val="11"/>
        <rFont val="Calibri"/>
        <family val="2"/>
        <scheme val="minor"/>
      </rPr>
      <t>HMETO</t>
    </r>
  </si>
  <si>
    <r>
      <t>S</t>
    </r>
    <r>
      <rPr>
        <b/>
        <vertAlign val="subscript"/>
        <sz val="11"/>
        <rFont val="Calibri"/>
        <family val="2"/>
        <scheme val="minor"/>
      </rPr>
      <t>NHx</t>
    </r>
  </si>
  <si>
    <r>
      <t>S</t>
    </r>
    <r>
      <rPr>
        <b/>
        <vertAlign val="subscript"/>
        <sz val="11"/>
        <rFont val="Calibri"/>
        <family val="2"/>
        <scheme val="minor"/>
      </rPr>
      <t>N2</t>
    </r>
  </si>
  <si>
    <r>
      <t>S</t>
    </r>
    <r>
      <rPr>
        <b/>
        <vertAlign val="subscript"/>
        <sz val="11"/>
        <rFont val="Calibri"/>
        <family val="2"/>
        <scheme val="minor"/>
      </rPr>
      <t>N,B</t>
    </r>
  </si>
  <si>
    <t>Soluble biodegradable organic N (from SB)</t>
  </si>
  <si>
    <r>
      <t>X</t>
    </r>
    <r>
      <rPr>
        <b/>
        <vertAlign val="subscript"/>
        <sz val="11"/>
        <rFont val="Calibri"/>
        <family val="2"/>
        <scheme val="minor"/>
      </rPr>
      <t>N,B</t>
    </r>
  </si>
  <si>
    <r>
      <t>X</t>
    </r>
    <r>
      <rPr>
        <b/>
        <vertAlign val="subscript"/>
        <sz val="11"/>
        <rFont val="Calibri"/>
        <family val="2"/>
        <scheme val="minor"/>
      </rPr>
      <t>N,U</t>
    </r>
  </si>
  <si>
    <r>
      <t>S</t>
    </r>
    <r>
      <rPr>
        <b/>
        <vertAlign val="subscript"/>
        <sz val="11"/>
        <rFont val="Calibri"/>
        <family val="2"/>
        <scheme val="minor"/>
      </rPr>
      <t>PO4</t>
    </r>
  </si>
  <si>
    <r>
      <t>S</t>
    </r>
    <r>
      <rPr>
        <b/>
        <vertAlign val="subscript"/>
        <sz val="11"/>
        <rFont val="Calibri"/>
        <family val="2"/>
        <scheme val="minor"/>
      </rPr>
      <t>P,B</t>
    </r>
  </si>
  <si>
    <r>
      <t>X</t>
    </r>
    <r>
      <rPr>
        <b/>
        <vertAlign val="subscript"/>
        <sz val="11"/>
        <rFont val="Calibri"/>
        <family val="2"/>
        <scheme val="minor"/>
      </rPr>
      <t>P,B</t>
    </r>
  </si>
  <si>
    <r>
      <t>X</t>
    </r>
    <r>
      <rPr>
        <b/>
        <vertAlign val="subscript"/>
        <sz val="11"/>
        <rFont val="Calibri"/>
        <family val="2"/>
        <scheme val="minor"/>
      </rPr>
      <t>P,U</t>
    </r>
  </si>
  <si>
    <r>
      <t>S</t>
    </r>
    <r>
      <rPr>
        <b/>
        <vertAlign val="subscript"/>
        <sz val="11"/>
        <rFont val="Calibri"/>
        <family val="2"/>
        <scheme val="minor"/>
      </rPr>
      <t>O2</t>
    </r>
  </si>
  <si>
    <r>
      <t>g O</t>
    </r>
    <r>
      <rPr>
        <vertAlign val="subscript"/>
        <sz val="11"/>
        <rFont val="Calibri"/>
        <family val="2"/>
      </rPr>
      <t>2</t>
    </r>
    <r>
      <rPr>
        <sz val="11"/>
        <rFont val="Calibri"/>
        <family val="2"/>
      </rPr>
      <t>.m</t>
    </r>
    <r>
      <rPr>
        <vertAlign val="superscript"/>
        <sz val="11"/>
        <rFont val="Calibri"/>
        <family val="2"/>
      </rPr>
      <t>-3</t>
    </r>
  </si>
  <si>
    <r>
      <t>S</t>
    </r>
    <r>
      <rPr>
        <b/>
        <vertAlign val="subscript"/>
        <sz val="11"/>
        <rFont val="Calibri"/>
        <family val="2"/>
        <scheme val="minor"/>
      </rPr>
      <t>CH4</t>
    </r>
  </si>
  <si>
    <r>
      <t>S</t>
    </r>
    <r>
      <rPr>
        <b/>
        <vertAlign val="subscript"/>
        <sz val="11"/>
        <rFont val="Calibri"/>
        <family val="2"/>
        <scheme val="minor"/>
      </rPr>
      <t>H2</t>
    </r>
  </si>
  <si>
    <r>
      <t>S</t>
    </r>
    <r>
      <rPr>
        <b/>
        <vertAlign val="subscript"/>
        <sz val="11"/>
        <rFont val="Calibri"/>
        <family val="2"/>
        <scheme val="minor"/>
      </rPr>
      <t>CO2</t>
    </r>
  </si>
  <si>
    <r>
      <t>X</t>
    </r>
    <r>
      <rPr>
        <b/>
        <vertAlign val="subscript"/>
        <sz val="11"/>
        <rFont val="Calibri"/>
        <family val="2"/>
        <scheme val="minor"/>
      </rPr>
      <t>INORG</t>
    </r>
  </si>
  <si>
    <r>
      <t>S</t>
    </r>
    <r>
      <rPr>
        <b/>
        <vertAlign val="subscript"/>
        <sz val="11"/>
        <rFont val="Calibri"/>
        <family val="2"/>
      </rPr>
      <t>Mg</t>
    </r>
  </si>
  <si>
    <r>
      <t>g Mg.m</t>
    </r>
    <r>
      <rPr>
        <vertAlign val="superscript"/>
        <sz val="11"/>
        <rFont val="Calibri"/>
        <family val="2"/>
      </rPr>
      <t>-3</t>
    </r>
  </si>
  <si>
    <r>
      <t>g.m</t>
    </r>
    <r>
      <rPr>
        <vertAlign val="superscript"/>
        <sz val="11"/>
        <rFont val="Calibri"/>
        <family val="2"/>
      </rPr>
      <t>-3</t>
    </r>
  </si>
  <si>
    <r>
      <t>g Fe.m</t>
    </r>
    <r>
      <rPr>
        <vertAlign val="superscript"/>
        <sz val="11"/>
        <rFont val="Calibri"/>
        <family val="2"/>
      </rPr>
      <t>-3</t>
    </r>
  </si>
  <si>
    <r>
      <t>X</t>
    </r>
    <r>
      <rPr>
        <b/>
        <vertAlign val="subscript"/>
        <sz val="11"/>
        <rFont val="Calibri"/>
        <family val="2"/>
        <charset val="238"/>
        <scheme val="minor"/>
      </rPr>
      <t>HFO,L</t>
    </r>
  </si>
  <si>
    <r>
      <t>X</t>
    </r>
    <r>
      <rPr>
        <b/>
        <vertAlign val="subscript"/>
        <sz val="11"/>
        <rFont val="Calibri"/>
        <family val="2"/>
        <charset val="238"/>
        <scheme val="minor"/>
      </rPr>
      <t>HFO,H</t>
    </r>
  </si>
  <si>
    <t>Components</t>
  </si>
  <si>
    <t>Default</t>
  </si>
  <si>
    <t>Particle size</t>
  </si>
  <si>
    <r>
      <t>mol.L</t>
    </r>
    <r>
      <rPr>
        <vertAlign val="superscript"/>
        <sz val="11"/>
        <rFont val="Calibri"/>
        <family val="2"/>
      </rPr>
      <t>-1</t>
    </r>
  </si>
  <si>
    <r>
      <t>mol.L</t>
    </r>
    <r>
      <rPr>
        <vertAlign val="superscript"/>
        <sz val="11"/>
        <rFont val="Calibri"/>
        <family val="2"/>
      </rPr>
      <t>-1</t>
    </r>
    <r>
      <rPr>
        <sz val="11"/>
        <color theme="1"/>
        <rFont val="Calibri"/>
        <family val="2"/>
        <scheme val="minor"/>
      </rPr>
      <t/>
    </r>
  </si>
  <si>
    <r>
      <t>IS</t>
    </r>
    <r>
      <rPr>
        <vertAlign val="subscript"/>
        <sz val="11"/>
        <rFont val="Calibri"/>
        <family val="2"/>
        <charset val="238"/>
      </rPr>
      <t>calc</t>
    </r>
  </si>
  <si>
    <r>
      <t>X</t>
    </r>
    <r>
      <rPr>
        <b/>
        <vertAlign val="subscript"/>
        <sz val="11"/>
        <rFont val="Calibri"/>
        <family val="2"/>
        <charset val="238"/>
      </rPr>
      <t>HFO,H,P,old</t>
    </r>
  </si>
  <si>
    <r>
      <t>X</t>
    </r>
    <r>
      <rPr>
        <b/>
        <vertAlign val="subscript"/>
        <sz val="11"/>
        <rFont val="Calibri"/>
        <family val="2"/>
        <charset val="238"/>
      </rPr>
      <t>HFO,L,P,old</t>
    </r>
  </si>
  <si>
    <t>r44</t>
  </si>
  <si>
    <r>
      <t>d</t>
    </r>
    <r>
      <rPr>
        <vertAlign val="superscript"/>
        <sz val="11"/>
        <color indexed="8"/>
        <rFont val="Calibri"/>
        <family val="2"/>
        <scheme val="minor"/>
      </rPr>
      <t>-1</t>
    </r>
  </si>
  <si>
    <r>
      <t>g COD.m</t>
    </r>
    <r>
      <rPr>
        <vertAlign val="superscript"/>
        <sz val="11"/>
        <color indexed="8"/>
        <rFont val="Calibri"/>
        <family val="2"/>
        <scheme val="minor"/>
      </rPr>
      <t>-3</t>
    </r>
  </si>
  <si>
    <r>
      <t>g O</t>
    </r>
    <r>
      <rPr>
        <vertAlign val="subscript"/>
        <sz val="11"/>
        <color indexed="8"/>
        <rFont val="Calibri"/>
        <family val="2"/>
        <scheme val="minor"/>
      </rPr>
      <t>2</t>
    </r>
    <r>
      <rPr>
        <sz val="11"/>
        <color indexed="8"/>
        <rFont val="Calibri"/>
        <family val="2"/>
        <scheme val="minor"/>
      </rPr>
      <t>.m</t>
    </r>
    <r>
      <rPr>
        <vertAlign val="superscript"/>
        <sz val="11"/>
        <color indexed="8"/>
        <rFont val="Calibri"/>
        <family val="2"/>
        <scheme val="minor"/>
      </rPr>
      <t>-3</t>
    </r>
  </si>
  <si>
    <r>
      <t>g N.m</t>
    </r>
    <r>
      <rPr>
        <vertAlign val="superscript"/>
        <sz val="11"/>
        <color indexed="8"/>
        <rFont val="Calibri"/>
        <family val="2"/>
        <scheme val="minor"/>
      </rPr>
      <t>-3</t>
    </r>
  </si>
  <si>
    <r>
      <t>µ</t>
    </r>
    <r>
      <rPr>
        <vertAlign val="subscript"/>
        <sz val="11"/>
        <color indexed="8"/>
        <rFont val="Calibri"/>
        <family val="2"/>
        <scheme val="minor"/>
      </rPr>
      <t>HMETO</t>
    </r>
  </si>
  <si>
    <r>
      <t>b</t>
    </r>
    <r>
      <rPr>
        <vertAlign val="subscript"/>
        <sz val="11"/>
        <color indexed="8"/>
        <rFont val="Calibri"/>
        <family val="2"/>
        <scheme val="minor"/>
      </rPr>
      <t>HMETO</t>
    </r>
    <r>
      <rPr>
        <sz val="11"/>
        <color indexed="8"/>
        <rFont val="Calibri"/>
        <family val="2"/>
      </rPr>
      <t/>
    </r>
  </si>
  <si>
    <r>
      <t>q</t>
    </r>
    <r>
      <rPr>
        <vertAlign val="subscript"/>
        <sz val="11"/>
        <color indexed="8"/>
        <rFont val="Calibri"/>
        <family val="2"/>
        <scheme val="minor"/>
      </rPr>
      <t>FLOC</t>
    </r>
  </si>
  <si>
    <r>
      <t>q</t>
    </r>
    <r>
      <rPr>
        <vertAlign val="subscript"/>
        <sz val="11"/>
        <color indexed="8"/>
        <rFont val="Calibri"/>
        <family val="2"/>
        <scheme val="minor"/>
      </rPr>
      <t>AMMON</t>
    </r>
  </si>
  <si>
    <r>
      <t>q</t>
    </r>
    <r>
      <rPr>
        <vertAlign val="subscript"/>
        <sz val="11"/>
        <color indexed="8"/>
        <rFont val="Calibri"/>
        <family val="2"/>
        <scheme val="minor"/>
      </rPr>
      <t>ASSIM</t>
    </r>
  </si>
  <si>
    <r>
      <rPr>
        <sz val="11"/>
        <color indexed="8"/>
        <rFont val="Calibri"/>
        <family val="2"/>
        <scheme val="minor"/>
      </rPr>
      <t>θ</t>
    </r>
    <r>
      <rPr>
        <vertAlign val="subscript"/>
        <sz val="11"/>
        <color indexed="8"/>
        <rFont val="Calibri"/>
        <family val="2"/>
        <scheme val="minor"/>
      </rPr>
      <t>µ,OHO</t>
    </r>
  </si>
  <si>
    <r>
      <t>θ</t>
    </r>
    <r>
      <rPr>
        <vertAlign val="subscript"/>
        <sz val="11"/>
        <color indexed="8"/>
        <rFont val="Calibri"/>
        <family val="2"/>
        <scheme val="minor"/>
      </rPr>
      <t>FERM,OHO</t>
    </r>
  </si>
  <si>
    <r>
      <t>θ</t>
    </r>
    <r>
      <rPr>
        <vertAlign val="subscript"/>
        <sz val="11"/>
        <color indexed="8"/>
        <rFont val="Calibri"/>
        <family val="2"/>
        <scheme val="minor"/>
      </rPr>
      <t>b,OHO</t>
    </r>
  </si>
  <si>
    <r>
      <t>θ</t>
    </r>
    <r>
      <rPr>
        <vertAlign val="subscript"/>
        <sz val="11"/>
        <color indexed="8"/>
        <rFont val="Calibri"/>
        <family val="2"/>
        <scheme val="minor"/>
      </rPr>
      <t>µ,MEOLO</t>
    </r>
  </si>
  <si>
    <r>
      <t>θ</t>
    </r>
    <r>
      <rPr>
        <vertAlign val="subscript"/>
        <sz val="11"/>
        <color indexed="8"/>
        <rFont val="Calibri"/>
        <family val="2"/>
        <scheme val="minor"/>
      </rPr>
      <t>b,MEOLO</t>
    </r>
  </si>
  <si>
    <r>
      <t>θ</t>
    </r>
    <r>
      <rPr>
        <vertAlign val="subscript"/>
        <sz val="11"/>
        <color indexed="8"/>
        <rFont val="Calibri"/>
        <family val="2"/>
        <scheme val="minor"/>
      </rPr>
      <t>q,PAO,PHA</t>
    </r>
  </si>
  <si>
    <r>
      <t>θ</t>
    </r>
    <r>
      <rPr>
        <vertAlign val="subscript"/>
        <sz val="11"/>
        <color indexed="8"/>
        <rFont val="Calibri"/>
        <family val="2"/>
        <scheme val="minor"/>
      </rPr>
      <t>µ,AMETO</t>
    </r>
  </si>
  <si>
    <r>
      <t>θ</t>
    </r>
    <r>
      <rPr>
        <vertAlign val="subscript"/>
        <sz val="11"/>
        <color indexed="8"/>
        <rFont val="Calibri"/>
        <family val="2"/>
        <scheme val="minor"/>
      </rPr>
      <t>b,AMETO</t>
    </r>
  </si>
  <si>
    <r>
      <t>θ</t>
    </r>
    <r>
      <rPr>
        <vertAlign val="subscript"/>
        <sz val="11"/>
        <color indexed="8"/>
        <rFont val="Calibri"/>
        <family val="2"/>
        <scheme val="minor"/>
      </rPr>
      <t>µ,HMETO</t>
    </r>
  </si>
  <si>
    <r>
      <t>θ</t>
    </r>
    <r>
      <rPr>
        <vertAlign val="subscript"/>
        <sz val="11"/>
        <color indexed="8"/>
        <rFont val="Calibri"/>
        <family val="2"/>
        <scheme val="minor"/>
      </rPr>
      <t>b,HMETO</t>
    </r>
  </si>
  <si>
    <r>
      <t>θ</t>
    </r>
    <r>
      <rPr>
        <vertAlign val="subscript"/>
        <sz val="11"/>
        <color indexed="8"/>
        <rFont val="Calibri"/>
        <family val="2"/>
        <scheme val="minor"/>
      </rPr>
      <t>q,FLOC</t>
    </r>
  </si>
  <si>
    <r>
      <t>θ</t>
    </r>
    <r>
      <rPr>
        <vertAlign val="subscript"/>
        <sz val="11"/>
        <color indexed="8"/>
        <rFont val="Calibri"/>
        <family val="2"/>
        <scheme val="minor"/>
      </rPr>
      <t>q,HYD</t>
    </r>
  </si>
  <si>
    <r>
      <t>θ</t>
    </r>
    <r>
      <rPr>
        <vertAlign val="subscript"/>
        <sz val="11"/>
        <color indexed="8"/>
        <rFont val="Calibri"/>
        <family val="2"/>
        <scheme val="minor"/>
      </rPr>
      <t>q,AMMON</t>
    </r>
  </si>
  <si>
    <r>
      <t>θ</t>
    </r>
    <r>
      <rPr>
        <vertAlign val="subscript"/>
        <sz val="11"/>
        <color indexed="8"/>
        <rFont val="Calibri"/>
        <family val="2"/>
        <scheme val="minor"/>
      </rPr>
      <t>q,ASSIM</t>
    </r>
  </si>
  <si>
    <r>
      <t>Y</t>
    </r>
    <r>
      <rPr>
        <vertAlign val="subscript"/>
        <sz val="11"/>
        <rFont val="Calibri"/>
        <family val="2"/>
        <scheme val="minor"/>
      </rPr>
      <t>MEOLO</t>
    </r>
  </si>
  <si>
    <r>
      <t>Y</t>
    </r>
    <r>
      <rPr>
        <vertAlign val="subscript"/>
        <sz val="11"/>
        <rFont val="Calibri"/>
        <family val="2"/>
        <scheme val="minor"/>
      </rPr>
      <t>HMETO</t>
    </r>
  </si>
  <si>
    <r>
      <t>Y</t>
    </r>
    <r>
      <rPr>
        <vertAlign val="subscript"/>
        <sz val="11"/>
        <rFont val="Calibri"/>
        <family val="2"/>
        <scheme val="minor"/>
      </rPr>
      <t>AMETO</t>
    </r>
  </si>
  <si>
    <r>
      <t>f</t>
    </r>
    <r>
      <rPr>
        <vertAlign val="subscript"/>
        <sz val="11"/>
        <rFont val="Calibri"/>
        <family val="2"/>
        <scheme val="minor"/>
      </rPr>
      <t>E</t>
    </r>
  </si>
  <si>
    <r>
      <t>i</t>
    </r>
    <r>
      <rPr>
        <vertAlign val="subscript"/>
        <sz val="11"/>
        <rFont val="Calibri"/>
        <family val="2"/>
        <scheme val="minor"/>
      </rPr>
      <t>N,BIO</t>
    </r>
  </si>
  <si>
    <r>
      <t>i</t>
    </r>
    <r>
      <rPr>
        <vertAlign val="subscript"/>
        <sz val="11"/>
        <rFont val="Calibri"/>
        <family val="2"/>
        <scheme val="minor"/>
      </rPr>
      <t>P,BIO</t>
    </r>
  </si>
  <si>
    <r>
      <t>i</t>
    </r>
    <r>
      <rPr>
        <vertAlign val="subscript"/>
        <sz val="11"/>
        <rFont val="Calibri"/>
        <family val="2"/>
        <scheme val="minor"/>
      </rPr>
      <t>CV,BIO</t>
    </r>
  </si>
  <si>
    <r>
      <t>i</t>
    </r>
    <r>
      <rPr>
        <vertAlign val="subscript"/>
        <sz val="11"/>
        <rFont val="Calibri"/>
        <family val="2"/>
        <scheme val="minor"/>
      </rPr>
      <t>CV,PHA</t>
    </r>
  </si>
  <si>
    <r>
      <t>i</t>
    </r>
    <r>
      <rPr>
        <vertAlign val="subscript"/>
        <sz val="11"/>
        <rFont val="Calibri"/>
        <family val="2"/>
        <scheme val="minor"/>
      </rPr>
      <t>P,XSTR</t>
    </r>
  </si>
  <si>
    <r>
      <t>f</t>
    </r>
    <r>
      <rPr>
        <vertAlign val="subscript"/>
        <sz val="11"/>
        <rFont val="Calibri"/>
        <family val="2"/>
        <scheme val="minor"/>
      </rPr>
      <t>P,VFA</t>
    </r>
  </si>
  <si>
    <r>
      <t>i</t>
    </r>
    <r>
      <rPr>
        <vertAlign val="subscript"/>
        <sz val="11"/>
        <rFont val="Calibri"/>
        <family val="2"/>
        <scheme val="minor"/>
      </rPr>
      <t>TSS,PP</t>
    </r>
  </si>
  <si>
    <t>Active site factor for HFO,H</t>
  </si>
  <si>
    <t>Active site factor for HFO,L</t>
  </si>
  <si>
    <r>
      <t>K</t>
    </r>
    <r>
      <rPr>
        <vertAlign val="subscript"/>
        <sz val="11"/>
        <rFont val="Calibri"/>
        <family val="2"/>
        <scheme val="minor"/>
      </rPr>
      <t>NHx,BIO</t>
    </r>
  </si>
  <si>
    <r>
      <t>g N.m</t>
    </r>
    <r>
      <rPr>
        <vertAlign val="superscript"/>
        <sz val="11"/>
        <rFont val="Calibri"/>
        <family val="2"/>
        <scheme val="minor"/>
      </rPr>
      <t>-3</t>
    </r>
  </si>
  <si>
    <r>
      <t>K</t>
    </r>
    <r>
      <rPr>
        <vertAlign val="subscript"/>
        <sz val="11"/>
        <rFont val="Calibri"/>
        <family val="2"/>
        <scheme val="minor"/>
      </rPr>
      <t>PO4,BIO</t>
    </r>
  </si>
  <si>
    <r>
      <t>g P.m</t>
    </r>
    <r>
      <rPr>
        <vertAlign val="superscript"/>
        <sz val="11"/>
        <rFont val="Calibri"/>
        <family val="2"/>
        <scheme val="minor"/>
      </rPr>
      <t>-3</t>
    </r>
  </si>
  <si>
    <r>
      <t>K</t>
    </r>
    <r>
      <rPr>
        <vertAlign val="subscript"/>
        <sz val="11"/>
        <rFont val="Calibri"/>
        <family val="2"/>
        <scheme val="minor"/>
      </rPr>
      <t>CAT</t>
    </r>
  </si>
  <si>
    <r>
      <t>K</t>
    </r>
    <r>
      <rPr>
        <vertAlign val="subscript"/>
        <sz val="11"/>
        <rFont val="Calibri"/>
        <family val="2"/>
        <scheme val="minor"/>
      </rPr>
      <t>AN</t>
    </r>
  </si>
  <si>
    <r>
      <t>C</t>
    </r>
    <r>
      <rPr>
        <vertAlign val="superscript"/>
        <sz val="11"/>
        <rFont val="Calibri"/>
        <family val="2"/>
        <scheme val="minor"/>
      </rPr>
      <t>o</t>
    </r>
  </si>
  <si>
    <r>
      <t>T</t>
    </r>
    <r>
      <rPr>
        <vertAlign val="subscript"/>
        <sz val="11"/>
        <rFont val="Calibri"/>
        <family val="2"/>
        <scheme val="minor"/>
      </rPr>
      <t>base</t>
    </r>
  </si>
  <si>
    <t>Saturation/inhibition terms</t>
  </si>
  <si>
    <r>
      <t>Msat</t>
    </r>
    <r>
      <rPr>
        <vertAlign val="subscript"/>
        <sz val="11"/>
        <rFont val="Calibri"/>
        <family val="2"/>
        <scheme val="minor"/>
      </rPr>
      <t>SVFA,KVFA</t>
    </r>
  </si>
  <si>
    <r>
      <t>Msat(S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</si>
  <si>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</si>
  <si>
    <t>Hydrogen phosphate molar concentration in equivalence point</t>
  </si>
  <si>
    <r>
      <t>[H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</si>
  <si>
    <t>Dihydrogen phosphate molar concentration in equivalence point</t>
  </si>
  <si>
    <r>
      <t>[Ac</t>
    </r>
    <r>
      <rPr>
        <vertAlign val="superscript"/>
        <sz val="11"/>
        <rFont val="Calibri"/>
        <family val="2"/>
        <scheme val="minor"/>
      </rPr>
      <t>-</t>
    </r>
    <r>
      <rPr>
        <sz val="11"/>
        <rFont val="Calibri"/>
        <family val="2"/>
        <scheme val="minor"/>
      </rPr>
      <t>]</t>
    </r>
    <r>
      <rPr>
        <vertAlign val="subscript"/>
        <sz val="11"/>
        <rFont val="Calibri"/>
        <family val="2"/>
        <scheme val="minor"/>
      </rPr>
      <t>eq</t>
    </r>
  </si>
  <si>
    <t>Acetate molar concentration in equivalence point</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</si>
  <si>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</si>
  <si>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</si>
  <si>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</si>
  <si>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t>CH3COOH -&gt; CH4+CO2</t>
  </si>
  <si>
    <t>Davies correction coefficient</t>
  </si>
  <si>
    <t>1-(T-3.9863)^2*(T+288.9414)/(508929.2*(T+68.12963))+0.011445*Exp(-374.3/T)</t>
  </si>
  <si>
    <t>ε</t>
  </si>
  <si>
    <r>
      <t>A</t>
    </r>
    <r>
      <rPr>
        <vertAlign val="subscript"/>
        <sz val="11"/>
        <rFont val="Calibri"/>
        <family val="2"/>
        <scheme val="minor"/>
      </rPr>
      <t>Davies</t>
    </r>
  </si>
  <si>
    <t>ρ</t>
  </si>
  <si>
    <t>http://webbook.nist.gov/cgi/cbook.cgi?ID=C124389&amp;Mask=10</t>
  </si>
  <si>
    <t>http://webbook.nist.gov/cgi/cbook.cgi?ID=C10102439&amp;Mask=10</t>
  </si>
  <si>
    <t>http://webbook.nist.gov/cgi/cbook.cgi?ID=C10024972&amp;Mask=10</t>
  </si>
  <si>
    <t>http://webbook.nist.gov/cgi/cbook.cgi?ID=C7727379&amp;Mask=10</t>
  </si>
  <si>
    <r>
      <t>c</t>
    </r>
    <r>
      <rPr>
        <vertAlign val="subscript"/>
        <sz val="11"/>
        <rFont val="Calibri"/>
        <family val="2"/>
        <scheme val="minor"/>
      </rPr>
      <t>p,water</t>
    </r>
  </si>
  <si>
    <t>Heat capacity of water at standard temperature (25°C)</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</si>
  <si>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</si>
  <si>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</si>
  <si>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</si>
  <si>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</si>
  <si>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</si>
  <si>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</si>
  <si>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</si>
  <si>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</si>
  <si>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</si>
  <si>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</si>
  <si>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</si>
  <si>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</si>
  <si>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</si>
  <si>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</si>
  <si>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</si>
  <si>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</si>
  <si>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</si>
  <si>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</si>
  <si>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</si>
  <si>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</si>
  <si>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</si>
  <si>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</si>
  <si>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</si>
  <si>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</si>
  <si>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</si>
  <si>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L,m3</t>
    </r>
  </si>
  <si>
    <r>
      <t>2727.586+0.6224107*T</t>
    </r>
    <r>
      <rPr>
        <vertAlign val="subscript"/>
        <sz val="11"/>
        <rFont val="Calibri"/>
        <family val="2"/>
        <scheme val="minor"/>
      </rPr>
      <t>K</t>
    </r>
    <r>
      <rPr>
        <sz val="11"/>
        <rFont val="Calibri"/>
        <family val="2"/>
        <scheme val="minor"/>
      </rPr>
      <t>-466.9151*Ln( T</t>
    </r>
    <r>
      <rPr>
        <vertAlign val="subscript"/>
        <sz val="11"/>
        <rFont val="Calibri"/>
        <family val="2"/>
        <scheme val="minor"/>
      </rPr>
      <t xml:space="preserve">K </t>
    </r>
    <r>
      <rPr>
        <sz val="11"/>
        <rFont val="Calibri"/>
        <family val="2"/>
        <scheme val="minor"/>
      </rPr>
      <t>)-(52000.87/T</t>
    </r>
    <r>
      <rPr>
        <vertAlign val="subscript"/>
        <sz val="11"/>
        <rFont val="Calibri"/>
        <family val="2"/>
        <scheme val="minor"/>
      </rPr>
      <t>K</t>
    </r>
    <r>
      <rPr>
        <sz val="11"/>
        <rFont val="Calibri"/>
        <family val="2"/>
        <scheme val="minor"/>
      </rPr>
      <t>)</t>
    </r>
  </si>
  <si>
    <r>
      <t>S</t>
    </r>
    <r>
      <rPr>
        <vertAlign val="subscript"/>
        <sz val="11"/>
        <rFont val="Calibri"/>
        <family val="2"/>
        <scheme val="minor"/>
      </rPr>
      <t>COD</t>
    </r>
    <r>
      <rPr>
        <sz val="11"/>
        <rFont val="Calibri"/>
        <family val="2"/>
        <scheme val="minor"/>
      </rPr>
      <t xml:space="preserve"> + C</t>
    </r>
    <r>
      <rPr>
        <vertAlign val="subscript"/>
        <sz val="11"/>
        <rFont val="Calibri"/>
        <family val="2"/>
        <scheme val="minor"/>
      </rPr>
      <t xml:space="preserve">B </t>
    </r>
    <r>
      <rPr>
        <sz val="11"/>
        <rFont val="Calibri"/>
        <family val="2"/>
        <scheme val="minor"/>
      </rPr>
      <t>+C</t>
    </r>
    <r>
      <rPr>
        <vertAlign val="subscript"/>
        <sz val="11"/>
        <rFont val="Calibri"/>
        <family val="2"/>
        <scheme val="minor"/>
      </rPr>
      <t>U</t>
    </r>
  </si>
  <si>
    <t>Dissociation constants - temperature corrected</t>
  </si>
  <si>
    <r>
      <t>K</t>
    </r>
    <r>
      <rPr>
        <vertAlign val="subscript"/>
        <sz val="11"/>
        <rFont val="Calibri"/>
        <family val="2"/>
        <scheme val="minor"/>
      </rPr>
      <t>W,T</t>
    </r>
  </si>
  <si>
    <r>
      <t>K</t>
    </r>
    <r>
      <rPr>
        <vertAlign val="subscript"/>
        <sz val="11"/>
        <rFont val="Calibri"/>
        <family val="2"/>
        <scheme val="minor"/>
      </rPr>
      <t>C1,T</t>
    </r>
  </si>
  <si>
    <r>
      <t>K</t>
    </r>
    <r>
      <rPr>
        <vertAlign val="subscript"/>
        <sz val="11"/>
        <rFont val="Calibri"/>
        <family val="2"/>
        <scheme val="minor"/>
      </rPr>
      <t>C2,T</t>
    </r>
  </si>
  <si>
    <r>
      <t>K</t>
    </r>
    <r>
      <rPr>
        <vertAlign val="subscript"/>
        <sz val="11"/>
        <rFont val="Calibri"/>
        <family val="2"/>
        <scheme val="minor"/>
      </rPr>
      <t>P1,T</t>
    </r>
  </si>
  <si>
    <r>
      <t>K</t>
    </r>
    <r>
      <rPr>
        <vertAlign val="subscript"/>
        <sz val="11"/>
        <rFont val="Calibri"/>
        <family val="2"/>
        <scheme val="minor"/>
      </rPr>
      <t>P2,T</t>
    </r>
  </si>
  <si>
    <r>
      <t>K</t>
    </r>
    <r>
      <rPr>
        <vertAlign val="subscript"/>
        <sz val="11"/>
        <rFont val="Calibri"/>
        <family val="2"/>
        <scheme val="minor"/>
      </rPr>
      <t>P3,T</t>
    </r>
  </si>
  <si>
    <r>
      <t>K</t>
    </r>
    <r>
      <rPr>
        <vertAlign val="subscript"/>
        <sz val="11"/>
        <rFont val="Calibri"/>
        <family val="2"/>
        <scheme val="minor"/>
      </rPr>
      <t>W,T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</si>
  <si>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</si>
  <si>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t>
    </r>
  </si>
  <si>
    <r>
      <t>K</t>
    </r>
    <r>
      <rPr>
        <vertAlign val="subscript"/>
        <sz val="11"/>
        <rFont val="Calibri"/>
        <family val="2"/>
        <scheme val="minor"/>
      </rPr>
      <t>P1,T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</si>
  <si>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t>
    </r>
  </si>
  <si>
    <r>
      <t>K</t>
    </r>
    <r>
      <rPr>
        <vertAlign val="subscript"/>
        <sz val="11"/>
        <rFont val="Calibri"/>
        <family val="2"/>
        <scheme val="minor"/>
      </rPr>
      <t>P3,T</t>
    </r>
    <r>
      <rPr>
        <sz val="11"/>
        <rFont val="Calibri"/>
        <family val="2"/>
        <scheme val="minor"/>
      </rPr>
      <t>/(f</t>
    </r>
    <r>
      <rPr>
        <vertAlign val="subscript"/>
        <sz val="11"/>
        <rFont val="Calibri"/>
        <family val="2"/>
        <scheme val="minor"/>
      </rPr>
      <t>mono</t>
    </r>
    <r>
      <rPr>
        <sz val="11"/>
        <rFont val="Calibri"/>
        <family val="2"/>
        <scheme val="minor"/>
      </rPr>
      <t>*f</t>
    </r>
    <r>
      <rPr>
        <vertAlign val="subscript"/>
        <sz val="11"/>
        <rFont val="Calibri"/>
        <family val="2"/>
        <scheme val="minor"/>
      </rPr>
      <t>tri</t>
    </r>
    <r>
      <rPr>
        <sz val="11"/>
        <rFont val="Calibri"/>
        <family val="2"/>
        <scheme val="minor"/>
      </rPr>
      <t>)*f</t>
    </r>
    <r>
      <rPr>
        <vertAlign val="subscript"/>
        <sz val="11"/>
        <rFont val="Calibri"/>
        <family val="2"/>
        <scheme val="minor"/>
      </rPr>
      <t>di</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</si>
  <si>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</si>
  <si>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</si>
  <si>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</si>
  <si>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</si>
  <si>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</si>
  <si>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</si>
  <si>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</si>
  <si>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</si>
  <si>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</si>
  <si>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</si>
  <si>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</si>
  <si>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</si>
  <si>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</si>
  <si>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</si>
  <si>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</si>
  <si>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</si>
  <si>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</si>
  <si>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</si>
  <si>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</si>
  <si>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</si>
  <si>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</si>
  <si>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</si>
  <si>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</si>
  <si>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</si>
  <si>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</si>
  <si>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Dissociation constants - activity corrected</t>
  </si>
  <si>
    <t>Stoichiometric yields</t>
  </si>
  <si>
    <t>Calcium</t>
  </si>
  <si>
    <r>
      <t>g Ca.m</t>
    </r>
    <r>
      <rPr>
        <vertAlign val="superscript"/>
        <sz val="11"/>
        <rFont val="Calibri"/>
        <family val="2"/>
      </rPr>
      <t>-3</t>
    </r>
  </si>
  <si>
    <t>Ca</t>
  </si>
  <si>
    <t>Mg</t>
  </si>
  <si>
    <r>
      <t>map</t>
    </r>
    <r>
      <rPr>
        <vertAlign val="subscript"/>
        <sz val="11"/>
        <rFont val="Calibri"/>
        <family val="2"/>
      </rPr>
      <t>Ca</t>
    </r>
  </si>
  <si>
    <r>
      <t>map</t>
    </r>
    <r>
      <rPr>
        <vertAlign val="subscript"/>
        <sz val="11"/>
        <rFont val="Calibri"/>
        <family val="2"/>
      </rPr>
      <t>Mg</t>
    </r>
  </si>
  <si>
    <t>Calcium fully dissociated</t>
  </si>
  <si>
    <t>Magnesium fully dissociated</t>
  </si>
  <si>
    <r>
      <t>S</t>
    </r>
    <r>
      <rPr>
        <vertAlign val="subscript"/>
        <sz val="11"/>
        <rFont val="Calibri"/>
        <family val="2"/>
      </rPr>
      <t>Ca</t>
    </r>
    <r>
      <rPr>
        <sz val="11"/>
        <rFont val="Calibri"/>
        <family val="2"/>
      </rPr>
      <t>/(AM</t>
    </r>
    <r>
      <rPr>
        <vertAlign val="subscript"/>
        <sz val="11"/>
        <rFont val="Calibri"/>
        <family val="2"/>
      </rPr>
      <t>Ca</t>
    </r>
    <r>
      <rPr>
        <sz val="11"/>
        <rFont val="Calibri"/>
        <family val="2"/>
      </rPr>
      <t>*1000)</t>
    </r>
  </si>
  <si>
    <r>
      <t>S</t>
    </r>
    <r>
      <rPr>
        <vertAlign val="subscript"/>
        <sz val="11"/>
        <rFont val="Calibri"/>
        <family val="2"/>
      </rPr>
      <t>Mg</t>
    </r>
    <r>
      <rPr>
        <sz val="11"/>
        <rFont val="Calibri"/>
        <family val="2"/>
      </rPr>
      <t>/(AM</t>
    </r>
    <r>
      <rPr>
        <vertAlign val="subscript"/>
        <sz val="11"/>
        <rFont val="Calibri"/>
        <family val="2"/>
      </rPr>
      <t>Mg</t>
    </r>
    <r>
      <rPr>
        <sz val="11"/>
        <rFont val="Calibri"/>
        <family val="2"/>
      </rPr>
      <t>*1000)</t>
    </r>
  </si>
  <si>
    <r>
      <t>[Ca</t>
    </r>
    <r>
      <rPr>
        <b/>
        <vertAlign val="superscript"/>
        <sz val="11"/>
        <rFont val="Calibri"/>
        <family val="2"/>
      </rPr>
      <t>2+</t>
    </r>
    <r>
      <rPr>
        <b/>
        <sz val="11"/>
        <rFont val="Calibri"/>
        <family val="2"/>
      </rPr>
      <t>]</t>
    </r>
  </si>
  <si>
    <r>
      <t>[Mg</t>
    </r>
    <r>
      <rPr>
        <b/>
        <vertAlign val="superscript"/>
        <sz val="11"/>
        <rFont val="Calibri"/>
        <family val="2"/>
      </rPr>
      <t>2+</t>
    </r>
    <r>
      <rPr>
        <b/>
        <sz val="11"/>
        <rFont val="Calibri"/>
        <family val="2"/>
      </rPr>
      <t>]</t>
    </r>
  </si>
  <si>
    <t>Calcium ion</t>
  </si>
  <si>
    <t>Magnesium ion</t>
  </si>
  <si>
    <r>
      <t>S</t>
    </r>
    <r>
      <rPr>
        <b/>
        <vertAlign val="subscript"/>
        <sz val="11"/>
        <rFont val="Calibri"/>
        <family val="2"/>
        <scheme val="minor"/>
      </rPr>
      <t>Ca</t>
    </r>
  </si>
  <si>
    <r>
      <t>X</t>
    </r>
    <r>
      <rPr>
        <b/>
        <vertAlign val="subscript"/>
        <sz val="11"/>
        <rFont val="Calibri"/>
        <family val="2"/>
        <scheme val="minor"/>
      </rPr>
      <t>CaCO3</t>
    </r>
  </si>
  <si>
    <r>
      <t>X</t>
    </r>
    <r>
      <rPr>
        <b/>
        <vertAlign val="subscript"/>
        <sz val="12"/>
        <rFont val="Calibri"/>
        <family val="2"/>
        <scheme val="minor"/>
      </rPr>
      <t>CaCO3</t>
    </r>
  </si>
  <si>
    <r>
      <t>i</t>
    </r>
    <r>
      <rPr>
        <vertAlign val="subscript"/>
        <sz val="11"/>
        <rFont val="Calibri"/>
        <family val="2"/>
        <scheme val="minor"/>
      </rPr>
      <t>Ca,PP</t>
    </r>
  </si>
  <si>
    <r>
      <t>i</t>
    </r>
    <r>
      <rPr>
        <vertAlign val="subscript"/>
        <sz val="11"/>
        <rFont val="Calibri"/>
        <family val="2"/>
        <scheme val="minor"/>
      </rPr>
      <t>Mg,PP</t>
    </r>
  </si>
  <si>
    <r>
      <t>Henry</t>
    </r>
    <r>
      <rPr>
        <vertAlign val="subscript"/>
        <sz val="11"/>
        <rFont val="Calibri"/>
        <family val="2"/>
        <scheme val="minor"/>
      </rPr>
      <t>GO2,25</t>
    </r>
  </si>
  <si>
    <r>
      <t>Henry</t>
    </r>
    <r>
      <rPr>
        <vertAlign val="subscript"/>
        <sz val="11"/>
        <rFont val="Calibri"/>
        <family val="2"/>
        <scheme val="minor"/>
      </rPr>
      <t>GO2,dt</t>
    </r>
  </si>
  <si>
    <r>
      <t>Henry</t>
    </r>
    <r>
      <rPr>
        <vertAlign val="subscript"/>
        <sz val="11"/>
        <rFont val="Calibri"/>
        <family val="2"/>
        <scheme val="minor"/>
      </rPr>
      <t>GCO2,25</t>
    </r>
  </si>
  <si>
    <r>
      <t>Henry</t>
    </r>
    <r>
      <rPr>
        <vertAlign val="subscript"/>
        <sz val="11"/>
        <rFont val="Calibri"/>
        <family val="2"/>
        <scheme val="minor"/>
      </rPr>
      <t>GCO2,dt</t>
    </r>
  </si>
  <si>
    <r>
      <t>Henry</t>
    </r>
    <r>
      <rPr>
        <vertAlign val="subscript"/>
        <sz val="11"/>
        <rFont val="Calibri"/>
        <family val="2"/>
        <scheme val="minor"/>
      </rPr>
      <t>GNO,25</t>
    </r>
  </si>
  <si>
    <r>
      <t>Henry</t>
    </r>
    <r>
      <rPr>
        <vertAlign val="subscript"/>
        <sz val="11"/>
        <rFont val="Calibri"/>
        <family val="2"/>
        <scheme val="minor"/>
      </rPr>
      <t>GNO,dt</t>
    </r>
  </si>
  <si>
    <r>
      <t>Henry</t>
    </r>
    <r>
      <rPr>
        <vertAlign val="subscript"/>
        <sz val="11"/>
        <rFont val="Calibri"/>
        <family val="2"/>
        <scheme val="minor"/>
      </rPr>
      <t>GN2O,25</t>
    </r>
  </si>
  <si>
    <r>
      <t>Henry</t>
    </r>
    <r>
      <rPr>
        <vertAlign val="subscript"/>
        <sz val="11"/>
        <rFont val="Calibri"/>
        <family val="2"/>
        <scheme val="minor"/>
      </rPr>
      <t>GN2O,dt</t>
    </r>
  </si>
  <si>
    <r>
      <t>Henry</t>
    </r>
    <r>
      <rPr>
        <vertAlign val="subscript"/>
        <sz val="11"/>
        <rFont val="Calibri"/>
        <family val="2"/>
        <scheme val="minor"/>
      </rPr>
      <t>GN2,25</t>
    </r>
  </si>
  <si>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</si>
  <si>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</si>
  <si>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</si>
  <si>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</si>
  <si>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</si>
  <si>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</si>
  <si>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</si>
  <si>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</si>
  <si>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</si>
  <si>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</si>
  <si>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</si>
  <si>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</si>
  <si>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</si>
  <si>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</si>
  <si>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</si>
  <si>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</si>
  <si>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</si>
  <si>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</si>
  <si>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</si>
  <si>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</si>
  <si>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</si>
  <si>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</si>
  <si>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</si>
  <si>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</si>
  <si>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</si>
  <si>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</si>
  <si>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r>
      <t>c</t>
    </r>
    <r>
      <rPr>
        <vertAlign val="subscript"/>
        <sz val="11"/>
        <rFont val="Calibri"/>
        <family val="2"/>
        <scheme val="minor"/>
      </rPr>
      <t>g,kg</t>
    </r>
  </si>
  <si>
    <t>Conversion coefficient between grams and kilograms</t>
  </si>
  <si>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</si>
  <si>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</si>
  <si>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</si>
  <si>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Maximum specific growth rate of HMETO</t>
  </si>
  <si>
    <r>
      <t>S</t>
    </r>
    <r>
      <rPr>
        <b/>
        <vertAlign val="subscript"/>
        <sz val="11"/>
        <rFont val="Calibri"/>
        <family val="2"/>
      </rPr>
      <t>K</t>
    </r>
  </si>
  <si>
    <t>Potassium</t>
  </si>
  <si>
    <r>
      <t>g Na.m</t>
    </r>
    <r>
      <rPr>
        <vertAlign val="superscript"/>
        <sz val="11"/>
        <rFont val="Calibri"/>
        <family val="2"/>
      </rPr>
      <t>-3</t>
    </r>
  </si>
  <si>
    <r>
      <t>g K.m</t>
    </r>
    <r>
      <rPr>
        <vertAlign val="superscript"/>
        <sz val="11"/>
        <rFont val="Calibri"/>
        <family val="2"/>
      </rPr>
      <t>-3</t>
    </r>
  </si>
  <si>
    <r>
      <t>g Cl.m</t>
    </r>
    <r>
      <rPr>
        <vertAlign val="superscript"/>
        <sz val="11"/>
        <rFont val="Calibri"/>
        <family val="2"/>
      </rPr>
      <t>-3</t>
    </r>
  </si>
  <si>
    <r>
      <t>G</t>
    </r>
    <r>
      <rPr>
        <b/>
        <vertAlign val="subscript"/>
        <sz val="11"/>
        <rFont val="Calibri"/>
        <family val="2"/>
        <charset val="238"/>
      </rPr>
      <t>NH3</t>
    </r>
  </si>
  <si>
    <t>Ferrous ion</t>
  </si>
  <si>
    <r>
      <t>G</t>
    </r>
    <r>
      <rPr>
        <b/>
        <vertAlign val="subscript"/>
        <sz val="11"/>
        <rFont val="Calibri"/>
        <family val="2"/>
      </rPr>
      <t>NH3</t>
    </r>
  </si>
  <si>
    <t>Sodium (strong cations)</t>
  </si>
  <si>
    <r>
      <t>[K</t>
    </r>
    <r>
      <rPr>
        <b/>
        <vertAlign val="superscript"/>
        <sz val="11"/>
        <rFont val="Calibri"/>
        <family val="2"/>
      </rPr>
      <t>+</t>
    </r>
    <r>
      <rPr>
        <b/>
        <sz val="11"/>
        <rFont val="Calibri"/>
        <family val="2"/>
      </rPr>
      <t>]</t>
    </r>
  </si>
  <si>
    <t>Chloride (strong anions)</t>
  </si>
  <si>
    <r>
      <t>[Fe</t>
    </r>
    <r>
      <rPr>
        <b/>
        <vertAlign val="superscript"/>
        <sz val="11"/>
        <rFont val="Calibri"/>
        <family val="2"/>
      </rPr>
      <t>2+</t>
    </r>
    <r>
      <rPr>
        <b/>
        <sz val="11"/>
        <rFont val="Calibri"/>
        <family val="2"/>
      </rPr>
      <t>]</t>
    </r>
  </si>
  <si>
    <r>
      <t>10^(-(2835.8/T</t>
    </r>
    <r>
      <rPr>
        <vertAlign val="subscript"/>
        <sz val="11"/>
        <rFont val="Calibri"/>
        <family val="2"/>
        <scheme val="minor"/>
      </rPr>
      <t>K</t>
    </r>
    <r>
      <rPr>
        <sz val="11"/>
        <rFont val="Calibri"/>
        <family val="2"/>
        <scheme val="minor"/>
      </rPr>
      <t xml:space="preserve"> - 0.6322 + 0.00123*T</t>
    </r>
    <r>
      <rPr>
        <vertAlign val="subscript"/>
        <sz val="11"/>
        <rFont val="Calibri"/>
        <family val="2"/>
        <scheme val="minor"/>
      </rPr>
      <t>K</t>
    </r>
    <r>
      <rPr>
        <sz val="11"/>
        <rFont val="Calibri"/>
        <family val="2"/>
        <scheme val="minor"/>
      </rPr>
      <t>))</t>
    </r>
  </si>
  <si>
    <r>
      <t>i</t>
    </r>
    <r>
      <rPr>
        <vertAlign val="subscript"/>
        <sz val="11"/>
        <rFont val="Calibri"/>
        <family val="2"/>
        <scheme val="minor"/>
      </rPr>
      <t>N,CU</t>
    </r>
  </si>
  <si>
    <r>
      <t>i</t>
    </r>
    <r>
      <rPr>
        <vertAlign val="subscript"/>
        <sz val="11"/>
        <rFont val="Calibri"/>
        <family val="2"/>
        <scheme val="minor"/>
      </rPr>
      <t>P,CB</t>
    </r>
  </si>
  <si>
    <r>
      <t>i</t>
    </r>
    <r>
      <rPr>
        <vertAlign val="subscript"/>
        <sz val="11"/>
        <rFont val="Calibri"/>
        <family val="2"/>
        <scheme val="minor"/>
      </rPr>
      <t>P,CU</t>
    </r>
  </si>
  <si>
    <r>
      <t>i</t>
    </r>
    <r>
      <rPr>
        <vertAlign val="subscript"/>
        <sz val="11"/>
        <rFont val="Calibri"/>
        <family val="2"/>
        <scheme val="minor"/>
      </rPr>
      <t>P,SU</t>
    </r>
  </si>
  <si>
    <t>15% of VSS - Ekama</t>
  </si>
  <si>
    <t>and other cations</t>
  </si>
  <si>
    <t>and other anions</t>
  </si>
  <si>
    <t>Diffusion coefficient of ammonia in water</t>
  </si>
  <si>
    <r>
      <t>MM</t>
    </r>
    <r>
      <rPr>
        <vertAlign val="subscript"/>
        <sz val="11"/>
        <rFont val="Calibri"/>
        <family val="2"/>
        <scheme val="minor"/>
      </rPr>
      <t>SO4</t>
    </r>
  </si>
  <si>
    <r>
      <t>MM</t>
    </r>
    <r>
      <rPr>
        <vertAlign val="subscript"/>
        <sz val="11"/>
        <rFont val="Calibri"/>
        <family val="2"/>
        <scheme val="minor"/>
      </rPr>
      <t>HSO4</t>
    </r>
  </si>
  <si>
    <r>
      <t>MM</t>
    </r>
    <r>
      <rPr>
        <vertAlign val="subscript"/>
        <sz val="11"/>
        <rFont val="Calibri"/>
        <family val="2"/>
        <scheme val="minor"/>
      </rPr>
      <t>H2SO4</t>
    </r>
  </si>
  <si>
    <t>N content in GN2</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</si>
  <si>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</si>
  <si>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</si>
  <si>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</si>
  <si>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</si>
  <si>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</si>
  <si>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</si>
  <si>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</si>
  <si>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</si>
  <si>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</si>
  <si>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</si>
  <si>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</si>
  <si>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</si>
  <si>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</si>
  <si>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</si>
  <si>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</si>
  <si>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</si>
  <si>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</si>
  <si>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</si>
  <si>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</si>
  <si>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</si>
  <si>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</si>
  <si>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</si>
  <si>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</si>
  <si>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</si>
  <si>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</si>
  <si>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</si>
  <si>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</si>
  <si>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</si>
  <si>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</si>
  <si>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</si>
  <si>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</si>
  <si>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</si>
  <si>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</si>
  <si>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S</t>
    </r>
    <r>
      <rPr>
        <vertAlign val="subscript"/>
        <sz val="11"/>
        <rFont val="Calibri"/>
        <family val="2"/>
      </rPr>
      <t>K</t>
    </r>
    <r>
      <rPr>
        <sz val="11"/>
        <rFont val="Calibri"/>
        <family val="2"/>
      </rPr>
      <t>/(AM</t>
    </r>
    <r>
      <rPr>
        <vertAlign val="subscript"/>
        <sz val="11"/>
        <rFont val="Calibri"/>
        <family val="2"/>
      </rPr>
      <t>K</t>
    </r>
    <r>
      <rPr>
        <sz val="11"/>
        <rFont val="Calibri"/>
        <family val="2"/>
      </rPr>
      <t>*1000)</t>
    </r>
  </si>
  <si>
    <r>
      <t>map</t>
    </r>
    <r>
      <rPr>
        <vertAlign val="subscript"/>
        <sz val="11"/>
        <rFont val="Calibri"/>
        <family val="2"/>
      </rPr>
      <t>K</t>
    </r>
  </si>
  <si>
    <r>
      <t>map</t>
    </r>
    <r>
      <rPr>
        <vertAlign val="subscript"/>
        <sz val="11"/>
        <rFont val="Calibri"/>
        <family val="2"/>
      </rPr>
      <t>NO3</t>
    </r>
  </si>
  <si>
    <t>Potassium fully dissociated</t>
  </si>
  <si>
    <r>
      <t>map</t>
    </r>
    <r>
      <rPr>
        <vertAlign val="subscript"/>
        <sz val="11"/>
        <rFont val="Calibri"/>
        <family val="2"/>
      </rPr>
      <t>SFerrous</t>
    </r>
  </si>
  <si>
    <t>Molecular mass of hydrogen chloride</t>
  </si>
  <si>
    <t>Molecular mass of hydrogen sulfate</t>
  </si>
  <si>
    <r>
      <t>MM</t>
    </r>
    <r>
      <rPr>
        <vertAlign val="subscript"/>
        <sz val="11"/>
        <rFont val="Calibri"/>
        <family val="2"/>
        <scheme val="minor"/>
      </rPr>
      <t>GNH3</t>
    </r>
  </si>
  <si>
    <t>Molecular mass of sulfate</t>
  </si>
  <si>
    <r>
      <t>MM</t>
    </r>
    <r>
      <rPr>
        <vertAlign val="subscript"/>
        <sz val="11"/>
        <rFont val="Calibri"/>
        <family val="2"/>
        <scheme val="minor"/>
      </rPr>
      <t>H2S</t>
    </r>
  </si>
  <si>
    <t>N content in GNH3</t>
  </si>
  <si>
    <t>Na</t>
  </si>
  <si>
    <r>
      <t>X</t>
    </r>
    <r>
      <rPr>
        <b/>
        <vertAlign val="subscript"/>
        <sz val="11"/>
        <rFont val="Calibri"/>
        <family val="2"/>
        <scheme val="minor"/>
      </rPr>
      <t>Vivi</t>
    </r>
  </si>
  <si>
    <t>Molecular mass of vivianite</t>
  </si>
  <si>
    <t>Molecular mass of iron sulfide</t>
  </si>
  <si>
    <r>
      <t>MM</t>
    </r>
    <r>
      <rPr>
        <vertAlign val="subscript"/>
        <sz val="11"/>
        <rFont val="Calibri"/>
        <family val="2"/>
        <scheme val="minor"/>
      </rPr>
      <t>H2O</t>
    </r>
  </si>
  <si>
    <t>Molecular mass of water</t>
  </si>
  <si>
    <r>
      <t>MM</t>
    </r>
    <r>
      <rPr>
        <vertAlign val="subscript"/>
        <sz val="11"/>
        <rFont val="Calibri"/>
        <family val="2"/>
        <scheme val="minor"/>
      </rPr>
      <t>Vivi</t>
    </r>
  </si>
  <si>
    <r>
      <t>MM</t>
    </r>
    <r>
      <rPr>
        <vertAlign val="subscript"/>
        <sz val="11"/>
        <rFont val="Calibri"/>
        <family val="2"/>
        <scheme val="minor"/>
      </rPr>
      <t>FeS</t>
    </r>
  </si>
  <si>
    <t xml:space="preserve">                                                      </t>
  </si>
  <si>
    <r>
      <t>i</t>
    </r>
    <r>
      <rPr>
        <vertAlign val="subscript"/>
        <sz val="11"/>
        <rFont val="Calibri"/>
        <family val="2"/>
        <scheme val="minor"/>
      </rPr>
      <t>N,CB</t>
    </r>
  </si>
  <si>
    <r>
      <t>i</t>
    </r>
    <r>
      <rPr>
        <vertAlign val="subscript"/>
        <sz val="11"/>
        <rFont val="Calibri"/>
        <family val="2"/>
        <scheme val="minor"/>
      </rPr>
      <t>N,SU</t>
    </r>
  </si>
  <si>
    <t>Vivianite precipitation</t>
  </si>
  <si>
    <r>
      <t>MgNH</t>
    </r>
    <r>
      <rPr>
        <vertAlign val="subscript"/>
        <sz val="11"/>
        <color indexed="8"/>
        <rFont val="Calibri"/>
        <family val="2"/>
        <scheme val="minor"/>
      </rPr>
      <t>4</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6H</t>
    </r>
    <r>
      <rPr>
        <vertAlign val="subscript"/>
        <sz val="11"/>
        <color indexed="8"/>
        <rFont val="Calibri"/>
        <family val="2"/>
        <scheme val="minor"/>
      </rPr>
      <t>2</t>
    </r>
    <r>
      <rPr>
        <sz val="11"/>
        <color indexed="8"/>
        <rFont val="Calibri"/>
        <family val="2"/>
        <scheme val="minor"/>
      </rPr>
      <t>O</t>
    </r>
  </si>
  <si>
    <t>Amorphous calcium phosphate precipitation</t>
  </si>
  <si>
    <t>Calcium carbonate precipitation</t>
  </si>
  <si>
    <r>
      <t>CaCO</t>
    </r>
    <r>
      <rPr>
        <vertAlign val="subscript"/>
        <sz val="11"/>
        <color indexed="8"/>
        <rFont val="Calibri"/>
        <family val="2"/>
        <scheme val="minor"/>
      </rPr>
      <t>3</t>
    </r>
  </si>
  <si>
    <r>
      <t>Ca</t>
    </r>
    <r>
      <rPr>
        <vertAlign val="subscript"/>
        <sz val="11"/>
        <color indexed="8"/>
        <rFont val="Calibri"/>
        <family val="2"/>
      </rPr>
      <t>3</t>
    </r>
    <r>
      <rPr>
        <sz val="11"/>
        <color indexed="8"/>
        <rFont val="Calibri"/>
        <family val="2"/>
      </rPr>
      <t>(</t>
    </r>
    <r>
      <rPr>
        <sz val="11"/>
        <color indexed="8"/>
        <rFont val="Calibri"/>
        <family val="2"/>
        <scheme val="minor"/>
      </rPr>
      <t>PO</t>
    </r>
    <r>
      <rPr>
        <vertAlign val="subscript"/>
        <sz val="11"/>
        <color indexed="8"/>
        <rFont val="Calibri"/>
        <family val="2"/>
        <scheme val="minor"/>
      </rPr>
      <t>4</t>
    </r>
    <r>
      <rPr>
        <sz val="11"/>
        <color indexed="8"/>
        <rFont val="Calibri"/>
        <family val="2"/>
        <scheme val="minor"/>
      </rPr>
      <t>)</t>
    </r>
    <r>
      <rPr>
        <vertAlign val="subscript"/>
        <sz val="11"/>
        <color indexed="8"/>
        <rFont val="Calibri"/>
        <family val="2"/>
        <scheme val="minor"/>
      </rPr>
      <t>2</t>
    </r>
    <r>
      <rPr>
        <sz val="11"/>
        <color indexed="8"/>
        <rFont val="Calibri"/>
        <family val="2"/>
        <scheme val="minor"/>
      </rPr>
      <t xml:space="preserve"> * 4H</t>
    </r>
    <r>
      <rPr>
        <vertAlign val="subscript"/>
        <sz val="11"/>
        <color indexed="8"/>
        <rFont val="Calibri"/>
        <family val="2"/>
        <scheme val="minor"/>
      </rPr>
      <t>2</t>
    </r>
    <r>
      <rPr>
        <sz val="11"/>
        <color indexed="8"/>
        <rFont val="Calibri"/>
        <family val="2"/>
        <scheme val="minor"/>
      </rPr>
      <t>O</t>
    </r>
  </si>
  <si>
    <r>
      <t>Fe</t>
    </r>
    <r>
      <rPr>
        <vertAlign val="subscript"/>
        <sz val="11"/>
        <color indexed="8"/>
        <rFont val="Calibri"/>
        <family val="2"/>
      </rPr>
      <t>3</t>
    </r>
    <r>
      <rPr>
        <sz val="11"/>
        <color indexed="8"/>
        <rFont val="Calibri"/>
        <family val="2"/>
      </rPr>
      <t>(PO</t>
    </r>
    <r>
      <rPr>
        <vertAlign val="subscript"/>
        <sz val="11"/>
        <color indexed="8"/>
        <rFont val="Calibri"/>
        <family val="2"/>
      </rPr>
      <t>4</t>
    </r>
    <r>
      <rPr>
        <sz val="11"/>
        <color indexed="8"/>
        <rFont val="Calibri"/>
        <family val="2"/>
      </rPr>
      <t>)</t>
    </r>
    <r>
      <rPr>
        <vertAlign val="subscript"/>
        <sz val="11"/>
        <color indexed="8"/>
        <rFont val="Calibri"/>
        <family val="2"/>
      </rPr>
      <t xml:space="preserve">2 </t>
    </r>
    <r>
      <rPr>
        <sz val="11"/>
        <color indexed="8"/>
        <rFont val="Calibri"/>
        <family val="2"/>
      </rPr>
      <t>* 8H</t>
    </r>
    <r>
      <rPr>
        <vertAlign val="subscript"/>
        <sz val="11"/>
        <color indexed="8"/>
        <rFont val="Calibri"/>
        <family val="2"/>
      </rPr>
      <t>2</t>
    </r>
    <r>
      <rPr>
        <sz val="11"/>
        <color indexed="8"/>
        <rFont val="Calibri"/>
        <family val="2"/>
      </rPr>
      <t>O</t>
    </r>
  </si>
  <si>
    <t>Molecular mass of amorphous calcium phosphate</t>
  </si>
  <si>
    <r>
      <t>X</t>
    </r>
    <r>
      <rPr>
        <b/>
        <vertAlign val="subscript"/>
        <sz val="12"/>
        <rFont val="Calibri"/>
        <family val="2"/>
        <scheme val="minor"/>
      </rPr>
      <t>ACP</t>
    </r>
  </si>
  <si>
    <r>
      <t>X</t>
    </r>
    <r>
      <rPr>
        <b/>
        <vertAlign val="subscript"/>
        <sz val="11"/>
        <rFont val="Calibri"/>
        <family val="2"/>
        <scheme val="minor"/>
      </rPr>
      <t>ACP</t>
    </r>
  </si>
  <si>
    <r>
      <t>g TIC.m</t>
    </r>
    <r>
      <rPr>
        <vertAlign val="superscript"/>
        <sz val="11"/>
        <rFont val="Calibri"/>
        <family val="2"/>
      </rPr>
      <t>-3</t>
    </r>
  </si>
  <si>
    <t>Anaerobic endogenous decay products</t>
  </si>
  <si>
    <t>1 / (1 + Exp((halfval - var) * slope))</t>
  </si>
  <si>
    <t>1 / (1 + Exp((var - halfval) * slope))</t>
  </si>
  <si>
    <t>Haldane equation</t>
  </si>
  <si>
    <t>Noncompinh(var; halfinh)</t>
  </si>
  <si>
    <t>Non-competetive inhibition</t>
  </si>
  <si>
    <t>1 / (1 + (var / halfinh))</t>
  </si>
  <si>
    <r>
      <t>i</t>
    </r>
    <r>
      <rPr>
        <vertAlign val="subscript"/>
        <sz val="11"/>
        <rFont val="Calibri"/>
        <family val="2"/>
        <scheme val="minor"/>
      </rPr>
      <t>CV,VFA</t>
    </r>
  </si>
  <si>
    <r>
      <t>i</t>
    </r>
    <r>
      <rPr>
        <vertAlign val="subscript"/>
        <sz val="11"/>
        <rFont val="Calibri"/>
        <family val="2"/>
        <scheme val="minor"/>
      </rPr>
      <t>CV,SB</t>
    </r>
  </si>
  <si>
    <r>
      <t>i</t>
    </r>
    <r>
      <rPr>
        <vertAlign val="subscript"/>
        <sz val="11"/>
        <rFont val="Calibri"/>
        <family val="2"/>
        <scheme val="minor"/>
      </rPr>
      <t>CV,SU</t>
    </r>
  </si>
  <si>
    <r>
      <t>i</t>
    </r>
    <r>
      <rPr>
        <vertAlign val="subscript"/>
        <sz val="11"/>
        <rFont val="Calibri"/>
        <family val="2"/>
        <scheme val="minor"/>
      </rPr>
      <t>CV,CB</t>
    </r>
  </si>
  <si>
    <r>
      <t>i</t>
    </r>
    <r>
      <rPr>
        <vertAlign val="subscript"/>
        <sz val="11"/>
        <rFont val="Calibri"/>
        <family val="2"/>
        <scheme val="minor"/>
      </rPr>
      <t>CV,CU</t>
    </r>
  </si>
  <si>
    <r>
      <t>EEQ</t>
    </r>
    <r>
      <rPr>
        <vertAlign val="subscript"/>
        <sz val="11"/>
        <rFont val="Calibri"/>
        <family val="2"/>
        <scheme val="minor"/>
      </rPr>
      <t>H2S</t>
    </r>
  </si>
  <si>
    <t>-1</t>
  </si>
  <si>
    <r>
      <t>MM</t>
    </r>
    <r>
      <rPr>
        <vertAlign val="subscript"/>
        <sz val="11"/>
        <rFont val="Calibri"/>
        <family val="2"/>
        <scheme val="minor"/>
      </rPr>
      <t>EQ,GH2S</t>
    </r>
  </si>
  <si>
    <t>Molecular mass of GH2S</t>
  </si>
  <si>
    <t>Non-pH</t>
  </si>
  <si>
    <r>
      <t>Henry</t>
    </r>
    <r>
      <rPr>
        <vertAlign val="subscript"/>
        <sz val="11"/>
        <rFont val="Calibri"/>
        <family val="2"/>
        <scheme val="minor"/>
      </rPr>
      <t>GH2S,25</t>
    </r>
  </si>
  <si>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</si>
  <si>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</si>
  <si>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MM</t>
    </r>
    <r>
      <rPr>
        <vertAlign val="subscript"/>
        <sz val="11"/>
        <rFont val="Calibri"/>
        <family val="2"/>
        <scheme val="minor"/>
      </rPr>
      <t>GH2S</t>
    </r>
  </si>
  <si>
    <t>Advanced</t>
  </si>
  <si>
    <r>
      <t>f</t>
    </r>
    <r>
      <rPr>
        <vertAlign val="subscript"/>
        <sz val="11"/>
        <rFont val="Calibri"/>
        <family val="2"/>
        <scheme val="minor"/>
      </rPr>
      <t>Na</t>
    </r>
  </si>
  <si>
    <t>To clean up any remaining methanol in digesters without having to ferment mechanistically</t>
  </si>
  <si>
    <r>
      <t>S</t>
    </r>
    <r>
      <rPr>
        <b/>
        <vertAlign val="subscript"/>
        <sz val="11"/>
        <rFont val="Calibri"/>
        <family val="2"/>
      </rPr>
      <t>CAT</t>
    </r>
  </si>
  <si>
    <r>
      <t>S</t>
    </r>
    <r>
      <rPr>
        <b/>
        <vertAlign val="subscript"/>
        <sz val="11"/>
        <rFont val="Calibri"/>
        <family val="2"/>
      </rPr>
      <t>AN</t>
    </r>
  </si>
  <si>
    <r>
      <t>S</t>
    </r>
    <r>
      <rPr>
        <vertAlign val="subscript"/>
        <sz val="11"/>
        <rFont val="Calibri"/>
        <family val="2"/>
        <scheme val="minor"/>
      </rPr>
      <t>CAT</t>
    </r>
  </si>
  <si>
    <r>
      <t>S</t>
    </r>
    <r>
      <rPr>
        <vertAlign val="subscript"/>
        <sz val="11"/>
        <rFont val="Calibri"/>
        <family val="2"/>
      </rPr>
      <t>CAT</t>
    </r>
    <r>
      <rPr>
        <sz val="11"/>
        <rFont val="Calibri"/>
        <family val="2"/>
      </rPr>
      <t>/(AM</t>
    </r>
    <r>
      <rPr>
        <vertAlign val="subscript"/>
        <sz val="11"/>
        <rFont val="Calibri"/>
        <family val="2"/>
      </rPr>
      <t>Na</t>
    </r>
    <r>
      <rPr>
        <sz val="11"/>
        <rFont val="Calibri"/>
        <family val="2"/>
      </rPr>
      <t>*1000)</t>
    </r>
  </si>
  <si>
    <r>
      <t>S</t>
    </r>
    <r>
      <rPr>
        <vertAlign val="subscript"/>
        <sz val="11"/>
        <rFont val="Calibri"/>
        <family val="2"/>
      </rPr>
      <t>AN</t>
    </r>
    <r>
      <rPr>
        <sz val="11"/>
        <rFont val="Calibri"/>
        <family val="2"/>
      </rPr>
      <t>/(AM</t>
    </r>
    <r>
      <rPr>
        <vertAlign val="subscript"/>
        <sz val="11"/>
        <rFont val="Calibri"/>
        <family val="2"/>
      </rPr>
      <t>Cl</t>
    </r>
    <r>
      <rPr>
        <sz val="11"/>
        <rFont val="Calibri"/>
        <family val="2"/>
      </rPr>
      <t>*1000)</t>
    </r>
  </si>
  <si>
    <t>Charge balance error for SCAT calculation</t>
  </si>
  <si>
    <r>
      <t>pH</t>
    </r>
    <r>
      <rPr>
        <vertAlign val="subscript"/>
        <sz val="11"/>
        <rFont val="Calibri"/>
        <family val="2"/>
        <scheme val="minor"/>
      </rPr>
      <t>low</t>
    </r>
  </si>
  <si>
    <r>
      <t>pH</t>
    </r>
    <r>
      <rPr>
        <vertAlign val="subscript"/>
        <sz val="11"/>
        <rFont val="Calibri"/>
        <family val="2"/>
        <scheme val="minor"/>
      </rPr>
      <t>high</t>
    </r>
  </si>
  <si>
    <t>www.dynamita.com</t>
  </si>
  <si>
    <r>
      <t>f(G</t>
    </r>
    <r>
      <rPr>
        <vertAlign val="subscript"/>
        <sz val="11"/>
        <rFont val="Calibri"/>
        <family val="2"/>
      </rPr>
      <t>O2</t>
    </r>
    <r>
      <rPr>
        <sz val="11"/>
        <rFont val="Calibri"/>
        <family val="2"/>
      </rPr>
      <t>)</t>
    </r>
  </si>
  <si>
    <r>
      <t>f(G</t>
    </r>
    <r>
      <rPr>
        <vertAlign val="subscript"/>
        <sz val="11"/>
        <rFont val="Calibri"/>
        <family val="2"/>
      </rPr>
      <t>CO2</t>
    </r>
    <r>
      <rPr>
        <sz val="11"/>
        <rFont val="Calibri"/>
        <family val="2"/>
      </rPr>
      <t>)</t>
    </r>
  </si>
  <si>
    <r>
      <t>f(G</t>
    </r>
    <r>
      <rPr>
        <vertAlign val="subscript"/>
        <sz val="11"/>
        <rFont val="Calibri"/>
        <family val="2"/>
      </rPr>
      <t>CH4</t>
    </r>
    <r>
      <rPr>
        <sz val="11"/>
        <rFont val="Calibri"/>
        <family val="2"/>
      </rPr>
      <t>)</t>
    </r>
  </si>
  <si>
    <r>
      <t>f(G</t>
    </r>
    <r>
      <rPr>
        <vertAlign val="subscript"/>
        <sz val="11"/>
        <rFont val="Calibri"/>
        <family val="2"/>
      </rPr>
      <t>H2</t>
    </r>
    <r>
      <rPr>
        <sz val="11"/>
        <rFont val="Calibri"/>
        <family val="2"/>
      </rPr>
      <t>)</t>
    </r>
  </si>
  <si>
    <r>
      <t>f(G</t>
    </r>
    <r>
      <rPr>
        <vertAlign val="subscript"/>
        <sz val="11"/>
        <rFont val="Calibri"/>
        <family val="2"/>
      </rPr>
      <t>N2</t>
    </r>
    <r>
      <rPr>
        <sz val="11"/>
        <rFont val="Calibri"/>
        <family val="2"/>
      </rPr>
      <t>)</t>
    </r>
  </si>
  <si>
    <t>Other system parameters</t>
  </si>
  <si>
    <t>NoName</t>
  </si>
  <si>
    <t>Testing Attributes</t>
  </si>
  <si>
    <t>Biofilm</t>
  </si>
  <si>
    <t>TestAttribute</t>
  </si>
  <si>
    <r>
      <t>f(G</t>
    </r>
    <r>
      <rPr>
        <vertAlign val="subscript"/>
        <sz val="11"/>
        <rFont val="Calibri"/>
        <family val="2"/>
      </rPr>
      <t>H2S</t>
    </r>
    <r>
      <rPr>
        <sz val="11"/>
        <rFont val="Calibri"/>
        <family val="2"/>
      </rPr>
      <t>)</t>
    </r>
  </si>
  <si>
    <r>
      <t>f(G</t>
    </r>
    <r>
      <rPr>
        <vertAlign val="subscript"/>
        <sz val="11"/>
        <rFont val="Calibri"/>
        <family val="2"/>
      </rPr>
      <t>NH3</t>
    </r>
    <r>
      <rPr>
        <sz val="11"/>
        <rFont val="Calibri"/>
        <family val="2"/>
      </rPr>
      <t>)</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</si>
  <si>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</si>
  <si>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COD.m</t>
    </r>
    <r>
      <rPr>
        <vertAlign val="superscript"/>
        <sz val="11"/>
        <rFont val="Calibri"/>
        <family val="2"/>
        <scheme val="minor"/>
      </rPr>
      <t>-3</t>
    </r>
  </si>
  <si>
    <r>
      <t>K</t>
    </r>
    <r>
      <rPr>
        <vertAlign val="subscript"/>
        <sz val="11"/>
        <rFont val="Calibri"/>
        <family val="2"/>
        <scheme val="minor"/>
      </rPr>
      <t>PO4,PAO</t>
    </r>
  </si>
  <si>
    <r>
      <t>K</t>
    </r>
    <r>
      <rPr>
        <vertAlign val="subscript"/>
        <sz val="11"/>
        <rFont val="Calibri"/>
        <family val="2"/>
        <scheme val="minor"/>
      </rPr>
      <t>PP,lim</t>
    </r>
  </si>
  <si>
    <r>
      <t>K</t>
    </r>
    <r>
      <rPr>
        <vertAlign val="subscript"/>
        <sz val="11"/>
        <rFont val="Calibri"/>
        <family val="2"/>
        <scheme val="minor"/>
      </rPr>
      <t>HYD</t>
    </r>
  </si>
  <si>
    <r>
      <t>µ</t>
    </r>
    <r>
      <rPr>
        <vertAlign val="subscript"/>
        <sz val="11"/>
        <rFont val="Calibri"/>
        <family val="2"/>
        <scheme val="minor"/>
      </rPr>
      <t>OHO</t>
    </r>
  </si>
  <si>
    <r>
      <t>b</t>
    </r>
    <r>
      <rPr>
        <vertAlign val="subscript"/>
        <sz val="11"/>
        <rFont val="Calibri"/>
        <family val="2"/>
        <scheme val="minor"/>
      </rPr>
      <t>OHO</t>
    </r>
  </si>
  <si>
    <r>
      <t>µ</t>
    </r>
    <r>
      <rPr>
        <vertAlign val="subscript"/>
        <sz val="11"/>
        <rFont val="Calibri"/>
        <family val="2"/>
        <scheme val="minor"/>
      </rPr>
      <t>FERM,OHO</t>
    </r>
  </si>
  <si>
    <r>
      <t>µ</t>
    </r>
    <r>
      <rPr>
        <vertAlign val="subscript"/>
        <sz val="11"/>
        <rFont val="Calibri"/>
        <family val="2"/>
        <scheme val="minor"/>
      </rPr>
      <t>MEOLO</t>
    </r>
  </si>
  <si>
    <r>
      <t>b</t>
    </r>
    <r>
      <rPr>
        <vertAlign val="subscript"/>
        <sz val="11"/>
        <rFont val="Calibri"/>
        <family val="2"/>
        <scheme val="minor"/>
      </rPr>
      <t>MEOLO</t>
    </r>
  </si>
  <si>
    <r>
      <t>q</t>
    </r>
    <r>
      <rPr>
        <vertAlign val="subscript"/>
        <sz val="11"/>
        <rFont val="Calibri"/>
        <family val="2"/>
        <scheme val="minor"/>
      </rPr>
      <t>MEOL</t>
    </r>
  </si>
  <si>
    <r>
      <t>µ</t>
    </r>
    <r>
      <rPr>
        <vertAlign val="subscript"/>
        <sz val="11"/>
        <rFont val="Calibri"/>
        <family val="2"/>
        <scheme val="minor"/>
      </rPr>
      <t>AMETO</t>
    </r>
  </si>
  <si>
    <r>
      <t>b</t>
    </r>
    <r>
      <rPr>
        <vertAlign val="subscript"/>
        <sz val="11"/>
        <rFont val="Calibri"/>
        <family val="2"/>
        <scheme val="minor"/>
      </rPr>
      <t>AMETO</t>
    </r>
    <r>
      <rPr>
        <sz val="11"/>
        <color indexed="8"/>
        <rFont val="Calibri"/>
        <family val="2"/>
      </rPr>
      <t/>
    </r>
  </si>
  <si>
    <t>Parameters for half saturation coefficients in biofilms</t>
  </si>
  <si>
    <r>
      <rPr>
        <sz val="11"/>
        <rFont val="Calibri"/>
        <family val="2"/>
        <scheme val="minor"/>
      </rPr>
      <t>f</t>
    </r>
    <r>
      <rPr>
        <vertAlign val="subscript"/>
        <sz val="11"/>
        <rFont val="Calibri"/>
        <family val="2"/>
        <scheme val="minor"/>
      </rPr>
      <t>KS,biofilm</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</si>
  <si>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</si>
  <si>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</si>
  <si>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</si>
  <si>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</si>
  <si>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</si>
  <si>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</si>
  <si>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</si>
  <si>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</si>
  <si>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</si>
  <si>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t>Diffusion coefficient of hydrogen sulfide in water @ 25°C</t>
  </si>
  <si>
    <t>Enthalpy of water at 0°C</t>
  </si>
  <si>
    <t>Molecular mass of hydrogen sulphide</t>
  </si>
  <si>
    <r>
      <t>MM</t>
    </r>
    <r>
      <rPr>
        <vertAlign val="subscript"/>
        <sz val="11"/>
        <rFont val="Calibri"/>
        <family val="2"/>
        <scheme val="minor"/>
      </rPr>
      <t>ACP</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</si>
  <si>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</si>
  <si>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Precipitation/redissolution rates</t>
  </si>
  <si>
    <t>Digester</t>
  </si>
  <si>
    <t>NonDetect</t>
  </si>
  <si>
    <r>
      <t>g TIC.m</t>
    </r>
    <r>
      <rPr>
        <vertAlign val="superscript"/>
        <sz val="11"/>
        <rFont val="Calibri"/>
        <family val="2"/>
        <scheme val="minor"/>
      </rPr>
      <t>-3</t>
    </r>
  </si>
  <si>
    <t>Type(Energy)</t>
  </si>
  <si>
    <t>Temperature [K]</t>
  </si>
  <si>
    <t>Temperature [°C]</t>
  </si>
  <si>
    <t>°C</t>
  </si>
  <si>
    <t>Zero</t>
  </si>
  <si>
    <t xml:space="preserve">  </t>
  </si>
  <si>
    <t>Type(Chargebalance)</t>
  </si>
  <si>
    <t>Rate</t>
  </si>
  <si>
    <r>
      <t>f(S</t>
    </r>
    <r>
      <rPr>
        <vertAlign val="subscript"/>
        <sz val="11"/>
        <rFont val="Calibri"/>
        <family val="2"/>
        <scheme val="minor"/>
      </rPr>
      <t>CO2</t>
    </r>
    <r>
      <rPr>
        <sz val="11"/>
        <rFont val="Calibri"/>
        <family val="2"/>
        <scheme val="minor"/>
      </rPr>
      <t>); pH</t>
    </r>
  </si>
  <si>
    <r>
      <t>f(S</t>
    </r>
    <r>
      <rPr>
        <vertAlign val="subscript"/>
        <sz val="11"/>
        <rFont val="Calibri"/>
        <family val="2"/>
        <scheme val="minor"/>
      </rPr>
      <t>PO4</t>
    </r>
    <r>
      <rPr>
        <sz val="11"/>
        <rFont val="Calibri"/>
        <family val="2"/>
        <scheme val="minor"/>
      </rPr>
      <t>);pH</t>
    </r>
  </si>
  <si>
    <r>
      <t>f(S</t>
    </r>
    <r>
      <rPr>
        <vertAlign val="subscript"/>
        <sz val="11"/>
        <rFont val="Calibri"/>
        <family val="2"/>
        <scheme val="minor"/>
      </rPr>
      <t>Ca</t>
    </r>
    <r>
      <rPr>
        <sz val="11"/>
        <rFont val="Calibri"/>
        <family val="2"/>
        <scheme val="minor"/>
      </rPr>
      <t>); pH</t>
    </r>
  </si>
  <si>
    <r>
      <t>f(S</t>
    </r>
    <r>
      <rPr>
        <vertAlign val="subscript"/>
        <sz val="11"/>
        <rFont val="Calibri"/>
        <family val="2"/>
      </rPr>
      <t>Mg</t>
    </r>
    <r>
      <rPr>
        <sz val="11"/>
        <rFont val="Calibri"/>
        <family val="2"/>
      </rPr>
      <t>); pH</t>
    </r>
  </si>
  <si>
    <r>
      <t>f(S</t>
    </r>
    <r>
      <rPr>
        <vertAlign val="subscript"/>
        <sz val="11"/>
        <rFont val="Calibri"/>
        <family val="2"/>
      </rPr>
      <t>CAT</t>
    </r>
    <r>
      <rPr>
        <sz val="11"/>
        <rFont val="Calibri"/>
        <family val="2"/>
      </rPr>
      <t>); pH</t>
    </r>
  </si>
  <si>
    <r>
      <t>f(S</t>
    </r>
    <r>
      <rPr>
        <vertAlign val="subscript"/>
        <sz val="11"/>
        <rFont val="Calibri"/>
        <family val="2"/>
      </rPr>
      <t>K</t>
    </r>
    <r>
      <rPr>
        <sz val="11"/>
        <rFont val="Calibri"/>
        <family val="2"/>
      </rPr>
      <t>); pH</t>
    </r>
  </si>
  <si>
    <r>
      <t>f(S</t>
    </r>
    <r>
      <rPr>
        <vertAlign val="subscript"/>
        <sz val="11"/>
        <rFont val="Calibri"/>
        <family val="2"/>
      </rPr>
      <t>AN</t>
    </r>
    <r>
      <rPr>
        <sz val="11"/>
        <rFont val="Calibri"/>
        <family val="2"/>
      </rPr>
      <t>); pH</t>
    </r>
  </si>
  <si>
    <t>Hsat(var; halfval; halfinh)</t>
  </si>
  <si>
    <t>var / (halfval + var + (var^2/halfinh))</t>
  </si>
  <si>
    <t>Arrhenius coefficient for fermentation (OHO)</t>
  </si>
  <si>
    <t>Arrhenius coefficient for flocculation</t>
  </si>
  <si>
    <t>Arrhenius coefficient for hydrolysis</t>
  </si>
  <si>
    <t>Arrhenius coefficient for ammonification</t>
  </si>
  <si>
    <t>Arrhenius coefficient for PO4 conversion</t>
  </si>
  <si>
    <t>Arrhenius coefficient endogenous residual conversion</t>
  </si>
  <si>
    <t>Arrhenius coefficient assimilative kinetics</t>
  </si>
  <si>
    <t>Arrhenius coefficient for OHO growth</t>
  </si>
  <si>
    <t>Arrhenius coefficient for OHO decay</t>
  </si>
  <si>
    <t>Arrhenius coefficient for MEOLO growth</t>
  </si>
  <si>
    <t>Arrhenius coefficient for MEOLO decay</t>
  </si>
  <si>
    <t>Arrhenius coefficient for PAO growth (P limited)</t>
  </si>
  <si>
    <t>Arrhenius coefficient for PHA storage</t>
  </si>
  <si>
    <t>Arrhenius coefficient for anaerobic PP storage</t>
  </si>
  <si>
    <t>Arrhenius coefficient for AMETO growth</t>
  </si>
  <si>
    <t>Arrhenius coefficient for AMETO decay</t>
  </si>
  <si>
    <t>Arrhenius coefficient for HMETO growth</t>
  </si>
  <si>
    <t>Arrhenius coefficient for HMETO decay</t>
  </si>
  <si>
    <r>
      <t>f(S</t>
    </r>
    <r>
      <rPr>
        <vertAlign val="subscript"/>
        <sz val="11"/>
        <rFont val="Calibri"/>
        <family val="2"/>
        <scheme val="minor"/>
      </rPr>
      <t>NHx</t>
    </r>
    <r>
      <rPr>
        <sz val="11"/>
        <rFont val="Calibri"/>
        <family val="2"/>
        <scheme val="minor"/>
      </rPr>
      <t>); pH</t>
    </r>
  </si>
  <si>
    <t>Non-Biofilm</t>
  </si>
  <si>
    <t>Non-pHSet; pH</t>
  </si>
  <si>
    <r>
      <t>[AN</t>
    </r>
    <r>
      <rPr>
        <b/>
        <vertAlign val="superscript"/>
        <sz val="11"/>
        <rFont val="Calibri"/>
        <family val="2"/>
      </rPr>
      <t>-</t>
    </r>
    <r>
      <rPr>
        <b/>
        <sz val="11"/>
        <rFont val="Calibri"/>
        <family val="2"/>
      </rPr>
      <t>]</t>
    </r>
  </si>
  <si>
    <r>
      <t>[CAT</t>
    </r>
    <r>
      <rPr>
        <b/>
        <vertAlign val="superscript"/>
        <sz val="11"/>
        <rFont val="Calibri"/>
        <family val="2"/>
      </rPr>
      <t>+</t>
    </r>
    <r>
      <rPr>
        <b/>
        <sz val="11"/>
        <rFont val="Calibri"/>
        <family val="2"/>
      </rPr>
      <t>]</t>
    </r>
  </si>
  <si>
    <t>Parameters for gas transfer</t>
  </si>
  <si>
    <t>BigNumber</t>
  </si>
  <si>
    <t>pHSet</t>
  </si>
  <si>
    <r>
      <t>Diffusion coefficient of N</t>
    </r>
    <r>
      <rPr>
        <vertAlign val="subscript"/>
        <sz val="11"/>
        <rFont val="Calibri"/>
        <family val="2"/>
      </rPr>
      <t>2</t>
    </r>
    <r>
      <rPr>
        <sz val="11"/>
        <rFont val="Calibri"/>
        <family val="2"/>
      </rPr>
      <t>O in water @ 25°C</t>
    </r>
  </si>
  <si>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</si>
  <si>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</si>
  <si>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</si>
  <si>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</si>
  <si>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</si>
  <si>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</si>
  <si>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scheme val="minor"/>
      </rPr>
      <t>EQ,GN2</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</si>
  <si>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</si>
  <si>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</si>
  <si>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</si>
  <si>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</si>
  <si>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</si>
  <si>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</si>
  <si>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t>Hvitved-Jacobsen 2013</t>
  </si>
  <si>
    <t>base is sulphate</t>
  </si>
  <si>
    <t>pH = 4.1929</t>
  </si>
  <si>
    <t>Standard enthalpy of hydrogen sulfide (aq)</t>
  </si>
  <si>
    <t>Standard enthalpy of bisulfide ion</t>
  </si>
  <si>
    <t xml:space="preserve">Minteq V4 H+ + HS- = H2S  (log_k 7.02/ delta_h -22 kJ)and  HS- = S-2 + H+ ( log_k -17.3/delta_h 49.4 kJ)
</t>
  </si>
  <si>
    <t>Standard enthalpy of sulfide ion</t>
  </si>
  <si>
    <t>Standard enthalpy of sulfuric acid</t>
  </si>
  <si>
    <t>Standard enthalpy of hydrosulfate ion</t>
  </si>
  <si>
    <t>Minteq V4 H+ + SO42- = HSO4- (log_k 1.99/ delta_h 22 kJ) and http://bluedevilchem.com/honorshome/hch10/hch10docs/files/heatsformation.pdf</t>
  </si>
  <si>
    <t>Standard enthalpy of sulfate ion</t>
  </si>
  <si>
    <r>
      <t>S</t>
    </r>
    <r>
      <rPr>
        <vertAlign val="subscript"/>
        <sz val="11"/>
        <rFont val="Calibri"/>
        <family val="2"/>
        <scheme val="minor"/>
      </rPr>
      <t>ALK</t>
    </r>
  </si>
  <si>
    <r>
      <t>f</t>
    </r>
    <r>
      <rPr>
        <vertAlign val="subscript"/>
        <sz val="11"/>
        <rFont val="Calibri"/>
        <family val="2"/>
      </rPr>
      <t>mono,IS,cat</t>
    </r>
  </si>
  <si>
    <r>
      <t>f</t>
    </r>
    <r>
      <rPr>
        <vertAlign val="subscript"/>
        <sz val="11"/>
        <rFont val="Calibri"/>
        <family val="2"/>
      </rPr>
      <t>mono,IS,an</t>
    </r>
  </si>
  <si>
    <r>
      <t>f</t>
    </r>
    <r>
      <rPr>
        <vertAlign val="subscript"/>
        <sz val="11"/>
        <rFont val="Calibri"/>
        <family val="2"/>
      </rPr>
      <t>di,IS,an</t>
    </r>
  </si>
  <si>
    <r>
      <t>f</t>
    </r>
    <r>
      <rPr>
        <vertAlign val="subscript"/>
        <sz val="11"/>
        <rFont val="Calibri"/>
        <family val="2"/>
      </rPr>
      <t>tri,IS,an</t>
    </r>
  </si>
  <si>
    <r>
      <t>f</t>
    </r>
    <r>
      <rPr>
        <vertAlign val="subscript"/>
        <sz val="11"/>
        <rFont val="Calibri"/>
        <family val="2"/>
      </rPr>
      <t>di,IS,cat</t>
    </r>
  </si>
  <si>
    <t>Enthalpy</t>
  </si>
  <si>
    <t>Water with 0°C is considered to have zero enthalpy. Initial values are calculated for 20°C</t>
  </si>
  <si>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</si>
  <si>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</si>
  <si>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</si>
  <si>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</si>
  <si>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</si>
  <si>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</si>
  <si>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</si>
  <si>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</si>
  <si>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</si>
  <si>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r>
      <t>MM</t>
    </r>
    <r>
      <rPr>
        <vertAlign val="subscript"/>
        <sz val="11"/>
        <rFont val="Calibri"/>
        <family val="2"/>
        <scheme val="minor"/>
      </rPr>
      <t>CaPO4</t>
    </r>
  </si>
  <si>
    <r>
      <t>MM</t>
    </r>
    <r>
      <rPr>
        <vertAlign val="subscript"/>
        <sz val="11"/>
        <rFont val="Calibri"/>
        <family val="2"/>
        <scheme val="minor"/>
      </rPr>
      <t>CaHPO4</t>
    </r>
  </si>
  <si>
    <r>
      <t>MM</t>
    </r>
    <r>
      <rPr>
        <vertAlign val="subscript"/>
        <sz val="11"/>
        <rFont val="Calibri"/>
        <family val="2"/>
        <scheme val="minor"/>
      </rPr>
      <t>CaH2PO4</t>
    </r>
  </si>
  <si>
    <r>
      <t>MM</t>
    </r>
    <r>
      <rPr>
        <vertAlign val="subscript"/>
        <sz val="11"/>
        <rFont val="Calibri"/>
        <family val="2"/>
        <scheme val="minor"/>
      </rPr>
      <t>MgOH</t>
    </r>
  </si>
  <si>
    <r>
      <t>MM</t>
    </r>
    <r>
      <rPr>
        <vertAlign val="subscript"/>
        <sz val="11"/>
        <rFont val="Calibri"/>
        <family val="2"/>
        <scheme val="minor"/>
      </rPr>
      <t>MgCO3</t>
    </r>
  </si>
  <si>
    <r>
      <t>MM</t>
    </r>
    <r>
      <rPr>
        <vertAlign val="subscript"/>
        <sz val="11"/>
        <rFont val="Calibri"/>
        <family val="2"/>
        <scheme val="minor"/>
      </rPr>
      <t>MgHCO3</t>
    </r>
  </si>
  <si>
    <r>
      <t>MM</t>
    </r>
    <r>
      <rPr>
        <vertAlign val="subscript"/>
        <sz val="11"/>
        <rFont val="Calibri"/>
        <family val="2"/>
        <scheme val="minor"/>
      </rPr>
      <t>MgHPO4</t>
    </r>
  </si>
  <si>
    <r>
      <t>MM</t>
    </r>
    <r>
      <rPr>
        <vertAlign val="subscript"/>
        <sz val="11"/>
        <rFont val="Calibri"/>
        <family val="2"/>
        <scheme val="minor"/>
      </rPr>
      <t>MgPO4</t>
    </r>
  </si>
  <si>
    <r>
      <t>MM</t>
    </r>
    <r>
      <rPr>
        <vertAlign val="subscript"/>
        <sz val="11"/>
        <rFont val="Calibri"/>
        <family val="2"/>
        <scheme val="minor"/>
      </rPr>
      <t>MgH2PO4</t>
    </r>
  </si>
  <si>
    <r>
      <t>MM</t>
    </r>
    <r>
      <rPr>
        <vertAlign val="subscript"/>
        <sz val="11"/>
        <rFont val="Calibri"/>
        <family val="2"/>
        <scheme val="minor"/>
      </rPr>
      <t>NaHPO4</t>
    </r>
  </si>
  <si>
    <t>Precipitation constants</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</si>
  <si>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</si>
  <si>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</si>
  <si>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</si>
  <si>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</si>
  <si>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</si>
  <si>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r>
      <t>g.m</t>
    </r>
    <r>
      <rPr>
        <vertAlign val="superscript"/>
        <sz val="11"/>
        <rFont val="Calibri"/>
        <family val="2"/>
        <scheme val="minor"/>
      </rPr>
      <t>-3</t>
    </r>
    <r>
      <rPr>
        <sz val="11"/>
        <rFont val="Calibri"/>
        <family val="2"/>
        <scheme val="minor"/>
      </rPr>
      <t>.d</t>
    </r>
    <r>
      <rPr>
        <vertAlign val="superscript"/>
        <sz val="11"/>
        <rFont val="Calibri"/>
        <family val="2"/>
        <scheme val="minor"/>
      </rPr>
      <t>-1</t>
    </r>
  </si>
  <si>
    <t>d-1</t>
  </si>
  <si>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</si>
  <si>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 constants - activity corrected</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</si>
  <si>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</si>
  <si>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</si>
  <si>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sp,Vivi,param</t>
    </r>
  </si>
  <si>
    <r>
      <t>K</t>
    </r>
    <r>
      <rPr>
        <vertAlign val="subscript"/>
        <sz val="11"/>
        <rFont val="Calibri"/>
        <family val="2"/>
        <scheme val="minor"/>
      </rPr>
      <t>sp,HDP,param</t>
    </r>
  </si>
  <si>
    <r>
      <t>K</t>
    </r>
    <r>
      <rPr>
        <vertAlign val="subscript"/>
        <sz val="11"/>
        <rFont val="Calibri"/>
        <family val="2"/>
        <scheme val="minor"/>
      </rPr>
      <t>sp,MKP,param</t>
    </r>
  </si>
  <si>
    <r>
      <t>K</t>
    </r>
    <r>
      <rPr>
        <vertAlign val="subscript"/>
        <sz val="11"/>
        <rFont val="Calibri"/>
        <family val="2"/>
        <scheme val="minor"/>
      </rPr>
      <t>sp,ACP,param</t>
    </r>
  </si>
  <si>
    <r>
      <t>K</t>
    </r>
    <r>
      <rPr>
        <vertAlign val="subscript"/>
        <sz val="11"/>
        <rFont val="Calibri"/>
        <family val="2"/>
        <scheme val="minor"/>
      </rPr>
      <t>sp,STR</t>
    </r>
  </si>
  <si>
    <r>
      <t>K</t>
    </r>
    <r>
      <rPr>
        <vertAlign val="subscript"/>
        <sz val="11"/>
        <rFont val="Calibri"/>
        <family val="2"/>
        <scheme val="minor"/>
      </rPr>
      <t>sp,Vivi</t>
    </r>
  </si>
  <si>
    <r>
      <t>K</t>
    </r>
    <r>
      <rPr>
        <vertAlign val="subscript"/>
        <sz val="11"/>
        <rFont val="Calibri"/>
        <family val="2"/>
        <scheme val="minor"/>
      </rPr>
      <t>sp,ACP</t>
    </r>
  </si>
  <si>
    <r>
      <t>K</t>
    </r>
    <r>
      <rPr>
        <vertAlign val="subscript"/>
        <sz val="11"/>
        <rFont val="Calibri"/>
        <family val="2"/>
        <scheme val="minor"/>
      </rPr>
      <t>sp,CaCO3</t>
    </r>
  </si>
  <si>
    <r>
      <t>EEQ</t>
    </r>
    <r>
      <rPr>
        <vertAlign val="subscript"/>
        <sz val="11"/>
        <rFont val="Calibri"/>
        <family val="2"/>
        <scheme val="minor"/>
      </rPr>
      <t>S</t>
    </r>
  </si>
  <si>
    <t>Molecular mass of CaHCO3+</t>
  </si>
  <si>
    <t>Molecular mass of CaPO4-</t>
  </si>
  <si>
    <t>Molecular mass of CaHPO4</t>
  </si>
  <si>
    <t>Molecular mass of CaH2PO4+</t>
  </si>
  <si>
    <t>Molecular mass of MgOH+</t>
  </si>
  <si>
    <t>Molecular mass of MgCO3</t>
  </si>
  <si>
    <t>Molecular mass of MgHCO3+</t>
  </si>
  <si>
    <t>Molecular mass of MgHPO4</t>
  </si>
  <si>
    <t>Molecular mass of MgPO4-</t>
  </si>
  <si>
    <t>Molecular mass of MgH2PO4+</t>
  </si>
  <si>
    <t>Molecular mass of NaHPO4-</t>
  </si>
  <si>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</si>
  <si>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</si>
  <si>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</si>
  <si>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r>
      <t>K</t>
    </r>
    <r>
      <rPr>
        <vertAlign val="subscript"/>
        <sz val="11"/>
        <rFont val="Calibri"/>
        <family val="2"/>
        <scheme val="minor"/>
      </rPr>
      <t>SO42,param</t>
    </r>
  </si>
  <si>
    <r>
      <t>K</t>
    </r>
    <r>
      <rPr>
        <vertAlign val="subscript"/>
        <sz val="11"/>
        <rFont val="Calibri"/>
        <family val="2"/>
        <scheme val="minor"/>
      </rPr>
      <t>sp,FeS,param</t>
    </r>
  </si>
  <si>
    <r>
      <t>EEQ</t>
    </r>
    <r>
      <rPr>
        <vertAlign val="subscript"/>
        <sz val="11"/>
        <rFont val="Calibri"/>
        <family val="2"/>
        <scheme val="minor"/>
      </rPr>
      <t>Fe2</t>
    </r>
  </si>
  <si>
    <r>
      <t>Electron equivalence of Fe</t>
    </r>
    <r>
      <rPr>
        <vertAlign val="superscript"/>
        <sz val="11"/>
        <rFont val="Calibri"/>
        <family val="2"/>
        <scheme val="minor"/>
      </rPr>
      <t>2+</t>
    </r>
  </si>
  <si>
    <r>
      <t>H</t>
    </r>
    <r>
      <rPr>
        <vertAlign val="subscript"/>
        <sz val="11"/>
        <rFont val="Calibri"/>
        <family val="2"/>
        <scheme val="minor"/>
      </rPr>
      <t>H2S</t>
    </r>
  </si>
  <si>
    <r>
      <t>H</t>
    </r>
    <r>
      <rPr>
        <vertAlign val="subscript"/>
        <sz val="11"/>
        <rFont val="Calibri"/>
        <family val="2"/>
        <scheme val="minor"/>
      </rPr>
      <t>HSm</t>
    </r>
  </si>
  <si>
    <r>
      <t>H</t>
    </r>
    <r>
      <rPr>
        <vertAlign val="subscript"/>
        <sz val="11"/>
        <rFont val="Calibri"/>
        <family val="2"/>
        <scheme val="minor"/>
      </rPr>
      <t>S2m</t>
    </r>
  </si>
  <si>
    <r>
      <t>H</t>
    </r>
    <r>
      <rPr>
        <vertAlign val="subscript"/>
        <sz val="11"/>
        <rFont val="Calibri"/>
        <family val="2"/>
        <scheme val="minor"/>
      </rPr>
      <t>H2SO4</t>
    </r>
  </si>
  <si>
    <r>
      <t>H</t>
    </r>
    <r>
      <rPr>
        <vertAlign val="subscript"/>
        <sz val="11"/>
        <rFont val="Calibri"/>
        <family val="2"/>
        <scheme val="minor"/>
      </rPr>
      <t>HSO4m</t>
    </r>
  </si>
  <si>
    <r>
      <t>H</t>
    </r>
    <r>
      <rPr>
        <vertAlign val="subscript"/>
        <sz val="11"/>
        <rFont val="Calibri"/>
        <family val="2"/>
        <scheme val="minor"/>
      </rPr>
      <t>SO42m</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</si>
  <si>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</si>
  <si>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</si>
  <si>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</si>
  <si>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</si>
  <si>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</si>
  <si>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</si>
  <si>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</si>
  <si>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</si>
  <si>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t>r30</t>
  </si>
  <si>
    <t>r31</t>
  </si>
  <si>
    <t>Precipitation kinetics</t>
  </si>
  <si>
    <t>Arrhenius coefficient for ferrous iron oxidation kinetics</t>
  </si>
  <si>
    <t>Arrhenius coefficient for ferric iron reduction kinetics</t>
  </si>
  <si>
    <r>
      <t>i</t>
    </r>
    <r>
      <rPr>
        <vertAlign val="subscript"/>
        <sz val="11"/>
        <rFont val="Calibri"/>
        <family val="2"/>
        <scheme val="minor"/>
      </rPr>
      <t>N,XSTR</t>
    </r>
  </si>
  <si>
    <r>
      <t>i</t>
    </r>
    <r>
      <rPr>
        <vertAlign val="subscript"/>
        <sz val="11"/>
        <rFont val="Calibri"/>
        <family val="2"/>
        <scheme val="minor"/>
      </rPr>
      <t>P,XACP</t>
    </r>
  </si>
  <si>
    <r>
      <t>q</t>
    </r>
    <r>
      <rPr>
        <vertAlign val="subscript"/>
        <sz val="11"/>
        <color theme="1"/>
        <rFont val="Calibri"/>
        <family val="2"/>
        <scheme val="minor"/>
      </rPr>
      <t>STR</t>
    </r>
  </si>
  <si>
    <r>
      <t>q</t>
    </r>
    <r>
      <rPr>
        <vertAlign val="subscript"/>
        <sz val="11"/>
        <color theme="1"/>
        <rFont val="Calibri"/>
        <family val="2"/>
        <scheme val="minor"/>
      </rPr>
      <t>ACP</t>
    </r>
  </si>
  <si>
    <r>
      <t>q</t>
    </r>
    <r>
      <rPr>
        <vertAlign val="subscript"/>
        <sz val="11"/>
        <color theme="1"/>
        <rFont val="Calibri"/>
        <family val="2"/>
        <scheme val="minor"/>
      </rPr>
      <t>CaCO3</t>
    </r>
  </si>
  <si>
    <r>
      <t>q</t>
    </r>
    <r>
      <rPr>
        <vertAlign val="subscript"/>
        <sz val="11"/>
        <color theme="1"/>
        <rFont val="Calibri"/>
        <family val="2"/>
        <scheme val="minor"/>
      </rPr>
      <t>Vivi</t>
    </r>
  </si>
  <si>
    <r>
      <t>i</t>
    </r>
    <r>
      <rPr>
        <vertAlign val="subscript"/>
        <sz val="11"/>
        <rFont val="Calibri"/>
        <family val="2"/>
        <scheme val="minor"/>
      </rPr>
      <t>P,XVivi</t>
    </r>
  </si>
  <si>
    <t>2/3</t>
  </si>
  <si>
    <t>1/3</t>
  </si>
  <si>
    <r>
      <t>i</t>
    </r>
    <r>
      <rPr>
        <vertAlign val="subscript"/>
        <sz val="11"/>
        <rFont val="Calibri"/>
        <family val="2"/>
        <scheme val="minor"/>
      </rPr>
      <t>K,PP</t>
    </r>
  </si>
  <si>
    <t>(k)/(s/x+k)</t>
  </si>
  <si>
    <t>Logsat(var; halfval; slope)</t>
  </si>
  <si>
    <t>Loginh(var; halfval; slope)</t>
  </si>
  <si>
    <t>Dmp(dx; x)</t>
  </si>
  <si>
    <t xml:space="preserve">Derivative damping </t>
  </si>
  <si>
    <r>
      <t>Henry</t>
    </r>
    <r>
      <rPr>
        <vertAlign val="subscript"/>
        <sz val="11"/>
        <rFont val="Calibri"/>
        <family val="2"/>
        <scheme val="minor"/>
      </rPr>
      <t>GO2</t>
    </r>
    <r>
      <rPr>
        <sz val="11"/>
        <rFont val="Calibri"/>
        <family val="2"/>
        <scheme val="minor"/>
      </rPr>
      <t>(T)</t>
    </r>
  </si>
  <si>
    <r>
      <t>Temperature dependent Henry coefficient for O</t>
    </r>
    <r>
      <rPr>
        <vertAlign val="subscript"/>
        <sz val="11"/>
        <rFont val="Calibri"/>
        <family val="2"/>
        <scheme val="minor"/>
      </rPr>
      <t>2</t>
    </r>
  </si>
  <si>
    <r>
      <t>Henry</t>
    </r>
    <r>
      <rPr>
        <vertAlign val="subscript"/>
        <sz val="11"/>
        <rFont val="Calibri"/>
        <family val="2"/>
        <scheme val="minor"/>
      </rPr>
      <t>GO2_25</t>
    </r>
    <r>
      <rPr>
        <sz val="11"/>
        <rFont val="Calibri"/>
        <family val="2"/>
        <scheme val="minor"/>
      </rPr>
      <t>*Exp(Henry</t>
    </r>
    <r>
      <rPr>
        <vertAlign val="subscript"/>
        <sz val="11"/>
        <rFont val="Calibri"/>
        <family val="2"/>
        <scheme val="minor"/>
      </rPr>
      <t>GO2_dt</t>
    </r>
    <r>
      <rPr>
        <sz val="11"/>
        <rFont val="Calibri"/>
        <family val="2"/>
        <scheme val="minor"/>
      </rPr>
      <t>*((1/T)-(1/298.15)))</t>
    </r>
  </si>
  <si>
    <r>
      <t>Henry</t>
    </r>
    <r>
      <rPr>
        <vertAlign val="subscript"/>
        <sz val="11"/>
        <rFont val="Calibri"/>
        <family val="2"/>
        <scheme val="minor"/>
      </rPr>
      <t>GCO2</t>
    </r>
    <r>
      <rPr>
        <sz val="11"/>
        <rFont val="Calibri"/>
        <family val="2"/>
        <scheme val="minor"/>
      </rPr>
      <t>(T)</t>
    </r>
  </si>
  <si>
    <r>
      <t>Temperature dependent Henry coefficient for CO</t>
    </r>
    <r>
      <rPr>
        <vertAlign val="subscript"/>
        <sz val="11"/>
        <rFont val="Calibri"/>
        <family val="2"/>
        <scheme val="minor"/>
      </rPr>
      <t>2</t>
    </r>
  </si>
  <si>
    <r>
      <t>Henry</t>
    </r>
    <r>
      <rPr>
        <vertAlign val="subscript"/>
        <sz val="11"/>
        <rFont val="Calibri"/>
        <family val="2"/>
        <scheme val="minor"/>
      </rPr>
      <t>GCO2_25</t>
    </r>
    <r>
      <rPr>
        <sz val="11"/>
        <rFont val="Calibri"/>
        <family val="2"/>
        <scheme val="minor"/>
      </rPr>
      <t>*Exp(Henry</t>
    </r>
    <r>
      <rPr>
        <vertAlign val="subscript"/>
        <sz val="11"/>
        <rFont val="Calibri"/>
        <family val="2"/>
        <scheme val="minor"/>
      </rPr>
      <t>GCO2_dt</t>
    </r>
    <r>
      <rPr>
        <sz val="11"/>
        <rFont val="Calibri"/>
        <family val="2"/>
        <scheme val="minor"/>
      </rPr>
      <t>*((1/T)-(1/298.15)))</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</si>
  <si>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</si>
  <si>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GNO_25</t>
    </r>
    <r>
      <rPr>
        <sz val="11"/>
        <rFont val="Calibri"/>
        <family val="2"/>
        <scheme val="minor"/>
      </rPr>
      <t>*Exp(Henry</t>
    </r>
    <r>
      <rPr>
        <vertAlign val="subscript"/>
        <sz val="11"/>
        <rFont val="Calibri"/>
        <family val="2"/>
        <scheme val="minor"/>
      </rPr>
      <t>GNO_dt</t>
    </r>
    <r>
      <rPr>
        <sz val="11"/>
        <rFont val="Calibri"/>
        <family val="2"/>
        <scheme val="minor"/>
      </rPr>
      <t>*((1/T)-(1/298.15)))</t>
    </r>
  </si>
  <si>
    <r>
      <t>Henry</t>
    </r>
    <r>
      <rPr>
        <vertAlign val="subscript"/>
        <sz val="11"/>
        <rFont val="Calibri"/>
        <family val="2"/>
        <scheme val="minor"/>
      </rPr>
      <t>GN2O</t>
    </r>
    <r>
      <rPr>
        <sz val="11"/>
        <rFont val="Calibri"/>
        <family val="2"/>
        <scheme val="minor"/>
      </rPr>
      <t>(T)</t>
    </r>
  </si>
  <si>
    <r>
      <t>Temperature dependent Henry coefficient for N</t>
    </r>
    <r>
      <rPr>
        <vertAlign val="subscript"/>
        <sz val="11"/>
        <rFont val="Calibri"/>
        <family val="2"/>
        <scheme val="minor"/>
      </rPr>
      <t>2</t>
    </r>
    <r>
      <rPr>
        <sz val="11"/>
        <rFont val="Calibri"/>
        <family val="2"/>
        <scheme val="minor"/>
      </rPr>
      <t>O</t>
    </r>
  </si>
  <si>
    <r>
      <t>Henry</t>
    </r>
    <r>
      <rPr>
        <vertAlign val="subscript"/>
        <sz val="11"/>
        <rFont val="Calibri"/>
        <family val="2"/>
        <scheme val="minor"/>
      </rPr>
      <t>GN2O_25</t>
    </r>
    <r>
      <rPr>
        <sz val="11"/>
        <rFont val="Calibri"/>
        <family val="2"/>
        <scheme val="minor"/>
      </rPr>
      <t>*Exp(Henry</t>
    </r>
    <r>
      <rPr>
        <vertAlign val="subscript"/>
        <sz val="11"/>
        <rFont val="Calibri"/>
        <family val="2"/>
        <scheme val="minor"/>
      </rPr>
      <t>GN2O_dt</t>
    </r>
    <r>
      <rPr>
        <sz val="11"/>
        <rFont val="Calibri"/>
        <family val="2"/>
        <scheme val="minor"/>
      </rPr>
      <t>*((1/T)-(1/298.15)))</t>
    </r>
  </si>
  <si>
    <r>
      <t>Henry</t>
    </r>
    <r>
      <rPr>
        <vertAlign val="subscript"/>
        <sz val="11"/>
        <rFont val="Calibri"/>
        <family val="2"/>
        <scheme val="minor"/>
      </rPr>
      <t>GN2</t>
    </r>
    <r>
      <rPr>
        <sz val="11"/>
        <rFont val="Calibri"/>
        <family val="2"/>
        <scheme val="minor"/>
      </rPr>
      <t>(T)</t>
    </r>
  </si>
  <si>
    <r>
      <t>Temperature dependent Henry coefficient for N</t>
    </r>
    <r>
      <rPr>
        <vertAlign val="subscript"/>
        <sz val="11"/>
        <rFont val="Calibri"/>
        <family val="2"/>
        <scheme val="minor"/>
      </rPr>
      <t>2</t>
    </r>
  </si>
  <si>
    <r>
      <t>Henry</t>
    </r>
    <r>
      <rPr>
        <vertAlign val="subscript"/>
        <sz val="11"/>
        <rFont val="Calibri"/>
        <family val="2"/>
        <scheme val="minor"/>
      </rPr>
      <t>GN2_25</t>
    </r>
    <r>
      <rPr>
        <sz val="11"/>
        <rFont val="Calibri"/>
        <family val="2"/>
        <scheme val="minor"/>
      </rPr>
      <t>*Exp(Henry</t>
    </r>
    <r>
      <rPr>
        <vertAlign val="subscript"/>
        <sz val="11"/>
        <rFont val="Calibri"/>
        <family val="2"/>
        <scheme val="minor"/>
      </rPr>
      <t>GN2_dt</t>
    </r>
    <r>
      <rPr>
        <sz val="11"/>
        <rFont val="Calibri"/>
        <family val="2"/>
        <scheme val="minor"/>
      </rPr>
      <t>*((1/T)-(1/298.15)))</t>
    </r>
  </si>
  <si>
    <r>
      <t>Henry</t>
    </r>
    <r>
      <rPr>
        <vertAlign val="subscript"/>
        <sz val="11"/>
        <rFont val="Calibri"/>
        <family val="2"/>
        <scheme val="minor"/>
      </rPr>
      <t>GH2</t>
    </r>
    <r>
      <rPr>
        <sz val="11"/>
        <rFont val="Calibri"/>
        <family val="2"/>
        <scheme val="minor"/>
      </rPr>
      <t>(T)</t>
    </r>
  </si>
  <si>
    <r>
      <t>Temperature dependent Henry coefficient for H</t>
    </r>
    <r>
      <rPr>
        <vertAlign val="subscript"/>
        <sz val="11"/>
        <rFont val="Calibri"/>
        <family val="2"/>
        <scheme val="minor"/>
      </rPr>
      <t>2</t>
    </r>
  </si>
  <si>
    <r>
      <t>Henry</t>
    </r>
    <r>
      <rPr>
        <vertAlign val="subscript"/>
        <sz val="11"/>
        <rFont val="Calibri"/>
        <family val="2"/>
        <scheme val="minor"/>
      </rPr>
      <t>GH2_25</t>
    </r>
    <r>
      <rPr>
        <sz val="11"/>
        <rFont val="Calibri"/>
        <family val="2"/>
        <scheme val="minor"/>
      </rPr>
      <t>*Exp(Henry</t>
    </r>
    <r>
      <rPr>
        <vertAlign val="subscript"/>
        <sz val="11"/>
        <rFont val="Calibri"/>
        <family val="2"/>
        <scheme val="minor"/>
      </rPr>
      <t>GH2_dt</t>
    </r>
    <r>
      <rPr>
        <sz val="11"/>
        <rFont val="Calibri"/>
        <family val="2"/>
        <scheme val="minor"/>
      </rPr>
      <t>*((1/T)-(1/298.15)))</t>
    </r>
  </si>
  <si>
    <r>
      <t>Henry</t>
    </r>
    <r>
      <rPr>
        <vertAlign val="subscript"/>
        <sz val="11"/>
        <rFont val="Calibri"/>
        <family val="2"/>
        <scheme val="minor"/>
      </rPr>
      <t>GCH4</t>
    </r>
    <r>
      <rPr>
        <sz val="11"/>
        <rFont val="Calibri"/>
        <family val="2"/>
        <scheme val="minor"/>
      </rPr>
      <t>(T)</t>
    </r>
  </si>
  <si>
    <r>
      <t>Temperature dependent Henry coefficient for CH</t>
    </r>
    <r>
      <rPr>
        <vertAlign val="subscript"/>
        <sz val="11"/>
        <rFont val="Calibri"/>
        <family val="2"/>
        <scheme val="minor"/>
      </rPr>
      <t>4</t>
    </r>
  </si>
  <si>
    <r>
      <t>Henry</t>
    </r>
    <r>
      <rPr>
        <vertAlign val="subscript"/>
        <sz val="11"/>
        <rFont val="Calibri"/>
        <family val="2"/>
        <scheme val="minor"/>
      </rPr>
      <t>GCH4_25</t>
    </r>
    <r>
      <rPr>
        <sz val="11"/>
        <rFont val="Calibri"/>
        <family val="2"/>
        <scheme val="minor"/>
      </rPr>
      <t>*Exp(Henry</t>
    </r>
    <r>
      <rPr>
        <vertAlign val="subscript"/>
        <sz val="11"/>
        <rFont val="Calibri"/>
        <family val="2"/>
        <scheme val="minor"/>
      </rPr>
      <t>GCH4_dt</t>
    </r>
    <r>
      <rPr>
        <sz val="11"/>
        <rFont val="Calibri"/>
        <family val="2"/>
        <scheme val="minor"/>
      </rPr>
      <t>*((1/T)-(1/298.15)))</t>
    </r>
  </si>
  <si>
    <t>C++ functions</t>
  </si>
  <si>
    <t>New functions to be used only in C++ (must follow C++ syntax)</t>
  </si>
  <si>
    <t>SignedAbs(x1; x2)</t>
  </si>
  <si>
    <t>Abs value with sign of x2</t>
  </si>
  <si>
    <t>Sign(x2) * abs(x1)</t>
  </si>
  <si>
    <t>Damp(x)</t>
  </si>
  <si>
    <t xml:space="preserve">Logarithmic damping </t>
  </si>
  <si>
    <t>AbsError(modelvar;data)</t>
  </si>
  <si>
    <t>Absolute error</t>
  </si>
  <si>
    <t>abs(modelvar-data)</t>
  </si>
  <si>
    <t>RelError(modelvar;data)</t>
  </si>
  <si>
    <t>Relative error</t>
  </si>
  <si>
    <t>abs((modelvar-data)/modelvar)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</si>
  <si>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</si>
  <si>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</si>
  <si>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</si>
  <si>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</si>
  <si>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</si>
  <si>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</si>
  <si>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</si>
  <si>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</si>
  <si>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</si>
  <si>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SumIf([] x;[] y; z)</t>
  </si>
  <si>
    <t>Conditional sum</t>
  </si>
  <si>
    <t>If(BOOL a;b;c)</t>
  </si>
  <si>
    <t>if (a is true) then b else c</t>
  </si>
  <si>
    <t>return a ? b : c;</t>
  </si>
  <si>
    <t>Average([] x)</t>
  </si>
  <si>
    <t>Average of array elements</t>
  </si>
  <si>
    <t>Max([] x)</t>
  </si>
  <si>
    <t>Maximum of array elements</t>
  </si>
  <si>
    <t>Min([] x)</t>
  </si>
  <si>
    <t>Minimum of array elements</t>
  </si>
  <si>
    <t>Sum([] x)</t>
  </si>
  <si>
    <t>Sum of array elements</t>
  </si>
  <si>
    <t>And(BOOL x; BOOL y)</t>
  </si>
  <si>
    <t>Logical 'and'</t>
  </si>
  <si>
    <t>return x &amp;&amp; y;</t>
  </si>
  <si>
    <t>And(BOOL x; BOOL y; BOOL z)</t>
  </si>
  <si>
    <t>Logical 'and' for three arguments</t>
  </si>
  <si>
    <t>return x &amp;&amp; y &amp;&amp; z;</t>
  </si>
  <si>
    <t>And(BOOL x; BOOL y; BOOL z; BOOL m)</t>
  </si>
  <si>
    <t>Logical 'and' for four arguments</t>
  </si>
  <si>
    <t>return x &amp;&amp; y &amp;&amp; z &amp;&amp; m;</t>
  </si>
  <si>
    <t>And(BOOL x; BOOL y; BOOL z; BOOL m; BOOL n)</t>
  </si>
  <si>
    <t>Logical 'and' for five arguments</t>
  </si>
  <si>
    <t>return x &amp;&amp; y &amp;&amp; z &amp;&amp; m &amp;&amp; n;</t>
  </si>
  <si>
    <t>And(BOOL x; BOOL y; BOOL z; BOOL m; BOOL n; BOOL o)</t>
  </si>
  <si>
    <t>Logical 'and' for six arguments</t>
  </si>
  <si>
    <t>return x &amp;&amp; y &amp;&amp; z &amp;&amp; m &amp;&amp; n &amp;&amp; o;</t>
  </si>
  <si>
    <t>Or(BOOL x; BOOL y)</t>
  </si>
  <si>
    <t>Logical 'or'</t>
  </si>
  <si>
    <t>return x || y;</t>
  </si>
  <si>
    <t>Or(BOOL x; BOOL y; BOOL z)</t>
  </si>
  <si>
    <t>Logical 'or' for three arguments</t>
  </si>
  <si>
    <t>return x || y || z;</t>
  </si>
  <si>
    <t>Or(BOOL x; BOOL y; BOOL z; BOOL m)</t>
  </si>
  <si>
    <t>Logical 'or' for four arguments</t>
  </si>
  <si>
    <t>return x || y || z || m;</t>
  </si>
  <si>
    <t>Or(BOOL x; BOOL y; BOOL z; BOOL m; BOOL n)</t>
  </si>
  <si>
    <t>Logical 'or' for five arguments</t>
  </si>
  <si>
    <t>return x || y || z || m || n;</t>
  </si>
  <si>
    <t>Or(BOOL x; BOOL y; BOOL z; BOOL m; BOOL n; BOOL o)</t>
  </si>
  <si>
    <t>Logical 'or' for six arguments</t>
  </si>
  <si>
    <t>return x || y || z || m || n || o;</t>
  </si>
  <si>
    <t>SUMO to C++ mapping</t>
  </si>
  <si>
    <t>Straight mapping from Excel to C++. Will work in both</t>
  </si>
  <si>
    <t>Min(a;b)</t>
  </si>
  <si>
    <t>min(a,b)</t>
  </si>
  <si>
    <t>Max(a;b;c)</t>
  </si>
  <si>
    <t>max(Max(a;b);c)</t>
  </si>
  <si>
    <t>Max(a;b;c;d)</t>
  </si>
  <si>
    <t>max(Max(a;b;c);d)</t>
  </si>
  <si>
    <t>Max(a;b;c;d;e)</t>
  </si>
  <si>
    <t>max(Max(a;b;c;d);e)</t>
  </si>
  <si>
    <t>Max(a;b;c;d;e;f)</t>
  </si>
  <si>
    <t>max(Max(a;b;c;d;e);f)</t>
  </si>
  <si>
    <t>Max(a;b;c;d;e;f;g)</t>
  </si>
  <si>
    <t>max(Max(a;b;c;d;e;f);g)</t>
  </si>
  <si>
    <t>Max(a;b;c;d;e;f;g;h)</t>
  </si>
  <si>
    <t>max(Max(a;b;c;d;e;f;g);h)</t>
  </si>
  <si>
    <t>Max(a;b;c;d;e;f;g;h;i)</t>
  </si>
  <si>
    <t>max(Max(a;b;c;d;e;f;g;h);i)</t>
  </si>
  <si>
    <t>Max(a;b;c;d;e;f;g;h;i;j)</t>
  </si>
  <si>
    <t>max(Max(a;b;c;d;e;f;g;h;i);j)</t>
  </si>
  <si>
    <t>Max(a;b;c;d;e;f;g;h;i;j;k)</t>
  </si>
  <si>
    <t>max(Max(a;b;c;d;e;f;g;h;i;j);k)</t>
  </si>
  <si>
    <t>Max(a;b;c;d;e;f;g;h;i;j;k;l)</t>
  </si>
  <si>
    <t>max(Max(a;b;c;d;e;f;g;h;i;j;k);l)</t>
  </si>
  <si>
    <t>Max(a;b;c;d;e;f;g;h;i;j;k;l;m)</t>
  </si>
  <si>
    <t>max(Max(a;b;c;d;e;f;g;h;i;j;k;l);m)</t>
  </si>
  <si>
    <t>Max(a;b;c;d;e;f;g;h;i;j;k;l;m;n)</t>
  </si>
  <si>
    <t>max(Max(a;b;c;d;e;f;g;h;i;j;k;l;m);n)</t>
  </si>
  <si>
    <t>Max(a;b;c;d;e;f;g;h;i;j;k;l;m;n;o)</t>
  </si>
  <si>
    <t>max(Max(a;b;c;d;e;f;g;h;i;j;k;l;m;n);o)</t>
  </si>
  <si>
    <t>Max(a;b;c;d;e;f;g;h;i;j;k;l;m;n;o;p)</t>
  </si>
  <si>
    <t>max(Max(a;b;c;d;e;f;g;h;i;j;k;l;m;n;o);p)</t>
  </si>
  <si>
    <t>Max(a;b;c;d;e;f;g;h;i;j;k;l;m;n;o;p;q)</t>
  </si>
  <si>
    <t>max(Max(a;b;c;d;e;f;g;h;i;j;k;l;m;n;o;p);q)</t>
  </si>
  <si>
    <t>Max(a;b;c;d;e;f;g;h;i;j;k;l;m;n;o;p;q;r)</t>
  </si>
  <si>
    <t>max(Max(a;b;c;d;e;f;g;h;i;j;k;l;m;n;o;p;q);r)</t>
  </si>
  <si>
    <t>Max(a;b;c;d;e;f;g;h;i;j;k;l;m;n;o;p;q;r;s)</t>
  </si>
  <si>
    <t>max(Max(a;b;c;d;e;f;g;h;i;j;k;l;m;n;o;p;q;r);s)</t>
  </si>
  <si>
    <t>Max(a;b;c;d;e;f;g;h;i;j;k;l;m;n;o;p;q;r;s;t)</t>
  </si>
  <si>
    <t>max(Max(a;b;c;d;e;f;g;h;i;j;k;l;m;n;o;p;q;r;s);t)</t>
  </si>
  <si>
    <t>Power</t>
  </si>
  <si>
    <t>Absolute value</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</si>
  <si>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</si>
  <si>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</si>
  <si>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</si>
  <si>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</si>
  <si>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</si>
  <si>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</si>
  <si>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</si>
  <si>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</si>
  <si>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</si>
  <si>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</si>
  <si>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</si>
  <si>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</si>
  <si>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</si>
  <si>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</si>
  <si>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Pure</t>
  </si>
  <si>
    <t>valid C++ functions (don't need definition)</t>
  </si>
  <si>
    <t>Argument</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</si>
  <si>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</si>
  <si>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</si>
  <si>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</si>
  <si>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</si>
  <si>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</si>
  <si>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</si>
  <si>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</si>
  <si>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</si>
  <si>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</si>
  <si>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</si>
  <si>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</si>
  <si>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</si>
  <si>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</si>
  <si>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</si>
  <si>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</si>
  <si>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</si>
  <si>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</si>
  <si>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</si>
  <si>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</si>
  <si>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</si>
  <si>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</si>
  <si>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</si>
  <si>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</si>
  <si>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</si>
  <si>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</si>
  <si>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</si>
  <si>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</si>
  <si>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</si>
  <si>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</si>
  <si>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</si>
  <si>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</si>
  <si>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</si>
  <si>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</si>
  <si>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</si>
  <si>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</si>
  <si>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</si>
  <si>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</si>
  <si>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round</t>
  </si>
  <si>
    <t>Round value to next integer</t>
  </si>
  <si>
    <t>fmod</t>
  </si>
  <si>
    <t>Compute remainder of division</t>
  </si>
  <si>
    <t>pow</t>
  </si>
  <si>
    <t>(base,power)</t>
  </si>
  <si>
    <t>abs of</t>
  </si>
  <si>
    <t>min</t>
  </si>
  <si>
    <t>minimum of</t>
  </si>
  <si>
    <t>max</t>
  </si>
  <si>
    <t>maximum of</t>
  </si>
  <si>
    <t>distance</t>
  </si>
  <si>
    <t>Return distance between two iterators</t>
  </si>
  <si>
    <t>max_element</t>
  </si>
  <si>
    <t>Return largest element in a range</t>
  </si>
  <si>
    <t>int</t>
  </si>
  <si>
    <t>converts to integer</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</si>
  <si>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</si>
  <si>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</si>
  <si>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</si>
  <si>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</si>
  <si>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</si>
  <si>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</si>
  <si>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</si>
  <si>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</si>
  <si>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</si>
  <si>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</si>
  <si>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</si>
  <si>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</si>
  <si>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</si>
  <si>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</si>
  <si>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</si>
  <si>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</si>
  <si>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</si>
  <si>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</si>
  <si>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</si>
  <si>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S</t>
    </r>
    <r>
      <rPr>
        <b/>
        <vertAlign val="subscript"/>
        <sz val="11"/>
        <rFont val="Calibri"/>
        <family val="2"/>
        <scheme val="minor"/>
      </rPr>
      <t>Fe2</t>
    </r>
  </si>
  <si>
    <r>
      <t>S</t>
    </r>
    <r>
      <rPr>
        <vertAlign val="subscript"/>
        <sz val="11"/>
        <rFont val="Calibri"/>
        <family val="2"/>
      </rPr>
      <t>Fe2</t>
    </r>
    <r>
      <rPr>
        <sz val="11"/>
        <rFont val="Calibri"/>
        <family val="2"/>
      </rPr>
      <t>/(AM</t>
    </r>
    <r>
      <rPr>
        <vertAlign val="subscript"/>
        <sz val="11"/>
        <rFont val="Calibri"/>
        <family val="2"/>
      </rPr>
      <t>Fe</t>
    </r>
    <r>
      <rPr>
        <sz val="11"/>
        <rFont val="Calibri"/>
        <family val="2"/>
      </rPr>
      <t>*1000)</t>
    </r>
  </si>
  <si>
    <t>Total iron</t>
  </si>
  <si>
    <r>
      <t>PrecipDrivingForce</t>
    </r>
    <r>
      <rPr>
        <vertAlign val="subscript"/>
        <sz val="11"/>
        <color theme="1"/>
        <rFont val="Calibri"/>
        <family val="2"/>
        <scheme val="minor"/>
      </rPr>
      <t>ACP</t>
    </r>
  </si>
  <si>
    <r>
      <t>PrecipDrivingForce</t>
    </r>
    <r>
      <rPr>
        <vertAlign val="subscript"/>
        <sz val="11"/>
        <color theme="1"/>
        <rFont val="Calibri"/>
        <family val="2"/>
        <scheme val="minor"/>
      </rPr>
      <t>CaCO3</t>
    </r>
  </si>
  <si>
    <t>Sidestream</t>
  </si>
  <si>
    <r>
      <t>g TIC.m</t>
    </r>
    <r>
      <rPr>
        <vertAlign val="superscript"/>
        <sz val="11"/>
        <color indexed="8"/>
        <rFont val="Calibri"/>
        <family val="2"/>
        <scheme val="minor"/>
      </rPr>
      <t>-3</t>
    </r>
  </si>
  <si>
    <r>
      <t>f(S</t>
    </r>
    <r>
      <rPr>
        <vertAlign val="subscript"/>
        <sz val="11"/>
        <rFont val="Calibri"/>
        <family val="2"/>
      </rPr>
      <t>VFA</t>
    </r>
    <r>
      <rPr>
        <sz val="11"/>
        <rFont val="Calibri"/>
        <family val="2"/>
      </rPr>
      <t>)pH</t>
    </r>
  </si>
  <si>
    <t>Non-Biofilm; Non-Sidestream</t>
  </si>
  <si>
    <t>Biofilm; Non-Sidestream</t>
  </si>
  <si>
    <r>
      <t>g Mg.m</t>
    </r>
    <r>
      <rPr>
        <vertAlign val="superscript"/>
        <sz val="11"/>
        <rFont val="Calibri"/>
        <family val="2"/>
        <scheme val="minor"/>
      </rPr>
      <t>-3</t>
    </r>
  </si>
  <si>
    <r>
      <t>g K.m</t>
    </r>
    <r>
      <rPr>
        <vertAlign val="superscript"/>
        <sz val="11"/>
        <rFont val="Calibri"/>
        <family val="2"/>
        <scheme val="minor"/>
      </rPr>
      <t>-3</t>
    </r>
  </si>
  <si>
    <r>
      <t>g Ca.m</t>
    </r>
    <r>
      <rPr>
        <vertAlign val="superscript"/>
        <sz val="11"/>
        <rFont val="Calibri"/>
        <family val="2"/>
        <scheme val="minor"/>
      </rPr>
      <t>-3</t>
    </r>
  </si>
  <si>
    <r>
      <t>K</t>
    </r>
    <r>
      <rPr>
        <vertAlign val="subscript"/>
        <sz val="11"/>
        <rFont val="Calibri"/>
        <family val="2"/>
        <scheme val="minor"/>
      </rPr>
      <t>Mg,PAO</t>
    </r>
  </si>
  <si>
    <r>
      <t>K</t>
    </r>
    <r>
      <rPr>
        <vertAlign val="subscript"/>
        <sz val="11"/>
        <rFont val="Calibri"/>
        <family val="2"/>
        <scheme val="minor"/>
      </rPr>
      <t>K,PAO</t>
    </r>
  </si>
  <si>
    <r>
      <t>K</t>
    </r>
    <r>
      <rPr>
        <vertAlign val="subscript"/>
        <sz val="11"/>
        <rFont val="Calibri"/>
        <family val="2"/>
        <scheme val="minor"/>
      </rPr>
      <t>Ca,PAO</t>
    </r>
  </si>
  <si>
    <t>Precipitation</t>
  </si>
  <si>
    <r>
      <t>f(S</t>
    </r>
    <r>
      <rPr>
        <vertAlign val="subscript"/>
        <sz val="11"/>
        <rFont val="Calibri"/>
        <family val="2"/>
      </rPr>
      <t>Fe2</t>
    </r>
    <r>
      <rPr>
        <sz val="11"/>
        <rFont val="Calibri"/>
        <family val="2"/>
      </rPr>
      <t>); pH</t>
    </r>
  </si>
  <si>
    <r>
      <t>f(X</t>
    </r>
    <r>
      <rPr>
        <vertAlign val="subscript"/>
        <sz val="11"/>
        <rFont val="Calibri"/>
        <family val="2"/>
      </rPr>
      <t>B</t>
    </r>
    <r>
      <rPr>
        <sz val="11"/>
        <rFont val="Calibri"/>
        <family val="2"/>
      </rPr>
      <t>)</t>
    </r>
  </si>
  <si>
    <r>
      <t>i</t>
    </r>
    <r>
      <rPr>
        <vertAlign val="subscript"/>
        <sz val="11"/>
        <rFont val="Calibri"/>
        <family val="2"/>
        <scheme val="minor"/>
      </rPr>
      <t>CIT,BIO</t>
    </r>
  </si>
  <si>
    <r>
      <t>-EEQ</t>
    </r>
    <r>
      <rPr>
        <vertAlign val="subscript"/>
        <sz val="11"/>
        <rFont val="Calibri"/>
        <family val="2"/>
        <scheme val="minor"/>
      </rPr>
      <t>NO3</t>
    </r>
  </si>
  <si>
    <r>
      <t>-EEQ</t>
    </r>
    <r>
      <rPr>
        <vertAlign val="subscript"/>
        <sz val="11"/>
        <rFont val="Calibri"/>
        <family val="2"/>
        <scheme val="minor"/>
      </rPr>
      <t>N2</t>
    </r>
  </si>
  <si>
    <r>
      <t>3*AM</t>
    </r>
    <r>
      <rPr>
        <vertAlign val="subscript"/>
        <sz val="11"/>
        <rFont val="Calibri"/>
        <family val="2"/>
      </rPr>
      <t>Fe</t>
    </r>
    <r>
      <rPr>
        <sz val="11"/>
        <rFont val="Calibri"/>
        <family val="2"/>
      </rPr>
      <t>/MM</t>
    </r>
    <r>
      <rPr>
        <vertAlign val="subscript"/>
        <sz val="11"/>
        <rFont val="Calibri"/>
        <family val="2"/>
      </rPr>
      <t>Vivi</t>
    </r>
    <r>
      <rPr>
        <sz val="11"/>
        <rFont val="Calibri"/>
        <family val="2"/>
      </rPr>
      <t>*EEQ</t>
    </r>
    <r>
      <rPr>
        <vertAlign val="subscript"/>
        <sz val="11"/>
        <rFont val="Calibri"/>
        <family val="2"/>
      </rPr>
      <t>Fe2</t>
    </r>
  </si>
  <si>
    <r>
      <t>i</t>
    </r>
    <r>
      <rPr>
        <vertAlign val="subscript"/>
        <sz val="11"/>
        <rFont val="Calibri"/>
        <family val="2"/>
      </rPr>
      <t>N,BIO</t>
    </r>
  </si>
  <si>
    <r>
      <t>AM</t>
    </r>
    <r>
      <rPr>
        <vertAlign val="subscript"/>
        <sz val="11"/>
        <rFont val="Calibri"/>
        <family val="2"/>
        <scheme val="minor"/>
      </rPr>
      <t>N</t>
    </r>
    <r>
      <rPr>
        <sz val="11"/>
        <rFont val="Calibri"/>
        <family val="2"/>
        <scheme val="minor"/>
      </rPr>
      <t>/MM</t>
    </r>
    <r>
      <rPr>
        <vertAlign val="subscript"/>
        <sz val="11"/>
        <rFont val="Calibri"/>
        <family val="2"/>
        <scheme val="minor"/>
      </rPr>
      <t>STR</t>
    </r>
  </si>
  <si>
    <r>
      <t>i</t>
    </r>
    <r>
      <rPr>
        <vertAlign val="subscript"/>
        <sz val="11"/>
        <rFont val="Calibri"/>
        <family val="2"/>
      </rPr>
      <t>P,BIO</t>
    </r>
  </si>
  <si>
    <r>
      <t>2*AM</t>
    </r>
    <r>
      <rPr>
        <vertAlign val="subscript"/>
        <sz val="11"/>
        <rFont val="Calibri"/>
        <family val="2"/>
        <scheme val="minor"/>
      </rPr>
      <t>P</t>
    </r>
    <r>
      <rPr>
        <sz val="11"/>
        <rFont val="Calibri"/>
        <family val="2"/>
        <scheme val="minor"/>
      </rPr>
      <t>/MM</t>
    </r>
    <r>
      <rPr>
        <vertAlign val="subscript"/>
        <sz val="11"/>
        <rFont val="Calibri"/>
        <family val="2"/>
        <scheme val="minor"/>
      </rPr>
      <t>ACP</t>
    </r>
  </si>
  <si>
    <r>
      <t>AM</t>
    </r>
    <r>
      <rPr>
        <vertAlign val="subscript"/>
        <sz val="11"/>
        <rFont val="Calibri"/>
        <family val="2"/>
        <scheme val="minor"/>
      </rPr>
      <t>P</t>
    </r>
    <r>
      <rPr>
        <sz val="11"/>
        <rFont val="Calibri"/>
        <family val="2"/>
        <scheme val="minor"/>
      </rPr>
      <t>/MM</t>
    </r>
    <r>
      <rPr>
        <vertAlign val="subscript"/>
        <sz val="11"/>
        <rFont val="Calibri"/>
        <family val="2"/>
        <scheme val="minor"/>
      </rPr>
      <t>STR</t>
    </r>
  </si>
  <si>
    <r>
      <t>2*AM</t>
    </r>
    <r>
      <rPr>
        <vertAlign val="subscript"/>
        <sz val="11"/>
        <rFont val="Calibri"/>
        <family val="2"/>
      </rPr>
      <t>P</t>
    </r>
    <r>
      <rPr>
        <sz val="11"/>
        <rFont val="Calibri"/>
        <family val="2"/>
      </rPr>
      <t>/MM</t>
    </r>
    <r>
      <rPr>
        <vertAlign val="subscript"/>
        <sz val="11"/>
        <rFont val="Calibri"/>
        <family val="2"/>
      </rPr>
      <t>Vivi</t>
    </r>
  </si>
  <si>
    <r>
      <t>i</t>
    </r>
    <r>
      <rPr>
        <vertAlign val="subscript"/>
        <sz val="11"/>
        <rFont val="Calibri"/>
        <family val="2"/>
        <scheme val="minor"/>
      </rPr>
      <t>K,PP</t>
    </r>
    <r>
      <rPr>
        <sz val="11"/>
        <rFont val="Calibri"/>
        <family val="2"/>
        <scheme val="minor"/>
      </rPr>
      <t>*AM</t>
    </r>
    <r>
      <rPr>
        <vertAlign val="subscript"/>
        <sz val="11"/>
        <rFont val="Calibri"/>
        <family val="2"/>
        <scheme val="minor"/>
      </rPr>
      <t>K</t>
    </r>
    <r>
      <rPr>
        <sz val="11"/>
        <rFont val="Calibri"/>
        <family val="2"/>
        <scheme val="minor"/>
      </rPr>
      <t>/AM</t>
    </r>
    <r>
      <rPr>
        <vertAlign val="subscript"/>
        <sz val="11"/>
        <rFont val="Calibri"/>
        <family val="2"/>
        <scheme val="minor"/>
      </rPr>
      <t>P</t>
    </r>
  </si>
  <si>
    <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</si>
  <si>
    <r>
      <t>AM</t>
    </r>
    <r>
      <rPr>
        <vertAlign val="subscript"/>
        <sz val="11"/>
        <rFont val="Calibri"/>
        <family val="2"/>
        <scheme val="minor"/>
      </rPr>
      <t>Ca</t>
    </r>
    <r>
      <rPr>
        <sz val="11"/>
        <rFont val="Calibri"/>
        <family val="2"/>
        <scheme val="minor"/>
      </rPr>
      <t>/MM</t>
    </r>
    <r>
      <rPr>
        <vertAlign val="subscript"/>
        <sz val="11"/>
        <rFont val="Calibri"/>
        <family val="2"/>
        <scheme val="minor"/>
      </rPr>
      <t>CaCO3</t>
    </r>
  </si>
  <si>
    <r>
      <t>3*AM</t>
    </r>
    <r>
      <rPr>
        <vertAlign val="subscript"/>
        <sz val="11"/>
        <rFont val="Calibri"/>
        <family val="2"/>
        <scheme val="minor"/>
      </rPr>
      <t>Ca</t>
    </r>
    <r>
      <rPr>
        <sz val="11"/>
        <rFont val="Calibri"/>
        <family val="2"/>
        <scheme val="minor"/>
      </rPr>
      <t>/MM</t>
    </r>
    <r>
      <rPr>
        <vertAlign val="subscript"/>
        <sz val="11"/>
        <rFont val="Calibri"/>
        <family val="2"/>
        <scheme val="minor"/>
      </rPr>
      <t>ACP</t>
    </r>
  </si>
  <si>
    <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</si>
  <si>
    <r>
      <t>AM</t>
    </r>
    <r>
      <rPr>
        <vertAlign val="subscript"/>
        <sz val="11"/>
        <rFont val="Calibri"/>
        <family val="2"/>
        <scheme val="minor"/>
      </rPr>
      <t>Mg</t>
    </r>
    <r>
      <rPr>
        <sz val="11"/>
        <rFont val="Calibri"/>
        <family val="2"/>
        <scheme val="minor"/>
      </rPr>
      <t>/MM</t>
    </r>
    <r>
      <rPr>
        <vertAlign val="subscript"/>
        <sz val="11"/>
        <rFont val="Calibri"/>
        <family val="2"/>
        <scheme val="minor"/>
      </rPr>
      <t>STR</t>
    </r>
  </si>
  <si>
    <r>
      <t>3*AM</t>
    </r>
    <r>
      <rPr>
        <vertAlign val="subscript"/>
        <sz val="11"/>
        <rFont val="Calibri"/>
        <family val="2"/>
      </rPr>
      <t>Fe</t>
    </r>
    <r>
      <rPr>
        <sz val="11"/>
        <rFont val="Calibri"/>
        <family val="2"/>
      </rPr>
      <t>/MM</t>
    </r>
    <r>
      <rPr>
        <vertAlign val="subscript"/>
        <sz val="11"/>
        <rFont val="Calibri"/>
        <family val="2"/>
      </rPr>
      <t>Vivi</t>
    </r>
  </si>
  <si>
    <r>
      <t>S</t>
    </r>
    <r>
      <rPr>
        <b/>
        <vertAlign val="subscript"/>
        <sz val="11"/>
        <rFont val="Calibri"/>
        <family val="2"/>
        <scheme val="minor"/>
      </rPr>
      <t>Mg</t>
    </r>
  </si>
  <si>
    <r>
      <t>X</t>
    </r>
    <r>
      <rPr>
        <b/>
        <vertAlign val="subscript"/>
        <sz val="11"/>
        <rFont val="Calibri"/>
        <family val="2"/>
        <scheme val="minor"/>
      </rPr>
      <t>HFO,H</t>
    </r>
  </si>
  <si>
    <r>
      <t>X</t>
    </r>
    <r>
      <rPr>
        <b/>
        <vertAlign val="subscript"/>
        <sz val="11"/>
        <rFont val="Calibri"/>
        <family val="2"/>
        <scheme val="minor"/>
      </rPr>
      <t>HFO,L</t>
    </r>
  </si>
  <si>
    <r>
      <t>X</t>
    </r>
    <r>
      <rPr>
        <b/>
        <vertAlign val="subscript"/>
        <sz val="11"/>
        <rFont val="Calibri"/>
        <family val="2"/>
        <scheme val="minor"/>
      </rPr>
      <t>HFO,old</t>
    </r>
  </si>
  <si>
    <r>
      <t>X</t>
    </r>
    <r>
      <rPr>
        <b/>
        <vertAlign val="subscript"/>
        <sz val="11"/>
        <rFont val="Calibri"/>
        <family val="2"/>
        <scheme val="minor"/>
      </rPr>
      <t>HFO,H,P</t>
    </r>
  </si>
  <si>
    <r>
      <t>X</t>
    </r>
    <r>
      <rPr>
        <b/>
        <vertAlign val="subscript"/>
        <sz val="11"/>
        <rFont val="Calibri"/>
        <family val="2"/>
        <scheme val="minor"/>
      </rPr>
      <t>HFO,L,P</t>
    </r>
  </si>
  <si>
    <r>
      <t>X</t>
    </r>
    <r>
      <rPr>
        <b/>
        <vertAlign val="subscript"/>
        <sz val="11"/>
        <rFont val="Calibri"/>
        <family val="2"/>
      </rPr>
      <t>HFO,H,P,old</t>
    </r>
  </si>
  <si>
    <r>
      <t>X</t>
    </r>
    <r>
      <rPr>
        <b/>
        <vertAlign val="subscript"/>
        <sz val="11"/>
        <rFont val="Calibri"/>
        <family val="2"/>
      </rPr>
      <t>HFO,L,P,old</t>
    </r>
  </si>
  <si>
    <r>
      <t>G</t>
    </r>
    <r>
      <rPr>
        <b/>
        <vertAlign val="subscript"/>
        <sz val="11"/>
        <rFont val="Calibri"/>
        <family val="2"/>
      </rPr>
      <t>CO2</t>
    </r>
  </si>
  <si>
    <r>
      <t>G</t>
    </r>
    <r>
      <rPr>
        <b/>
        <vertAlign val="subscript"/>
        <sz val="11"/>
        <rFont val="Calibri"/>
        <family val="2"/>
      </rPr>
      <t>CH4</t>
    </r>
  </si>
  <si>
    <r>
      <t>G</t>
    </r>
    <r>
      <rPr>
        <b/>
        <vertAlign val="subscript"/>
        <sz val="11"/>
        <rFont val="Calibri"/>
        <family val="2"/>
      </rPr>
      <t>H2</t>
    </r>
  </si>
  <si>
    <r>
      <t>G</t>
    </r>
    <r>
      <rPr>
        <b/>
        <vertAlign val="subscript"/>
        <sz val="11"/>
        <rFont val="Calibri"/>
        <family val="2"/>
      </rPr>
      <t>O2</t>
    </r>
  </si>
  <si>
    <r>
      <t>G</t>
    </r>
    <r>
      <rPr>
        <b/>
        <vertAlign val="subscript"/>
        <sz val="11"/>
        <rFont val="Calibri"/>
        <family val="2"/>
      </rPr>
      <t>N2</t>
    </r>
  </si>
  <si>
    <r>
      <t>OHO growth on VFAs, O</t>
    </r>
    <r>
      <rPr>
        <vertAlign val="subscript"/>
        <sz val="11"/>
        <color rgb="FF000000"/>
        <rFont val="Calibri"/>
        <family val="2"/>
        <scheme val="minor"/>
      </rPr>
      <t>2</t>
    </r>
  </si>
  <si>
    <r>
      <t>-i</t>
    </r>
    <r>
      <rPr>
        <vertAlign val="subscript"/>
        <sz val="11"/>
        <rFont val="Calibri"/>
        <family val="2"/>
      </rPr>
      <t>N,BIO</t>
    </r>
  </si>
  <si>
    <r>
      <t>-i</t>
    </r>
    <r>
      <rPr>
        <vertAlign val="subscript"/>
        <sz val="11"/>
        <rFont val="Calibri"/>
        <family val="2"/>
      </rPr>
      <t>P,BIO</t>
    </r>
  </si>
  <si>
    <r>
      <t>OHO growth on VFAs, NO</t>
    </r>
    <r>
      <rPr>
        <vertAlign val="subscript"/>
        <sz val="11"/>
        <color rgb="FF000000"/>
        <rFont val="Calibri"/>
        <family val="2"/>
        <scheme val="minor"/>
      </rPr>
      <t>3</t>
    </r>
  </si>
  <si>
    <r>
      <t>OHO growth on S</t>
    </r>
    <r>
      <rPr>
        <vertAlign val="subscript"/>
        <sz val="11"/>
        <color rgb="FF000000"/>
        <rFont val="Calibri"/>
        <family val="2"/>
        <scheme val="minor"/>
      </rPr>
      <t>B</t>
    </r>
    <r>
      <rPr>
        <sz val="11"/>
        <color rgb="FF000000"/>
        <rFont val="Calibri"/>
        <family val="2"/>
        <charset val="238"/>
        <scheme val="minor"/>
      </rPr>
      <t>, 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</si>
  <si>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3</t>
    </r>
  </si>
  <si>
    <r>
      <t>OHO growth on S</t>
    </r>
    <r>
      <rPr>
        <vertAlign val="subscript"/>
        <sz val="11"/>
        <color rgb="FF000000"/>
        <rFont val="Calibri"/>
        <family val="2"/>
        <scheme val="minor"/>
      </rPr>
      <t>MEOL</t>
    </r>
    <r>
      <rPr>
        <sz val="11"/>
        <color rgb="FF000000"/>
        <rFont val="Calibri"/>
        <family val="2"/>
        <charset val="238"/>
        <scheme val="minor"/>
      </rPr>
      <t>, O</t>
    </r>
    <r>
      <rPr>
        <vertAlign val="subscript"/>
        <sz val="11"/>
        <color rgb="FF000000"/>
        <rFont val="Calibri"/>
        <family val="2"/>
        <scheme val="minor"/>
      </rPr>
      <t>2</t>
    </r>
  </si>
  <si>
    <r>
      <t>1-f</t>
    </r>
    <r>
      <rPr>
        <vertAlign val="subscript"/>
        <sz val="11"/>
        <rFont val="Calibri"/>
        <family val="2"/>
      </rPr>
      <t>E</t>
    </r>
  </si>
  <si>
    <r>
      <t>f</t>
    </r>
    <r>
      <rPr>
        <vertAlign val="subscript"/>
        <sz val="11"/>
        <rFont val="Calibri"/>
        <family val="2"/>
      </rPr>
      <t>E</t>
    </r>
  </si>
  <si>
    <r>
      <t>(1-f</t>
    </r>
    <r>
      <rPr>
        <vertAlign val="subscript"/>
        <sz val="11"/>
        <rFont val="Calibri"/>
        <family val="2"/>
      </rPr>
      <t>E</t>
    </r>
    <r>
      <rPr>
        <sz val="11"/>
        <rFont val="Calibri"/>
        <family val="2"/>
      </rPr>
      <t>)*i</t>
    </r>
    <r>
      <rPr>
        <vertAlign val="subscript"/>
        <sz val="11"/>
        <rFont val="Calibri"/>
        <family val="2"/>
      </rPr>
      <t>N,BIO</t>
    </r>
  </si>
  <si>
    <r>
      <t>(1-f</t>
    </r>
    <r>
      <rPr>
        <vertAlign val="subscript"/>
        <sz val="11"/>
        <rFont val="Calibri"/>
        <family val="2"/>
      </rPr>
      <t>E</t>
    </r>
    <r>
      <rPr>
        <sz val="11"/>
        <rFont val="Calibri"/>
        <family val="2"/>
      </rPr>
      <t>)*i</t>
    </r>
    <r>
      <rPr>
        <vertAlign val="subscript"/>
        <sz val="11"/>
        <rFont val="Calibri"/>
        <family val="2"/>
      </rPr>
      <t>P,BIO</t>
    </r>
  </si>
  <si>
    <r>
      <t>MEOLO growth, NO</t>
    </r>
    <r>
      <rPr>
        <vertAlign val="subscript"/>
        <sz val="11"/>
        <color rgb="FF000000"/>
        <rFont val="Calibri"/>
        <family val="2"/>
        <scheme val="minor"/>
      </rPr>
      <t>3</t>
    </r>
  </si>
  <si>
    <r>
      <t>-1/Y</t>
    </r>
    <r>
      <rPr>
        <vertAlign val="subscript"/>
        <sz val="11"/>
        <rFont val="Calibri"/>
        <family val="2"/>
      </rPr>
      <t>MEOLO</t>
    </r>
  </si>
  <si>
    <r>
      <t>PAO growth on PHA, 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</si>
  <si>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P,BIO</t>
    </r>
  </si>
  <si>
    <r>
      <t>PAO growth on PHA, NO</t>
    </r>
    <r>
      <rPr>
        <vertAlign val="subscript"/>
        <sz val="11"/>
        <color rgb="FF000000"/>
        <rFont val="Calibri"/>
        <family val="2"/>
        <scheme val="minor"/>
      </rPr>
      <t>3</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</si>
  <si>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f</t>
    </r>
    <r>
      <rPr>
        <vertAlign val="subscript"/>
        <sz val="11"/>
        <rFont val="Calibri"/>
        <family val="2"/>
      </rPr>
      <t>P,VFA</t>
    </r>
  </si>
  <si>
    <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</si>
  <si>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</si>
  <si>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</si>
  <si>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</si>
  <si>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</si>
  <si>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</si>
  <si>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</si>
  <si>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-i</t>
    </r>
    <r>
      <rPr>
        <vertAlign val="subscript"/>
        <sz val="11"/>
        <rFont val="Calibri"/>
        <family val="2"/>
      </rPr>
      <t>CIT,BIO</t>
    </r>
  </si>
  <si>
    <r>
      <t>-1/Y</t>
    </r>
    <r>
      <rPr>
        <vertAlign val="subscript"/>
        <sz val="11"/>
        <rFont val="Calibri"/>
        <family val="2"/>
      </rPr>
      <t>AMETO</t>
    </r>
  </si>
  <si>
    <r>
      <t>(1-Y</t>
    </r>
    <r>
      <rPr>
        <vertAlign val="subscript"/>
        <sz val="11"/>
        <rFont val="Calibri"/>
        <family val="2"/>
      </rPr>
      <t>AMETO</t>
    </r>
    <r>
      <rPr>
        <sz val="11"/>
        <rFont val="Calibri"/>
        <family val="2"/>
      </rPr>
      <t>)/Y</t>
    </r>
    <r>
      <rPr>
        <vertAlign val="subscript"/>
        <sz val="11"/>
        <rFont val="Calibri"/>
        <family val="2"/>
      </rPr>
      <t>AMETO</t>
    </r>
  </si>
  <si>
    <r>
      <t>(1-Y</t>
    </r>
    <r>
      <rPr>
        <vertAlign val="subscript"/>
        <sz val="11"/>
        <rFont val="Calibri"/>
        <family val="2"/>
      </rPr>
      <t>HMETO</t>
    </r>
    <r>
      <rPr>
        <sz val="11"/>
        <rFont val="Calibri"/>
        <family val="2"/>
      </rPr>
      <t>)/Y</t>
    </r>
    <r>
      <rPr>
        <vertAlign val="subscript"/>
        <sz val="11"/>
        <rFont val="Calibri"/>
        <family val="2"/>
      </rPr>
      <t>HMETO</t>
    </r>
  </si>
  <si>
    <r>
      <t>-1/Y</t>
    </r>
    <r>
      <rPr>
        <vertAlign val="subscript"/>
        <sz val="11"/>
        <rFont val="Calibri"/>
        <family val="2"/>
      </rPr>
      <t>HMETO</t>
    </r>
  </si>
  <si>
    <t>Flocculation of colloidal biodegradable substrate</t>
  </si>
  <si>
    <r>
      <t>i</t>
    </r>
    <r>
      <rPr>
        <vertAlign val="subscript"/>
        <sz val="11"/>
        <rFont val="Calibri"/>
        <family val="2"/>
      </rPr>
      <t>N,CB</t>
    </r>
  </si>
  <si>
    <r>
      <t>i</t>
    </r>
    <r>
      <rPr>
        <vertAlign val="subscript"/>
        <sz val="11"/>
        <rFont val="Calibri"/>
        <family val="2"/>
      </rPr>
      <t>P,CB</t>
    </r>
  </si>
  <si>
    <t>Flocculation of colloidal unbiodegradable organics</t>
  </si>
  <si>
    <r>
      <t>i</t>
    </r>
    <r>
      <rPr>
        <vertAlign val="subscript"/>
        <sz val="11"/>
        <rFont val="Calibri"/>
        <family val="2"/>
      </rPr>
      <t>N,CU</t>
    </r>
  </si>
  <si>
    <r>
      <t>i</t>
    </r>
    <r>
      <rPr>
        <vertAlign val="subscript"/>
        <sz val="11"/>
        <rFont val="Calibri"/>
        <family val="2"/>
      </rPr>
      <t>P,CU</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</si>
  <si>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</si>
  <si>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</si>
  <si>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</si>
  <si>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</si>
  <si>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S</t>
    </r>
    <r>
      <rPr>
        <vertAlign val="subscript"/>
        <sz val="11"/>
        <color rgb="FF000000"/>
        <rFont val="Calibri"/>
        <family val="2"/>
        <scheme val="minor"/>
      </rPr>
      <t>P,B</t>
    </r>
    <r>
      <rPr>
        <sz val="11"/>
        <color rgb="FF000000"/>
        <rFont val="Calibri"/>
        <family val="2"/>
        <charset val="238"/>
        <scheme val="minor"/>
      </rPr>
      <t xml:space="preserve"> conversion to PO</t>
    </r>
    <r>
      <rPr>
        <vertAlign val="subscript"/>
        <sz val="11"/>
        <color rgb="FF000000"/>
        <rFont val="Calibri"/>
        <family val="2"/>
        <scheme val="minor"/>
      </rPr>
      <t>4</t>
    </r>
  </si>
  <si>
    <r>
      <t>NO</t>
    </r>
    <r>
      <rPr>
        <vertAlign val="subscript"/>
        <sz val="11"/>
        <color rgb="FF000000"/>
        <rFont val="Calibri"/>
        <family val="2"/>
        <scheme val="minor"/>
      </rPr>
      <t>3</t>
    </r>
    <r>
      <rPr>
        <sz val="11"/>
        <color rgb="FF000000"/>
        <rFont val="Calibri"/>
        <family val="2"/>
        <charset val="238"/>
        <scheme val="minor"/>
      </rPr>
      <t xml:space="preserve"> assimilative reduction</t>
    </r>
  </si>
  <si>
    <r>
      <t>Reduction of X</t>
    </r>
    <r>
      <rPr>
        <vertAlign val="subscript"/>
        <sz val="11"/>
        <rFont val="Calibri"/>
        <family val="2"/>
      </rPr>
      <t>HFO</t>
    </r>
    <r>
      <rPr>
        <sz val="11"/>
        <rFont val="Calibri"/>
        <family val="2"/>
      </rPr>
      <t xml:space="preserve"> with organic matter</t>
    </r>
  </si>
  <si>
    <r>
      <t>Oxidation of Fe</t>
    </r>
    <r>
      <rPr>
        <vertAlign val="superscript"/>
        <sz val="11"/>
        <rFont val="Calibri"/>
        <family val="2"/>
        <scheme val="minor"/>
      </rPr>
      <t>2+</t>
    </r>
    <r>
      <rPr>
        <sz val="11"/>
        <rFont val="Calibri"/>
        <family val="2"/>
        <scheme val="minor"/>
      </rPr>
      <t xml:space="preserve"> </t>
    </r>
  </si>
  <si>
    <r>
      <t>-EEQ</t>
    </r>
    <r>
      <rPr>
        <vertAlign val="subscript"/>
        <sz val="11"/>
        <rFont val="Calibri"/>
        <family val="2"/>
      </rPr>
      <t>Fe2</t>
    </r>
  </si>
  <si>
    <r>
      <t>-AM</t>
    </r>
    <r>
      <rPr>
        <vertAlign val="subscript"/>
        <sz val="11"/>
        <rFont val="Calibri"/>
        <family val="2"/>
      </rPr>
      <t>Ca</t>
    </r>
    <r>
      <rPr>
        <sz val="11"/>
        <rFont val="Calibri"/>
        <family val="2"/>
      </rPr>
      <t>/MM</t>
    </r>
    <r>
      <rPr>
        <vertAlign val="subscript"/>
        <sz val="11"/>
        <rFont val="Calibri"/>
        <family val="2"/>
      </rPr>
      <t>CaCO3</t>
    </r>
  </si>
  <si>
    <r>
      <t>q</t>
    </r>
    <r>
      <rPr>
        <vertAlign val="subscript"/>
        <sz val="11"/>
        <rFont val="Calibri"/>
        <family val="2"/>
      </rPr>
      <t>CaCO3</t>
    </r>
    <r>
      <rPr>
        <sz val="11"/>
        <rFont val="Calibri"/>
        <family val="2"/>
      </rPr>
      <t>*PrecipDrivingForce</t>
    </r>
    <r>
      <rPr>
        <vertAlign val="subscript"/>
        <sz val="11"/>
        <rFont val="Calibri"/>
        <family val="2"/>
      </rPr>
      <t>CaCO3</t>
    </r>
    <r>
      <rPr>
        <vertAlign val="superscript"/>
        <sz val="11"/>
        <rFont val="Calibri"/>
        <family val="2"/>
      </rPr>
      <t>^2</t>
    </r>
  </si>
  <si>
    <r>
      <t>-2*AM</t>
    </r>
    <r>
      <rPr>
        <vertAlign val="subscript"/>
        <sz val="11"/>
        <rFont val="Calibri"/>
        <family val="2"/>
      </rPr>
      <t>P</t>
    </r>
    <r>
      <rPr>
        <sz val="11"/>
        <rFont val="Calibri"/>
        <family val="2"/>
      </rPr>
      <t>/MM</t>
    </r>
    <r>
      <rPr>
        <vertAlign val="subscript"/>
        <sz val="11"/>
        <rFont val="Calibri"/>
        <family val="2"/>
      </rPr>
      <t>ACP</t>
    </r>
  </si>
  <si>
    <r>
      <t>-3*AM</t>
    </r>
    <r>
      <rPr>
        <vertAlign val="subscript"/>
        <sz val="11"/>
        <rFont val="Calibri"/>
        <family val="2"/>
      </rPr>
      <t>Ca</t>
    </r>
    <r>
      <rPr>
        <sz val="11"/>
        <rFont val="Calibri"/>
        <family val="2"/>
      </rPr>
      <t>/MM</t>
    </r>
    <r>
      <rPr>
        <vertAlign val="subscript"/>
        <sz val="11"/>
        <rFont val="Calibri"/>
        <family val="2"/>
      </rPr>
      <t>ACP</t>
    </r>
  </si>
  <si>
    <r>
      <t>q</t>
    </r>
    <r>
      <rPr>
        <vertAlign val="subscript"/>
        <sz val="11"/>
        <rFont val="Calibri"/>
        <family val="2"/>
      </rPr>
      <t>ACP</t>
    </r>
    <r>
      <rPr>
        <sz val="11"/>
        <rFont val="Calibri"/>
        <family val="2"/>
      </rPr>
      <t>*PrecipDrivingForce</t>
    </r>
    <r>
      <rPr>
        <vertAlign val="subscript"/>
        <sz val="11"/>
        <rFont val="Calibri"/>
        <family val="2"/>
      </rPr>
      <t>ACP</t>
    </r>
    <r>
      <rPr>
        <vertAlign val="superscript"/>
        <sz val="11"/>
        <rFont val="Calibri"/>
        <family val="2"/>
      </rPr>
      <t>^2</t>
    </r>
  </si>
  <si>
    <r>
      <t>-AM</t>
    </r>
    <r>
      <rPr>
        <vertAlign val="subscript"/>
        <sz val="11"/>
        <rFont val="Calibri"/>
        <family val="2"/>
      </rPr>
      <t>N</t>
    </r>
    <r>
      <rPr>
        <sz val="11"/>
        <rFont val="Calibri"/>
        <family val="2"/>
      </rPr>
      <t>/MM</t>
    </r>
    <r>
      <rPr>
        <vertAlign val="subscript"/>
        <sz val="11"/>
        <rFont val="Calibri"/>
        <family val="2"/>
      </rPr>
      <t>STR</t>
    </r>
  </si>
  <si>
    <r>
      <t>-AM</t>
    </r>
    <r>
      <rPr>
        <vertAlign val="subscript"/>
        <sz val="11"/>
        <rFont val="Calibri"/>
        <family val="2"/>
      </rPr>
      <t>P</t>
    </r>
    <r>
      <rPr>
        <sz val="11"/>
        <rFont val="Calibri"/>
        <family val="2"/>
      </rPr>
      <t>/MM</t>
    </r>
    <r>
      <rPr>
        <vertAlign val="subscript"/>
        <sz val="11"/>
        <rFont val="Calibri"/>
        <family val="2"/>
      </rPr>
      <t>STR</t>
    </r>
  </si>
  <si>
    <r>
      <t>-AM</t>
    </r>
    <r>
      <rPr>
        <vertAlign val="subscript"/>
        <sz val="11"/>
        <rFont val="Calibri"/>
        <family val="2"/>
      </rPr>
      <t>Mg</t>
    </r>
    <r>
      <rPr>
        <sz val="11"/>
        <rFont val="Calibri"/>
        <family val="2"/>
      </rPr>
      <t>/MM</t>
    </r>
    <r>
      <rPr>
        <vertAlign val="subscript"/>
        <sz val="11"/>
        <rFont val="Calibri"/>
        <family val="2"/>
      </rPr>
      <t>STR</t>
    </r>
  </si>
  <si>
    <r>
      <t>q</t>
    </r>
    <r>
      <rPr>
        <vertAlign val="subscript"/>
        <sz val="11"/>
        <rFont val="Calibri"/>
        <family val="2"/>
      </rPr>
      <t>STR</t>
    </r>
    <r>
      <rPr>
        <sz val="11"/>
        <rFont val="Calibri"/>
        <family val="2"/>
      </rPr>
      <t>*PrecipDrivingForce</t>
    </r>
    <r>
      <rPr>
        <vertAlign val="subscript"/>
        <sz val="11"/>
        <rFont val="Calibri"/>
        <family val="2"/>
      </rPr>
      <t>STR</t>
    </r>
    <r>
      <rPr>
        <vertAlign val="superscript"/>
        <sz val="11"/>
        <rFont val="Calibri"/>
        <family val="2"/>
      </rPr>
      <t>^3</t>
    </r>
  </si>
  <si>
    <r>
      <t>-2*AM</t>
    </r>
    <r>
      <rPr>
        <vertAlign val="subscript"/>
        <sz val="11"/>
        <rFont val="Calibri"/>
        <family val="2"/>
      </rPr>
      <t>P</t>
    </r>
    <r>
      <rPr>
        <sz val="11"/>
        <rFont val="Calibri"/>
        <family val="2"/>
      </rPr>
      <t>/MM</t>
    </r>
    <r>
      <rPr>
        <vertAlign val="subscript"/>
        <sz val="11"/>
        <rFont val="Calibri"/>
        <family val="2"/>
      </rPr>
      <t>Vivi</t>
    </r>
  </si>
  <si>
    <r>
      <t>-3*AM</t>
    </r>
    <r>
      <rPr>
        <vertAlign val="subscript"/>
        <sz val="11"/>
        <rFont val="Calibri"/>
        <family val="2"/>
      </rPr>
      <t>Fe</t>
    </r>
    <r>
      <rPr>
        <sz val="11"/>
        <rFont val="Calibri"/>
        <family val="2"/>
      </rPr>
      <t>/MM</t>
    </r>
    <r>
      <rPr>
        <vertAlign val="subscript"/>
        <sz val="11"/>
        <rFont val="Calibri"/>
        <family val="2"/>
      </rPr>
      <t>Vivi</t>
    </r>
  </si>
  <si>
    <r>
      <t>q</t>
    </r>
    <r>
      <rPr>
        <vertAlign val="subscript"/>
        <sz val="11"/>
        <rFont val="Calibri"/>
        <family val="2"/>
      </rPr>
      <t>Vivi</t>
    </r>
    <r>
      <rPr>
        <sz val="11"/>
        <rFont val="Calibri"/>
        <family val="2"/>
      </rPr>
      <t>*PrecipDrivingForce</t>
    </r>
    <r>
      <rPr>
        <vertAlign val="subscript"/>
        <sz val="11"/>
        <rFont val="Calibri"/>
        <family val="2"/>
      </rPr>
      <t>Vivi</t>
    </r>
    <r>
      <rPr>
        <vertAlign val="superscript"/>
        <sz val="11"/>
        <rFont val="Calibri"/>
        <family val="2"/>
      </rPr>
      <t>^2</t>
    </r>
  </si>
  <si>
    <r>
      <t>µ</t>
    </r>
    <r>
      <rPr>
        <vertAlign val="subscript"/>
        <sz val="11"/>
        <rFont val="Calibri"/>
        <family val="2"/>
        <scheme val="minor"/>
      </rPr>
      <t>PAO,lim</t>
    </r>
  </si>
  <si>
    <r>
      <t>q</t>
    </r>
    <r>
      <rPr>
        <vertAlign val="subscript"/>
        <sz val="11"/>
        <rFont val="Calibri"/>
        <family val="2"/>
        <scheme val="minor"/>
      </rPr>
      <t>CaCO3,PREC</t>
    </r>
  </si>
  <si>
    <r>
      <t>q</t>
    </r>
    <r>
      <rPr>
        <vertAlign val="subscript"/>
        <sz val="11"/>
        <rFont val="Calibri"/>
        <family val="2"/>
        <scheme val="minor"/>
      </rPr>
      <t>CaCO3,DISS</t>
    </r>
  </si>
  <si>
    <r>
      <t>q</t>
    </r>
    <r>
      <rPr>
        <vertAlign val="subscript"/>
        <sz val="11"/>
        <rFont val="Calibri"/>
        <family val="2"/>
        <scheme val="minor"/>
      </rPr>
      <t>STR,PREC</t>
    </r>
  </si>
  <si>
    <r>
      <t>q</t>
    </r>
    <r>
      <rPr>
        <vertAlign val="subscript"/>
        <sz val="11"/>
        <rFont val="Calibri"/>
        <family val="2"/>
        <scheme val="minor"/>
      </rPr>
      <t>STR,DISS</t>
    </r>
  </si>
  <si>
    <r>
      <t>q</t>
    </r>
    <r>
      <rPr>
        <vertAlign val="subscript"/>
        <sz val="11"/>
        <rFont val="Calibri"/>
        <family val="2"/>
        <scheme val="minor"/>
      </rPr>
      <t>ACP,PREC</t>
    </r>
  </si>
  <si>
    <r>
      <t>q</t>
    </r>
    <r>
      <rPr>
        <vertAlign val="subscript"/>
        <sz val="11"/>
        <rFont val="Calibri"/>
        <family val="2"/>
        <scheme val="minor"/>
      </rPr>
      <t>ACP,DISS</t>
    </r>
  </si>
  <si>
    <r>
      <t>q</t>
    </r>
    <r>
      <rPr>
        <vertAlign val="subscript"/>
        <sz val="11"/>
        <rFont val="Calibri"/>
        <family val="2"/>
        <scheme val="minor"/>
      </rPr>
      <t>Vivi,PREC</t>
    </r>
  </si>
  <si>
    <r>
      <t>q</t>
    </r>
    <r>
      <rPr>
        <vertAlign val="subscript"/>
        <sz val="11"/>
        <rFont val="Calibri"/>
        <family val="2"/>
        <scheme val="minor"/>
      </rPr>
      <t>Vivi,DISS</t>
    </r>
  </si>
  <si>
    <r>
      <t>q</t>
    </r>
    <r>
      <rPr>
        <vertAlign val="subscript"/>
        <sz val="11"/>
        <rFont val="Calibri"/>
        <family val="2"/>
        <scheme val="minor"/>
      </rPr>
      <t>HFOH,AGING</t>
    </r>
  </si>
  <si>
    <r>
      <t>q</t>
    </r>
    <r>
      <rPr>
        <vertAlign val="subscript"/>
        <sz val="11"/>
        <rFont val="Calibri"/>
        <family val="2"/>
        <scheme val="minor"/>
      </rPr>
      <t>HFOL,AGING</t>
    </r>
  </si>
  <si>
    <r>
      <rPr>
        <sz val="11"/>
        <color indexed="8"/>
        <rFont val="Calibri"/>
        <family val="2"/>
        <scheme val="minor"/>
      </rPr>
      <t>q</t>
    </r>
    <r>
      <rPr>
        <vertAlign val="subscript"/>
        <sz val="11"/>
        <color indexed="8"/>
        <rFont val="Calibri"/>
        <family val="2"/>
        <scheme val="minor"/>
      </rPr>
      <t>HFO,RED</t>
    </r>
  </si>
  <si>
    <r>
      <t>η</t>
    </r>
    <r>
      <rPr>
        <vertAlign val="subscript"/>
        <sz val="11"/>
        <rFont val="Calibri"/>
        <family val="2"/>
        <scheme val="minor"/>
      </rPr>
      <t>HYD,anox</t>
    </r>
  </si>
  <si>
    <r>
      <t>η</t>
    </r>
    <r>
      <rPr>
        <vertAlign val="subscript"/>
        <sz val="11"/>
        <rFont val="Calibri"/>
        <family val="2"/>
        <scheme val="minor"/>
      </rPr>
      <t>HYD,ana</t>
    </r>
  </si>
  <si>
    <r>
      <t>η</t>
    </r>
    <r>
      <rPr>
        <vertAlign val="subscript"/>
        <sz val="11"/>
        <rFont val="Calibri"/>
        <family val="2"/>
        <scheme val="minor"/>
      </rPr>
      <t>b,anox</t>
    </r>
  </si>
  <si>
    <r>
      <t>η</t>
    </r>
    <r>
      <rPr>
        <vertAlign val="subscript"/>
        <sz val="11"/>
        <rFont val="Calibri"/>
        <family val="2"/>
        <scheme val="minor"/>
      </rPr>
      <t>b,ana</t>
    </r>
  </si>
  <si>
    <r>
      <t>η</t>
    </r>
    <r>
      <rPr>
        <vertAlign val="subscript"/>
        <sz val="11"/>
        <rFont val="Calibri"/>
        <family val="2"/>
        <scheme val="minor"/>
      </rPr>
      <t>OHO,anox</t>
    </r>
  </si>
  <si>
    <r>
      <t>θ</t>
    </r>
    <r>
      <rPr>
        <vertAlign val="subscript"/>
        <sz val="11"/>
        <color indexed="8"/>
        <rFont val="Calibri"/>
        <family val="2"/>
        <scheme val="minor"/>
      </rPr>
      <t>q,HFO,RED</t>
    </r>
  </si>
  <si>
    <r>
      <t>θ</t>
    </r>
    <r>
      <rPr>
        <vertAlign val="subscript"/>
        <sz val="11"/>
        <color indexed="8"/>
        <rFont val="Calibri"/>
        <family val="2"/>
        <scheme val="minor"/>
      </rPr>
      <t>µ,PAO,lim</t>
    </r>
  </si>
  <si>
    <r>
      <t>Y</t>
    </r>
    <r>
      <rPr>
        <vertAlign val="subscript"/>
        <sz val="11"/>
        <rFont val="Calibri"/>
        <family val="2"/>
        <scheme val="minor"/>
      </rPr>
      <t>OHO,VFA,ox</t>
    </r>
  </si>
  <si>
    <r>
      <t>Y</t>
    </r>
    <r>
      <rPr>
        <vertAlign val="subscript"/>
        <sz val="11"/>
        <rFont val="Calibri"/>
        <family val="2"/>
        <scheme val="minor"/>
      </rPr>
      <t>OHO,VFA,anox</t>
    </r>
  </si>
  <si>
    <r>
      <t>Y</t>
    </r>
    <r>
      <rPr>
        <vertAlign val="subscript"/>
        <sz val="11"/>
        <rFont val="Calibri"/>
        <family val="2"/>
        <scheme val="minor"/>
      </rPr>
      <t>OHO,SB,ox</t>
    </r>
  </si>
  <si>
    <r>
      <t>Y</t>
    </r>
    <r>
      <rPr>
        <vertAlign val="subscript"/>
        <sz val="11"/>
        <rFont val="Calibri"/>
        <family val="2"/>
        <scheme val="minor"/>
      </rPr>
      <t>OHO,SB,anox</t>
    </r>
  </si>
  <si>
    <r>
      <t>Y</t>
    </r>
    <r>
      <rPr>
        <vertAlign val="subscript"/>
        <sz val="11"/>
        <rFont val="Calibri"/>
        <family val="2"/>
        <scheme val="minor"/>
      </rPr>
      <t>OHO,SB,ana</t>
    </r>
  </si>
  <si>
    <r>
      <t>Y</t>
    </r>
    <r>
      <rPr>
        <vertAlign val="subscript"/>
        <sz val="11"/>
        <rFont val="Calibri"/>
        <family val="2"/>
        <scheme val="minor"/>
      </rPr>
      <t>OHO,SMEOL,ox</t>
    </r>
  </si>
  <si>
    <r>
      <t>X</t>
    </r>
    <r>
      <rPr>
        <b/>
        <vertAlign val="subscript"/>
        <sz val="11"/>
        <rFont val="Calibri"/>
        <family val="2"/>
        <scheme val="minor"/>
      </rPr>
      <t>E,ana</t>
    </r>
  </si>
  <si>
    <r>
      <t>q</t>
    </r>
    <r>
      <rPr>
        <vertAlign val="subscript"/>
        <sz val="11"/>
        <rFont val="Calibri"/>
        <family val="2"/>
      </rPr>
      <t>XE,T</t>
    </r>
    <r>
      <rPr>
        <sz val="11"/>
        <rFont val="Calibri"/>
        <family val="2"/>
      </rPr>
      <t>*X</t>
    </r>
    <r>
      <rPr>
        <vertAlign val="subscript"/>
        <sz val="11"/>
        <rFont val="Calibri"/>
        <family val="2"/>
      </rPr>
      <t>E</t>
    </r>
  </si>
  <si>
    <r>
      <t>-1/Y</t>
    </r>
    <r>
      <rPr>
        <vertAlign val="subscript"/>
        <sz val="11"/>
        <rFont val="Calibri"/>
        <family val="2"/>
      </rPr>
      <t>OHO,VFA,ox</t>
    </r>
  </si>
  <si>
    <r>
      <t>-1/Y</t>
    </r>
    <r>
      <rPr>
        <vertAlign val="subscript"/>
        <sz val="11"/>
        <rFont val="Calibri"/>
        <family val="2"/>
      </rPr>
      <t>OHO,VFA,anox</t>
    </r>
  </si>
  <si>
    <r>
      <t>-1/Y</t>
    </r>
    <r>
      <rPr>
        <vertAlign val="subscript"/>
        <sz val="11"/>
        <rFont val="Calibri"/>
        <family val="2"/>
      </rPr>
      <t>OHO,SB,ox</t>
    </r>
  </si>
  <si>
    <r>
      <t>-1/Y</t>
    </r>
    <r>
      <rPr>
        <vertAlign val="subscript"/>
        <sz val="11"/>
        <rFont val="Calibri"/>
        <family val="2"/>
      </rPr>
      <t>OHO,SB,anox</t>
    </r>
  </si>
  <si>
    <r>
      <t>-1/Y</t>
    </r>
    <r>
      <rPr>
        <vertAlign val="subscript"/>
        <sz val="11"/>
        <rFont val="Calibri"/>
        <family val="2"/>
      </rPr>
      <t>OHO,SB,ana</t>
    </r>
  </si>
  <si>
    <r>
      <t>-1/Y</t>
    </r>
    <r>
      <rPr>
        <vertAlign val="subscript"/>
        <sz val="11"/>
        <rFont val="Calibri"/>
        <family val="2"/>
      </rPr>
      <t>OHO,SMEOL,ox</t>
    </r>
  </si>
  <si>
    <r>
      <t>-(1-Y</t>
    </r>
    <r>
      <rPr>
        <vertAlign val="subscript"/>
        <sz val="11"/>
        <rFont val="Calibri"/>
        <family val="2"/>
      </rPr>
      <t>OHO,VFA,ox</t>
    </r>
    <r>
      <rPr>
        <sz val="11"/>
        <rFont val="Calibri"/>
        <family val="2"/>
      </rPr>
      <t>)/Y</t>
    </r>
    <r>
      <rPr>
        <vertAlign val="subscript"/>
        <sz val="11"/>
        <rFont val="Calibri"/>
        <family val="2"/>
      </rPr>
      <t>OHO,VFA,ox</t>
    </r>
  </si>
  <si>
    <r>
      <t>-(1-Y</t>
    </r>
    <r>
      <rPr>
        <vertAlign val="subscript"/>
        <sz val="11"/>
        <rFont val="Calibri"/>
        <family val="2"/>
      </rPr>
      <t>OHO,SB,ox</t>
    </r>
    <r>
      <rPr>
        <sz val="11"/>
        <rFont val="Calibri"/>
        <family val="2"/>
      </rPr>
      <t>)/Y</t>
    </r>
    <r>
      <rPr>
        <vertAlign val="subscript"/>
        <sz val="11"/>
        <rFont val="Calibri"/>
        <family val="2"/>
      </rPr>
      <t>OHO,SB,ox</t>
    </r>
  </si>
  <si>
    <r>
      <t>-(1-Y</t>
    </r>
    <r>
      <rPr>
        <vertAlign val="subscript"/>
        <sz val="11"/>
        <rFont val="Calibri"/>
        <family val="2"/>
      </rPr>
      <t>OHO,SMEOL,ox</t>
    </r>
    <r>
      <rPr>
        <sz val="11"/>
        <rFont val="Calibri"/>
        <family val="2"/>
      </rPr>
      <t>)/Y</t>
    </r>
    <r>
      <rPr>
        <vertAlign val="subscript"/>
        <sz val="11"/>
        <rFont val="Calibri"/>
        <family val="2"/>
      </rPr>
      <t>OHO,SMEOL,ox</t>
    </r>
  </si>
  <si>
    <r>
      <t>θ</t>
    </r>
    <r>
      <rPr>
        <vertAlign val="subscript"/>
        <sz val="11"/>
        <color indexed="8"/>
        <rFont val="Calibri"/>
        <family val="2"/>
        <scheme val="minor"/>
      </rPr>
      <t>q,XE</t>
    </r>
  </si>
  <si>
    <r>
      <t>θ</t>
    </r>
    <r>
      <rPr>
        <vertAlign val="subscript"/>
        <sz val="11"/>
        <color indexed="8"/>
        <rFont val="Calibri"/>
        <family val="2"/>
        <scheme val="minor"/>
      </rPr>
      <t>q,SPB</t>
    </r>
  </si>
  <si>
    <r>
      <t>q</t>
    </r>
    <r>
      <rPr>
        <vertAlign val="subscript"/>
        <sz val="11"/>
        <color indexed="8"/>
        <rFont val="Calibri"/>
        <family val="2"/>
        <scheme val="minor"/>
      </rPr>
      <t>SPB</t>
    </r>
  </si>
  <si>
    <r>
      <t>q</t>
    </r>
    <r>
      <rPr>
        <vertAlign val="subscript"/>
        <sz val="11"/>
        <color indexed="8"/>
        <rFont val="Calibri"/>
        <family val="2"/>
        <scheme val="minor"/>
      </rPr>
      <t>XE</t>
    </r>
  </si>
  <si>
    <r>
      <t>X</t>
    </r>
    <r>
      <rPr>
        <vertAlign val="subscript"/>
        <sz val="11"/>
        <rFont val="Calibri"/>
        <family val="2"/>
        <scheme val="minor"/>
      </rPr>
      <t>BIO</t>
    </r>
  </si>
  <si>
    <r>
      <t>X</t>
    </r>
    <r>
      <rPr>
        <vertAlign val="subscript"/>
        <sz val="11"/>
        <rFont val="Calibri"/>
        <family val="2"/>
        <scheme val="minor"/>
      </rPr>
      <t>COD</t>
    </r>
  </si>
  <si>
    <r>
      <t>X</t>
    </r>
    <r>
      <rPr>
        <vertAlign val="subscript"/>
        <sz val="11"/>
        <rFont val="Calibri"/>
        <family val="2"/>
        <scheme val="minor"/>
      </rPr>
      <t>VSS,BIO</t>
    </r>
  </si>
  <si>
    <r>
      <t>X</t>
    </r>
    <r>
      <rPr>
        <vertAlign val="subscript"/>
        <sz val="11"/>
        <rFont val="Calibri"/>
        <family val="2"/>
        <scheme val="minor"/>
      </rPr>
      <t>BIO</t>
    </r>
    <r>
      <rPr>
        <sz val="11"/>
        <rFont val="Calibri"/>
        <family val="2"/>
        <scheme val="minor"/>
      </rPr>
      <t>/i</t>
    </r>
    <r>
      <rPr>
        <vertAlign val="subscript"/>
        <sz val="11"/>
        <rFont val="Calibri"/>
        <family val="2"/>
        <scheme val="minor"/>
      </rPr>
      <t>CV,BIO</t>
    </r>
  </si>
  <si>
    <r>
      <t>g VSS.m</t>
    </r>
    <r>
      <rPr>
        <vertAlign val="superscript"/>
        <sz val="11"/>
        <rFont val="Calibri"/>
        <family val="2"/>
        <scheme val="minor"/>
      </rPr>
      <t>-3</t>
    </r>
  </si>
  <si>
    <r>
      <t>X</t>
    </r>
    <r>
      <rPr>
        <vertAlign val="subscript"/>
        <sz val="11"/>
        <rFont val="Calibri"/>
        <family val="2"/>
        <scheme val="minor"/>
      </rPr>
      <t>VSS</t>
    </r>
  </si>
  <si>
    <r>
      <t>X</t>
    </r>
    <r>
      <rPr>
        <vertAlign val="subscript"/>
        <sz val="11"/>
        <rFont val="Calibri"/>
        <family val="2"/>
        <scheme val="minor"/>
      </rPr>
      <t>TSS</t>
    </r>
  </si>
  <si>
    <r>
      <t>g TSS.m</t>
    </r>
    <r>
      <rPr>
        <vertAlign val="superscript"/>
        <sz val="11"/>
        <rFont val="Calibri"/>
        <family val="2"/>
        <scheme val="minor"/>
      </rPr>
      <t>-3</t>
    </r>
  </si>
  <si>
    <r>
      <t>X</t>
    </r>
    <r>
      <rPr>
        <vertAlign val="subscript"/>
        <sz val="11"/>
        <rFont val="Calibri"/>
        <family val="2"/>
        <scheme val="minor"/>
      </rPr>
      <t>VS</t>
    </r>
  </si>
  <si>
    <r>
      <t>g VS.m</t>
    </r>
    <r>
      <rPr>
        <vertAlign val="superscript"/>
        <sz val="11"/>
        <rFont val="Calibri"/>
        <family val="2"/>
        <scheme val="minor"/>
      </rPr>
      <t>-3</t>
    </r>
  </si>
  <si>
    <r>
      <t>T</t>
    </r>
    <r>
      <rPr>
        <vertAlign val="subscript"/>
        <sz val="11"/>
        <rFont val="Calibri"/>
        <family val="2"/>
        <scheme val="minor"/>
      </rPr>
      <t>COD</t>
    </r>
  </si>
  <si>
    <r>
      <t>SC</t>
    </r>
    <r>
      <rPr>
        <vertAlign val="subscript"/>
        <sz val="11"/>
        <rFont val="Calibri"/>
        <family val="2"/>
        <scheme val="minor"/>
      </rPr>
      <t>COD</t>
    </r>
    <r>
      <rPr>
        <sz val="11"/>
        <rFont val="Calibri"/>
        <family val="2"/>
        <scheme val="minor"/>
      </rPr>
      <t xml:space="preserve"> +X</t>
    </r>
    <r>
      <rPr>
        <vertAlign val="subscript"/>
        <sz val="11"/>
        <rFont val="Calibri"/>
        <family val="2"/>
        <scheme val="minor"/>
      </rPr>
      <t>COD</t>
    </r>
  </si>
  <si>
    <r>
      <t>T</t>
    </r>
    <r>
      <rPr>
        <vertAlign val="subscript"/>
        <sz val="11"/>
        <rFont val="Calibri"/>
        <family val="2"/>
        <scheme val="minor"/>
      </rPr>
      <t>KN</t>
    </r>
  </si>
  <si>
    <r>
      <t>T</t>
    </r>
    <r>
      <rPr>
        <vertAlign val="subscript"/>
        <sz val="11"/>
        <rFont val="Calibri"/>
        <family val="2"/>
        <scheme val="minor"/>
      </rPr>
      <t>N</t>
    </r>
  </si>
  <si>
    <r>
      <t>T</t>
    </r>
    <r>
      <rPr>
        <vertAlign val="subscript"/>
        <sz val="11"/>
        <rFont val="Calibri"/>
        <family val="2"/>
        <scheme val="minor"/>
      </rPr>
      <t>P</t>
    </r>
  </si>
  <si>
    <r>
      <t>X</t>
    </r>
    <r>
      <rPr>
        <vertAlign val="subscript"/>
        <sz val="11"/>
        <rFont val="Calibri"/>
        <family val="2"/>
        <scheme val="minor"/>
      </rPr>
      <t>HFO</t>
    </r>
  </si>
  <si>
    <r>
      <t>X</t>
    </r>
    <r>
      <rPr>
        <vertAlign val="subscript"/>
        <sz val="11"/>
        <rFont val="Calibri"/>
        <family val="2"/>
        <scheme val="minor"/>
      </rPr>
      <t>HFO,H</t>
    </r>
    <r>
      <rPr>
        <sz val="11"/>
        <rFont val="Calibri"/>
        <family val="2"/>
        <scheme val="minor"/>
      </rPr>
      <t>+X</t>
    </r>
    <r>
      <rPr>
        <vertAlign val="subscript"/>
        <sz val="11"/>
        <rFont val="Calibri"/>
        <family val="2"/>
        <scheme val="minor"/>
      </rPr>
      <t>HFO,L</t>
    </r>
    <r>
      <rPr>
        <sz val="11"/>
        <rFont val="Calibri"/>
        <family val="2"/>
        <scheme val="minor"/>
      </rPr>
      <t>+X</t>
    </r>
    <r>
      <rPr>
        <vertAlign val="subscript"/>
        <sz val="11"/>
        <rFont val="Calibri"/>
        <family val="2"/>
        <scheme val="minor"/>
      </rPr>
      <t>HFO,L,P</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HFO,old</t>
    </r>
    <r>
      <rPr>
        <sz val="11"/>
        <rFont val="Calibri"/>
        <family val="2"/>
        <scheme val="minor"/>
      </rPr>
      <t>+X</t>
    </r>
    <r>
      <rPr>
        <vertAlign val="subscript"/>
        <sz val="11"/>
        <rFont val="Calibri"/>
        <family val="2"/>
        <scheme val="minor"/>
      </rPr>
      <t>HFO,L,P,old</t>
    </r>
    <r>
      <rPr>
        <sz val="11"/>
        <rFont val="Calibri"/>
        <family val="2"/>
        <scheme val="minor"/>
      </rPr>
      <t>+X</t>
    </r>
    <r>
      <rPr>
        <vertAlign val="subscript"/>
        <sz val="11"/>
        <rFont val="Calibri"/>
        <family val="2"/>
        <scheme val="minor"/>
      </rPr>
      <t>HFO,H,P,old</t>
    </r>
  </si>
  <si>
    <r>
      <t>T</t>
    </r>
    <r>
      <rPr>
        <vertAlign val="subscript"/>
        <sz val="11"/>
        <rFont val="Calibri"/>
        <family val="2"/>
        <scheme val="minor"/>
      </rPr>
      <t>Fe</t>
    </r>
  </si>
  <si>
    <r>
      <t>X</t>
    </r>
    <r>
      <rPr>
        <vertAlign val="subscript"/>
        <sz val="11"/>
        <rFont val="Calibri"/>
        <family val="2"/>
        <scheme val="minor"/>
      </rPr>
      <t>HFO,P</t>
    </r>
  </si>
  <si>
    <r>
      <t>PrecipDrivingForce</t>
    </r>
    <r>
      <rPr>
        <vertAlign val="subscript"/>
        <sz val="11"/>
        <color theme="1"/>
        <rFont val="Calibri"/>
        <family val="2"/>
        <scheme val="minor"/>
      </rPr>
      <t>STR</t>
    </r>
  </si>
  <si>
    <r>
      <t>(([Mg</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^(1/3)</t>
    </r>
    <r>
      <rPr>
        <sz val="11"/>
        <color theme="1"/>
        <rFont val="Calibri"/>
        <family val="2"/>
        <scheme val="minor"/>
      </rPr>
      <t>*[NH</t>
    </r>
    <r>
      <rPr>
        <vertAlign val="subscript"/>
        <sz val="11"/>
        <color theme="1"/>
        <rFont val="Calibri"/>
        <family val="2"/>
        <scheme val="minor"/>
      </rPr>
      <t>4</t>
    </r>
    <r>
      <rPr>
        <vertAlign val="superscript"/>
        <sz val="11"/>
        <color theme="1"/>
        <rFont val="Calibri"/>
        <family val="2"/>
        <scheme val="minor"/>
      </rPr>
      <t>+</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</si>
  <si>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</si>
  <si>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*[CO</t>
    </r>
    <r>
      <rPr>
        <vertAlign val="subscript"/>
        <sz val="11"/>
        <color theme="1"/>
        <rFont val="Calibri"/>
        <family val="2"/>
        <scheme val="minor"/>
      </rPr>
      <t>3</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</si>
  <si>
    <r>
      <t>PrecipDrivingForce</t>
    </r>
    <r>
      <rPr>
        <vertAlign val="subscript"/>
        <sz val="11"/>
        <color theme="1"/>
        <rFont val="Calibri"/>
        <family val="2"/>
        <scheme val="minor"/>
      </rPr>
      <t>Vivi</t>
    </r>
  </si>
  <si>
    <r>
      <t>(([Fe</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 xml:space="preserve"> - 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t>
    </r>
  </si>
  <si>
    <r>
      <t>g N.m</t>
    </r>
    <r>
      <rPr>
        <vertAlign val="superscript"/>
        <sz val="11"/>
        <rFont val="Calibri"/>
        <family val="2"/>
        <scheme val="minor"/>
      </rPr>
      <t>-3</t>
    </r>
    <r>
      <rPr>
        <sz val="11"/>
        <rFont val="Calibri"/>
        <family val="2"/>
        <scheme val="minor"/>
      </rPr>
      <t>.d</t>
    </r>
    <r>
      <rPr>
        <vertAlign val="superscript"/>
        <sz val="11"/>
        <rFont val="Calibri"/>
        <family val="2"/>
        <scheme val="minor"/>
      </rPr>
      <t>-1</t>
    </r>
  </si>
  <si>
    <r>
      <t>K</t>
    </r>
    <r>
      <rPr>
        <vertAlign val="subscript"/>
        <sz val="11"/>
        <rFont val="Calibri"/>
        <family val="2"/>
        <scheme val="minor"/>
      </rPr>
      <t>SB</t>
    </r>
  </si>
  <si>
    <r>
      <t>K</t>
    </r>
    <r>
      <rPr>
        <vertAlign val="subscript"/>
        <sz val="11"/>
        <rFont val="Calibri"/>
        <family val="2"/>
        <scheme val="minor"/>
      </rPr>
      <t>VFA</t>
    </r>
  </si>
  <si>
    <r>
      <t>g COD.m</t>
    </r>
    <r>
      <rPr>
        <vertAlign val="superscript"/>
        <sz val="11"/>
        <rFont val="Calibri"/>
        <family val="2"/>
        <scheme val="minor"/>
      </rPr>
      <t>-3</t>
    </r>
    <r>
      <rPr>
        <sz val="11"/>
        <color theme="1"/>
        <rFont val="Calibri"/>
        <family val="2"/>
        <scheme val="minor"/>
      </rPr>
      <t/>
    </r>
  </si>
  <si>
    <r>
      <t>K</t>
    </r>
    <r>
      <rPr>
        <vertAlign val="subscript"/>
        <sz val="11"/>
        <rFont val="Calibri"/>
        <family val="2"/>
        <scheme val="minor"/>
      </rPr>
      <t>O2,OHO</t>
    </r>
  </si>
  <si>
    <r>
      <t>K</t>
    </r>
    <r>
      <rPr>
        <vertAlign val="subscript"/>
        <sz val="11"/>
        <rFont val="Calibri"/>
        <family val="2"/>
        <scheme val="minor"/>
      </rPr>
      <t>MEOL,OHO</t>
    </r>
  </si>
  <si>
    <r>
      <t>K</t>
    </r>
    <r>
      <rPr>
        <vertAlign val="subscript"/>
        <sz val="11"/>
        <rFont val="Calibri"/>
        <family val="2"/>
        <scheme val="minor"/>
      </rPr>
      <t>NO3,OHO</t>
    </r>
  </si>
  <si>
    <r>
      <t>K</t>
    </r>
    <r>
      <rPr>
        <vertAlign val="subscript"/>
        <sz val="11"/>
        <rFont val="Calibri"/>
        <family val="2"/>
        <scheme val="minor"/>
      </rPr>
      <t>MEOL</t>
    </r>
  </si>
  <si>
    <r>
      <t>K</t>
    </r>
    <r>
      <rPr>
        <vertAlign val="subscript"/>
        <sz val="11"/>
        <rFont val="Calibri"/>
        <family val="2"/>
        <scheme val="minor"/>
      </rPr>
      <t>NO3,MEOLO</t>
    </r>
  </si>
  <si>
    <r>
      <t>K</t>
    </r>
    <r>
      <rPr>
        <vertAlign val="subscript"/>
        <sz val="11"/>
        <rFont val="Calibri"/>
        <family val="2"/>
        <scheme val="minor"/>
      </rPr>
      <t>PHA</t>
    </r>
  </si>
  <si>
    <r>
      <t>K</t>
    </r>
    <r>
      <rPr>
        <vertAlign val="subscript"/>
        <sz val="11"/>
        <rFont val="Calibri"/>
        <family val="2"/>
        <scheme val="minor"/>
      </rPr>
      <t>VFA,AMETO</t>
    </r>
  </si>
  <si>
    <r>
      <t>K</t>
    </r>
    <r>
      <rPr>
        <vertAlign val="subscript"/>
        <sz val="11"/>
        <rFont val="Calibri"/>
        <family val="2"/>
        <scheme val="minor"/>
      </rPr>
      <t>H2,HMETO</t>
    </r>
  </si>
  <si>
    <r>
      <t>K</t>
    </r>
    <r>
      <rPr>
        <vertAlign val="subscript"/>
        <sz val="11"/>
        <rFont val="Calibri"/>
        <family val="2"/>
        <scheme val="minor"/>
      </rPr>
      <t>CO2,BIO</t>
    </r>
  </si>
  <si>
    <r>
      <t>Msat</t>
    </r>
    <r>
      <rPr>
        <vertAlign val="subscript"/>
        <sz val="11"/>
        <rFont val="Calibri"/>
        <family val="2"/>
        <scheme val="minor"/>
      </rPr>
      <t>SO2,KO2,OHO</t>
    </r>
  </si>
  <si>
    <r>
      <t>Msat(S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</si>
  <si>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r>
      <t>Msat</t>
    </r>
    <r>
      <rPr>
        <vertAlign val="subscript"/>
        <sz val="11"/>
        <rFont val="Calibri"/>
        <family val="2"/>
        <scheme val="minor"/>
      </rPr>
      <t>SMEOL,KMEOL,OHO</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</si>
  <si>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MEOL,OHO</t>
    </r>
    <r>
      <rPr>
        <sz val="11"/>
        <rFont val="Calibri"/>
        <family val="2"/>
        <scheme val="minor"/>
      </rPr>
      <t>)</t>
    </r>
  </si>
  <si>
    <r>
      <t>Msat</t>
    </r>
    <r>
      <rPr>
        <vertAlign val="subscript"/>
        <sz val="11"/>
        <rFont val="Calibri"/>
        <family val="2"/>
        <scheme val="minor"/>
      </rPr>
      <t>SMEOL,KMEOL</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</si>
  <si>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t>
    </r>
    <r>
      <rPr>
        <sz val="11"/>
        <rFont val="Calibri"/>
        <family val="2"/>
        <scheme val="minor"/>
      </rPr>
      <t>)</t>
    </r>
  </si>
  <si>
    <r>
      <t>Msat</t>
    </r>
    <r>
      <rPr>
        <vertAlign val="subscript"/>
        <sz val="11"/>
        <rFont val="Calibri"/>
        <family val="2"/>
        <scheme val="minor"/>
      </rPr>
      <t>SNHx,KNHx,BIO</t>
    </r>
  </si>
  <si>
    <r>
      <t>Msat(S</t>
    </r>
    <r>
      <rPr>
        <vertAlign val="subscript"/>
        <sz val="11"/>
        <rFont val="Calibri"/>
        <family val="2"/>
        <scheme val="minor"/>
      </rPr>
      <t>NHx</t>
    </r>
    <r>
      <rPr>
        <sz val="11"/>
        <rFont val="Calibri"/>
        <family val="2"/>
        <scheme val="minor"/>
      </rPr>
      <t>;K</t>
    </r>
    <r>
      <rPr>
        <vertAlign val="subscript"/>
        <sz val="11"/>
        <rFont val="Calibri"/>
        <family val="2"/>
        <scheme val="minor"/>
      </rPr>
      <t>NHx,BIO</t>
    </r>
    <r>
      <rPr>
        <sz val="11"/>
        <rFont val="Calibri"/>
        <family val="2"/>
        <scheme val="minor"/>
      </rPr>
      <t>)</t>
    </r>
  </si>
  <si>
    <r>
      <t>Msat</t>
    </r>
    <r>
      <rPr>
        <vertAlign val="subscript"/>
        <sz val="11"/>
        <rFont val="Calibri"/>
        <family val="2"/>
        <scheme val="minor"/>
      </rPr>
      <t>SPO4,KPO4,BIO</t>
    </r>
  </si>
  <si>
    <r>
      <t>Msat(S</t>
    </r>
    <r>
      <rPr>
        <vertAlign val="subscript"/>
        <sz val="11"/>
        <rFont val="Calibri"/>
        <family val="2"/>
        <scheme val="minor"/>
      </rPr>
      <t>PO4</t>
    </r>
    <r>
      <rPr>
        <sz val="11"/>
        <rFont val="Calibri"/>
        <family val="2"/>
        <scheme val="minor"/>
      </rPr>
      <t>;K</t>
    </r>
    <r>
      <rPr>
        <vertAlign val="subscript"/>
        <sz val="11"/>
        <rFont val="Calibri"/>
        <family val="2"/>
        <scheme val="minor"/>
      </rPr>
      <t>PO4,BIO</t>
    </r>
    <r>
      <rPr>
        <sz val="11"/>
        <rFont val="Calibri"/>
        <family val="2"/>
        <scheme val="minor"/>
      </rPr>
      <t>)</t>
    </r>
  </si>
  <si>
    <r>
      <t>Msat</t>
    </r>
    <r>
      <rPr>
        <vertAlign val="subscript"/>
        <sz val="11"/>
        <rFont val="Calibri"/>
        <family val="2"/>
        <scheme val="minor"/>
      </rPr>
      <t>SCAT,KCAT</t>
    </r>
  </si>
  <si>
    <r>
      <t>Msat(S</t>
    </r>
    <r>
      <rPr>
        <vertAlign val="subscript"/>
        <sz val="11"/>
        <rFont val="Calibri"/>
        <family val="2"/>
        <scheme val="minor"/>
      </rPr>
      <t>CAT</t>
    </r>
    <r>
      <rPr>
        <sz val="11"/>
        <rFont val="Calibri"/>
        <family val="2"/>
        <scheme val="minor"/>
      </rPr>
      <t>;K</t>
    </r>
    <r>
      <rPr>
        <vertAlign val="subscript"/>
        <sz val="11"/>
        <rFont val="Calibri"/>
        <family val="2"/>
        <scheme val="minor"/>
      </rPr>
      <t>CAT</t>
    </r>
    <r>
      <rPr>
        <sz val="11"/>
        <rFont val="Calibri"/>
        <family val="2"/>
        <scheme val="minor"/>
      </rPr>
      <t>)</t>
    </r>
  </si>
  <si>
    <r>
      <t>Msat</t>
    </r>
    <r>
      <rPr>
        <vertAlign val="subscript"/>
        <sz val="11"/>
        <rFont val="Calibri"/>
        <family val="2"/>
        <scheme val="minor"/>
      </rPr>
      <t>SAN,KAN</t>
    </r>
  </si>
  <si>
    <r>
      <t>Msat(S</t>
    </r>
    <r>
      <rPr>
        <vertAlign val="subscript"/>
        <sz val="11"/>
        <rFont val="Calibri"/>
        <family val="2"/>
        <scheme val="minor"/>
      </rPr>
      <t>AN</t>
    </r>
    <r>
      <rPr>
        <sz val="11"/>
        <rFont val="Calibri"/>
        <family val="2"/>
        <scheme val="minor"/>
      </rPr>
      <t>;K</t>
    </r>
    <r>
      <rPr>
        <vertAlign val="subscript"/>
        <sz val="11"/>
        <rFont val="Calibri"/>
        <family val="2"/>
        <scheme val="minor"/>
      </rPr>
      <t>AN</t>
    </r>
    <r>
      <rPr>
        <sz val="11"/>
        <rFont val="Calibri"/>
        <family val="2"/>
        <scheme val="minor"/>
      </rPr>
      <t>)</t>
    </r>
  </si>
  <si>
    <r>
      <t>Msat</t>
    </r>
    <r>
      <rPr>
        <vertAlign val="subscript"/>
        <sz val="11"/>
        <rFont val="Calibri"/>
        <family val="2"/>
        <scheme val="minor"/>
      </rPr>
      <t>SB,KSB</t>
    </r>
  </si>
  <si>
    <r>
      <t>Msat(S</t>
    </r>
    <r>
      <rPr>
        <vertAlign val="subscript"/>
        <sz val="11"/>
        <rFont val="Calibri"/>
        <family val="2"/>
        <scheme val="minor"/>
      </rPr>
      <t>B</t>
    </r>
    <r>
      <rPr>
        <sz val="11"/>
        <rFont val="Calibri"/>
        <family val="2"/>
        <scheme val="minor"/>
      </rPr>
      <t>;K</t>
    </r>
    <r>
      <rPr>
        <vertAlign val="subscript"/>
        <sz val="11"/>
        <rFont val="Calibri"/>
        <family val="2"/>
        <scheme val="minor"/>
      </rPr>
      <t>SB</t>
    </r>
    <r>
      <rPr>
        <sz val="11"/>
        <rFont val="Calibri"/>
        <family val="2"/>
        <scheme val="minor"/>
      </rPr>
      <t>)</t>
    </r>
  </si>
  <si>
    <r>
      <t>Msat</t>
    </r>
    <r>
      <rPr>
        <vertAlign val="subscript"/>
        <sz val="11"/>
        <rFont val="Calibri"/>
        <family val="2"/>
        <scheme val="minor"/>
      </rPr>
      <t>SPO4,KPO4,PAO</t>
    </r>
  </si>
  <si>
    <r>
      <t>Msat(S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t>
    </r>
  </si>
  <si>
    <r>
      <t>Msat</t>
    </r>
    <r>
      <rPr>
        <vertAlign val="subscript"/>
        <sz val="11"/>
        <rFont val="Calibri"/>
        <family val="2"/>
        <scheme val="minor"/>
      </rPr>
      <t>SCa,KCa,PAO</t>
    </r>
  </si>
  <si>
    <r>
      <t>Msat(S</t>
    </r>
    <r>
      <rPr>
        <vertAlign val="subscript"/>
        <sz val="11"/>
        <rFont val="Calibri"/>
        <family val="2"/>
        <scheme val="minor"/>
      </rPr>
      <t>Ca</t>
    </r>
    <r>
      <rPr>
        <sz val="11"/>
        <rFont val="Calibri"/>
        <family val="2"/>
        <scheme val="minor"/>
      </rPr>
      <t>;K</t>
    </r>
    <r>
      <rPr>
        <vertAlign val="subscript"/>
        <sz val="11"/>
        <rFont val="Calibri"/>
        <family val="2"/>
        <scheme val="minor"/>
      </rPr>
      <t>Ca,PAO</t>
    </r>
    <r>
      <rPr>
        <sz val="11"/>
        <rFont val="Calibri"/>
        <family val="2"/>
        <scheme val="minor"/>
      </rPr>
      <t>)</t>
    </r>
  </si>
  <si>
    <r>
      <t>Msat</t>
    </r>
    <r>
      <rPr>
        <vertAlign val="subscript"/>
        <sz val="11"/>
        <rFont val="Calibri"/>
        <family val="2"/>
        <scheme val="minor"/>
      </rPr>
      <t>SMg,KMg,PAO</t>
    </r>
  </si>
  <si>
    <r>
      <t>Msat(S</t>
    </r>
    <r>
      <rPr>
        <vertAlign val="subscript"/>
        <sz val="11"/>
        <rFont val="Calibri"/>
        <family val="2"/>
        <scheme val="minor"/>
      </rPr>
      <t>Mg</t>
    </r>
    <r>
      <rPr>
        <sz val="11"/>
        <rFont val="Calibri"/>
        <family val="2"/>
        <scheme val="minor"/>
      </rPr>
      <t>;K</t>
    </r>
    <r>
      <rPr>
        <vertAlign val="subscript"/>
        <sz val="11"/>
        <rFont val="Calibri"/>
        <family val="2"/>
        <scheme val="minor"/>
      </rPr>
      <t>Mg,PAO</t>
    </r>
    <r>
      <rPr>
        <sz val="11"/>
        <rFont val="Calibri"/>
        <family val="2"/>
        <scheme val="minor"/>
      </rPr>
      <t>)</t>
    </r>
  </si>
  <si>
    <r>
      <t>Msat</t>
    </r>
    <r>
      <rPr>
        <vertAlign val="subscript"/>
        <sz val="11"/>
        <rFont val="Calibri"/>
        <family val="2"/>
        <scheme val="minor"/>
      </rPr>
      <t>SK,KK,PAO</t>
    </r>
  </si>
  <si>
    <r>
      <t>Msat(S</t>
    </r>
    <r>
      <rPr>
        <vertAlign val="subscript"/>
        <sz val="11"/>
        <rFont val="Calibri"/>
        <family val="2"/>
        <scheme val="minor"/>
      </rPr>
      <t>K</t>
    </r>
    <r>
      <rPr>
        <sz val="11"/>
        <rFont val="Calibri"/>
        <family val="2"/>
        <scheme val="minor"/>
      </rPr>
      <t>;K</t>
    </r>
    <r>
      <rPr>
        <vertAlign val="subscript"/>
        <sz val="11"/>
        <rFont val="Calibri"/>
        <family val="2"/>
        <scheme val="minor"/>
      </rPr>
      <t>K,PAO</t>
    </r>
    <r>
      <rPr>
        <sz val="11"/>
        <rFont val="Calibri"/>
        <family val="2"/>
        <scheme val="minor"/>
      </rPr>
      <t>)</t>
    </r>
  </si>
  <si>
    <r>
      <t>Msat</t>
    </r>
    <r>
      <rPr>
        <vertAlign val="subscript"/>
        <sz val="11"/>
        <rFont val="Calibri"/>
        <family val="2"/>
        <scheme val="minor"/>
      </rPr>
      <t>SNOx,KNO3,AMETO</t>
    </r>
  </si>
  <si>
    <r>
      <t>Msat</t>
    </r>
    <r>
      <rPr>
        <vertAlign val="subscript"/>
        <sz val="11"/>
        <rFont val="Calibri"/>
        <family val="2"/>
        <scheme val="minor"/>
      </rPr>
      <t>SNOx,KNO3,HMETO</t>
    </r>
  </si>
  <si>
    <r>
      <t>Msat</t>
    </r>
    <r>
      <rPr>
        <vertAlign val="subscript"/>
        <sz val="11"/>
        <rFont val="Calibri"/>
        <family val="2"/>
        <scheme val="minor"/>
      </rPr>
      <t>SCO2,KCO2,BIO</t>
    </r>
  </si>
  <si>
    <r>
      <t>Msat(S</t>
    </r>
    <r>
      <rPr>
        <vertAlign val="subscript"/>
        <sz val="11"/>
        <rFont val="Calibri"/>
        <family val="2"/>
        <scheme val="minor"/>
      </rPr>
      <t>CO2</t>
    </r>
    <r>
      <rPr>
        <sz val="11"/>
        <rFont val="Calibri"/>
        <family val="2"/>
        <scheme val="minor"/>
      </rPr>
      <t>;K</t>
    </r>
    <r>
      <rPr>
        <vertAlign val="subscript"/>
        <sz val="11"/>
        <rFont val="Calibri"/>
        <family val="2"/>
        <scheme val="minor"/>
      </rPr>
      <t>CO2,BIO</t>
    </r>
    <r>
      <rPr>
        <sz val="11"/>
        <rFont val="Calibri"/>
        <family val="2"/>
        <scheme val="minor"/>
      </rPr>
      <t>)</t>
    </r>
  </si>
  <si>
    <r>
      <t>Msat</t>
    </r>
    <r>
      <rPr>
        <vertAlign val="subscript"/>
        <sz val="11"/>
        <rFont val="Calibri"/>
        <family val="2"/>
        <scheme val="minor"/>
      </rPr>
      <t>SH2,KH2,HMETO</t>
    </r>
  </si>
  <si>
    <r>
      <t>Msat(S</t>
    </r>
    <r>
      <rPr>
        <vertAlign val="subscript"/>
        <sz val="11"/>
        <rFont val="Calibri"/>
        <family val="2"/>
        <scheme val="minor"/>
      </rPr>
      <t>H2</t>
    </r>
    <r>
      <rPr>
        <sz val="11"/>
        <rFont val="Calibri"/>
        <family val="2"/>
        <scheme val="minor"/>
      </rPr>
      <t>;K</t>
    </r>
    <r>
      <rPr>
        <vertAlign val="subscript"/>
        <sz val="11"/>
        <rFont val="Calibri"/>
        <family val="2"/>
        <scheme val="minor"/>
      </rPr>
      <t>H2,HMETO</t>
    </r>
    <r>
      <rPr>
        <sz val="11"/>
        <rFont val="Calibri"/>
        <family val="2"/>
        <scheme val="minor"/>
      </rPr>
      <t>)</t>
    </r>
  </si>
  <si>
    <r>
      <t>MRsat</t>
    </r>
    <r>
      <rPr>
        <vertAlign val="subscript"/>
        <sz val="11"/>
        <rFont val="Calibri"/>
        <family val="2"/>
        <scheme val="minor"/>
      </rPr>
      <t>XPHA,XPAO,KPHA</t>
    </r>
  </si>
  <si>
    <r>
      <t>Minh</t>
    </r>
    <r>
      <rPr>
        <vertAlign val="subscript"/>
        <sz val="11"/>
        <rFont val="Calibri"/>
        <family val="2"/>
        <scheme val="minor"/>
      </rPr>
      <t>SVFA,KVFA</t>
    </r>
  </si>
  <si>
    <r>
      <t>Minh(S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</si>
  <si>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Minh</t>
    </r>
    <r>
      <rPr>
        <vertAlign val="subscript"/>
        <sz val="11"/>
        <rFont val="Calibri"/>
        <family val="2"/>
        <scheme val="minor"/>
      </rPr>
      <t>SO2,KO2,OHO</t>
    </r>
  </si>
  <si>
    <r>
      <t>Minh</t>
    </r>
    <r>
      <rPr>
        <vertAlign val="subscript"/>
        <sz val="11"/>
        <rFont val="Calibri"/>
        <family val="2"/>
        <scheme val="minor"/>
      </rPr>
      <t>SNOx,KNO3,AMETO</t>
    </r>
  </si>
  <si>
    <r>
      <t>Minh</t>
    </r>
    <r>
      <rPr>
        <vertAlign val="subscript"/>
        <sz val="11"/>
        <rFont val="Calibri"/>
        <family val="2"/>
        <scheme val="minor"/>
      </rPr>
      <t>SNOx,KNO3,HMETO</t>
    </r>
  </si>
  <si>
    <r>
      <t>Bellinh</t>
    </r>
    <r>
      <rPr>
        <vertAlign val="subscript"/>
        <sz val="11"/>
        <rFont val="Calibri"/>
        <family val="2"/>
        <scheme val="minor"/>
      </rPr>
      <t>pH</t>
    </r>
  </si>
  <si>
    <r>
      <t>Bellinh(pH;pH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</si>
  <si>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µ</t>
    </r>
    <r>
      <rPr>
        <vertAlign val="subscript"/>
        <sz val="11"/>
        <color indexed="8"/>
        <rFont val="Calibri"/>
        <family val="2"/>
        <scheme val="minor"/>
      </rPr>
      <t>OHO,T</t>
    </r>
  </si>
  <si>
    <r>
      <t>µ</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µ,OHO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</si>
  <si>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FERM,OHO,T</t>
    </r>
  </si>
  <si>
    <r>
      <t>µ</t>
    </r>
    <r>
      <rPr>
        <vertAlign val="subscript"/>
        <sz val="11"/>
        <color indexed="8"/>
        <rFont val="Calibri"/>
        <family val="2"/>
        <scheme val="minor"/>
      </rPr>
      <t>FERM,OHO</t>
    </r>
    <r>
      <rPr>
        <sz val="11"/>
        <color indexed="8"/>
        <rFont val="Calibri"/>
        <family val="2"/>
        <scheme val="minor"/>
      </rPr>
      <t>*Arrh(θ</t>
    </r>
    <r>
      <rPr>
        <vertAlign val="subscript"/>
        <sz val="11"/>
        <color indexed="8"/>
        <rFont val="Calibri"/>
        <family val="2"/>
        <scheme val="minor"/>
      </rPr>
      <t>FERM,OHO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</si>
  <si>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OHO,T</t>
    </r>
  </si>
  <si>
    <r>
      <t>b</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b,OHO</t>
    </r>
    <r>
      <rPr>
        <sz val="11"/>
        <color indexed="8"/>
        <rFont val="Calibri"/>
        <family val="2"/>
        <scheme val="minor"/>
      </rPr>
      <t>;T;T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</si>
  <si>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MEOLO,T</t>
    </r>
  </si>
  <si>
    <r>
      <t>µ</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µ,MEOLO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</si>
  <si>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MEOLO,T</t>
    </r>
  </si>
  <si>
    <r>
      <t>b</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b,MEOLO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</si>
  <si>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PAO,PHA,T</t>
    </r>
  </si>
  <si>
    <r>
      <t>q</t>
    </r>
    <r>
      <rPr>
        <vertAlign val="subscript"/>
        <sz val="11"/>
        <color indexed="8"/>
        <rFont val="Calibri"/>
        <family val="2"/>
        <scheme val="minor"/>
      </rPr>
      <t>PAO,PHA</t>
    </r>
    <r>
      <rPr>
        <sz val="11"/>
        <color indexed="8"/>
        <rFont val="Calibri"/>
        <family val="2"/>
        <scheme val="minor"/>
      </rPr>
      <t>*Arrh(θ</t>
    </r>
    <r>
      <rPr>
        <vertAlign val="subscript"/>
        <sz val="11"/>
        <color indexed="8"/>
        <rFont val="Calibri"/>
        <family val="2"/>
        <scheme val="minor"/>
      </rPr>
      <t>q,PAO,PHA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</si>
  <si>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AMETO,T</t>
    </r>
  </si>
  <si>
    <r>
      <t>µ</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µ,AMETO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</si>
  <si>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AMETO,T</t>
    </r>
  </si>
  <si>
    <r>
      <t>b</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b,AMETO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</si>
  <si>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HMETO,T</t>
    </r>
  </si>
  <si>
    <r>
      <t>µ</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µ,HMETO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</si>
  <si>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HMETO,T</t>
    </r>
  </si>
  <si>
    <r>
      <t>b</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b,HMETO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</si>
  <si>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FLOC,T</t>
    </r>
  </si>
  <si>
    <r>
      <t>q</t>
    </r>
    <r>
      <rPr>
        <vertAlign val="subscript"/>
        <sz val="11"/>
        <color indexed="8"/>
        <rFont val="Calibri"/>
        <family val="2"/>
        <scheme val="minor"/>
      </rPr>
      <t>FLOC</t>
    </r>
    <r>
      <rPr>
        <sz val="11"/>
        <color indexed="8"/>
        <rFont val="Calibri"/>
        <family val="2"/>
        <scheme val="minor"/>
      </rPr>
      <t>*Arrh(θ</t>
    </r>
    <r>
      <rPr>
        <vertAlign val="subscript"/>
        <sz val="11"/>
        <color indexed="8"/>
        <rFont val="Calibri"/>
        <family val="2"/>
        <scheme val="minor"/>
      </rPr>
      <t>q,FLOC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</si>
  <si>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AMMON,T</t>
    </r>
  </si>
  <si>
    <r>
      <t>q</t>
    </r>
    <r>
      <rPr>
        <vertAlign val="subscript"/>
        <sz val="11"/>
        <color indexed="8"/>
        <rFont val="Calibri"/>
        <family val="2"/>
        <scheme val="minor"/>
      </rPr>
      <t>AMMON</t>
    </r>
    <r>
      <rPr>
        <sz val="11"/>
        <color indexed="8"/>
        <rFont val="Calibri"/>
        <family val="2"/>
        <scheme val="minor"/>
      </rPr>
      <t>*Arrh(θ</t>
    </r>
    <r>
      <rPr>
        <vertAlign val="subscript"/>
        <sz val="11"/>
        <color indexed="8"/>
        <rFont val="Calibri"/>
        <family val="2"/>
        <scheme val="minor"/>
      </rPr>
      <t>q,AMMON</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</si>
  <si>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ASSIM,T</t>
    </r>
  </si>
  <si>
    <r>
      <t>q</t>
    </r>
    <r>
      <rPr>
        <vertAlign val="subscript"/>
        <sz val="11"/>
        <color indexed="8"/>
        <rFont val="Calibri"/>
        <family val="2"/>
        <scheme val="minor"/>
      </rPr>
      <t>ASSIM</t>
    </r>
    <r>
      <rPr>
        <sz val="11"/>
        <color indexed="8"/>
        <rFont val="Calibri"/>
        <family val="2"/>
        <scheme val="minor"/>
      </rPr>
      <t>*Arrh(θ</t>
    </r>
    <r>
      <rPr>
        <vertAlign val="subscript"/>
        <sz val="11"/>
        <color indexed="8"/>
        <rFont val="Calibri"/>
        <family val="2"/>
        <scheme val="minor"/>
      </rPr>
      <t>q,ASSIM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</si>
  <si>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1.82483*10^6*ρ^(0.5)*(ε*T</t>
    </r>
    <r>
      <rPr>
        <vertAlign val="subscript"/>
        <sz val="11"/>
        <rFont val="Calibri"/>
        <family val="2"/>
        <scheme val="minor"/>
      </rPr>
      <t>K</t>
    </r>
    <r>
      <rPr>
        <sz val="11"/>
        <rFont val="Calibri"/>
        <family val="2"/>
        <scheme val="minor"/>
      </rPr>
      <t>)^(-1.5)</t>
    </r>
  </si>
  <si>
    <r>
      <t>10^(-(3404.7/T</t>
    </r>
    <r>
      <rPr>
        <vertAlign val="subscript"/>
        <sz val="11"/>
        <rFont val="Calibri"/>
        <family val="2"/>
        <scheme val="minor"/>
      </rPr>
      <t>K</t>
    </r>
    <r>
      <rPr>
        <sz val="11"/>
        <rFont val="Calibri"/>
        <family val="2"/>
        <scheme val="minor"/>
      </rPr>
      <t>-14.8435+T</t>
    </r>
    <r>
      <rPr>
        <vertAlign val="subscript"/>
        <sz val="11"/>
        <rFont val="Calibri"/>
        <family val="2"/>
        <scheme val="minor"/>
      </rPr>
      <t>K</t>
    </r>
    <r>
      <rPr>
        <sz val="11"/>
        <rFont val="Calibri"/>
        <family val="2"/>
        <scheme val="minor"/>
      </rPr>
      <t>*0.03279))</t>
    </r>
  </si>
  <si>
    <r>
      <t>10^(-(2902.4/T</t>
    </r>
    <r>
      <rPr>
        <vertAlign val="subscript"/>
        <sz val="11"/>
        <rFont val="Calibri"/>
        <family val="2"/>
        <scheme val="minor"/>
      </rPr>
      <t>K</t>
    </r>
    <r>
      <rPr>
        <sz val="11"/>
        <rFont val="Calibri"/>
        <family val="2"/>
        <scheme val="minor"/>
      </rPr>
      <t>-6.498+T</t>
    </r>
    <r>
      <rPr>
        <vertAlign val="subscript"/>
        <sz val="11"/>
        <rFont val="Calibri"/>
        <family val="2"/>
        <scheme val="minor"/>
      </rPr>
      <t>K</t>
    </r>
    <r>
      <rPr>
        <sz val="11"/>
        <rFont val="Calibri"/>
        <family val="2"/>
        <scheme val="minor"/>
      </rPr>
      <t>*0.02379))</t>
    </r>
  </si>
  <si>
    <r>
      <t>10^(-(799.3/T</t>
    </r>
    <r>
      <rPr>
        <vertAlign val="subscript"/>
        <sz val="11"/>
        <rFont val="Calibri"/>
        <family val="2"/>
        <scheme val="minor"/>
      </rPr>
      <t>K</t>
    </r>
    <r>
      <rPr>
        <sz val="11"/>
        <rFont val="Calibri"/>
        <family val="2"/>
        <scheme val="minor"/>
      </rPr>
      <t>-4.5535+T</t>
    </r>
    <r>
      <rPr>
        <vertAlign val="subscript"/>
        <sz val="11"/>
        <rFont val="Calibri"/>
        <family val="2"/>
        <scheme val="minor"/>
      </rPr>
      <t>K</t>
    </r>
    <r>
      <rPr>
        <sz val="11"/>
        <rFont val="Calibri"/>
        <family val="2"/>
        <scheme val="minor"/>
      </rPr>
      <t>*0.01349))</t>
    </r>
  </si>
  <si>
    <r>
      <t>10^(-(1979.5/T</t>
    </r>
    <r>
      <rPr>
        <vertAlign val="subscript"/>
        <sz val="11"/>
        <rFont val="Calibri"/>
        <family val="2"/>
        <scheme val="minor"/>
      </rPr>
      <t>K</t>
    </r>
    <r>
      <rPr>
        <sz val="11"/>
        <rFont val="Calibri"/>
        <family val="2"/>
        <scheme val="minor"/>
      </rPr>
      <t>-5.3541+T</t>
    </r>
    <r>
      <rPr>
        <vertAlign val="subscript"/>
        <sz val="11"/>
        <rFont val="Calibri"/>
        <family val="2"/>
        <scheme val="minor"/>
      </rPr>
      <t>K</t>
    </r>
    <r>
      <rPr>
        <sz val="11"/>
        <rFont val="Calibri"/>
        <family val="2"/>
        <scheme val="minor"/>
      </rPr>
      <t>*0.01984))</t>
    </r>
  </si>
  <si>
    <r>
      <t>10^(-(1170.5/T</t>
    </r>
    <r>
      <rPr>
        <vertAlign val="subscript"/>
        <sz val="11"/>
        <rFont val="Calibri"/>
        <family val="2"/>
        <scheme val="minor"/>
      </rPr>
      <t>K</t>
    </r>
    <r>
      <rPr>
        <sz val="11"/>
        <rFont val="Calibri"/>
        <family val="2"/>
        <scheme val="minor"/>
      </rPr>
      <t>-3.165+T</t>
    </r>
    <r>
      <rPr>
        <vertAlign val="subscript"/>
        <sz val="11"/>
        <rFont val="Calibri"/>
        <family val="2"/>
        <scheme val="minor"/>
      </rPr>
      <t>K</t>
    </r>
    <r>
      <rPr>
        <sz val="11"/>
        <rFont val="Calibri"/>
        <family val="2"/>
        <scheme val="minor"/>
      </rPr>
      <t>*0.0134))</t>
    </r>
  </si>
  <si>
    <r>
      <t>IS -IS</t>
    </r>
    <r>
      <rPr>
        <vertAlign val="subscript"/>
        <sz val="11"/>
        <rFont val="Calibri"/>
        <family val="2"/>
        <scheme val="minor"/>
      </rPr>
      <t>calc</t>
    </r>
  </si>
  <si>
    <r>
      <t>T</t>
    </r>
    <r>
      <rPr>
        <vertAlign val="subscript"/>
        <sz val="11"/>
        <rFont val="Calibri"/>
        <family val="2"/>
        <scheme val="minor"/>
      </rPr>
      <t>K</t>
    </r>
  </si>
  <si>
    <r>
      <t>Msat(S</t>
    </r>
    <r>
      <rPr>
        <vertAlign val="subscript"/>
        <sz val="11"/>
        <rFont val="Calibri"/>
        <family val="2"/>
        <scheme val="minor"/>
      </rPr>
      <t>B</t>
    </r>
    <r>
      <rPr>
        <sz val="11"/>
        <rFont val="Calibri"/>
        <family val="2"/>
        <scheme val="minor"/>
      </rPr>
      <t>;K</t>
    </r>
    <r>
      <rPr>
        <vertAlign val="subscript"/>
        <sz val="11"/>
        <rFont val="Calibri"/>
        <family val="2"/>
        <scheme val="minor"/>
      </rPr>
      <t>SB,ana</t>
    </r>
    <r>
      <rPr>
        <sz val="11"/>
        <rFont val="Calibri"/>
        <family val="2"/>
        <scheme val="minor"/>
      </rPr>
      <t>)</t>
    </r>
  </si>
  <si>
    <r>
      <t>Msat</t>
    </r>
    <r>
      <rPr>
        <vertAlign val="subscript"/>
        <sz val="11"/>
        <rFont val="Calibri"/>
        <family val="2"/>
        <scheme val="minor"/>
      </rPr>
      <t>SB,KSB,ana</t>
    </r>
  </si>
  <si>
    <r>
      <t>µ</t>
    </r>
    <r>
      <rPr>
        <vertAlign val="subscript"/>
        <sz val="11"/>
        <color indexed="8"/>
        <rFont val="Calibri"/>
        <family val="2"/>
        <scheme val="minor"/>
      </rPr>
      <t>PAO,lim,T</t>
    </r>
  </si>
  <si>
    <r>
      <t>q</t>
    </r>
    <r>
      <rPr>
        <vertAlign val="subscript"/>
        <sz val="11"/>
        <color indexed="8"/>
        <rFont val="Calibri"/>
        <family val="2"/>
        <scheme val="minor"/>
      </rPr>
      <t>SPB,T</t>
    </r>
  </si>
  <si>
    <r>
      <t>q</t>
    </r>
    <r>
      <rPr>
        <vertAlign val="subscript"/>
        <sz val="11"/>
        <color indexed="8"/>
        <rFont val="Calibri"/>
        <family val="2"/>
        <scheme val="minor"/>
      </rPr>
      <t>SPB</t>
    </r>
    <r>
      <rPr>
        <sz val="11"/>
        <color indexed="8"/>
        <rFont val="Calibri"/>
        <family val="2"/>
        <scheme val="minor"/>
      </rPr>
      <t>*Arrh(θ</t>
    </r>
    <r>
      <rPr>
        <vertAlign val="subscript"/>
        <sz val="11"/>
        <color indexed="8"/>
        <rFont val="Calibri"/>
        <family val="2"/>
        <scheme val="minor"/>
      </rPr>
      <t>q,SPB</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</si>
  <si>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PAO,lim</t>
    </r>
    <r>
      <rPr>
        <sz val="11"/>
        <color indexed="8"/>
        <rFont val="Calibri"/>
        <family val="2"/>
        <scheme val="minor"/>
      </rPr>
      <t>*Arrh(θ</t>
    </r>
    <r>
      <rPr>
        <vertAlign val="subscript"/>
        <sz val="11"/>
        <color indexed="8"/>
        <rFont val="Calibri"/>
        <family val="2"/>
        <scheme val="minor"/>
      </rPr>
      <t>µ,PAO,lim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</si>
  <si>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XE,T</t>
    </r>
  </si>
  <si>
    <r>
      <t>q</t>
    </r>
    <r>
      <rPr>
        <vertAlign val="subscript"/>
        <sz val="11"/>
        <color indexed="8"/>
        <rFont val="Calibri"/>
        <family val="2"/>
        <scheme val="minor"/>
      </rPr>
      <t>XE</t>
    </r>
    <r>
      <rPr>
        <sz val="11"/>
        <color indexed="8"/>
        <rFont val="Calibri"/>
        <family val="2"/>
        <scheme val="minor"/>
      </rPr>
      <t>*Arrh(θ</t>
    </r>
    <r>
      <rPr>
        <vertAlign val="subscript"/>
        <sz val="11"/>
        <color indexed="8"/>
        <rFont val="Calibri"/>
        <family val="2"/>
        <scheme val="minor"/>
      </rPr>
      <t>q,XE</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</si>
  <si>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HFO,RED,T</t>
    </r>
  </si>
  <si>
    <r>
      <t>q</t>
    </r>
    <r>
      <rPr>
        <vertAlign val="subscript"/>
        <sz val="11"/>
        <color indexed="8"/>
        <rFont val="Calibri"/>
        <family val="2"/>
        <scheme val="minor"/>
      </rPr>
      <t>HFO,RED</t>
    </r>
    <r>
      <rPr>
        <sz val="11"/>
        <color indexed="8"/>
        <rFont val="Calibri"/>
        <family val="2"/>
        <scheme val="minor"/>
      </rPr>
      <t>*Arrh(θ</t>
    </r>
    <r>
      <rPr>
        <vertAlign val="subscript"/>
        <sz val="11"/>
        <color indexed="8"/>
        <rFont val="Calibri"/>
        <family val="2"/>
        <scheme val="minor"/>
      </rPr>
      <t>q,HFO,RED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</si>
  <si>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SB,ana</t>
    </r>
  </si>
  <si>
    <t>%v/v</t>
  </si>
  <si>
    <r>
      <t>c</t>
    </r>
    <r>
      <rPr>
        <vertAlign val="subscript"/>
        <sz val="11"/>
        <rFont val="Calibri"/>
        <family val="2"/>
        <scheme val="minor"/>
      </rPr>
      <t>percent,Vconc</t>
    </r>
  </si>
  <si>
    <t>Conversion coefficient between percents and volumetric concentration</t>
  </si>
  <si>
    <r>
      <t>f(X</t>
    </r>
    <r>
      <rPr>
        <vertAlign val="subscript"/>
        <sz val="11"/>
        <rFont val="Calibri"/>
        <family val="2"/>
      </rPr>
      <t>INORG</t>
    </r>
    <r>
      <rPr>
        <sz val="11"/>
        <rFont val="Calibri"/>
        <family val="2"/>
      </rPr>
      <t>)</t>
    </r>
  </si>
  <si>
    <r>
      <t>IS</t>
    </r>
    <r>
      <rPr>
        <vertAlign val="subscript"/>
        <sz val="11"/>
        <rFont val="Calibri"/>
        <family val="2"/>
        <scheme val="minor"/>
      </rPr>
      <t>lim</t>
    </r>
  </si>
  <si>
    <r>
      <t>The f</t>
    </r>
    <r>
      <rPr>
        <vertAlign val="subscript"/>
        <sz val="11"/>
        <rFont val="Calibri"/>
        <family val="2"/>
        <scheme val="minor"/>
      </rPr>
      <t>mono</t>
    </r>
    <r>
      <rPr>
        <sz val="11"/>
        <rFont val="Calibri"/>
        <family val="2"/>
        <scheme val="minor"/>
      </rPr>
      <t>/f</t>
    </r>
    <r>
      <rPr>
        <vertAlign val="subscript"/>
        <sz val="11"/>
        <rFont val="Calibri"/>
        <family val="2"/>
        <scheme val="minor"/>
      </rPr>
      <t>di</t>
    </r>
    <r>
      <rPr>
        <sz val="11"/>
        <rFont val="Calibri"/>
        <family val="2"/>
        <scheme val="minor"/>
      </rPr>
      <t>/f</t>
    </r>
    <r>
      <rPr>
        <vertAlign val="subscript"/>
        <sz val="11"/>
        <rFont val="Calibri"/>
        <family val="2"/>
        <scheme val="minor"/>
      </rPr>
      <t>tri</t>
    </r>
    <r>
      <rPr>
        <sz val="11"/>
        <rFont val="Calibri"/>
        <family val="2"/>
        <scheme val="minor"/>
      </rPr>
      <t xml:space="preserve"> curves have minima at 0.3 and literally couldn't be used above that</t>
    </r>
  </si>
  <si>
    <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</si>
  <si>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</si>
  <si>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t>Thermal conductivity coefficient</t>
  </si>
  <si>
    <t>Nriagu (1972); Al-Borno and Tomson (1994): 35.755 at 25°C DeltaH°: 5.05 kJ.mol-1 (small temperature dependency)</t>
  </si>
  <si>
    <r>
      <t>c</t>
    </r>
    <r>
      <rPr>
        <vertAlign val="subscript"/>
        <sz val="11"/>
        <rFont val="Calibri"/>
        <family val="2"/>
        <scheme val="minor"/>
      </rPr>
      <t>percent,fraction</t>
    </r>
  </si>
  <si>
    <t>Conversion coefficient between percents and fractions</t>
  </si>
  <si>
    <t>%</t>
  </si>
  <si>
    <r>
      <t>X</t>
    </r>
    <r>
      <rPr>
        <vertAlign val="subscript"/>
        <sz val="11"/>
        <rFont val="Calibri"/>
        <family val="2"/>
        <scheme val="minor"/>
      </rPr>
      <t xml:space="preserve">HFO </t>
    </r>
    <r>
      <rPr>
        <sz val="11"/>
        <rFont val="Calibri"/>
        <family val="2"/>
        <scheme val="minor"/>
      </rPr>
      <t>+ S</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*3*AM</t>
    </r>
    <r>
      <rPr>
        <vertAlign val="subscript"/>
        <sz val="11"/>
        <rFont val="Calibri"/>
        <family val="2"/>
        <scheme val="minor"/>
      </rPr>
      <t>Fe</t>
    </r>
    <r>
      <rPr>
        <sz val="11"/>
        <rFont val="Calibri"/>
        <family val="2"/>
        <scheme val="minor"/>
      </rPr>
      <t>/MM</t>
    </r>
    <r>
      <rPr>
        <vertAlign val="subscript"/>
        <sz val="11"/>
        <rFont val="Calibri"/>
        <family val="2"/>
        <scheme val="minor"/>
      </rPr>
      <t>Vivi</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</si>
  <si>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</si>
  <si>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t>
    </r>
  </si>
  <si>
    <r>
      <t>eq ALK.L</t>
    </r>
    <r>
      <rPr>
        <vertAlign val="superscript"/>
        <sz val="11"/>
        <color theme="1"/>
        <rFont val="Calibri"/>
        <family val="2"/>
        <scheme val="minor"/>
      </rPr>
      <t>-1</t>
    </r>
  </si>
  <si>
    <r>
      <t>eq.L</t>
    </r>
    <r>
      <rPr>
        <vertAlign val="superscript"/>
        <sz val="11"/>
        <color theme="1"/>
        <rFont val="Calibri"/>
        <family val="2"/>
        <scheme val="minor"/>
      </rPr>
      <t>-1</t>
    </r>
  </si>
  <si>
    <t>PUR</t>
  </si>
  <si>
    <t>Phosphorus uptake rate (PUR)</t>
  </si>
  <si>
    <r>
      <t>g P.m</t>
    </r>
    <r>
      <rPr>
        <vertAlign val="superscript"/>
        <sz val="11"/>
        <rFont val="Calibri"/>
        <family val="2"/>
        <scheme val="minor"/>
      </rPr>
      <t>-3</t>
    </r>
    <r>
      <rPr>
        <sz val="11"/>
        <rFont val="Calibri"/>
        <family val="2"/>
        <scheme val="minor"/>
      </rPr>
      <t>.d</t>
    </r>
    <r>
      <rPr>
        <vertAlign val="superscript"/>
        <sz val="11"/>
        <rFont val="Calibri"/>
        <family val="2"/>
        <scheme val="minor"/>
      </rPr>
      <t>-1</t>
    </r>
  </si>
  <si>
    <r>
      <t>PUR</t>
    </r>
    <r>
      <rPr>
        <vertAlign val="subscript"/>
        <sz val="11"/>
        <rFont val="Calibri"/>
        <family val="2"/>
        <scheme val="minor"/>
      </rPr>
      <t>BIO</t>
    </r>
  </si>
  <si>
    <r>
      <t>PUR</t>
    </r>
    <r>
      <rPr>
        <vertAlign val="subscript"/>
        <sz val="11"/>
        <rFont val="Calibri"/>
        <family val="2"/>
        <scheme val="minor"/>
      </rPr>
      <t>CHEM</t>
    </r>
  </si>
  <si>
    <t>PRR</t>
  </si>
  <si>
    <t>Phosphorus release rate (PRR)</t>
  </si>
  <si>
    <r>
      <t>g N.g COD</t>
    </r>
    <r>
      <rPr>
        <vertAlign val="superscript"/>
        <sz val="11"/>
        <rFont val="Calibri"/>
        <family val="2"/>
        <scheme val="minor"/>
      </rPr>
      <t>-1</t>
    </r>
  </si>
  <si>
    <r>
      <t>g P.g COD</t>
    </r>
    <r>
      <rPr>
        <vertAlign val="superscript"/>
        <sz val="11"/>
        <rFont val="Calibri"/>
        <family val="2"/>
        <scheme val="minor"/>
      </rPr>
      <t>-1</t>
    </r>
  </si>
  <si>
    <r>
      <t>g COD.g VSS</t>
    </r>
    <r>
      <rPr>
        <vertAlign val="superscript"/>
        <sz val="11"/>
        <rFont val="Calibri"/>
        <family val="2"/>
        <scheme val="minor"/>
      </rPr>
      <t>-1</t>
    </r>
  </si>
  <si>
    <r>
      <t>g COD.g VS</t>
    </r>
    <r>
      <rPr>
        <vertAlign val="superscript"/>
        <sz val="11"/>
        <rFont val="Calibri"/>
        <family val="2"/>
        <scheme val="minor"/>
      </rPr>
      <t>-1</t>
    </r>
  </si>
  <si>
    <r>
      <t>g TIC.g COD</t>
    </r>
    <r>
      <rPr>
        <vertAlign val="superscript"/>
        <sz val="11"/>
        <rFont val="Calibri"/>
        <family val="2"/>
      </rPr>
      <t>-1</t>
    </r>
  </si>
  <si>
    <r>
      <t>g N.g TSS</t>
    </r>
    <r>
      <rPr>
        <vertAlign val="superscript"/>
        <sz val="11"/>
        <rFont val="Calibri"/>
        <family val="2"/>
        <scheme val="minor"/>
      </rPr>
      <t>-1</t>
    </r>
  </si>
  <si>
    <r>
      <t>g P.g TSS</t>
    </r>
    <r>
      <rPr>
        <vertAlign val="superscript"/>
        <sz val="11"/>
        <rFont val="Calibri"/>
        <family val="2"/>
        <scheme val="minor"/>
      </rPr>
      <t>-1</t>
    </r>
  </si>
  <si>
    <r>
      <t>mol Ca.mol P</t>
    </r>
    <r>
      <rPr>
        <vertAlign val="superscript"/>
        <sz val="11"/>
        <rFont val="Calibri"/>
        <family val="2"/>
        <scheme val="minor"/>
      </rPr>
      <t>-1</t>
    </r>
  </si>
  <si>
    <r>
      <t>mol Mg.mol P</t>
    </r>
    <r>
      <rPr>
        <vertAlign val="superscript"/>
        <sz val="11"/>
        <rFont val="Calibri"/>
        <family val="2"/>
        <scheme val="minor"/>
      </rPr>
      <t>-1</t>
    </r>
  </si>
  <si>
    <r>
      <t>mol P.mol Fe</t>
    </r>
    <r>
      <rPr>
        <vertAlign val="superscript"/>
        <sz val="11"/>
        <rFont val="Calibri"/>
        <family val="2"/>
        <scheme val="minor"/>
      </rPr>
      <t>-1</t>
    </r>
  </si>
  <si>
    <t>Check the species does exist in the systemcode.xlsx file</t>
  </si>
  <si>
    <t>On Constants Tab add the required thermodynamic constants and molecular masses</t>
  </si>
  <si>
    <t>In Process code/System files/systemcode.xlsx (if necessary)</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</si>
  <si>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</si>
  <si>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</si>
  <si>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</si>
  <si>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</si>
  <si>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</si>
  <si>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</si>
  <si>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</si>
  <si>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</si>
  <si>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</si>
  <si>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</si>
  <si>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</si>
  <si>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</si>
  <si>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</si>
  <si>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r>
      <t>K</t>
    </r>
    <r>
      <rPr>
        <vertAlign val="subscript"/>
        <sz val="11"/>
        <rFont val="Calibri"/>
        <family val="2"/>
        <scheme val="minor"/>
      </rPr>
      <t>SB,AS</t>
    </r>
  </si>
  <si>
    <r>
      <t>K</t>
    </r>
    <r>
      <rPr>
        <vertAlign val="subscript"/>
        <sz val="11"/>
        <rFont val="Calibri"/>
        <family val="2"/>
        <scheme val="minor"/>
      </rPr>
      <t>VFA,AS</t>
    </r>
  </si>
  <si>
    <r>
      <t>K</t>
    </r>
    <r>
      <rPr>
        <vertAlign val="subscript"/>
        <sz val="11"/>
        <rFont val="Calibri"/>
        <family val="2"/>
        <scheme val="minor"/>
      </rPr>
      <t>MEOL,OHO,AS</t>
    </r>
  </si>
  <si>
    <r>
      <t>K</t>
    </r>
    <r>
      <rPr>
        <vertAlign val="subscript"/>
        <sz val="11"/>
        <rFont val="Calibri"/>
        <family val="2"/>
        <scheme val="minor"/>
      </rPr>
      <t>O2,OHO,AS</t>
    </r>
  </si>
  <si>
    <r>
      <t>K</t>
    </r>
    <r>
      <rPr>
        <vertAlign val="subscript"/>
        <sz val="11"/>
        <rFont val="Calibri"/>
        <family val="2"/>
        <scheme val="minor"/>
      </rPr>
      <t>NO3,OHO,AS</t>
    </r>
  </si>
  <si>
    <r>
      <t>K</t>
    </r>
    <r>
      <rPr>
        <vertAlign val="subscript"/>
        <sz val="11"/>
        <rFont val="Calibri"/>
        <family val="2"/>
        <scheme val="minor"/>
      </rPr>
      <t>SB,ana,AS</t>
    </r>
  </si>
  <si>
    <r>
      <t>K</t>
    </r>
    <r>
      <rPr>
        <vertAlign val="subscript"/>
        <sz val="11"/>
        <rFont val="Calibri"/>
        <family val="2"/>
        <scheme val="minor"/>
      </rPr>
      <t>MEOL,AS</t>
    </r>
  </si>
  <si>
    <r>
      <t>K</t>
    </r>
    <r>
      <rPr>
        <vertAlign val="subscript"/>
        <sz val="11"/>
        <rFont val="Calibri"/>
        <family val="2"/>
        <scheme val="minor"/>
      </rPr>
      <t>NO3,MEOLO,AS</t>
    </r>
  </si>
  <si>
    <r>
      <t>K</t>
    </r>
    <r>
      <rPr>
        <vertAlign val="subscript"/>
        <sz val="11"/>
        <rFont val="Calibri"/>
        <family val="2"/>
        <scheme val="minor"/>
      </rPr>
      <t>PO4,PAO,AS</t>
    </r>
  </si>
  <si>
    <r>
      <t>K</t>
    </r>
    <r>
      <rPr>
        <vertAlign val="subscript"/>
        <sz val="11"/>
        <rFont val="Calibri"/>
        <family val="2"/>
        <scheme val="minor"/>
      </rPr>
      <t>Mg,PAO,AS</t>
    </r>
  </si>
  <si>
    <r>
      <t>K</t>
    </r>
    <r>
      <rPr>
        <vertAlign val="subscript"/>
        <sz val="11"/>
        <rFont val="Calibri"/>
        <family val="2"/>
        <scheme val="minor"/>
      </rPr>
      <t>K,PAO,AS</t>
    </r>
  </si>
  <si>
    <r>
      <t>K</t>
    </r>
    <r>
      <rPr>
        <vertAlign val="subscript"/>
        <sz val="11"/>
        <rFont val="Calibri"/>
        <family val="2"/>
        <scheme val="minor"/>
      </rPr>
      <t>Ca,PAO,AS</t>
    </r>
  </si>
  <si>
    <r>
      <t>K</t>
    </r>
    <r>
      <rPr>
        <vertAlign val="subscript"/>
        <sz val="11"/>
        <rFont val="Calibri"/>
        <family val="2"/>
        <scheme val="minor"/>
      </rPr>
      <t>VFA,AMETO,AS</t>
    </r>
  </si>
  <si>
    <r>
      <t>K</t>
    </r>
    <r>
      <rPr>
        <vertAlign val="subscript"/>
        <sz val="11"/>
        <color indexed="8"/>
        <rFont val="Calibri"/>
        <family val="2"/>
        <scheme val="minor"/>
      </rPr>
      <t>H2,HMETO,AS</t>
    </r>
  </si>
  <si>
    <r>
      <t>K</t>
    </r>
    <r>
      <rPr>
        <vertAlign val="subscript"/>
        <sz val="11"/>
        <rFont val="Calibri"/>
        <family val="2"/>
        <scheme val="minor"/>
      </rPr>
      <t>NHx,BIO,AS</t>
    </r>
  </si>
  <si>
    <r>
      <t>K</t>
    </r>
    <r>
      <rPr>
        <vertAlign val="subscript"/>
        <sz val="11"/>
        <rFont val="Calibri"/>
        <family val="2"/>
        <scheme val="minor"/>
      </rPr>
      <t>PO4,BIO,AS</t>
    </r>
  </si>
  <si>
    <r>
      <t>K</t>
    </r>
    <r>
      <rPr>
        <vertAlign val="subscript"/>
        <sz val="11"/>
        <color indexed="8"/>
        <rFont val="Calibri"/>
        <family val="2"/>
        <scheme val="minor"/>
      </rPr>
      <t>CO2,BIO,AS</t>
    </r>
  </si>
  <si>
    <r>
      <t>K</t>
    </r>
    <r>
      <rPr>
        <vertAlign val="subscript"/>
        <sz val="11"/>
        <rFont val="Calibri"/>
        <family val="2"/>
        <scheme val="minor"/>
      </rPr>
      <t>CAT,AS</t>
    </r>
  </si>
  <si>
    <r>
      <t>K</t>
    </r>
    <r>
      <rPr>
        <vertAlign val="subscript"/>
        <sz val="11"/>
        <rFont val="Calibri"/>
        <family val="2"/>
        <scheme val="minor"/>
      </rPr>
      <t>AN,AS</t>
    </r>
  </si>
  <si>
    <r>
      <t>K</t>
    </r>
    <r>
      <rPr>
        <vertAlign val="subscript"/>
        <sz val="11"/>
        <color indexed="8"/>
        <rFont val="Calibri"/>
        <family val="2"/>
        <scheme val="minor"/>
      </rPr>
      <t>HYD,AS</t>
    </r>
  </si>
  <si>
    <r>
      <t>K</t>
    </r>
    <r>
      <rPr>
        <vertAlign val="subscript"/>
        <sz val="11"/>
        <rFont val="Calibri"/>
        <family val="2"/>
        <scheme val="minor"/>
      </rPr>
      <t>H2,HMETO,AS</t>
    </r>
  </si>
  <si>
    <r>
      <t>K</t>
    </r>
    <r>
      <rPr>
        <vertAlign val="subscript"/>
        <sz val="11"/>
        <rFont val="Calibri"/>
        <family val="2"/>
        <scheme val="minor"/>
      </rPr>
      <t>CO2,BIO,AS</t>
    </r>
  </si>
  <si>
    <r>
      <t>K</t>
    </r>
    <r>
      <rPr>
        <vertAlign val="subscript"/>
        <sz val="11"/>
        <rFont val="Calibri"/>
        <family val="2"/>
        <scheme val="minor"/>
      </rPr>
      <t>HYD,AS</t>
    </r>
  </si>
  <si>
    <r>
      <t>Minh(S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</si>
  <si>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t>pH related inhibiton functions</t>
  </si>
  <si>
    <r>
      <t>g Fe.m</t>
    </r>
    <r>
      <rPr>
        <vertAlign val="superscript"/>
        <sz val="11"/>
        <rFont val="Calibri"/>
        <family val="2"/>
        <scheme val="minor"/>
      </rPr>
      <t>-3</t>
    </r>
  </si>
  <si>
    <r>
      <t>mol [HCO</t>
    </r>
    <r>
      <rPr>
        <vertAlign val="subscript"/>
        <sz val="11"/>
        <rFont val="Calibri"/>
        <family val="2"/>
        <scheme val="minor"/>
      </rPr>
      <t>3</t>
    </r>
    <r>
      <rPr>
        <vertAlign val="superscript"/>
        <sz val="11"/>
        <rFont val="Calibri"/>
        <family val="2"/>
        <scheme val="minor"/>
      </rPr>
      <t>-</t>
    </r>
    <r>
      <rPr>
        <sz val="11"/>
        <rFont val="Calibri"/>
        <family val="2"/>
        <scheme val="minor"/>
      </rPr>
      <t>].L</t>
    </r>
    <r>
      <rPr>
        <vertAlign val="superscript"/>
        <sz val="11"/>
        <rFont val="Calibri"/>
        <family val="2"/>
        <scheme val="minor"/>
      </rPr>
      <t>-1</t>
    </r>
  </si>
  <si>
    <r>
      <t>g P.m</t>
    </r>
    <r>
      <rPr>
        <vertAlign val="superscript"/>
        <sz val="11"/>
        <rFont val="Calibri"/>
        <family val="2"/>
        <scheme val="minor"/>
      </rPr>
      <t>-3</t>
    </r>
    <r>
      <rPr>
        <sz val="11"/>
        <color theme="1"/>
        <rFont val="Calibri"/>
        <family val="2"/>
        <scheme val="minor"/>
      </rPr>
      <t/>
    </r>
  </si>
  <si>
    <r>
      <t>g Na.m</t>
    </r>
    <r>
      <rPr>
        <vertAlign val="superscript"/>
        <sz val="11"/>
        <rFont val="Calibri"/>
        <family val="2"/>
        <scheme val="minor"/>
      </rPr>
      <t>-3</t>
    </r>
    <r>
      <rPr>
        <sz val="11"/>
        <color theme="1"/>
        <rFont val="Calibri"/>
        <family val="2"/>
        <scheme val="minor"/>
      </rPr>
      <t/>
    </r>
  </si>
  <si>
    <r>
      <t>g Cl.m</t>
    </r>
    <r>
      <rPr>
        <vertAlign val="superscript"/>
        <sz val="11"/>
        <rFont val="Calibri"/>
        <family val="2"/>
        <scheme val="minor"/>
      </rPr>
      <t>-3</t>
    </r>
    <r>
      <rPr>
        <sz val="11"/>
        <color theme="1"/>
        <rFont val="Calibri"/>
        <family val="2"/>
        <scheme val="minor"/>
      </rPr>
      <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</si>
  <si>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scheme val="minor"/>
      </rPr>
      <t>-1</t>
    </r>
  </si>
  <si>
    <r>
      <t>mol K.mol P</t>
    </r>
    <r>
      <rPr>
        <vertAlign val="superscript"/>
        <sz val="11"/>
        <rFont val="Calibri"/>
        <family val="2"/>
        <scheme val="minor"/>
      </rPr>
      <t>-1</t>
    </r>
  </si>
  <si>
    <r>
      <t>g Na.g NaCl</t>
    </r>
    <r>
      <rPr>
        <vertAlign val="superscript"/>
        <sz val="11"/>
        <rFont val="Calibri"/>
        <family val="2"/>
        <scheme val="minor"/>
      </rPr>
      <t>-1</t>
    </r>
  </si>
  <si>
    <t>Activated sludge</t>
  </si>
  <si>
    <t>VSS/TSS ratio</t>
  </si>
  <si>
    <r>
      <t>X</t>
    </r>
    <r>
      <rPr>
        <vertAlign val="subscript"/>
        <sz val="11"/>
        <rFont val="Calibri"/>
        <family val="2"/>
        <scheme val="minor"/>
      </rPr>
      <t>VSS</t>
    </r>
    <r>
      <rPr>
        <sz val="11"/>
        <rFont val="Calibri"/>
        <family val="2"/>
        <scheme val="minor"/>
      </rPr>
      <t>/X</t>
    </r>
    <r>
      <rPr>
        <vertAlign val="subscript"/>
        <sz val="11"/>
        <rFont val="Calibri"/>
        <family val="2"/>
        <scheme val="minor"/>
      </rPr>
      <t>TSS</t>
    </r>
  </si>
  <si>
    <r>
      <t>m</t>
    </r>
    <r>
      <rPr>
        <vertAlign val="subscript"/>
        <sz val="11"/>
        <rFont val="Calibri"/>
        <family val="2"/>
        <scheme val="minor"/>
      </rPr>
      <t>tox,anox</t>
    </r>
  </si>
  <si>
    <r>
      <t>m</t>
    </r>
    <r>
      <rPr>
        <vertAlign val="subscript"/>
        <sz val="11"/>
        <rFont val="Calibri"/>
        <family val="2"/>
        <scheme val="minor"/>
      </rPr>
      <t>tox,aer</t>
    </r>
  </si>
  <si>
    <r>
      <t>i</t>
    </r>
    <r>
      <rPr>
        <vertAlign val="subscript"/>
        <sz val="11"/>
        <rFont val="Calibri"/>
        <family val="2"/>
        <scheme val="minor"/>
      </rPr>
      <t>CIT,CH4</t>
    </r>
  </si>
  <si>
    <r>
      <t>i</t>
    </r>
    <r>
      <rPr>
        <vertAlign val="subscript"/>
        <sz val="11"/>
        <rFont val="Calibri"/>
        <family val="2"/>
        <scheme val="minor"/>
      </rPr>
      <t>CIT,VFA</t>
    </r>
  </si>
  <si>
    <r>
      <t>i</t>
    </r>
    <r>
      <rPr>
        <vertAlign val="subscript"/>
        <sz val="11"/>
        <rFont val="Calibri"/>
        <family val="2"/>
        <scheme val="minor"/>
      </rPr>
      <t>CIT,SB</t>
    </r>
  </si>
  <si>
    <r>
      <t>i</t>
    </r>
    <r>
      <rPr>
        <vertAlign val="subscript"/>
        <sz val="11"/>
        <rFont val="Calibri"/>
        <family val="2"/>
        <scheme val="minor"/>
      </rPr>
      <t>CIT,MEOL</t>
    </r>
  </si>
  <si>
    <r>
      <t>CH</t>
    </r>
    <r>
      <rPr>
        <vertAlign val="subscript"/>
        <sz val="11"/>
        <rFont val="Calibri"/>
        <family val="2"/>
        <scheme val="minor"/>
      </rPr>
      <t>4</t>
    </r>
    <r>
      <rPr>
        <sz val="11"/>
        <rFont val="Calibri"/>
        <family val="2"/>
        <scheme val="minor"/>
      </rPr>
      <t>: 64 g COD/mol C</t>
    </r>
  </si>
  <si>
    <r>
      <t>C</t>
    </r>
    <r>
      <rPr>
        <vertAlign val="subscript"/>
        <sz val="11"/>
        <rFont val="Calibri"/>
        <family val="2"/>
        <scheme val="minor"/>
      </rPr>
      <t>2</t>
    </r>
    <r>
      <rPr>
        <sz val="11"/>
        <rFont val="Calibri"/>
        <family val="2"/>
        <scheme val="minor"/>
      </rPr>
      <t>H</t>
    </r>
    <r>
      <rPr>
        <vertAlign val="subscript"/>
        <sz val="11"/>
        <rFont val="Calibri"/>
        <family val="2"/>
        <scheme val="minor"/>
      </rPr>
      <t>4</t>
    </r>
    <r>
      <rPr>
        <sz val="11"/>
        <rFont val="Calibri"/>
        <family val="2"/>
        <scheme val="minor"/>
      </rPr>
      <t>O</t>
    </r>
    <r>
      <rPr>
        <vertAlign val="subscript"/>
        <sz val="11"/>
        <rFont val="Calibri"/>
        <family val="2"/>
        <scheme val="minor"/>
      </rPr>
      <t>2</t>
    </r>
    <r>
      <rPr>
        <sz val="11"/>
        <rFont val="Calibri"/>
        <family val="2"/>
        <scheme val="minor"/>
      </rPr>
      <t>: 32 g COD/mol C</t>
    </r>
  </si>
  <si>
    <r>
      <t>i</t>
    </r>
    <r>
      <rPr>
        <vertAlign val="subscript"/>
        <sz val="11"/>
        <rFont val="Calibri"/>
        <family val="2"/>
        <scheme val="minor"/>
      </rPr>
      <t>CIT,PHA</t>
    </r>
  </si>
  <si>
    <r>
      <t>C</t>
    </r>
    <r>
      <rPr>
        <vertAlign val="subscript"/>
        <sz val="11"/>
        <rFont val="Calibri"/>
        <family val="2"/>
        <scheme val="minor"/>
      </rPr>
      <t>5</t>
    </r>
    <r>
      <rPr>
        <sz val="11"/>
        <rFont val="Calibri"/>
        <family val="2"/>
        <scheme val="minor"/>
      </rPr>
      <t>H</t>
    </r>
    <r>
      <rPr>
        <vertAlign val="subscript"/>
        <sz val="11"/>
        <rFont val="Calibri"/>
        <family val="2"/>
        <scheme val="minor"/>
      </rPr>
      <t>7</t>
    </r>
    <r>
      <rPr>
        <sz val="11"/>
        <rFont val="Calibri"/>
        <family val="2"/>
        <scheme val="minor"/>
      </rPr>
      <t>O</t>
    </r>
    <r>
      <rPr>
        <vertAlign val="subscript"/>
        <sz val="11"/>
        <rFont val="Calibri"/>
        <family val="2"/>
        <scheme val="minor"/>
      </rPr>
      <t>2</t>
    </r>
    <r>
      <rPr>
        <sz val="11"/>
        <rFont val="Calibri"/>
        <family val="2"/>
        <scheme val="minor"/>
      </rPr>
      <t>N: 32 g COD/mol C</t>
    </r>
  </si>
  <si>
    <r>
      <t>H[C</t>
    </r>
    <r>
      <rPr>
        <vertAlign val="subscript"/>
        <sz val="11"/>
        <color indexed="8"/>
        <rFont val="Calibri"/>
        <family val="2"/>
        <scheme val="minor"/>
      </rPr>
      <t>4</t>
    </r>
    <r>
      <rPr>
        <sz val="11"/>
        <color indexed="8"/>
        <rFont val="Calibri"/>
        <family val="2"/>
        <scheme val="minor"/>
      </rPr>
      <t>H</t>
    </r>
    <r>
      <rPr>
        <vertAlign val="subscript"/>
        <sz val="11"/>
        <color indexed="8"/>
        <rFont val="Calibri"/>
        <family val="2"/>
        <scheme val="minor"/>
      </rPr>
      <t>6</t>
    </r>
    <r>
      <rPr>
        <sz val="11"/>
        <color indexed="8"/>
        <rFont val="Calibri"/>
        <family val="2"/>
        <scheme val="minor"/>
      </rPr>
      <t>O</t>
    </r>
    <r>
      <rPr>
        <vertAlign val="subscript"/>
        <sz val="11"/>
        <color indexed="8"/>
        <rFont val="Calibri"/>
        <family val="2"/>
        <scheme val="minor"/>
      </rPr>
      <t>2</t>
    </r>
    <r>
      <rPr>
        <sz val="11"/>
        <color indexed="8"/>
        <rFont val="Calibri"/>
        <family val="2"/>
        <scheme val="minor"/>
      </rPr>
      <t>]</t>
    </r>
    <r>
      <rPr>
        <vertAlign val="subscript"/>
        <sz val="11"/>
        <color indexed="8"/>
        <rFont val="Calibri"/>
        <family val="2"/>
        <scheme val="minor"/>
      </rPr>
      <t>n</t>
    </r>
    <r>
      <rPr>
        <sz val="11"/>
        <color indexed="8"/>
        <rFont val="Calibri"/>
        <family val="2"/>
        <scheme val="minor"/>
      </rPr>
      <t>OH: 36 g COD/mol C</t>
    </r>
  </si>
  <si>
    <r>
      <t>i</t>
    </r>
    <r>
      <rPr>
        <vertAlign val="subscript"/>
        <sz val="11"/>
        <rFont val="Calibri"/>
        <family val="2"/>
      </rPr>
      <t>CIT,VFA</t>
    </r>
    <r>
      <rPr>
        <sz val="11"/>
        <rFont val="Calibri"/>
        <family val="2"/>
      </rPr>
      <t>/Y</t>
    </r>
    <r>
      <rPr>
        <vertAlign val="subscript"/>
        <sz val="11"/>
        <rFont val="Calibri"/>
        <family val="2"/>
      </rPr>
      <t>OHO,VFA,ox</t>
    </r>
    <r>
      <rPr>
        <sz val="11"/>
        <rFont val="Calibri"/>
        <family val="2"/>
      </rPr>
      <t>-i</t>
    </r>
    <r>
      <rPr>
        <vertAlign val="subscript"/>
        <sz val="11"/>
        <rFont val="Calibri"/>
        <family val="2"/>
      </rPr>
      <t>CIT,BIO</t>
    </r>
  </si>
  <si>
    <r>
      <t>i</t>
    </r>
    <r>
      <rPr>
        <vertAlign val="subscript"/>
        <sz val="11"/>
        <rFont val="Calibri"/>
        <family val="2"/>
      </rPr>
      <t>CIT,VFA</t>
    </r>
    <r>
      <rPr>
        <sz val="11"/>
        <rFont val="Calibri"/>
        <family val="2"/>
      </rPr>
      <t>/Y</t>
    </r>
    <r>
      <rPr>
        <vertAlign val="subscript"/>
        <sz val="11"/>
        <rFont val="Calibri"/>
        <family val="2"/>
      </rPr>
      <t>OHO,VFA,anox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</si>
  <si>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</si>
  <si>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OHO,SB,anox</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</si>
  <si>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MEOLO</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</si>
  <si>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OHO,SMEOL,ox</t>
    </r>
    <r>
      <rPr>
        <sz val="11"/>
        <rFont val="Calibri"/>
        <family val="2"/>
      </rPr>
      <t>-i</t>
    </r>
    <r>
      <rPr>
        <vertAlign val="subscript"/>
        <sz val="11"/>
        <rFont val="Calibri"/>
        <family val="2"/>
      </rPr>
      <t>CIT,BIO</t>
    </r>
  </si>
  <si>
    <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HMETO</t>
    </r>
    <r>
      <rPr>
        <sz val="11"/>
        <rFont val="Calibri"/>
        <family val="2"/>
      </rPr>
      <t>)/Y</t>
    </r>
    <r>
      <rPr>
        <vertAlign val="subscript"/>
        <sz val="11"/>
        <rFont val="Calibri"/>
        <family val="2"/>
      </rPr>
      <t>HMETO</t>
    </r>
  </si>
  <si>
    <r>
      <t>i</t>
    </r>
    <r>
      <rPr>
        <vertAlign val="subscript"/>
        <sz val="11"/>
        <rFont val="Calibri"/>
        <family val="2"/>
      </rPr>
      <t>CIT,MEOL</t>
    </r>
    <r>
      <rPr>
        <sz val="11"/>
        <rFont val="Calibri"/>
        <family val="2"/>
      </rPr>
      <t>-i</t>
    </r>
    <r>
      <rPr>
        <vertAlign val="subscript"/>
        <sz val="11"/>
        <rFont val="Calibri"/>
        <family val="2"/>
      </rPr>
      <t>CIT,VFA</t>
    </r>
    <r>
      <rPr>
        <sz val="11"/>
        <rFont val="Calibri"/>
        <family val="2"/>
      </rPr>
      <t>*2/3</t>
    </r>
  </si>
  <si>
    <r>
      <t>i</t>
    </r>
    <r>
      <rPr>
        <vertAlign val="subscript"/>
        <sz val="11"/>
        <rFont val="Calibri"/>
        <family val="2"/>
      </rPr>
      <t>CIT,VFA</t>
    </r>
    <r>
      <rPr>
        <sz val="11"/>
        <rFont val="Calibri"/>
        <family val="2"/>
      </rPr>
      <t>-i</t>
    </r>
    <r>
      <rPr>
        <vertAlign val="subscript"/>
        <sz val="11"/>
        <rFont val="Calibri"/>
        <family val="2"/>
      </rPr>
      <t>CIT,PHA</t>
    </r>
  </si>
  <si>
    <r>
      <t>i</t>
    </r>
    <r>
      <rPr>
        <vertAlign val="subscript"/>
        <sz val="11"/>
        <rFont val="Calibri"/>
        <family val="2"/>
      </rPr>
      <t>CIT,SB</t>
    </r>
    <r>
      <rPr>
        <sz val="11"/>
        <rFont val="Calibri"/>
        <family val="2"/>
      </rP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)+i</t>
    </r>
    <r>
      <rPr>
        <vertAlign val="subscript"/>
        <sz val="11"/>
        <rFont val="Calibri"/>
        <family val="2"/>
      </rPr>
      <t>CIT,VFA</t>
    </r>
    <r>
      <rPr>
        <sz val="11"/>
        <rFont val="Calibri"/>
        <family val="2"/>
      </rP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</si>
  <si>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pH</t>
    </r>
    <r>
      <rPr>
        <vertAlign val="subscript"/>
        <sz val="11"/>
        <rFont val="Calibri"/>
        <family val="2"/>
        <scheme val="minor"/>
      </rPr>
      <t>low,AMETO</t>
    </r>
  </si>
  <si>
    <r>
      <t>pH</t>
    </r>
    <r>
      <rPr>
        <vertAlign val="subscript"/>
        <sz val="11"/>
        <rFont val="Calibri"/>
        <family val="2"/>
        <scheme val="minor"/>
      </rPr>
      <t>high,AMETO</t>
    </r>
  </si>
  <si>
    <r>
      <t>pH</t>
    </r>
    <r>
      <rPr>
        <vertAlign val="subscript"/>
        <sz val="11"/>
        <rFont val="Calibri"/>
        <family val="2"/>
        <scheme val="minor"/>
      </rPr>
      <t>low,HMETO</t>
    </r>
  </si>
  <si>
    <r>
      <t>pH</t>
    </r>
    <r>
      <rPr>
        <vertAlign val="subscript"/>
        <sz val="11"/>
        <rFont val="Calibri"/>
        <family val="2"/>
        <scheme val="minor"/>
      </rPr>
      <t>high,HMETO</t>
    </r>
  </si>
  <si>
    <r>
      <t>Bellinh</t>
    </r>
    <r>
      <rPr>
        <vertAlign val="subscript"/>
        <sz val="11"/>
        <rFont val="Calibri"/>
        <family val="2"/>
        <scheme val="minor"/>
      </rPr>
      <t>pH,AMETO</t>
    </r>
  </si>
  <si>
    <r>
      <t>Bellinh</t>
    </r>
    <r>
      <rPr>
        <vertAlign val="subscript"/>
        <sz val="11"/>
        <rFont val="Calibri"/>
        <family val="2"/>
        <scheme val="minor"/>
      </rPr>
      <t>pH,HMETO</t>
    </r>
  </si>
  <si>
    <r>
      <t>Bellinh(pH;pH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</si>
  <si>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</si>
  <si>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i</t>
    </r>
    <r>
      <rPr>
        <vertAlign val="subscript"/>
        <sz val="11"/>
        <rFont val="Calibri"/>
        <family val="2"/>
      </rPr>
      <t>CIT,BIO</t>
    </r>
    <r>
      <rPr>
        <sz val="11"/>
        <rFont val="Calibri"/>
        <family val="2"/>
      </rPr>
      <t>-i</t>
    </r>
    <r>
      <rPr>
        <vertAlign val="subscript"/>
        <sz val="11"/>
        <rFont val="Calibri"/>
        <family val="2"/>
      </rPr>
      <t>CIT,SB</t>
    </r>
  </si>
  <si>
    <r>
      <t>Hsat</t>
    </r>
    <r>
      <rPr>
        <vertAlign val="subscript"/>
        <sz val="11"/>
        <rFont val="Calibri"/>
        <family val="2"/>
        <scheme val="minor"/>
      </rPr>
      <t>SVFA,AMETO</t>
    </r>
  </si>
  <si>
    <t>HFO kinetics</t>
  </si>
  <si>
    <t>A_MN/M_MSTR</t>
  </si>
  <si>
    <t>A_MP/M_MSTR</t>
  </si>
  <si>
    <t>2*A_MP/M_MACP</t>
  </si>
  <si>
    <t>2*A_MP/M_MVivi</t>
  </si>
  <si>
    <t>HFO stoichiometry</t>
  </si>
  <si>
    <t>Ferrous ions fully dissociated</t>
  </si>
  <si>
    <r>
      <t>m</t>
    </r>
    <r>
      <rPr>
        <vertAlign val="subscript"/>
        <sz val="11"/>
        <rFont val="Calibri"/>
        <family val="2"/>
        <scheme val="minor"/>
      </rPr>
      <t>tox,ana</t>
    </r>
  </si>
  <si>
    <t>unitless</t>
  </si>
  <si>
    <r>
      <t>10^(-A</t>
    </r>
    <r>
      <rPr>
        <vertAlign val="subscript"/>
        <sz val="11"/>
        <rFont val="Calibri"/>
        <family val="2"/>
        <scheme val="minor"/>
      </rPr>
      <t>Davies</t>
    </r>
    <r>
      <rPr>
        <sz val="11"/>
        <rFont val="Calibri"/>
        <family val="2"/>
        <scheme val="minor"/>
      </rPr>
      <t>*1^(2)*(IS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</si>
  <si>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*2^(2)*(IS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</si>
  <si>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*3^(2)*(IS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</si>
  <si>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t>Key(950)</t>
  </si>
  <si>
    <t>Key(960)</t>
  </si>
  <si>
    <t>Key(970)</t>
  </si>
  <si>
    <t>Key(980)</t>
  </si>
  <si>
    <t>Key(1000)</t>
  </si>
  <si>
    <r>
      <t>X</t>
    </r>
    <r>
      <rPr>
        <vertAlign val="subscript"/>
        <sz val="11"/>
        <rFont val="Calibri"/>
        <family val="2"/>
        <scheme val="minor"/>
      </rPr>
      <t>ISS</t>
    </r>
  </si>
  <si>
    <r>
      <t>X</t>
    </r>
    <r>
      <rPr>
        <vertAlign val="subscript"/>
        <sz val="11"/>
        <rFont val="Calibri"/>
        <family val="2"/>
        <scheme val="minor"/>
      </rPr>
      <t>precip</t>
    </r>
  </si>
  <si>
    <r>
      <t>X</t>
    </r>
    <r>
      <rPr>
        <vertAlign val="subscript"/>
        <sz val="11"/>
        <rFont val="Calibri"/>
        <family val="2"/>
        <scheme val="minor"/>
      </rPr>
      <t>HFO,TSS</t>
    </r>
  </si>
  <si>
    <t>Total HFOs in TSS unit</t>
  </si>
  <si>
    <t>Dry matter</t>
  </si>
  <si>
    <r>
      <t>X</t>
    </r>
    <r>
      <rPr>
        <vertAlign val="subscript"/>
        <sz val="11"/>
        <rFont val="Calibri"/>
        <family val="2"/>
        <scheme val="minor"/>
      </rPr>
      <t>DM</t>
    </r>
  </si>
  <si>
    <r>
      <t>g.m</t>
    </r>
    <r>
      <rPr>
        <vertAlign val="superscript"/>
        <sz val="11"/>
        <rFont val="Calibri"/>
        <family val="2"/>
      </rPr>
      <t>-3</t>
    </r>
    <r>
      <rPr>
        <sz val="11"/>
        <rFont val="Calibri"/>
        <family val="2"/>
      </rPr>
      <t>.d</t>
    </r>
    <r>
      <rPr>
        <vertAlign val="superscript"/>
        <sz val="11"/>
        <rFont val="Calibri"/>
        <family val="2"/>
      </rPr>
      <t>-1</t>
    </r>
  </si>
  <si>
    <r>
      <t>MM</t>
    </r>
    <r>
      <rPr>
        <vertAlign val="subscript"/>
        <sz val="11"/>
        <rFont val="Calibri"/>
        <family val="2"/>
        <scheme val="minor"/>
      </rPr>
      <t>air</t>
    </r>
  </si>
  <si>
    <t>Molar mass of air</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</si>
  <si>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</si>
  <si>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</si>
  <si>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</si>
  <si>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</si>
  <si>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MMC</t>
    </r>
  </si>
  <si>
    <t>Molecular mass of methyl mercaptan</t>
  </si>
  <si>
    <r>
      <t>g N.mol</t>
    </r>
    <r>
      <rPr>
        <vertAlign val="superscript"/>
        <sz val="11"/>
        <rFont val="Calibri"/>
        <family val="2"/>
        <scheme val="minor"/>
      </rPr>
      <t>-1</t>
    </r>
  </si>
  <si>
    <r>
      <t>g COD.mol</t>
    </r>
    <r>
      <rPr>
        <vertAlign val="superscript"/>
        <sz val="11"/>
        <rFont val="Calibri"/>
        <family val="2"/>
        <scheme val="minor"/>
      </rPr>
      <t>-1</t>
    </r>
  </si>
  <si>
    <r>
      <t>g S.mol</t>
    </r>
    <r>
      <rPr>
        <vertAlign val="superscript"/>
        <sz val="11"/>
        <rFont val="Calibri"/>
        <family val="2"/>
        <scheme val="minor"/>
      </rPr>
      <t>-1</t>
    </r>
  </si>
  <si>
    <r>
      <t>g COD.g N</t>
    </r>
    <r>
      <rPr>
        <vertAlign val="superscript"/>
        <sz val="11"/>
        <rFont val="Calibri"/>
        <family val="2"/>
      </rPr>
      <t>-1</t>
    </r>
  </si>
  <si>
    <r>
      <t>g COD.g Fe</t>
    </r>
    <r>
      <rPr>
        <vertAlign val="superscript"/>
        <sz val="11"/>
        <rFont val="Calibri"/>
        <family val="2"/>
      </rPr>
      <t>-1</t>
    </r>
  </si>
  <si>
    <r>
      <t>g COD.g S</t>
    </r>
    <r>
      <rPr>
        <vertAlign val="superscript"/>
        <sz val="11"/>
        <rFont val="Calibri"/>
        <family val="2"/>
      </rPr>
      <t>-1</t>
    </r>
  </si>
  <si>
    <r>
      <t>g COD.g S</t>
    </r>
    <r>
      <rPr>
        <vertAlign val="superscript"/>
        <sz val="11"/>
        <rFont val="Calibri"/>
        <family val="2"/>
        <scheme val="minor"/>
      </rPr>
      <t>-1</t>
    </r>
  </si>
  <si>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</si>
  <si>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</si>
  <si>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pascal and Hgmm</t>
  </si>
  <si>
    <t>Conversion coefficient between pascal and bar</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</si>
  <si>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</si>
  <si>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</si>
  <si>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</si>
  <si>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</si>
  <si>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</si>
  <si>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</si>
  <si>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</si>
  <si>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</si>
  <si>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</si>
  <si>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</si>
  <si>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</si>
  <si>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</si>
  <si>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</si>
  <si>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</si>
  <si>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</si>
  <si>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</si>
  <si>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</si>
  <si>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</si>
  <si>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</si>
  <si>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</si>
  <si>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</si>
  <si>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</si>
  <si>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</si>
  <si>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</si>
  <si>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</si>
  <si>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</si>
  <si>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</si>
  <si>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</si>
  <si>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</si>
  <si>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</si>
  <si>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</si>
  <si>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</si>
  <si>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</si>
  <si>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</si>
  <si>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</si>
  <si>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</si>
  <si>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</si>
  <si>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</si>
  <si>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</si>
  <si>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</si>
  <si>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</si>
  <si>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</si>
  <si>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</si>
  <si>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</si>
  <si>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</si>
  <si>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</si>
  <si>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</si>
  <si>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</si>
  <si>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</si>
  <si>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</si>
  <si>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</si>
  <si>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</si>
  <si>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</si>
  <si>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</si>
  <si>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</si>
  <si>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</si>
  <si>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</si>
  <si>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</si>
  <si>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</si>
  <si>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</si>
  <si>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</si>
  <si>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</si>
  <si>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</si>
  <si>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</si>
  <si>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</si>
  <si>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</si>
  <si>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</si>
  <si>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Volatile solids (VS)</t>
  </si>
  <si>
    <t>Volatile suspended solids (VSS)</t>
  </si>
  <si>
    <r>
      <t>X</t>
    </r>
    <r>
      <rPr>
        <vertAlign val="subscript"/>
        <sz val="11"/>
        <rFont val="Calibri"/>
        <family val="2"/>
        <scheme val="minor"/>
      </rPr>
      <t>VS,ult</t>
    </r>
  </si>
  <si>
    <r>
      <t>Y</t>
    </r>
    <r>
      <rPr>
        <vertAlign val="subscript"/>
        <sz val="11"/>
        <rFont val="Calibri"/>
        <family val="2"/>
        <scheme val="minor"/>
      </rPr>
      <t>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</si>
  <si>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</si>
  <si>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</si>
  <si>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</si>
  <si>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t>
    </r>
    <r>
      <rPr>
        <sz val="11"/>
        <rFont val="Calibri"/>
        <family val="2"/>
        <scheme val="minor"/>
      </rPr>
      <t>+S</t>
    </r>
    <r>
      <rPr>
        <vertAlign val="subscript"/>
        <sz val="11"/>
        <rFont val="Calibri"/>
        <family val="2"/>
        <scheme val="minor"/>
      </rPr>
      <t>MEOL</t>
    </r>
    <r>
      <rPr>
        <sz val="11"/>
        <rFont val="Calibri"/>
        <family val="2"/>
        <scheme val="minor"/>
      </rPr>
      <t>+C</t>
    </r>
    <r>
      <rPr>
        <vertAlign val="subscript"/>
        <sz val="11"/>
        <rFont val="Calibri"/>
        <family val="2"/>
        <scheme val="minor"/>
      </rPr>
      <t>B</t>
    </r>
    <r>
      <rPr>
        <sz val="11"/>
        <rFont val="Calibri"/>
        <family val="2"/>
        <scheme val="minor"/>
      </rPr>
      <t>)</t>
    </r>
  </si>
  <si>
    <t>COUR</t>
  </si>
  <si>
    <t>NOUR</t>
  </si>
  <si>
    <t>Metal</t>
  </si>
  <si>
    <r>
      <t>m</t>
    </r>
    <r>
      <rPr>
        <vertAlign val="subscript"/>
        <sz val="11"/>
        <rFont val="Calibri"/>
        <family val="2"/>
        <scheme val="minor"/>
      </rPr>
      <t>tox,ana,max</t>
    </r>
  </si>
  <si>
    <t>Non-Digester</t>
  </si>
  <si>
    <r>
      <t>X</t>
    </r>
    <r>
      <rPr>
        <b/>
        <vertAlign val="subscript"/>
        <sz val="11"/>
        <rFont val="Calibri"/>
        <family val="2"/>
        <scheme val="minor"/>
      </rPr>
      <t>PP</t>
    </r>
  </si>
  <si>
    <t>Glycogen accumulating organisms</t>
  </si>
  <si>
    <r>
      <t>b</t>
    </r>
    <r>
      <rPr>
        <vertAlign val="subscript"/>
        <sz val="11"/>
        <rFont val="Calibri"/>
        <family val="2"/>
        <scheme val="minor"/>
      </rPr>
      <t>PP,ana</t>
    </r>
  </si>
  <si>
    <r>
      <t>K</t>
    </r>
    <r>
      <rPr>
        <vertAlign val="subscript"/>
        <sz val="11"/>
        <rFont val="Calibri"/>
        <family val="2"/>
        <scheme val="minor"/>
      </rPr>
      <t>PP</t>
    </r>
  </si>
  <si>
    <r>
      <t>MRsat(X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</si>
  <si>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Msat</t>
    </r>
    <r>
      <rPr>
        <vertAlign val="subscript"/>
        <sz val="11"/>
        <rFont val="Calibri"/>
        <family val="2"/>
        <scheme val="minor"/>
      </rPr>
      <t>XPP,KPP,lim</t>
    </r>
  </si>
  <si>
    <r>
      <t>Msat(X</t>
    </r>
    <r>
      <rPr>
        <vertAlign val="subscript"/>
        <sz val="11"/>
        <rFont val="Calibri"/>
        <family val="2"/>
        <scheme val="minor"/>
      </rPr>
      <t>PP</t>
    </r>
    <r>
      <rPr>
        <sz val="11"/>
        <rFont val="Calibri"/>
        <family val="2"/>
        <scheme val="minor"/>
      </rPr>
      <t>;K</t>
    </r>
    <r>
      <rPr>
        <vertAlign val="subscript"/>
        <sz val="11"/>
        <rFont val="Calibri"/>
        <family val="2"/>
        <scheme val="minor"/>
      </rPr>
      <t>PP,lim</t>
    </r>
    <r>
      <rPr>
        <sz val="11"/>
        <rFont val="Calibri"/>
        <family val="2"/>
        <scheme val="minor"/>
      </rPr>
      <t>)</t>
    </r>
  </si>
  <si>
    <r>
      <t>b</t>
    </r>
    <r>
      <rPr>
        <vertAlign val="subscript"/>
        <sz val="11"/>
        <color indexed="8"/>
        <rFont val="Calibri"/>
        <family val="2"/>
        <scheme val="minor"/>
      </rPr>
      <t>PP,ana,T</t>
    </r>
  </si>
  <si>
    <r>
      <t>b</t>
    </r>
    <r>
      <rPr>
        <vertAlign val="subscript"/>
        <sz val="11"/>
        <color indexed="8"/>
        <rFont val="Calibri"/>
        <family val="2"/>
        <scheme val="minor"/>
      </rPr>
      <t>PP,ana</t>
    </r>
    <r>
      <rPr>
        <sz val="11"/>
        <color indexed="8"/>
        <rFont val="Calibri"/>
        <family val="2"/>
        <scheme val="minor"/>
      </rPr>
      <t>*Arrh(θ</t>
    </r>
    <r>
      <rPr>
        <vertAlign val="subscript"/>
        <sz val="11"/>
        <color indexed="8"/>
        <rFont val="Calibri"/>
        <family val="2"/>
        <scheme val="minor"/>
      </rPr>
      <t>b,PP,ana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</si>
  <si>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b,PP,ana</t>
    </r>
  </si>
  <si>
    <r>
      <t>MRsat</t>
    </r>
    <r>
      <rPr>
        <vertAlign val="subscript"/>
        <sz val="11"/>
        <rFont val="Calibri"/>
        <family val="2"/>
        <scheme val="minor"/>
      </rPr>
      <t>XPP,XPAO,KPP</t>
    </r>
  </si>
  <si>
    <t>r50</t>
  </si>
  <si>
    <t>r51</t>
  </si>
  <si>
    <t>r52</t>
  </si>
  <si>
    <t>r53</t>
  </si>
  <si>
    <t>r54</t>
  </si>
  <si>
    <t>r55</t>
  </si>
  <si>
    <t>r56</t>
  </si>
  <si>
    <t>r57</t>
  </si>
  <si>
    <t>Lopez Vazquez et al., 2009</t>
  </si>
  <si>
    <r>
      <t>g COD.g COD</t>
    </r>
    <r>
      <rPr>
        <vertAlign val="superscript"/>
        <sz val="11"/>
        <rFont val="Calibri"/>
        <family val="2"/>
        <scheme val="minor"/>
      </rPr>
      <t>-1</t>
    </r>
  </si>
  <si>
    <r>
      <t>Loginh</t>
    </r>
    <r>
      <rPr>
        <vertAlign val="subscript"/>
        <sz val="11"/>
        <rFont val="Calibri"/>
        <family val="2"/>
        <scheme val="minor"/>
      </rPr>
      <t>XPHA,XPAO,max</t>
    </r>
  </si>
  <si>
    <r>
      <t>Loginh</t>
    </r>
    <r>
      <rPr>
        <vertAlign val="subscript"/>
        <sz val="11"/>
        <rFont val="Calibri"/>
        <family val="2"/>
        <scheme val="minor"/>
      </rPr>
      <t>XPP,XPAO,max</t>
    </r>
  </si>
  <si>
    <r>
      <t>CH</t>
    </r>
    <r>
      <rPr>
        <vertAlign val="subscript"/>
        <sz val="11"/>
        <rFont val="Calibri"/>
        <family val="2"/>
        <scheme val="minor"/>
      </rPr>
      <t>4</t>
    </r>
    <r>
      <rPr>
        <sz val="11"/>
        <rFont val="Calibri"/>
        <family val="2"/>
        <scheme val="minor"/>
      </rPr>
      <t>O: 48 g COD/mol C</t>
    </r>
  </si>
  <si>
    <r>
      <t>i</t>
    </r>
    <r>
      <rPr>
        <vertAlign val="subscript"/>
        <sz val="11"/>
        <rFont val="Calibri"/>
        <family val="2"/>
        <scheme val="minor"/>
      </rPr>
      <t>N,XE</t>
    </r>
  </si>
  <si>
    <t>N content of endogenous products</t>
  </si>
  <si>
    <r>
      <t>i</t>
    </r>
    <r>
      <rPr>
        <vertAlign val="subscript"/>
        <sz val="11"/>
        <rFont val="Calibri"/>
        <family val="2"/>
      </rPr>
      <t>N,XE</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</si>
  <si>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t>
    </r>
  </si>
  <si>
    <t>Precipitated solids</t>
  </si>
  <si>
    <t>pH calculation - pH not specified (Non pHSet)</t>
  </si>
  <si>
    <t>Temperature dependency correction</t>
  </si>
  <si>
    <t>Anaerobic toxicity factor</t>
  </si>
  <si>
    <t>Anoxic methanol utilizer kinetics (MEOLO)</t>
  </si>
  <si>
    <t>Oxidation-reduction potential constants</t>
  </si>
  <si>
    <r>
      <t>ORP</t>
    </r>
    <r>
      <rPr>
        <vertAlign val="subscript"/>
        <sz val="11"/>
        <rFont val="Calibri"/>
        <family val="2"/>
        <scheme val="minor"/>
      </rPr>
      <t>base</t>
    </r>
  </si>
  <si>
    <t>Base ORP value</t>
  </si>
  <si>
    <t>mV</t>
  </si>
  <si>
    <r>
      <t>K</t>
    </r>
    <r>
      <rPr>
        <vertAlign val="subscript"/>
        <sz val="11"/>
        <rFont val="Calibri"/>
        <family val="2"/>
        <scheme val="minor"/>
      </rPr>
      <t>ORP,SO2</t>
    </r>
  </si>
  <si>
    <t>Half-saturation of dissolved oxygen for ORP</t>
  </si>
  <si>
    <r>
      <t>K</t>
    </r>
    <r>
      <rPr>
        <vertAlign val="subscript"/>
        <sz val="11"/>
        <rFont val="Calibri"/>
        <family val="2"/>
        <scheme val="minor"/>
      </rPr>
      <t>ORP,SNOx</t>
    </r>
  </si>
  <si>
    <r>
      <t>Half-saturation of NO</t>
    </r>
    <r>
      <rPr>
        <vertAlign val="subscript"/>
        <sz val="11"/>
        <color rgb="FF000000"/>
        <rFont val="Calibri"/>
        <family val="2"/>
        <scheme val="minor"/>
      </rPr>
      <t>x</t>
    </r>
    <r>
      <rPr>
        <sz val="11"/>
        <color rgb="FF000000"/>
        <rFont val="Calibri"/>
        <family val="2"/>
        <charset val="238"/>
        <scheme val="minor"/>
      </rPr>
      <t xml:space="preserve"> for ORP</t>
    </r>
  </si>
  <si>
    <t>Oxidation-reduction potential</t>
  </si>
  <si>
    <r>
      <t>ORP</t>
    </r>
    <r>
      <rPr>
        <vertAlign val="subscript"/>
        <sz val="11"/>
        <rFont val="Calibri"/>
        <family val="2"/>
        <scheme val="minor"/>
      </rPr>
      <t>O2</t>
    </r>
  </si>
  <si>
    <r>
      <t>ORP</t>
    </r>
    <r>
      <rPr>
        <vertAlign val="subscript"/>
        <sz val="11"/>
        <rFont val="Calibri"/>
        <family val="2"/>
      </rPr>
      <t>NOx</t>
    </r>
  </si>
  <si>
    <t>ORP</t>
  </si>
  <si>
    <r>
      <t>Y</t>
    </r>
    <r>
      <rPr>
        <vertAlign val="subscript"/>
        <sz val="11"/>
        <rFont val="Calibri"/>
        <family val="2"/>
        <scheme val="minor"/>
      </rPr>
      <t>OHO,H2,ana,high</t>
    </r>
  </si>
  <si>
    <r>
      <t>Y</t>
    </r>
    <r>
      <rPr>
        <vertAlign val="subscript"/>
        <sz val="11"/>
        <rFont val="Calibri"/>
        <family val="2"/>
        <scheme val="minor"/>
      </rPr>
      <t>OHO,H2,ana,low</t>
    </r>
  </si>
  <si>
    <r>
      <t>K</t>
    </r>
    <r>
      <rPr>
        <vertAlign val="subscript"/>
        <sz val="11"/>
        <rFont val="Calibri"/>
        <family val="2"/>
        <scheme val="minor"/>
      </rPr>
      <t>VFA,FERM,AS</t>
    </r>
  </si>
  <si>
    <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)/Y</t>
    </r>
    <r>
      <rPr>
        <vertAlign val="subscript"/>
        <sz val="11"/>
        <rFont val="Calibri"/>
        <family val="2"/>
      </rPr>
      <t>OHO,SB,ana</t>
    </r>
  </si>
  <si>
    <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)/Y</t>
    </r>
    <r>
      <rPr>
        <vertAlign val="subscript"/>
        <sz val="11"/>
        <rFont val="Calibri"/>
        <family val="2"/>
      </rPr>
      <t>OHO,SB,ana</t>
    </r>
  </si>
  <si>
    <r>
      <t>S</t>
    </r>
    <r>
      <rPr>
        <vertAlign val="subscript"/>
        <sz val="11"/>
        <rFont val="Calibri"/>
        <family val="2"/>
      </rPr>
      <t>B</t>
    </r>
    <r>
      <rPr>
        <sz val="11"/>
        <rFont val="Calibri"/>
        <family val="2"/>
      </rPr>
      <t xml:space="preserve"> fermentation with high VFA (OHO growth, anaerobic)</t>
    </r>
  </si>
  <si>
    <t>r58</t>
  </si>
  <si>
    <r>
      <t>Y</t>
    </r>
    <r>
      <rPr>
        <vertAlign val="subscript"/>
        <sz val="11"/>
        <rFont val="Calibri"/>
        <family val="2"/>
      </rPr>
      <t>OHO,H2,ana,high</t>
    </r>
    <r>
      <rPr>
        <sz val="11"/>
        <rFont val="Calibri"/>
        <family val="2"/>
      </rPr>
      <t>/Y</t>
    </r>
    <r>
      <rPr>
        <vertAlign val="subscript"/>
        <sz val="11"/>
        <rFont val="Calibri"/>
        <family val="2"/>
      </rPr>
      <t>OHO,SB,ana</t>
    </r>
  </si>
  <si>
    <r>
      <t>Y</t>
    </r>
    <r>
      <rPr>
        <vertAlign val="subscript"/>
        <sz val="11"/>
        <rFont val="Calibri"/>
        <family val="2"/>
      </rPr>
      <t>OHO,H2,ana,low</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</si>
  <si>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</si>
  <si>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</si>
  <si>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K</t>
    </r>
    <r>
      <rPr>
        <vertAlign val="subscript"/>
        <sz val="11"/>
        <rFont val="Calibri"/>
        <family val="2"/>
        <scheme val="minor"/>
      </rPr>
      <t>VFA,FERM</t>
    </r>
  </si>
  <si>
    <t>Saturation term for VFAs in fermentation</t>
  </si>
  <si>
    <r>
      <t>Logsat</t>
    </r>
    <r>
      <rPr>
        <vertAlign val="subscript"/>
        <sz val="11"/>
        <rFont val="Calibri"/>
        <family val="2"/>
        <scheme val="minor"/>
      </rPr>
      <t>SVFA,KVFA,FERM</t>
    </r>
  </si>
  <si>
    <r>
      <t>Loginh</t>
    </r>
    <r>
      <rPr>
        <vertAlign val="subscript"/>
        <sz val="11"/>
        <rFont val="Calibri"/>
        <family val="2"/>
        <scheme val="minor"/>
      </rPr>
      <t>SVFA,KVFA,FERM</t>
    </r>
  </si>
  <si>
    <t>Acidoclastic methanogen kinetics (AMETO)</t>
  </si>
  <si>
    <t>Hydrogenotrophic methanogen kinetics (HMETO)</t>
  </si>
  <si>
    <t>Key(1200)</t>
  </si>
  <si>
    <r>
      <t>i</t>
    </r>
    <r>
      <rPr>
        <vertAlign val="subscript"/>
        <sz val="11"/>
        <rFont val="Calibri"/>
        <family val="2"/>
      </rPr>
      <t>CIT,VFA</t>
    </r>
    <r>
      <rPr>
        <sz val="11"/>
        <rFont val="Calibri"/>
        <family val="2"/>
      </rPr>
      <t>*1/Y</t>
    </r>
    <r>
      <rPr>
        <vertAlign val="subscript"/>
        <sz val="11"/>
        <rFont val="Calibri"/>
        <family val="2"/>
      </rPr>
      <t>AMETO</t>
    </r>
    <r>
      <rPr>
        <sz val="11"/>
        <rFont val="Calibri"/>
        <family val="2"/>
      </rP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AMETO</t>
    </r>
    <r>
      <rPr>
        <sz val="11"/>
        <rFont val="Calibri"/>
        <family val="2"/>
      </rPr>
      <t>)/Y</t>
    </r>
    <r>
      <rPr>
        <vertAlign val="subscript"/>
        <sz val="11"/>
        <rFont val="Calibri"/>
        <family val="2"/>
      </rPr>
      <t>AMETO</t>
    </r>
  </si>
  <si>
    <r>
      <t>g O2.m</t>
    </r>
    <r>
      <rPr>
        <vertAlign val="superscript"/>
        <sz val="11"/>
        <rFont val="Calibri"/>
        <family val="2"/>
        <scheme val="minor"/>
      </rPr>
      <t>-3</t>
    </r>
  </si>
  <si>
    <t>Ordinary heterotrophic organism kinetics (OHO)</t>
  </si>
  <si>
    <r>
      <t>mol [NH</t>
    </r>
    <r>
      <rPr>
        <vertAlign val="subscript"/>
        <sz val="11"/>
        <color indexed="8"/>
        <rFont val="Calibri"/>
        <family val="2"/>
        <scheme val="minor"/>
      </rPr>
      <t>3</t>
    </r>
    <r>
      <rPr>
        <sz val="11"/>
        <color indexed="8"/>
        <rFont val="Calibri"/>
        <family val="2"/>
        <scheme val="minor"/>
      </rPr>
      <t>].L</t>
    </r>
    <r>
      <rPr>
        <vertAlign val="superscript"/>
        <sz val="11"/>
        <color indexed="8"/>
        <rFont val="Calibri"/>
        <family val="2"/>
        <scheme val="minor"/>
      </rPr>
      <t>-1</t>
    </r>
  </si>
  <si>
    <r>
      <t>g COD.g COD</t>
    </r>
    <r>
      <rPr>
        <vertAlign val="superscript"/>
        <sz val="11"/>
        <color indexed="8"/>
        <rFont val="Calibri"/>
        <family val="2"/>
        <scheme val="minor"/>
      </rPr>
      <t>-1</t>
    </r>
  </si>
  <si>
    <r>
      <t>g TSS.g COD</t>
    </r>
    <r>
      <rPr>
        <vertAlign val="superscript"/>
        <sz val="11"/>
        <rFont val="Calibri"/>
        <family val="2"/>
        <scheme val="minor"/>
      </rPr>
      <t>-1</t>
    </r>
  </si>
  <si>
    <r>
      <t>ORP</t>
    </r>
    <r>
      <rPr>
        <vertAlign val="subscript"/>
        <sz val="11"/>
        <rFont val="Calibri"/>
        <family val="2"/>
        <scheme val="minor"/>
      </rPr>
      <t>max,SO2</t>
    </r>
  </si>
  <si>
    <t>ORP max for dissolved oxygen</t>
  </si>
  <si>
    <r>
      <t>ORP</t>
    </r>
    <r>
      <rPr>
        <vertAlign val="subscript"/>
        <sz val="11"/>
        <rFont val="Calibri"/>
        <family val="2"/>
        <scheme val="minor"/>
      </rPr>
      <t>max,SNOx</t>
    </r>
  </si>
  <si>
    <t>ORP max for dissolved nitrate</t>
  </si>
  <si>
    <t>Oxidation-reduction potential due to dissolved oxygen</t>
  </si>
  <si>
    <t>GAO anaerobic maintenance</t>
  </si>
  <si>
    <t>r59</t>
  </si>
  <si>
    <t>-BigNumber</t>
  </si>
  <si>
    <t>PP cleavage for maintenance</t>
  </si>
  <si>
    <r>
      <t>η</t>
    </r>
    <r>
      <rPr>
        <vertAlign val="subscript"/>
        <sz val="11"/>
        <rFont val="Calibri"/>
        <family val="2"/>
        <scheme val="minor"/>
      </rPr>
      <t>bPP,aer</t>
    </r>
  </si>
  <si>
    <r>
      <t>η</t>
    </r>
    <r>
      <rPr>
        <vertAlign val="subscript"/>
        <sz val="11"/>
        <rFont val="Calibri"/>
        <family val="2"/>
        <scheme val="minor"/>
      </rPr>
      <t>bPP,anox</t>
    </r>
  </si>
  <si>
    <r>
      <t>MRinh</t>
    </r>
    <r>
      <rPr>
        <vertAlign val="subscript"/>
        <sz val="11"/>
        <rFont val="Calibri"/>
        <family val="2"/>
        <scheme val="minor"/>
      </rPr>
      <t>XPP,XPAO,KPP</t>
    </r>
  </si>
  <si>
    <r>
      <t>MRinh(X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</si>
  <si>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S</t>
    </r>
    <r>
      <rPr>
        <b/>
        <vertAlign val="subscript"/>
        <sz val="11"/>
        <rFont val="Calibri"/>
        <family val="2"/>
        <charset val="238"/>
        <scheme val="minor"/>
      </rPr>
      <t>NO2</t>
    </r>
  </si>
  <si>
    <t>Damping</t>
  </si>
  <si>
    <r>
      <t>S</t>
    </r>
    <r>
      <rPr>
        <b/>
        <vertAlign val="subscript"/>
        <sz val="11"/>
        <rFont val="Calibri"/>
        <family val="2"/>
        <charset val="238"/>
        <scheme val="minor"/>
      </rPr>
      <t>NO3</t>
    </r>
  </si>
  <si>
    <r>
      <t>X</t>
    </r>
    <r>
      <rPr>
        <b/>
        <vertAlign val="subscript"/>
        <sz val="11"/>
        <rFont val="Calibri"/>
        <family val="2"/>
        <charset val="238"/>
        <scheme val="minor"/>
      </rPr>
      <t>AOB</t>
    </r>
  </si>
  <si>
    <r>
      <t>X</t>
    </r>
    <r>
      <rPr>
        <b/>
        <vertAlign val="subscript"/>
        <sz val="11"/>
        <rFont val="Calibri"/>
        <family val="2"/>
        <charset val="238"/>
        <scheme val="minor"/>
      </rPr>
      <t>NOB</t>
    </r>
  </si>
  <si>
    <r>
      <t>S</t>
    </r>
    <r>
      <rPr>
        <b/>
        <vertAlign val="subscript"/>
        <sz val="11"/>
        <rFont val="Calibri"/>
        <family val="2"/>
        <scheme val="minor"/>
      </rPr>
      <t>NO2</t>
    </r>
  </si>
  <si>
    <r>
      <t>S</t>
    </r>
    <r>
      <rPr>
        <b/>
        <vertAlign val="subscript"/>
        <sz val="11"/>
        <rFont val="Calibri"/>
        <family val="2"/>
        <scheme val="minor"/>
      </rPr>
      <t>NO3</t>
    </r>
  </si>
  <si>
    <r>
      <t>X</t>
    </r>
    <r>
      <rPr>
        <b/>
        <vertAlign val="subscript"/>
        <sz val="11"/>
        <rFont val="Calibri"/>
        <family val="2"/>
        <scheme val="minor"/>
      </rPr>
      <t>NOB</t>
    </r>
  </si>
  <si>
    <r>
      <t>X</t>
    </r>
    <r>
      <rPr>
        <b/>
        <vertAlign val="subscript"/>
        <sz val="11"/>
        <rFont val="Calibri"/>
        <family val="2"/>
        <scheme val="minor"/>
      </rPr>
      <t>AOB</t>
    </r>
  </si>
  <si>
    <r>
      <t>[HNO</t>
    </r>
    <r>
      <rPr>
        <b/>
        <vertAlign val="subscript"/>
        <sz val="11"/>
        <rFont val="Calibri"/>
        <family val="2"/>
      </rPr>
      <t>2</t>
    </r>
    <r>
      <rPr>
        <b/>
        <sz val="11"/>
        <rFont val="Calibri"/>
        <family val="2"/>
      </rPr>
      <t>]</t>
    </r>
  </si>
  <si>
    <t>Nitrous acid</t>
  </si>
  <si>
    <r>
      <t>[NO</t>
    </r>
    <r>
      <rPr>
        <b/>
        <vertAlign val="subscript"/>
        <sz val="11"/>
        <rFont val="Calibri"/>
        <family val="2"/>
      </rPr>
      <t>2</t>
    </r>
    <r>
      <rPr>
        <b/>
        <vertAlign val="superscript"/>
        <sz val="11"/>
        <rFont val="Calibri"/>
        <family val="2"/>
      </rPr>
      <t>-</t>
    </r>
    <r>
      <rPr>
        <b/>
        <sz val="11"/>
        <rFont val="Calibri"/>
        <family val="2"/>
      </rPr>
      <t>]</t>
    </r>
  </si>
  <si>
    <t>Nitrite ion</t>
  </si>
  <si>
    <r>
      <t>diss</t>
    </r>
    <r>
      <rPr>
        <vertAlign val="subscript"/>
        <sz val="11"/>
        <rFont val="Calibri"/>
        <family val="2"/>
      </rPr>
      <t>NO2</t>
    </r>
  </si>
  <si>
    <r>
      <t>-(EEQ</t>
    </r>
    <r>
      <rPr>
        <vertAlign val="subscript"/>
        <sz val="11"/>
        <rFont val="Calibri"/>
        <family val="2"/>
      </rPr>
      <t>NO2</t>
    </r>
    <r>
      <rPr>
        <sz val="11"/>
        <rFont val="Calibri"/>
        <family val="2"/>
      </rPr>
      <t>-Y</t>
    </r>
    <r>
      <rPr>
        <vertAlign val="subscript"/>
        <sz val="11"/>
        <rFont val="Calibri"/>
        <family val="2"/>
      </rPr>
      <t>AOB</t>
    </r>
    <r>
      <rPr>
        <sz val="11"/>
        <rFont val="Calibri"/>
        <family val="2"/>
      </rPr>
      <t>)/Y</t>
    </r>
    <r>
      <rPr>
        <vertAlign val="subscript"/>
        <sz val="11"/>
        <rFont val="Calibri"/>
        <family val="2"/>
      </rPr>
      <t>AOB</t>
    </r>
  </si>
  <si>
    <r>
      <t>-(EEQ</t>
    </r>
    <r>
      <rPr>
        <vertAlign val="subscript"/>
        <sz val="11"/>
        <rFont val="Calibri"/>
        <family val="2"/>
      </rPr>
      <t>NO2,NO3</t>
    </r>
    <r>
      <rPr>
        <sz val="11"/>
        <rFont val="Calibri"/>
        <family val="2"/>
      </rPr>
      <t>-Y</t>
    </r>
    <r>
      <rPr>
        <vertAlign val="subscript"/>
        <sz val="11"/>
        <rFont val="Calibri"/>
        <family val="2"/>
      </rPr>
      <t>NOB</t>
    </r>
    <r>
      <rPr>
        <sz val="11"/>
        <rFont val="Calibri"/>
        <family val="2"/>
      </rPr>
      <t>)/Y</t>
    </r>
    <r>
      <rPr>
        <vertAlign val="subscript"/>
        <sz val="11"/>
        <rFont val="Calibri"/>
        <family val="2"/>
      </rPr>
      <t>NOB</t>
    </r>
  </si>
  <si>
    <r>
      <t>-1/Y</t>
    </r>
    <r>
      <rPr>
        <vertAlign val="subscript"/>
        <sz val="11"/>
        <rFont val="Calibri"/>
        <family val="2"/>
      </rPr>
      <t>AOB</t>
    </r>
    <r>
      <rPr>
        <sz val="11"/>
        <rFont val="Calibri"/>
        <family val="2"/>
      </rPr>
      <t>-i</t>
    </r>
    <r>
      <rPr>
        <vertAlign val="subscript"/>
        <sz val="11"/>
        <rFont val="Calibri"/>
        <family val="2"/>
      </rPr>
      <t>N,BIO</t>
    </r>
  </si>
  <si>
    <r>
      <t>1/Y</t>
    </r>
    <r>
      <rPr>
        <vertAlign val="subscript"/>
        <sz val="11"/>
        <rFont val="Calibri"/>
        <family val="2"/>
      </rPr>
      <t>AOB</t>
    </r>
  </si>
  <si>
    <r>
      <rPr>
        <sz val="11"/>
        <rFont val="Calibri"/>
        <family val="2"/>
      </rPr>
      <t>-i</t>
    </r>
    <r>
      <rPr>
        <vertAlign val="subscript"/>
        <sz val="11"/>
        <rFont val="Calibri"/>
        <family val="2"/>
      </rPr>
      <t>N,BIO</t>
    </r>
  </si>
  <si>
    <r>
      <t>-1/Y</t>
    </r>
    <r>
      <rPr>
        <vertAlign val="subscript"/>
        <sz val="11"/>
        <rFont val="Calibri"/>
        <family val="2"/>
      </rPr>
      <t>NOB</t>
    </r>
  </si>
  <si>
    <r>
      <t>1/Y</t>
    </r>
    <r>
      <rPr>
        <vertAlign val="subscript"/>
        <sz val="11"/>
        <rFont val="Calibri"/>
        <family val="2"/>
      </rPr>
      <t>NOB</t>
    </r>
  </si>
  <si>
    <t>AOB growth</t>
  </si>
  <si>
    <t>AOB decay</t>
  </si>
  <si>
    <t>NOB growth</t>
  </si>
  <si>
    <t>NOB decay</t>
  </si>
  <si>
    <t>Anammox growth</t>
  </si>
  <si>
    <t>Anammox decay</t>
  </si>
  <si>
    <r>
      <t>X</t>
    </r>
    <r>
      <rPr>
        <b/>
        <vertAlign val="subscript"/>
        <sz val="11"/>
        <rFont val="Calibri"/>
        <family val="2"/>
        <charset val="238"/>
        <scheme val="minor"/>
      </rPr>
      <t>AMX</t>
    </r>
  </si>
  <si>
    <r>
      <t>OHO growth on VFAs, NO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</si>
  <si>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2</t>
    </r>
  </si>
  <si>
    <r>
      <t>MEOLO growth, NO</t>
    </r>
    <r>
      <rPr>
        <vertAlign val="subscript"/>
        <sz val="11"/>
        <color rgb="FF000000"/>
        <rFont val="Calibri"/>
        <family val="2"/>
        <scheme val="minor"/>
      </rPr>
      <t>2</t>
    </r>
  </si>
  <si>
    <r>
      <t>PAO growth on PHA, NO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</si>
  <si>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-(1-Y</t>
    </r>
    <r>
      <rPr>
        <vertAlign val="subscript"/>
        <sz val="11"/>
        <rFont val="Calibri"/>
        <family val="2"/>
      </rPr>
      <t>OHO,VFA,anox</t>
    </r>
    <r>
      <rPr>
        <sz val="11"/>
        <rFont val="Calibri"/>
        <family val="2"/>
      </rPr>
      <t>)/(EEQ</t>
    </r>
    <r>
      <rPr>
        <vertAlign val="subscript"/>
        <sz val="11"/>
        <rFont val="Calibri"/>
        <family val="2"/>
      </rPr>
      <t>N2,NO2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</si>
  <si>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</si>
  <si>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</si>
  <si>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</si>
  <si>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</si>
  <si>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</si>
  <si>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</si>
  <si>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</si>
  <si>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</si>
  <si>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</si>
  <si>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</si>
  <si>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</si>
  <si>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K</t>
    </r>
    <r>
      <rPr>
        <vertAlign val="subscript"/>
        <sz val="11"/>
        <rFont val="Calibri"/>
        <family val="2"/>
        <scheme val="minor"/>
      </rPr>
      <t>NO2,OHO,AS</t>
    </r>
  </si>
  <si>
    <r>
      <t>K</t>
    </r>
    <r>
      <rPr>
        <vertAlign val="subscript"/>
        <sz val="11"/>
        <rFont val="Calibri"/>
        <family val="2"/>
        <scheme val="minor"/>
      </rPr>
      <t>NO2,MEOLO,AS</t>
    </r>
  </si>
  <si>
    <r>
      <t>µ</t>
    </r>
    <r>
      <rPr>
        <vertAlign val="subscript"/>
        <sz val="11"/>
        <color indexed="8"/>
        <rFont val="Calibri"/>
        <family val="2"/>
        <scheme val="minor"/>
      </rPr>
      <t>AOB</t>
    </r>
  </si>
  <si>
    <t>Maximum specific growth rate of AOBs</t>
  </si>
  <si>
    <r>
      <t>K</t>
    </r>
    <r>
      <rPr>
        <vertAlign val="subscript"/>
        <sz val="11"/>
        <color indexed="8"/>
        <rFont val="Calibri"/>
        <family val="2"/>
        <scheme val="minor"/>
      </rPr>
      <t>NHx,AOB,AS</t>
    </r>
  </si>
  <si>
    <r>
      <t>b</t>
    </r>
    <r>
      <rPr>
        <vertAlign val="subscript"/>
        <sz val="11"/>
        <color indexed="8"/>
        <rFont val="Calibri"/>
        <family val="2"/>
        <scheme val="minor"/>
      </rPr>
      <t>AOB</t>
    </r>
  </si>
  <si>
    <r>
      <t>K</t>
    </r>
    <r>
      <rPr>
        <vertAlign val="subscript"/>
        <sz val="11"/>
        <color indexed="8"/>
        <rFont val="Calibri"/>
        <family val="2"/>
        <scheme val="minor"/>
      </rPr>
      <t>CO2,AOB,pH,sidestream</t>
    </r>
  </si>
  <si>
    <r>
      <t>K</t>
    </r>
    <r>
      <rPr>
        <vertAlign val="subscript"/>
        <sz val="11"/>
        <color indexed="8"/>
        <rFont val="Calibri"/>
        <family val="2"/>
        <scheme val="minor"/>
      </rPr>
      <t>CO2,AOB,pH,AS</t>
    </r>
  </si>
  <si>
    <r>
      <t>K</t>
    </r>
    <r>
      <rPr>
        <vertAlign val="subscript"/>
        <sz val="11"/>
        <color indexed="8"/>
        <rFont val="Calibri"/>
        <family val="2"/>
        <scheme val="minor"/>
      </rPr>
      <t>O2,AOB,sidestream</t>
    </r>
  </si>
  <si>
    <r>
      <t>K</t>
    </r>
    <r>
      <rPr>
        <vertAlign val="subscript"/>
        <sz val="11"/>
        <color indexed="8"/>
        <rFont val="Calibri"/>
        <family val="2"/>
        <scheme val="minor"/>
      </rPr>
      <t>O2,AOB,AS</t>
    </r>
  </si>
  <si>
    <r>
      <t>K</t>
    </r>
    <r>
      <rPr>
        <vertAlign val="subscript"/>
        <sz val="11"/>
        <color indexed="8"/>
        <rFont val="Calibri"/>
        <family val="2"/>
        <scheme val="minor"/>
      </rPr>
      <t>NOx,AOB,AS</t>
    </r>
  </si>
  <si>
    <r>
      <t>µ</t>
    </r>
    <r>
      <rPr>
        <vertAlign val="subscript"/>
        <sz val="11"/>
        <color indexed="8"/>
        <rFont val="Calibri"/>
        <family val="2"/>
        <scheme val="minor"/>
      </rPr>
      <t>NOB</t>
    </r>
  </si>
  <si>
    <t>Maximum specific growth rate of NOBs</t>
  </si>
  <si>
    <r>
      <t>K</t>
    </r>
    <r>
      <rPr>
        <vertAlign val="subscript"/>
        <sz val="11"/>
        <color indexed="8"/>
        <rFont val="Calibri"/>
        <family val="2"/>
        <scheme val="minor"/>
      </rPr>
      <t>NO2,NOB,AS</t>
    </r>
  </si>
  <si>
    <r>
      <t>b</t>
    </r>
    <r>
      <rPr>
        <vertAlign val="subscript"/>
        <sz val="11"/>
        <color indexed="8"/>
        <rFont val="Calibri"/>
        <family val="2"/>
        <scheme val="minor"/>
      </rPr>
      <t>NOB</t>
    </r>
  </si>
  <si>
    <r>
      <t>K</t>
    </r>
    <r>
      <rPr>
        <vertAlign val="subscript"/>
        <sz val="11"/>
        <color indexed="8"/>
        <rFont val="Calibri"/>
        <family val="2"/>
        <scheme val="minor"/>
      </rPr>
      <t>CO2,NOB,pH,AS</t>
    </r>
  </si>
  <si>
    <r>
      <t>K</t>
    </r>
    <r>
      <rPr>
        <vertAlign val="subscript"/>
        <sz val="11"/>
        <color indexed="8"/>
        <rFont val="Calibri"/>
        <family val="2"/>
        <scheme val="minor"/>
      </rPr>
      <t>O2,NOB,sidestream</t>
    </r>
  </si>
  <si>
    <r>
      <t>K</t>
    </r>
    <r>
      <rPr>
        <vertAlign val="subscript"/>
        <sz val="11"/>
        <color indexed="8"/>
        <rFont val="Calibri"/>
        <family val="2"/>
        <scheme val="minor"/>
      </rPr>
      <t>O2,NOB,AS</t>
    </r>
  </si>
  <si>
    <r>
      <t>K</t>
    </r>
    <r>
      <rPr>
        <vertAlign val="subscript"/>
        <sz val="11"/>
        <color indexed="8"/>
        <rFont val="Calibri"/>
        <family val="2"/>
        <scheme val="minor"/>
      </rPr>
      <t>NOx,NOB,AS</t>
    </r>
  </si>
  <si>
    <r>
      <t>µ</t>
    </r>
    <r>
      <rPr>
        <vertAlign val="subscript"/>
        <sz val="11"/>
        <color indexed="8"/>
        <rFont val="Calibri"/>
        <family val="2"/>
        <scheme val="minor"/>
      </rPr>
      <t>AMX</t>
    </r>
  </si>
  <si>
    <r>
      <t>b</t>
    </r>
    <r>
      <rPr>
        <vertAlign val="subscript"/>
        <sz val="11"/>
        <color indexed="8"/>
        <rFont val="Calibri"/>
        <family val="2"/>
        <scheme val="minor"/>
      </rPr>
      <t>AMX</t>
    </r>
  </si>
  <si>
    <r>
      <t>K</t>
    </r>
    <r>
      <rPr>
        <vertAlign val="subscript"/>
        <sz val="11"/>
        <color indexed="8"/>
        <rFont val="Calibri"/>
        <family val="2"/>
        <scheme val="minor"/>
      </rPr>
      <t>NHx,AMX,AS</t>
    </r>
  </si>
  <si>
    <r>
      <t>K</t>
    </r>
    <r>
      <rPr>
        <vertAlign val="subscript"/>
        <sz val="11"/>
        <color indexed="8"/>
        <rFont val="Calibri"/>
        <family val="2"/>
        <scheme val="minor"/>
      </rPr>
      <t>NO2,AMX,AS</t>
    </r>
  </si>
  <si>
    <r>
      <t>K</t>
    </r>
    <r>
      <rPr>
        <vertAlign val="subscript"/>
        <sz val="11"/>
        <color indexed="8"/>
        <rFont val="Calibri"/>
        <family val="2"/>
        <scheme val="minor"/>
      </rPr>
      <t>CO2,AMX,pH,AS</t>
    </r>
  </si>
  <si>
    <r>
      <t>K</t>
    </r>
    <r>
      <rPr>
        <vertAlign val="subscript"/>
        <sz val="11"/>
        <color indexed="8"/>
        <rFont val="Calibri"/>
        <family val="2"/>
        <scheme val="minor"/>
      </rPr>
      <t>NOx,AMX,AS</t>
    </r>
  </si>
  <si>
    <r>
      <t>θ</t>
    </r>
    <r>
      <rPr>
        <vertAlign val="subscript"/>
        <sz val="11"/>
        <color indexed="8"/>
        <rFont val="Calibri"/>
        <family val="2"/>
        <scheme val="minor"/>
      </rPr>
      <t>µ,AOB</t>
    </r>
  </si>
  <si>
    <t>Arrhenius coefficient for AOB growth</t>
  </si>
  <si>
    <r>
      <t>θ</t>
    </r>
    <r>
      <rPr>
        <vertAlign val="subscript"/>
        <sz val="11"/>
        <color indexed="8"/>
        <rFont val="Calibri"/>
        <family val="2"/>
        <scheme val="minor"/>
      </rPr>
      <t>b,AOB</t>
    </r>
  </si>
  <si>
    <t>Arrhenius coefficient for AOB decay</t>
  </si>
  <si>
    <r>
      <t>θ</t>
    </r>
    <r>
      <rPr>
        <vertAlign val="subscript"/>
        <sz val="11"/>
        <color indexed="8"/>
        <rFont val="Calibri"/>
        <family val="2"/>
        <scheme val="minor"/>
      </rPr>
      <t>µ,NOB</t>
    </r>
  </si>
  <si>
    <t>Arrhenius coefficient for NOB growth</t>
  </si>
  <si>
    <r>
      <t>θ</t>
    </r>
    <r>
      <rPr>
        <vertAlign val="subscript"/>
        <sz val="11"/>
        <color indexed="8"/>
        <rFont val="Calibri"/>
        <family val="2"/>
        <scheme val="minor"/>
      </rPr>
      <t>b,NOB</t>
    </r>
  </si>
  <si>
    <t>Arrhenius coefficient for NOB decay</t>
  </si>
  <si>
    <r>
      <t>θ</t>
    </r>
    <r>
      <rPr>
        <vertAlign val="subscript"/>
        <sz val="11"/>
        <color indexed="8"/>
        <rFont val="Calibri"/>
        <family val="2"/>
        <scheme val="minor"/>
      </rPr>
      <t>µ,AMX</t>
    </r>
  </si>
  <si>
    <t>Arrhenius coefficient for anammox growth</t>
  </si>
  <si>
    <r>
      <t>θ</t>
    </r>
    <r>
      <rPr>
        <vertAlign val="subscript"/>
        <sz val="11"/>
        <color indexed="8"/>
        <rFont val="Calibri"/>
        <family val="2"/>
        <scheme val="minor"/>
      </rPr>
      <t>b,AMX</t>
    </r>
  </si>
  <si>
    <t>Arrhenius coefficient for anammox decay</t>
  </si>
  <si>
    <r>
      <t>Y</t>
    </r>
    <r>
      <rPr>
        <vertAlign val="subscript"/>
        <sz val="11"/>
        <rFont val="Calibri"/>
        <family val="2"/>
        <scheme val="minor"/>
      </rPr>
      <t>AOB</t>
    </r>
  </si>
  <si>
    <r>
      <t>Y</t>
    </r>
    <r>
      <rPr>
        <vertAlign val="subscript"/>
        <sz val="11"/>
        <rFont val="Calibri"/>
        <family val="2"/>
        <scheme val="minor"/>
      </rPr>
      <t>NOB</t>
    </r>
  </si>
  <si>
    <r>
      <t>Y</t>
    </r>
    <r>
      <rPr>
        <vertAlign val="subscript"/>
        <sz val="11"/>
        <rFont val="Calibri"/>
        <family val="2"/>
        <scheme val="minor"/>
      </rPr>
      <t>AMX,NO2</t>
    </r>
  </si>
  <si>
    <r>
      <t>Y</t>
    </r>
    <r>
      <rPr>
        <vertAlign val="subscript"/>
        <sz val="11"/>
        <rFont val="Calibri"/>
        <family val="2"/>
        <scheme val="minor"/>
      </rPr>
      <t>AMX,NO3</t>
    </r>
  </si>
  <si>
    <t>BigReal</t>
  </si>
  <si>
    <r>
      <t>S</t>
    </r>
    <r>
      <rPr>
        <vertAlign val="subscript"/>
        <sz val="11"/>
        <rFont val="Calibri"/>
        <family val="2"/>
      </rPr>
      <t>NOx</t>
    </r>
  </si>
  <si>
    <t>Nitrite uptake rate (N2UR)</t>
  </si>
  <si>
    <r>
      <t>K</t>
    </r>
    <r>
      <rPr>
        <vertAlign val="subscript"/>
        <sz val="11"/>
        <rFont val="Calibri"/>
        <family val="2"/>
        <scheme val="minor"/>
      </rPr>
      <t>NHx,AOB</t>
    </r>
  </si>
  <si>
    <r>
      <t>K</t>
    </r>
    <r>
      <rPr>
        <vertAlign val="subscript"/>
        <sz val="11"/>
        <rFont val="Calibri"/>
        <family val="2"/>
      </rPr>
      <t>NHx,AOB,AS</t>
    </r>
  </si>
  <si>
    <r>
      <t>K</t>
    </r>
    <r>
      <rPr>
        <vertAlign val="subscript"/>
        <sz val="11"/>
        <rFont val="Calibri"/>
        <family val="2"/>
        <scheme val="minor"/>
      </rPr>
      <t>CO2,AOB,pH</t>
    </r>
  </si>
  <si>
    <r>
      <t>K</t>
    </r>
    <r>
      <rPr>
        <vertAlign val="subscript"/>
        <sz val="11"/>
        <rFont val="Calibri"/>
        <family val="2"/>
      </rPr>
      <t>CO2,AOB,pH,AS</t>
    </r>
  </si>
  <si>
    <r>
      <t>K</t>
    </r>
    <r>
      <rPr>
        <vertAlign val="subscript"/>
        <sz val="11"/>
        <rFont val="Calibri"/>
        <family val="2"/>
      </rPr>
      <t>CO2,AOB,pH,sidestream</t>
    </r>
  </si>
  <si>
    <r>
      <t>K</t>
    </r>
    <r>
      <rPr>
        <vertAlign val="subscript"/>
        <sz val="11"/>
        <rFont val="Calibri"/>
        <family val="2"/>
        <scheme val="minor"/>
      </rPr>
      <t>O2,AOB</t>
    </r>
  </si>
  <si>
    <r>
      <t>K</t>
    </r>
    <r>
      <rPr>
        <vertAlign val="subscript"/>
        <sz val="11"/>
        <rFont val="Calibri"/>
        <family val="2"/>
      </rPr>
      <t>O2,AOB,AS</t>
    </r>
  </si>
  <si>
    <r>
      <t>K</t>
    </r>
    <r>
      <rPr>
        <vertAlign val="subscript"/>
        <sz val="11"/>
        <rFont val="Calibri"/>
        <family val="2"/>
      </rPr>
      <t>O2,AOB,sidestream</t>
    </r>
  </si>
  <si>
    <r>
      <t>K</t>
    </r>
    <r>
      <rPr>
        <vertAlign val="subscript"/>
        <sz val="11"/>
        <rFont val="Calibri"/>
        <family val="2"/>
        <scheme val="minor"/>
      </rPr>
      <t>NOx,AOB</t>
    </r>
  </si>
  <si>
    <r>
      <t>K</t>
    </r>
    <r>
      <rPr>
        <vertAlign val="subscript"/>
        <sz val="11"/>
        <rFont val="Calibri"/>
        <family val="2"/>
      </rPr>
      <t>NOx,AOB,AS</t>
    </r>
  </si>
  <si>
    <r>
      <t>K</t>
    </r>
    <r>
      <rPr>
        <vertAlign val="subscript"/>
        <sz val="11"/>
        <rFont val="Calibri"/>
        <family val="2"/>
        <scheme val="minor"/>
      </rPr>
      <t>NO2,NOB</t>
    </r>
  </si>
  <si>
    <r>
      <t>K</t>
    </r>
    <r>
      <rPr>
        <vertAlign val="subscript"/>
        <sz val="11"/>
        <rFont val="Calibri"/>
        <family val="2"/>
      </rPr>
      <t>NO2,NOB,AS</t>
    </r>
  </si>
  <si>
    <r>
      <t>K</t>
    </r>
    <r>
      <rPr>
        <vertAlign val="subscript"/>
        <sz val="11"/>
        <rFont val="Calibri"/>
        <family val="2"/>
        <scheme val="minor"/>
      </rPr>
      <t>CO2,NOB,pH</t>
    </r>
  </si>
  <si>
    <r>
      <t>K</t>
    </r>
    <r>
      <rPr>
        <vertAlign val="subscript"/>
        <sz val="11"/>
        <rFont val="Calibri"/>
        <family val="2"/>
      </rPr>
      <t>CO2,NOB,pH,AS</t>
    </r>
  </si>
  <si>
    <r>
      <t>K</t>
    </r>
    <r>
      <rPr>
        <vertAlign val="subscript"/>
        <sz val="11"/>
        <rFont val="Calibri"/>
        <family val="2"/>
        <scheme val="minor"/>
      </rPr>
      <t>O2,NOB</t>
    </r>
  </si>
  <si>
    <r>
      <t>K</t>
    </r>
    <r>
      <rPr>
        <vertAlign val="subscript"/>
        <sz val="11"/>
        <rFont val="Calibri"/>
        <family val="2"/>
      </rPr>
      <t>O2,NOB,AS</t>
    </r>
  </si>
  <si>
    <r>
      <t>K</t>
    </r>
    <r>
      <rPr>
        <vertAlign val="subscript"/>
        <sz val="11"/>
        <rFont val="Calibri"/>
        <family val="2"/>
      </rPr>
      <t>O2,NOB,sidestream</t>
    </r>
  </si>
  <si>
    <r>
      <t>K</t>
    </r>
    <r>
      <rPr>
        <vertAlign val="subscript"/>
        <sz val="11"/>
        <rFont val="Calibri"/>
        <family val="2"/>
        <scheme val="minor"/>
      </rPr>
      <t>NOx,NOB</t>
    </r>
  </si>
  <si>
    <r>
      <t>K</t>
    </r>
    <r>
      <rPr>
        <vertAlign val="subscript"/>
        <sz val="11"/>
        <rFont val="Calibri"/>
        <family val="2"/>
      </rPr>
      <t>NOx,NOB,AS</t>
    </r>
  </si>
  <si>
    <r>
      <t>K</t>
    </r>
    <r>
      <rPr>
        <vertAlign val="subscript"/>
        <sz val="11"/>
        <rFont val="Calibri"/>
        <family val="2"/>
        <scheme val="minor"/>
      </rPr>
      <t>NHx,AMX</t>
    </r>
  </si>
  <si>
    <r>
      <t>K</t>
    </r>
    <r>
      <rPr>
        <vertAlign val="subscript"/>
        <sz val="11"/>
        <rFont val="Calibri"/>
        <family val="2"/>
      </rPr>
      <t>NHx,AMX,AS</t>
    </r>
  </si>
  <si>
    <r>
      <t>K</t>
    </r>
    <r>
      <rPr>
        <vertAlign val="subscript"/>
        <sz val="11"/>
        <rFont val="Calibri"/>
        <family val="2"/>
        <scheme val="minor"/>
      </rPr>
      <t>NO2,AMX</t>
    </r>
  </si>
  <si>
    <r>
      <t>K</t>
    </r>
    <r>
      <rPr>
        <vertAlign val="subscript"/>
        <sz val="11"/>
        <rFont val="Calibri"/>
        <family val="2"/>
      </rPr>
      <t>NO2,AMX,AS</t>
    </r>
  </si>
  <si>
    <r>
      <t>K</t>
    </r>
    <r>
      <rPr>
        <vertAlign val="subscript"/>
        <sz val="11"/>
        <rFont val="Calibri"/>
        <family val="2"/>
        <scheme val="minor"/>
      </rPr>
      <t>CO2,AMX,pH</t>
    </r>
  </si>
  <si>
    <r>
      <t>K</t>
    </r>
    <r>
      <rPr>
        <vertAlign val="subscript"/>
        <sz val="11"/>
        <rFont val="Calibri"/>
        <family val="2"/>
      </rPr>
      <t>CO2,AMX,pH,AS</t>
    </r>
  </si>
  <si>
    <r>
      <t>K</t>
    </r>
    <r>
      <rPr>
        <vertAlign val="subscript"/>
        <sz val="11"/>
        <rFont val="Calibri"/>
        <family val="2"/>
        <scheme val="minor"/>
      </rPr>
      <t>NOx,AMX</t>
    </r>
  </si>
  <si>
    <r>
      <t>K</t>
    </r>
    <r>
      <rPr>
        <vertAlign val="subscript"/>
        <sz val="11"/>
        <rFont val="Calibri"/>
        <family val="2"/>
      </rPr>
      <t>NOx,AMX,AS</t>
    </r>
  </si>
  <si>
    <r>
      <t>K</t>
    </r>
    <r>
      <rPr>
        <vertAlign val="subscript"/>
        <sz val="11"/>
        <rFont val="Calibri"/>
        <family val="2"/>
      </rPr>
      <t>NO2,OHO</t>
    </r>
  </si>
  <si>
    <r>
      <t>K</t>
    </r>
    <r>
      <rPr>
        <vertAlign val="subscript"/>
        <sz val="11"/>
        <rFont val="Calibri"/>
        <family val="2"/>
      </rPr>
      <t>NO2,OHO,AS</t>
    </r>
  </si>
  <si>
    <r>
      <t>K</t>
    </r>
    <r>
      <rPr>
        <vertAlign val="subscript"/>
        <sz val="11"/>
        <rFont val="Calibri"/>
        <family val="2"/>
      </rPr>
      <t>NO2,MEOLO</t>
    </r>
  </si>
  <si>
    <r>
      <t>K</t>
    </r>
    <r>
      <rPr>
        <vertAlign val="subscript"/>
        <sz val="11"/>
        <rFont val="Calibri"/>
        <family val="2"/>
      </rPr>
      <t>NO2,MEOLO,AS</t>
    </r>
  </si>
  <si>
    <r>
      <t>K</t>
    </r>
    <r>
      <rPr>
        <vertAlign val="subscript"/>
        <sz val="11"/>
        <rFont val="Calibri"/>
        <family val="2"/>
        <scheme val="minor"/>
      </rPr>
      <t>NO2,ASSIM</t>
    </r>
  </si>
  <si>
    <r>
      <t>K</t>
    </r>
    <r>
      <rPr>
        <vertAlign val="subscript"/>
        <sz val="11"/>
        <rFont val="Calibri"/>
        <family val="2"/>
        <scheme val="minor"/>
      </rPr>
      <t>NO2,ASSIM,AS</t>
    </r>
  </si>
  <si>
    <r>
      <t>K</t>
    </r>
    <r>
      <rPr>
        <vertAlign val="subscript"/>
        <sz val="11"/>
        <rFont val="Calibri"/>
        <family val="2"/>
        <scheme val="minor"/>
      </rPr>
      <t>NO3,ASSIM</t>
    </r>
  </si>
  <si>
    <r>
      <t>K</t>
    </r>
    <r>
      <rPr>
        <vertAlign val="subscript"/>
        <sz val="11"/>
        <rFont val="Calibri"/>
        <family val="2"/>
        <scheme val="minor"/>
      </rPr>
      <t>NO3,ASSIM,AS</t>
    </r>
  </si>
  <si>
    <r>
      <t>NO</t>
    </r>
    <r>
      <rPr>
        <vertAlign val="subscript"/>
        <sz val="11"/>
        <color rgb="FF000000"/>
        <rFont val="Calibri"/>
        <family val="2"/>
        <scheme val="minor"/>
      </rPr>
      <t>2</t>
    </r>
    <r>
      <rPr>
        <sz val="11"/>
        <color rgb="FF000000"/>
        <rFont val="Calibri"/>
        <family val="2"/>
        <charset val="238"/>
        <scheme val="minor"/>
      </rPr>
      <t xml:space="preserve"> assimilative reduction</t>
    </r>
  </si>
  <si>
    <r>
      <t>MinhpH</t>
    </r>
    <r>
      <rPr>
        <vertAlign val="subscript"/>
        <sz val="11"/>
        <rFont val="Calibri"/>
        <family val="2"/>
        <scheme val="minor"/>
      </rPr>
      <t>HNO2,AOB</t>
    </r>
  </si>
  <si>
    <r>
      <t>LogsatpH</t>
    </r>
    <r>
      <rPr>
        <vertAlign val="subscript"/>
        <sz val="11"/>
        <rFont val="Calibri"/>
        <family val="2"/>
        <scheme val="minor"/>
      </rPr>
      <t>CO2,AOB</t>
    </r>
  </si>
  <si>
    <r>
      <t>MinhpH</t>
    </r>
    <r>
      <rPr>
        <vertAlign val="subscript"/>
        <sz val="11"/>
        <rFont val="Calibri"/>
        <family val="2"/>
        <scheme val="minor"/>
      </rPr>
      <t>NH3,NOB</t>
    </r>
  </si>
  <si>
    <r>
      <t>LogsatpH</t>
    </r>
    <r>
      <rPr>
        <vertAlign val="subscript"/>
        <sz val="11"/>
        <rFont val="Calibri"/>
        <family val="2"/>
        <scheme val="minor"/>
      </rPr>
      <t>CO2,NOB</t>
    </r>
  </si>
  <si>
    <r>
      <t>LogsatpH</t>
    </r>
    <r>
      <rPr>
        <vertAlign val="subscript"/>
        <sz val="11"/>
        <rFont val="Calibri"/>
        <family val="2"/>
        <scheme val="minor"/>
      </rPr>
      <t>CO2,AMX</t>
    </r>
  </si>
  <si>
    <r>
      <t>MinhpH</t>
    </r>
    <r>
      <rPr>
        <vertAlign val="subscript"/>
        <sz val="11"/>
        <rFont val="Calibri"/>
        <family val="2"/>
        <scheme val="minor"/>
      </rPr>
      <t>HNO2,AMX</t>
    </r>
  </si>
  <si>
    <r>
      <t>Minh</t>
    </r>
    <r>
      <rPr>
        <vertAlign val="subscript"/>
        <sz val="11"/>
        <rFont val="Calibri"/>
        <family val="2"/>
        <scheme val="minor"/>
      </rPr>
      <t>SNO2,KNO2,OHO</t>
    </r>
  </si>
  <si>
    <r>
      <t>Minh(S</t>
    </r>
    <r>
      <rPr>
        <vertAlign val="subscript"/>
        <sz val="11"/>
        <rFont val="Calibri"/>
        <family val="2"/>
        <scheme val="minor"/>
      </rPr>
      <t>NO2</t>
    </r>
    <r>
      <rPr>
        <sz val="11"/>
        <rFont val="Calibri"/>
        <family val="2"/>
        <scheme val="minor"/>
      </rPr>
      <t>;K</t>
    </r>
    <r>
      <rPr>
        <vertAlign val="subscript"/>
        <sz val="11"/>
        <rFont val="Calibri"/>
        <family val="2"/>
        <scheme val="minor"/>
      </rPr>
      <t>NO2,OHO</t>
    </r>
    <r>
      <rPr>
        <sz val="11"/>
        <rFont val="Calibri"/>
        <family val="2"/>
        <scheme val="minor"/>
      </rPr>
      <t>)</t>
    </r>
  </si>
  <si>
    <r>
      <t>Minh</t>
    </r>
    <r>
      <rPr>
        <vertAlign val="subscript"/>
        <sz val="11"/>
        <rFont val="Calibri"/>
        <family val="2"/>
        <scheme val="minor"/>
      </rPr>
      <t>SNO3,KNO3,OHO</t>
    </r>
  </si>
  <si>
    <r>
      <t>Minh(S</t>
    </r>
    <r>
      <rPr>
        <vertAlign val="subscript"/>
        <sz val="11"/>
        <rFont val="Calibri"/>
        <family val="2"/>
        <scheme val="minor"/>
      </rPr>
      <t>NO3</t>
    </r>
    <r>
      <rPr>
        <sz val="11"/>
        <rFont val="Calibri"/>
        <family val="2"/>
        <scheme val="minor"/>
      </rPr>
      <t>;K</t>
    </r>
    <r>
      <rPr>
        <vertAlign val="subscript"/>
        <sz val="11"/>
        <rFont val="Calibri"/>
        <family val="2"/>
        <scheme val="minor"/>
      </rPr>
      <t>NO3,OHO</t>
    </r>
    <r>
      <rPr>
        <sz val="11"/>
        <rFont val="Calibri"/>
        <family val="2"/>
        <scheme val="minor"/>
      </rPr>
      <t>)</t>
    </r>
  </si>
  <si>
    <r>
      <t>Minh</t>
    </r>
    <r>
      <rPr>
        <vertAlign val="subscript"/>
        <sz val="11"/>
        <rFont val="Calibri"/>
        <family val="2"/>
        <scheme val="minor"/>
      </rPr>
      <t>SNO2,KNO2,MEOLO</t>
    </r>
  </si>
  <si>
    <r>
      <t>Minh(S</t>
    </r>
    <r>
      <rPr>
        <vertAlign val="subscript"/>
        <sz val="11"/>
        <rFont val="Calibri"/>
        <family val="2"/>
        <scheme val="minor"/>
      </rPr>
      <t>NO2</t>
    </r>
    <r>
      <rPr>
        <sz val="11"/>
        <rFont val="Calibri"/>
        <family val="2"/>
        <scheme val="minor"/>
      </rPr>
      <t>;K</t>
    </r>
    <r>
      <rPr>
        <vertAlign val="subscript"/>
        <sz val="11"/>
        <rFont val="Calibri"/>
        <family val="2"/>
        <scheme val="minor"/>
      </rPr>
      <t>NO2,MEOLO</t>
    </r>
    <r>
      <rPr>
        <sz val="11"/>
        <rFont val="Calibri"/>
        <family val="2"/>
        <scheme val="minor"/>
      </rPr>
      <t>)</t>
    </r>
  </si>
  <si>
    <r>
      <t>Minh</t>
    </r>
    <r>
      <rPr>
        <vertAlign val="subscript"/>
        <sz val="11"/>
        <rFont val="Calibri"/>
        <family val="2"/>
        <scheme val="minor"/>
      </rPr>
      <t>SNO3,KNO3,MEOLO</t>
    </r>
  </si>
  <si>
    <r>
      <t>Minh(S</t>
    </r>
    <r>
      <rPr>
        <vertAlign val="subscript"/>
        <sz val="11"/>
        <rFont val="Calibri"/>
        <family val="2"/>
        <scheme val="minor"/>
      </rPr>
      <t>NO3</t>
    </r>
    <r>
      <rPr>
        <sz val="11"/>
        <rFont val="Calibri"/>
        <family val="2"/>
        <scheme val="minor"/>
      </rPr>
      <t>;K</t>
    </r>
    <r>
      <rPr>
        <vertAlign val="subscript"/>
        <sz val="11"/>
        <rFont val="Calibri"/>
        <family val="2"/>
        <scheme val="minor"/>
      </rPr>
      <t>NO3,MEOLO</t>
    </r>
    <r>
      <rPr>
        <sz val="11"/>
        <rFont val="Calibri"/>
        <family val="2"/>
        <scheme val="minor"/>
      </rPr>
      <t>)</t>
    </r>
  </si>
  <si>
    <r>
      <t>Msat</t>
    </r>
    <r>
      <rPr>
        <vertAlign val="subscript"/>
        <sz val="11"/>
        <rFont val="Calibri"/>
        <family val="2"/>
      </rPr>
      <t>SNO2,KNO2,MEOLO</t>
    </r>
  </si>
  <si>
    <r>
      <t>Msat(S</t>
    </r>
    <r>
      <rPr>
        <vertAlign val="subscript"/>
        <sz val="11"/>
        <rFont val="Calibri"/>
        <family val="2"/>
      </rPr>
      <t>NO2</t>
    </r>
    <r>
      <rPr>
        <sz val="11"/>
        <rFont val="Calibri"/>
        <family val="2"/>
      </rPr>
      <t>;K</t>
    </r>
    <r>
      <rPr>
        <vertAlign val="subscript"/>
        <sz val="11"/>
        <rFont val="Calibri"/>
        <family val="2"/>
      </rPr>
      <t>NO2,MEOLO</t>
    </r>
    <r>
      <rPr>
        <sz val="11"/>
        <rFont val="Calibri"/>
        <family val="2"/>
      </rPr>
      <t>)</t>
    </r>
  </si>
  <si>
    <r>
      <t>Msat</t>
    </r>
    <r>
      <rPr>
        <vertAlign val="subscript"/>
        <sz val="11"/>
        <rFont val="Calibri"/>
        <family val="2"/>
      </rPr>
      <t>SNO3,KNO3,MEOLO</t>
    </r>
  </si>
  <si>
    <r>
      <t>Msat(S</t>
    </r>
    <r>
      <rPr>
        <vertAlign val="subscript"/>
        <sz val="11"/>
        <rFont val="Calibri"/>
        <family val="2"/>
      </rPr>
      <t>NO3</t>
    </r>
    <r>
      <rPr>
        <sz val="11"/>
        <rFont val="Calibri"/>
        <family val="2"/>
      </rPr>
      <t>;K</t>
    </r>
    <r>
      <rPr>
        <vertAlign val="subscript"/>
        <sz val="11"/>
        <rFont val="Calibri"/>
        <family val="2"/>
      </rPr>
      <t>NO3,MEOLO</t>
    </r>
    <r>
      <rPr>
        <sz val="11"/>
        <rFont val="Calibri"/>
        <family val="2"/>
      </rPr>
      <t>)</t>
    </r>
  </si>
  <si>
    <r>
      <t>Minh</t>
    </r>
    <r>
      <rPr>
        <vertAlign val="subscript"/>
        <sz val="11"/>
        <rFont val="Calibri"/>
        <family val="2"/>
      </rPr>
      <t>SO2,KO2,AOB</t>
    </r>
  </si>
  <si>
    <r>
      <t>Minh(S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</si>
  <si>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Msat</t>
    </r>
    <r>
      <rPr>
        <vertAlign val="subscript"/>
        <sz val="11"/>
        <rFont val="Calibri"/>
        <family val="2"/>
      </rPr>
      <t>SNHx,KNHx,AOB</t>
    </r>
  </si>
  <si>
    <r>
      <t>Msat(S</t>
    </r>
    <r>
      <rPr>
        <vertAlign val="subscript"/>
        <sz val="11"/>
        <rFont val="Calibri"/>
        <family val="2"/>
      </rPr>
      <t>NHx</t>
    </r>
    <r>
      <rPr>
        <sz val="11"/>
        <rFont val="Calibri"/>
        <family val="2"/>
      </rPr>
      <t>;K</t>
    </r>
    <r>
      <rPr>
        <vertAlign val="subscript"/>
        <sz val="11"/>
        <rFont val="Calibri"/>
        <family val="2"/>
      </rPr>
      <t>NHx,AOB</t>
    </r>
    <r>
      <rPr>
        <sz val="11"/>
        <rFont val="Calibri"/>
        <family val="2"/>
      </rPr>
      <t>)</t>
    </r>
  </si>
  <si>
    <r>
      <t>Msat</t>
    </r>
    <r>
      <rPr>
        <vertAlign val="subscript"/>
        <sz val="11"/>
        <rFont val="Calibri"/>
        <family val="2"/>
      </rPr>
      <t>SO2,KO2,AOB</t>
    </r>
  </si>
  <si>
    <r>
      <t>Msat(S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</si>
  <si>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Minh</t>
    </r>
    <r>
      <rPr>
        <vertAlign val="subscript"/>
        <sz val="11"/>
        <rFont val="Calibri"/>
        <family val="2"/>
      </rPr>
      <t>SO2,KO2,NOB</t>
    </r>
  </si>
  <si>
    <r>
      <t>Minh(S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</si>
  <si>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SNO2,KNO2,NOB</t>
    </r>
  </si>
  <si>
    <r>
      <t>Msat(S</t>
    </r>
    <r>
      <rPr>
        <vertAlign val="subscript"/>
        <sz val="11"/>
        <rFont val="Calibri"/>
        <family val="2"/>
      </rPr>
      <t>NO2</t>
    </r>
    <r>
      <rPr>
        <sz val="11"/>
        <rFont val="Calibri"/>
        <family val="2"/>
      </rPr>
      <t>;K</t>
    </r>
    <r>
      <rPr>
        <vertAlign val="subscript"/>
        <sz val="11"/>
        <rFont val="Calibri"/>
        <family val="2"/>
      </rPr>
      <t>NO2,NOB</t>
    </r>
    <r>
      <rPr>
        <sz val="11"/>
        <rFont val="Calibri"/>
        <family val="2"/>
      </rPr>
      <t>)</t>
    </r>
  </si>
  <si>
    <r>
      <t>Msat</t>
    </r>
    <r>
      <rPr>
        <vertAlign val="subscript"/>
        <sz val="11"/>
        <rFont val="Calibri"/>
        <family val="2"/>
      </rPr>
      <t>SO2,KO2,NOB</t>
    </r>
  </si>
  <si>
    <r>
      <t>Msat(S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</si>
  <si>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SNHx,KNHx,AMX</t>
    </r>
  </si>
  <si>
    <r>
      <t>Msat(S</t>
    </r>
    <r>
      <rPr>
        <vertAlign val="subscript"/>
        <sz val="11"/>
        <rFont val="Calibri"/>
        <family val="2"/>
      </rPr>
      <t>NHx</t>
    </r>
    <r>
      <rPr>
        <sz val="11"/>
        <rFont val="Calibri"/>
        <family val="2"/>
      </rPr>
      <t>;K</t>
    </r>
    <r>
      <rPr>
        <vertAlign val="subscript"/>
        <sz val="11"/>
        <rFont val="Calibri"/>
        <family val="2"/>
      </rPr>
      <t>NHx,AMX</t>
    </r>
    <r>
      <rPr>
        <sz val="11"/>
        <rFont val="Calibri"/>
        <family val="2"/>
      </rPr>
      <t>)</t>
    </r>
  </si>
  <si>
    <r>
      <t>Msat</t>
    </r>
    <r>
      <rPr>
        <vertAlign val="subscript"/>
        <sz val="11"/>
        <rFont val="Calibri"/>
        <family val="2"/>
      </rPr>
      <t>SNO2,KNO2,AMX</t>
    </r>
  </si>
  <si>
    <r>
      <t>Msat(S</t>
    </r>
    <r>
      <rPr>
        <vertAlign val="subscript"/>
        <sz val="11"/>
        <rFont val="Calibri"/>
        <family val="2"/>
      </rPr>
      <t>NO2</t>
    </r>
    <r>
      <rPr>
        <sz val="11"/>
        <rFont val="Calibri"/>
        <family val="2"/>
      </rPr>
      <t>;K</t>
    </r>
    <r>
      <rPr>
        <vertAlign val="subscript"/>
        <sz val="11"/>
        <rFont val="Calibri"/>
        <family val="2"/>
      </rPr>
      <t>NO2,AMX</t>
    </r>
    <r>
      <rPr>
        <sz val="11"/>
        <rFont val="Calibri"/>
        <family val="2"/>
      </rPr>
      <t>)</t>
    </r>
  </si>
  <si>
    <r>
      <t>µ</t>
    </r>
    <r>
      <rPr>
        <vertAlign val="subscript"/>
        <sz val="11"/>
        <color indexed="8"/>
        <rFont val="Calibri"/>
        <family val="2"/>
        <charset val="238"/>
      </rPr>
      <t>AOB,T</t>
    </r>
  </si>
  <si>
    <r>
      <t>µ</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µ,AOB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</si>
  <si>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AOB,T</t>
    </r>
  </si>
  <si>
    <r>
      <t>b</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b,AOB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</si>
  <si>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NOB,T</t>
    </r>
  </si>
  <si>
    <r>
      <t>µ</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µ,NOB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</si>
  <si>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NOB,T</t>
    </r>
  </si>
  <si>
    <r>
      <t>b</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b,NOB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</si>
  <si>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AMX,T</t>
    </r>
  </si>
  <si>
    <r>
      <t>µ</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µ,AMX</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</si>
  <si>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AMX,T</t>
    </r>
  </si>
  <si>
    <r>
      <t>b</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b,AMX</t>
    </r>
    <r>
      <rPr>
        <sz val="11"/>
        <color indexed="8"/>
        <rFont val="Calibri"/>
        <family val="2"/>
      </rPr>
      <t>; T; T</t>
    </r>
    <r>
      <rPr>
        <vertAlign val="subscript"/>
        <sz val="11"/>
        <color indexed="8"/>
        <rFont val="Calibri"/>
        <family val="2"/>
        <charset val="238"/>
      </rPr>
      <t>base</t>
    </r>
    <r>
      <rPr>
        <sz val="11"/>
        <color indexed="8"/>
        <rFont val="Calibri"/>
        <family val="2"/>
      </rPr>
      <t>)</t>
    </r>
  </si>
  <si>
    <r>
      <t>K</t>
    </r>
    <r>
      <rPr>
        <vertAlign val="subscript"/>
        <sz val="11"/>
        <color indexed="8"/>
        <rFont val="Calibri"/>
        <family val="2"/>
        <scheme val="minor"/>
      </rPr>
      <t>NO3,ASSIM,AS</t>
    </r>
  </si>
  <si>
    <r>
      <t>K</t>
    </r>
    <r>
      <rPr>
        <vertAlign val="subscript"/>
        <sz val="11"/>
        <color indexed="8"/>
        <rFont val="Calibri"/>
        <family val="2"/>
        <scheme val="minor"/>
      </rPr>
      <t>NO2,ASSIM,AS</t>
    </r>
  </si>
  <si>
    <r>
      <t>Minh</t>
    </r>
    <r>
      <rPr>
        <vertAlign val="subscript"/>
        <sz val="11"/>
        <rFont val="Calibri"/>
        <family val="2"/>
        <scheme val="minor"/>
      </rPr>
      <t>SNO2,KNO2,ASSIM</t>
    </r>
  </si>
  <si>
    <r>
      <t>Minh(S</t>
    </r>
    <r>
      <rPr>
        <vertAlign val="subscript"/>
        <sz val="11"/>
        <rFont val="Calibri"/>
        <family val="2"/>
        <scheme val="minor"/>
      </rPr>
      <t>NO2</t>
    </r>
    <r>
      <rPr>
        <sz val="11"/>
        <rFont val="Calibri"/>
        <family val="2"/>
        <scheme val="minor"/>
      </rPr>
      <t>;K</t>
    </r>
    <r>
      <rPr>
        <vertAlign val="subscript"/>
        <sz val="11"/>
        <rFont val="Calibri"/>
        <family val="2"/>
        <scheme val="minor"/>
      </rPr>
      <t>NO2,ASSIM</t>
    </r>
    <r>
      <rPr>
        <sz val="11"/>
        <rFont val="Calibri"/>
        <family val="2"/>
        <scheme val="minor"/>
      </rPr>
      <t>)</t>
    </r>
  </si>
  <si>
    <r>
      <t>Msat</t>
    </r>
    <r>
      <rPr>
        <vertAlign val="subscript"/>
        <sz val="11"/>
        <rFont val="Calibri"/>
        <family val="2"/>
      </rPr>
      <t>SNO2,KNO2,ASSIM</t>
    </r>
  </si>
  <si>
    <r>
      <t>Msat(S</t>
    </r>
    <r>
      <rPr>
        <vertAlign val="subscript"/>
        <sz val="11"/>
        <rFont val="Calibri"/>
        <family val="2"/>
      </rPr>
      <t>NO2</t>
    </r>
    <r>
      <rPr>
        <sz val="11"/>
        <rFont val="Calibri"/>
        <family val="2"/>
      </rPr>
      <t>;K</t>
    </r>
    <r>
      <rPr>
        <vertAlign val="subscript"/>
        <sz val="11"/>
        <rFont val="Calibri"/>
        <family val="2"/>
      </rPr>
      <t>NO2,ASSIM</t>
    </r>
    <r>
      <rPr>
        <sz val="11"/>
        <rFont val="Calibri"/>
        <family val="2"/>
      </rPr>
      <t>)</t>
    </r>
  </si>
  <si>
    <r>
      <t>Msat</t>
    </r>
    <r>
      <rPr>
        <vertAlign val="subscript"/>
        <sz val="11"/>
        <rFont val="Calibri"/>
        <family val="2"/>
      </rPr>
      <t>SNO3,KNO3,ASSIM</t>
    </r>
  </si>
  <si>
    <r>
      <t>Msat(S</t>
    </r>
    <r>
      <rPr>
        <vertAlign val="subscript"/>
        <sz val="11"/>
        <rFont val="Calibri"/>
        <family val="2"/>
      </rPr>
      <t>NO3</t>
    </r>
    <r>
      <rPr>
        <sz val="11"/>
        <rFont val="Calibri"/>
        <family val="2"/>
      </rPr>
      <t>;K</t>
    </r>
    <r>
      <rPr>
        <vertAlign val="subscript"/>
        <sz val="11"/>
        <rFont val="Calibri"/>
        <family val="2"/>
      </rPr>
      <t>NO3,ASSIM</t>
    </r>
    <r>
      <rPr>
        <sz val="11"/>
        <rFont val="Calibri"/>
        <family val="2"/>
      </rPr>
      <t>)</t>
    </r>
  </si>
  <si>
    <r>
      <t>K</t>
    </r>
    <r>
      <rPr>
        <vertAlign val="subscript"/>
        <sz val="11"/>
        <rFont val="Calibri"/>
        <family val="2"/>
        <scheme val="minor"/>
      </rPr>
      <t>NOx,AMETO,AS</t>
    </r>
  </si>
  <si>
    <r>
      <t>K</t>
    </r>
    <r>
      <rPr>
        <vertAlign val="subscript"/>
        <sz val="11"/>
        <color indexed="8"/>
        <rFont val="Calibri"/>
        <family val="2"/>
        <scheme val="minor"/>
      </rPr>
      <t>NOx,HMETO,AS</t>
    </r>
  </si>
  <si>
    <r>
      <t>K</t>
    </r>
    <r>
      <rPr>
        <vertAlign val="subscript"/>
        <sz val="11"/>
        <rFont val="Calibri"/>
        <family val="2"/>
        <scheme val="minor"/>
      </rPr>
      <t>NOx,AMETO</t>
    </r>
  </si>
  <si>
    <r>
      <t>K</t>
    </r>
    <r>
      <rPr>
        <vertAlign val="subscript"/>
        <sz val="11"/>
        <rFont val="Calibri"/>
        <family val="2"/>
        <scheme val="minor"/>
      </rPr>
      <t>NOx,HMETO</t>
    </r>
  </si>
  <si>
    <r>
      <t>K</t>
    </r>
    <r>
      <rPr>
        <vertAlign val="subscript"/>
        <sz val="11"/>
        <rFont val="Calibri"/>
        <family val="2"/>
        <scheme val="minor"/>
      </rPr>
      <t>NOx,HMETO,AS</t>
    </r>
  </si>
  <si>
    <r>
      <t>[NO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</si>
  <si>
    <t>Nitrite molar concentration in equivalence point</t>
  </si>
  <si>
    <r>
      <t>(3*[PO</t>
    </r>
    <r>
      <rPr>
        <vertAlign val="subscript"/>
        <sz val="11"/>
        <rFont val="Calibri"/>
        <family val="2"/>
        <scheme val="minor"/>
      </rPr>
      <t>4</t>
    </r>
    <r>
      <rPr>
        <vertAlign val="superscript"/>
        <sz val="11"/>
        <rFont val="Calibri"/>
        <family val="2"/>
        <scheme val="minor"/>
      </rPr>
      <t>3-</t>
    </r>
    <r>
      <rPr>
        <sz val="11"/>
        <rFont val="Calibri"/>
        <family val="2"/>
        <scheme val="minor"/>
      </rPr>
      <t>] + 2*[HPO</t>
    </r>
    <r>
      <rPr>
        <vertAlign val="subscript"/>
        <sz val="11"/>
        <rFont val="Calibri"/>
        <family val="2"/>
        <scheme val="minor"/>
      </rPr>
      <t>4</t>
    </r>
    <r>
      <rPr>
        <vertAlign val="superscript"/>
        <sz val="11"/>
        <rFont val="Calibri"/>
        <family val="2"/>
        <scheme val="minor"/>
      </rPr>
      <t>2-</t>
    </r>
    <r>
      <rPr>
        <sz val="11"/>
        <rFont val="Calibri"/>
        <family val="2"/>
        <scheme val="minor"/>
      </rPr>
      <t>])- 2*[HPO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r>
      <rPr>
        <sz val="11"/>
        <rFont val="Calibri"/>
        <family val="2"/>
        <scheme val="minor"/>
      </rPr>
      <t xml:space="preserve"> +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[OH</t>
    </r>
    <r>
      <rPr>
        <vertAlign val="superscript"/>
        <sz val="11"/>
        <rFont val="Calibri"/>
        <family val="2"/>
        <scheme val="minor"/>
      </rPr>
      <t>-</t>
    </r>
    <r>
      <rPr>
        <sz val="11"/>
        <rFont val="Calibri"/>
        <family val="2"/>
        <scheme val="minor"/>
      </rPr>
      <t>]+ [NO</t>
    </r>
    <r>
      <rPr>
        <vertAlign val="subscript"/>
        <sz val="11"/>
        <rFont val="Calibri"/>
        <family val="2"/>
        <scheme val="minor"/>
      </rPr>
      <t>2</t>
    </r>
    <r>
      <rPr>
        <vertAlign val="superscript"/>
        <sz val="11"/>
        <rFont val="Calibri"/>
        <family val="2"/>
        <scheme val="minor"/>
      </rPr>
      <t>-</t>
    </r>
    <r>
      <rPr>
        <sz val="11"/>
        <rFont val="Calibri"/>
        <family val="2"/>
        <scheme val="minor"/>
      </rPr>
      <t>] - [NO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[NH</t>
    </r>
    <r>
      <rPr>
        <vertAlign val="subscript"/>
        <sz val="11"/>
        <rFont val="Calibri"/>
        <family val="2"/>
        <scheme val="minor"/>
      </rPr>
      <t>3</t>
    </r>
    <r>
      <rPr>
        <sz val="11"/>
        <rFont val="Calibri"/>
        <family val="2"/>
        <scheme val="minor"/>
      </rPr>
      <t>] + 2*[CO</t>
    </r>
    <r>
      <rPr>
        <vertAlign val="subscript"/>
        <sz val="11"/>
        <rFont val="Calibri"/>
        <family val="2"/>
        <scheme val="minor"/>
      </rPr>
      <t>3</t>
    </r>
    <r>
      <rPr>
        <vertAlign val="superscript"/>
        <sz val="11"/>
        <rFont val="Calibri"/>
        <family val="2"/>
        <scheme val="minor"/>
      </rPr>
      <t>2-</t>
    </r>
    <r>
      <rPr>
        <sz val="11"/>
        <rFont val="Calibri"/>
        <family val="2"/>
        <scheme val="minor"/>
      </rPr>
      <t>]+ [HCO</t>
    </r>
    <r>
      <rPr>
        <vertAlign val="subscript"/>
        <sz val="11"/>
        <rFont val="Calibri"/>
        <family val="2"/>
        <scheme val="minor"/>
      </rPr>
      <t>3</t>
    </r>
    <r>
      <rPr>
        <vertAlign val="superscript"/>
        <sz val="11"/>
        <rFont val="Calibri"/>
        <family val="2"/>
        <scheme val="minor"/>
      </rPr>
      <t>-</t>
    </r>
    <r>
      <rPr>
        <sz val="11"/>
        <rFont val="Calibri"/>
        <family val="2"/>
        <scheme val="minor"/>
      </rPr>
      <t>]+ [Ac</t>
    </r>
    <r>
      <rPr>
        <vertAlign val="superscript"/>
        <sz val="11"/>
        <rFont val="Calibri"/>
        <family val="2"/>
        <scheme val="minor"/>
      </rPr>
      <t>-</t>
    </r>
    <r>
      <rPr>
        <sz val="11"/>
        <rFont val="Calibri"/>
        <family val="2"/>
        <scheme val="minor"/>
      </rPr>
      <t>] - [Ac</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t>
    </r>
    <r>
      <rPr>
        <sz val="11"/>
        <rFont val="Calibri"/>
        <family val="2"/>
        <scheme val="minor"/>
      </rPr>
      <t>- [H</t>
    </r>
    <r>
      <rPr>
        <vertAlign val="superscript"/>
        <sz val="11"/>
        <rFont val="Calibri"/>
        <family val="2"/>
        <scheme val="minor"/>
      </rPr>
      <t>+</t>
    </r>
    <r>
      <rPr>
        <sz val="11"/>
        <rFont val="Calibri"/>
        <family val="2"/>
        <scheme val="minor"/>
      </rPr>
      <t>]</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</si>
  <si>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</si>
  <si>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</si>
  <si>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</si>
  <si>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</si>
  <si>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</si>
  <si>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</si>
  <si>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</si>
  <si>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</si>
  <si>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</si>
  <si>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</si>
  <si>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</si>
  <si>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</si>
  <si>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</si>
  <si>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</si>
  <si>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</si>
  <si>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λ</t>
    </r>
    <r>
      <rPr>
        <vertAlign val="subscript"/>
        <sz val="11"/>
        <rFont val="Calibri"/>
        <family val="2"/>
      </rPr>
      <t>H</t>
    </r>
  </si>
  <si>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</si>
  <si>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</si>
  <si>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</si>
  <si>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</si>
  <si>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</si>
  <si>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</si>
  <si>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</si>
  <si>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</si>
  <si>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</si>
  <si>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</si>
  <si>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</si>
  <si>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</si>
  <si>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t>r60</t>
  </si>
  <si>
    <t>r61</t>
  </si>
  <si>
    <t>r62</t>
  </si>
  <si>
    <t>r63</t>
  </si>
  <si>
    <t>r64</t>
  </si>
  <si>
    <t>r65</t>
  </si>
  <si>
    <t>r66</t>
  </si>
  <si>
    <t>r67</t>
  </si>
  <si>
    <t>r68</t>
  </si>
  <si>
    <t>r69</t>
  </si>
  <si>
    <t>r70</t>
  </si>
  <si>
    <r>
      <t>Msat</t>
    </r>
    <r>
      <rPr>
        <vertAlign val="subscript"/>
        <sz val="11"/>
        <rFont val="Calibri"/>
        <family val="2"/>
      </rPr>
      <t>SNO2,KNO2,OHO</t>
    </r>
  </si>
  <si>
    <r>
      <t>Msat(S</t>
    </r>
    <r>
      <rPr>
        <vertAlign val="subscript"/>
        <sz val="11"/>
        <rFont val="Calibri"/>
        <family val="2"/>
      </rPr>
      <t>NO2</t>
    </r>
    <r>
      <rPr>
        <sz val="11"/>
        <rFont val="Calibri"/>
        <family val="2"/>
      </rPr>
      <t>;K</t>
    </r>
    <r>
      <rPr>
        <vertAlign val="subscript"/>
        <sz val="11"/>
        <rFont val="Calibri"/>
        <family val="2"/>
      </rPr>
      <t>NO2,OHO</t>
    </r>
    <r>
      <rPr>
        <sz val="11"/>
        <rFont val="Calibri"/>
        <family val="2"/>
      </rPr>
      <t>)</t>
    </r>
  </si>
  <si>
    <r>
      <t>Msat</t>
    </r>
    <r>
      <rPr>
        <vertAlign val="subscript"/>
        <sz val="11"/>
        <rFont val="Calibri"/>
        <family val="2"/>
      </rPr>
      <t>SNO3,KNO3,OHO</t>
    </r>
  </si>
  <si>
    <r>
      <t>Msat(S</t>
    </r>
    <r>
      <rPr>
        <vertAlign val="subscript"/>
        <sz val="11"/>
        <rFont val="Calibri"/>
        <family val="2"/>
      </rPr>
      <t>NO3</t>
    </r>
    <r>
      <rPr>
        <sz val="11"/>
        <rFont val="Calibri"/>
        <family val="2"/>
      </rPr>
      <t>;K</t>
    </r>
    <r>
      <rPr>
        <vertAlign val="subscript"/>
        <sz val="11"/>
        <rFont val="Calibri"/>
        <family val="2"/>
      </rPr>
      <t>NO3,OHO</t>
    </r>
    <r>
      <rPr>
        <sz val="11"/>
        <rFont val="Calibri"/>
        <family val="2"/>
      </rPr>
      <t>)</t>
    </r>
  </si>
  <si>
    <r>
      <t>q</t>
    </r>
    <r>
      <rPr>
        <vertAlign val="subscript"/>
        <sz val="11"/>
        <rFont val="Calibri"/>
        <family val="2"/>
      </rPr>
      <t>MEOL</t>
    </r>
    <r>
      <rPr>
        <sz val="11"/>
        <rFont val="Calibri"/>
        <family val="2"/>
      </rPr>
      <t>*S</t>
    </r>
    <r>
      <rPr>
        <vertAlign val="subscript"/>
        <sz val="11"/>
        <rFont val="Calibri"/>
        <family val="2"/>
      </rPr>
      <t>MEOL</t>
    </r>
    <r>
      <rPr>
        <sz val="11"/>
        <rFont val="Calibri"/>
        <family val="2"/>
      </rPr>
      <t>*Msat</t>
    </r>
    <r>
      <rPr>
        <vertAlign val="subscript"/>
        <sz val="11"/>
        <rFont val="Calibri"/>
        <family val="2"/>
      </rPr>
      <t>SCO2,KCO2,BIO</t>
    </r>
    <r>
      <rPr>
        <sz val="11"/>
        <rFont val="Calibri"/>
        <family val="2"/>
      </rPr>
      <t>*Minh</t>
    </r>
    <r>
      <rPr>
        <vertAlign val="subscript"/>
        <sz val="11"/>
        <rFont val="Calibri"/>
        <family val="2"/>
      </rPr>
      <t>SO2,KO2,OHO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</si>
  <si>
    <r>
      <t>-EEQ</t>
    </r>
    <r>
      <rPr>
        <vertAlign val="subscript"/>
        <sz val="11"/>
        <rFont val="Calibri"/>
        <family val="2"/>
        <scheme val="minor"/>
      </rPr>
      <t>NO2</t>
    </r>
  </si>
  <si>
    <r>
      <t>-1/EEQ</t>
    </r>
    <r>
      <rPr>
        <vertAlign val="subscript"/>
        <sz val="11"/>
        <rFont val="Calibri"/>
        <family val="2"/>
      </rPr>
      <t>N2,NO2</t>
    </r>
  </si>
  <si>
    <r>
      <t>1/EEQ</t>
    </r>
    <r>
      <rPr>
        <vertAlign val="subscript"/>
        <sz val="11"/>
        <rFont val="Calibri"/>
        <family val="2"/>
      </rPr>
      <t>N2,NO2</t>
    </r>
  </si>
  <si>
    <r>
      <t>-1/EEQ</t>
    </r>
    <r>
      <rPr>
        <vertAlign val="subscript"/>
        <sz val="11"/>
        <rFont val="Calibri"/>
        <family val="2"/>
      </rPr>
      <t>NO2,NO3</t>
    </r>
    <r>
      <rPr>
        <sz val="11"/>
        <rFont val="Calibri"/>
        <family val="2"/>
      </rPr>
      <t/>
    </r>
  </si>
  <si>
    <r>
      <t>1/EEQ</t>
    </r>
    <r>
      <rPr>
        <vertAlign val="subscript"/>
        <sz val="11"/>
        <rFont val="Calibri"/>
        <family val="2"/>
      </rPr>
      <t>NO2,NO3</t>
    </r>
    <r>
      <rPr>
        <sz val="11"/>
        <rFont val="Calibri"/>
        <family val="2"/>
      </rPr>
      <t/>
    </r>
  </si>
  <si>
    <t>r71</t>
  </si>
  <si>
    <t>r72</t>
  </si>
  <si>
    <t>Key(995)</t>
  </si>
  <si>
    <r>
      <t>T</t>
    </r>
    <r>
      <rPr>
        <vertAlign val="subscript"/>
        <sz val="11"/>
        <rFont val="Calibri"/>
        <family val="2"/>
        <scheme val="minor"/>
      </rPr>
      <t>COD,Th</t>
    </r>
  </si>
  <si>
    <t>Theoretical total chemical oxygen demand</t>
  </si>
  <si>
    <t>Calculated only for influent</t>
  </si>
  <si>
    <r>
      <t>S</t>
    </r>
    <r>
      <rPr>
        <vertAlign val="subscript"/>
        <sz val="11"/>
        <rFont val="Calibri"/>
        <family val="2"/>
        <scheme val="minor"/>
      </rPr>
      <t>AN</t>
    </r>
  </si>
  <si>
    <r>
      <t>S</t>
    </r>
    <r>
      <rPr>
        <i/>
        <vertAlign val="subscript"/>
        <sz val="11"/>
        <rFont val="Calibri"/>
        <family val="2"/>
        <scheme val="minor"/>
      </rPr>
      <t>CAT,ini</t>
    </r>
  </si>
  <si>
    <t>Strong cations</t>
  </si>
  <si>
    <r>
      <t>S</t>
    </r>
    <r>
      <rPr>
        <i/>
        <vertAlign val="subscript"/>
        <sz val="11"/>
        <rFont val="Calibri"/>
        <family val="2"/>
        <scheme val="minor"/>
      </rPr>
      <t>AN,ini</t>
    </r>
  </si>
  <si>
    <t>Strong anions</t>
  </si>
  <si>
    <t>Inorganics in influent and biomass</t>
  </si>
  <si>
    <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</si>
  <si>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NO2</t>
    </r>
    <r>
      <rPr>
        <sz val="11"/>
        <rFont val="Calibri"/>
        <family val="2"/>
      </rPr>
      <t>)</t>
    </r>
  </si>
  <si>
    <r>
      <t>(K</t>
    </r>
    <r>
      <rPr>
        <vertAlign val="subscript"/>
        <sz val="11"/>
        <rFont val="Calibri"/>
        <family val="2"/>
      </rPr>
      <t>NO2</t>
    </r>
    <r>
      <rPr>
        <sz val="11"/>
        <rFont val="Calibri"/>
        <family val="2"/>
      </rP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]+K</t>
    </r>
    <r>
      <rPr>
        <vertAlign val="subscript"/>
        <sz val="11"/>
        <rFont val="Calibri"/>
        <family val="2"/>
      </rPr>
      <t>NO2</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</si>
  <si>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</si>
  <si>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</si>
  <si>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[H</t>
    </r>
    <r>
      <rPr>
        <vertAlign val="superscript"/>
        <sz val="11"/>
        <rFont val="Calibri"/>
        <family val="2"/>
      </rPr>
      <t>+</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</si>
  <si>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K</t>
    </r>
    <r>
      <rPr>
        <vertAlign val="subscript"/>
        <sz val="11"/>
        <rFont val="Calibri"/>
        <family val="2"/>
      </rPr>
      <t>C2</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</si>
  <si>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diss</t>
    </r>
    <r>
      <rPr>
        <vertAlign val="subscript"/>
        <sz val="11"/>
        <rFont val="Calibri"/>
        <family val="2"/>
      </rPr>
      <t>NH3</t>
    </r>
  </si>
  <si>
    <r>
      <t>-AM</t>
    </r>
    <r>
      <rPr>
        <vertAlign val="subscript"/>
        <sz val="11"/>
        <rFont val="Calibri"/>
        <family val="2"/>
      </rPr>
      <t>C</t>
    </r>
    <r>
      <rPr>
        <sz val="11"/>
        <rFont val="Calibri"/>
        <family val="2"/>
      </rPr>
      <t>/MM</t>
    </r>
    <r>
      <rPr>
        <vertAlign val="subscript"/>
        <sz val="11"/>
        <rFont val="Calibri"/>
        <family val="2"/>
      </rPr>
      <t>CaCO3</t>
    </r>
  </si>
  <si>
    <r>
      <t>AM</t>
    </r>
    <r>
      <rPr>
        <vertAlign val="subscript"/>
        <sz val="11"/>
        <rFont val="Calibri"/>
        <family val="2"/>
        <scheme val="minor"/>
      </rPr>
      <t>C</t>
    </r>
    <r>
      <rPr>
        <sz val="11"/>
        <rFont val="Calibri"/>
        <family val="2"/>
        <scheme val="minor"/>
      </rPr>
      <t>/MM</t>
    </r>
    <r>
      <rPr>
        <vertAlign val="subscript"/>
        <sz val="11"/>
        <rFont val="Calibri"/>
        <family val="2"/>
        <scheme val="minor"/>
      </rPr>
      <t>CaCO3</t>
    </r>
  </si>
  <si>
    <r>
      <t>i</t>
    </r>
    <r>
      <rPr>
        <vertAlign val="subscript"/>
        <sz val="11"/>
        <rFont val="Calibri"/>
        <family val="2"/>
      </rPr>
      <t>INORG</t>
    </r>
    <r>
      <rPr>
        <sz val="11"/>
        <color indexed="8"/>
        <rFont val="Calibri"/>
        <family val="2"/>
      </rPr>
      <t/>
    </r>
  </si>
  <si>
    <r>
      <t>-i</t>
    </r>
    <r>
      <rPr>
        <vertAlign val="subscript"/>
        <sz val="11"/>
        <rFont val="Calibri"/>
        <family val="2"/>
      </rPr>
      <t>INORG</t>
    </r>
    <r>
      <rPr>
        <sz val="11"/>
        <color indexed="8"/>
        <rFont val="Calibri"/>
        <family val="2"/>
      </rPr>
      <t/>
    </r>
  </si>
  <si>
    <r>
      <t>i</t>
    </r>
    <r>
      <rPr>
        <vertAlign val="subscript"/>
        <sz val="11"/>
        <rFont val="Calibri"/>
        <family val="2"/>
        <scheme val="minor"/>
      </rPr>
      <t>INORG</t>
    </r>
  </si>
  <si>
    <t>Fermentation growth rate of OHOs</t>
  </si>
  <si>
    <t>Decay rate of OHOs</t>
  </si>
  <si>
    <t>Reduction factor for anoxic growth of OHOs</t>
  </si>
  <si>
    <t>Half-saturation of readily biodegradable substrate for OHOs (AS)</t>
  </si>
  <si>
    <r>
      <t>Half-saturation of O</t>
    </r>
    <r>
      <rPr>
        <vertAlign val="subscript"/>
        <sz val="11"/>
        <color rgb="FF000000"/>
        <rFont val="Calibri"/>
        <family val="2"/>
        <scheme val="minor"/>
      </rPr>
      <t>2</t>
    </r>
    <r>
      <rPr>
        <sz val="11"/>
        <color rgb="FF000000"/>
        <rFont val="Calibri"/>
        <family val="2"/>
        <charset val="238"/>
        <scheme val="minor"/>
      </rPr>
      <t xml:space="preserve"> for OHOs (AS)</t>
    </r>
  </si>
  <si>
    <t>Half-saturation of VFA for OHOs (AS)</t>
  </si>
  <si>
    <t>Half-saturation of methanol for OHOs (AS)</t>
  </si>
  <si>
    <r>
      <t>Half-saturation of NO</t>
    </r>
    <r>
      <rPr>
        <vertAlign val="subscript"/>
        <sz val="11"/>
        <color rgb="FF000000"/>
        <rFont val="Calibri"/>
        <family val="2"/>
        <scheme val="minor"/>
      </rPr>
      <t>3</t>
    </r>
    <r>
      <rPr>
        <sz val="11"/>
        <color rgb="FF000000"/>
        <rFont val="Calibri"/>
        <family val="2"/>
        <charset val="238"/>
        <scheme val="minor"/>
      </rPr>
      <t xml:space="preserve"> for OHOs (AS)</t>
    </r>
  </si>
  <si>
    <r>
      <t>Half-saturation of NO</t>
    </r>
    <r>
      <rPr>
        <vertAlign val="subscript"/>
        <sz val="11"/>
        <color rgb="FF000000"/>
        <rFont val="Calibri"/>
        <family val="2"/>
        <scheme val="minor"/>
      </rPr>
      <t>2</t>
    </r>
    <r>
      <rPr>
        <sz val="11"/>
        <color rgb="FF000000"/>
        <rFont val="Calibri"/>
        <family val="2"/>
        <charset val="238"/>
        <scheme val="minor"/>
      </rPr>
      <t xml:space="preserve"> for OHOs (AS)</t>
    </r>
  </si>
  <si>
    <t>Maximum specific growth rate of MEOLOs</t>
  </si>
  <si>
    <t>Decay rate of MEOLOs</t>
  </si>
  <si>
    <t xml:space="preserve">Rate of methanol degradation by MEOLOs under anaerobic conditions </t>
  </si>
  <si>
    <t>Half-saturation of methanol for MEOLOs (AS)</t>
  </si>
  <si>
    <r>
      <t>Half-saturation of NO</t>
    </r>
    <r>
      <rPr>
        <vertAlign val="subscript"/>
        <sz val="11"/>
        <color rgb="FF000000"/>
        <rFont val="Calibri"/>
        <family val="2"/>
        <scheme val="minor"/>
      </rPr>
      <t>3</t>
    </r>
    <r>
      <rPr>
        <sz val="11"/>
        <color rgb="FF000000"/>
        <rFont val="Calibri"/>
        <family val="2"/>
        <charset val="238"/>
        <scheme val="minor"/>
      </rPr>
      <t xml:space="preserve"> for MEOLOs (AS)</t>
    </r>
  </si>
  <si>
    <r>
      <t>Half-saturation of NO</t>
    </r>
    <r>
      <rPr>
        <vertAlign val="subscript"/>
        <sz val="11"/>
        <color rgb="FF000000"/>
        <rFont val="Calibri"/>
        <family val="2"/>
        <scheme val="minor"/>
      </rPr>
      <t>2</t>
    </r>
    <r>
      <rPr>
        <sz val="11"/>
        <color rgb="FF000000"/>
        <rFont val="Calibri"/>
        <family val="2"/>
        <charset val="238"/>
        <scheme val="minor"/>
      </rPr>
      <t xml:space="preserve"> for MEOLOs (AS)</t>
    </r>
  </si>
  <si>
    <t>Fermentation growth rate of PAOs</t>
  </si>
  <si>
    <t>Maximum specific growth rate of PAOs under P limited</t>
  </si>
  <si>
    <t>Rate of PAOs maintenance under anaerobic conditions (PP cleavage)</t>
  </si>
  <si>
    <t>Reduction factor for aerobic maintenance of PAOs on PP</t>
  </si>
  <si>
    <t>Reduction factor for anoxic maintenance of PAOs on PP</t>
  </si>
  <si>
    <r>
      <t>Half-saturation of PO</t>
    </r>
    <r>
      <rPr>
        <vertAlign val="subscript"/>
        <sz val="11"/>
        <color rgb="FF000000"/>
        <rFont val="Calibri"/>
        <family val="2"/>
        <scheme val="minor"/>
      </rPr>
      <t>4</t>
    </r>
    <r>
      <rPr>
        <sz val="11"/>
        <color rgb="FF000000"/>
        <rFont val="Calibri"/>
        <family val="2"/>
        <charset val="238"/>
        <scheme val="minor"/>
      </rPr>
      <t xml:space="preserve"> for PAOs (AS)</t>
    </r>
  </si>
  <si>
    <t>Half-saturation of PHA for PAOs</t>
  </si>
  <si>
    <r>
      <t>µ</t>
    </r>
    <r>
      <rPr>
        <vertAlign val="subscript"/>
        <sz val="11"/>
        <rFont val="Calibri"/>
        <family val="2"/>
        <scheme val="minor"/>
      </rPr>
      <t>FERM,PAO</t>
    </r>
  </si>
  <si>
    <r>
      <t>Ki</t>
    </r>
    <r>
      <rPr>
        <vertAlign val="subscript"/>
        <sz val="11"/>
        <rFont val="Calibri"/>
        <family val="2"/>
        <scheme val="minor"/>
      </rPr>
      <t>PO4,lim,AS</t>
    </r>
  </si>
  <si>
    <r>
      <t>Logsat</t>
    </r>
    <r>
      <rPr>
        <vertAlign val="subscript"/>
        <sz val="11"/>
        <rFont val="Calibri"/>
        <family val="2"/>
        <scheme val="minor"/>
      </rPr>
      <t>ORP,PAO,Half</t>
    </r>
  </si>
  <si>
    <t>Logistic half-saturation of ORP switching in fermentation of PAO</t>
  </si>
  <si>
    <r>
      <t>Logsat</t>
    </r>
    <r>
      <rPr>
        <vertAlign val="subscript"/>
        <sz val="11"/>
        <rFont val="Calibri"/>
        <family val="2"/>
        <scheme val="minor"/>
      </rPr>
      <t>ORP,PAO,Slope</t>
    </r>
  </si>
  <si>
    <t>Logistic slope of ORP switching in fermentation of PAO</t>
  </si>
  <si>
    <t>Half-inhibition of maximum PP content of PAOs</t>
  </si>
  <si>
    <t>Half-inhibition of maximum PHA content of PAOs</t>
  </si>
  <si>
    <t>Half-saturation of Mg (counter-ion in PP storage) for PAOs (AS)</t>
  </si>
  <si>
    <t>Half-saturation of K (counter-ion in PP storage) for PAOs (AS)</t>
  </si>
  <si>
    <t>Half-saturation of Ca (counter-ion in PP storage) for PAOs (AS)</t>
  </si>
  <si>
    <t>Half-saturation of PP (nutrient) for PAOs under PO4 limitation (AS)</t>
  </si>
  <si>
    <r>
      <t>Half-inhibition of PO</t>
    </r>
    <r>
      <rPr>
        <vertAlign val="subscript"/>
        <sz val="11"/>
        <color rgb="FF000000"/>
        <rFont val="Calibri"/>
        <family val="2"/>
        <scheme val="minor"/>
      </rPr>
      <t>4</t>
    </r>
    <r>
      <rPr>
        <sz val="11"/>
        <color rgb="FF000000"/>
        <rFont val="Calibri"/>
        <family val="2"/>
        <charset val="238"/>
        <scheme val="minor"/>
      </rPr>
      <t xml:space="preserve"> for PAOs under PO4 limitation (AS)</t>
    </r>
  </si>
  <si>
    <t>Logistic slope of ORP switching of GAOs</t>
  </si>
  <si>
    <r>
      <t>Ki</t>
    </r>
    <r>
      <rPr>
        <vertAlign val="subscript"/>
        <sz val="11"/>
        <color indexed="8"/>
        <rFont val="Calibri"/>
        <family val="2"/>
        <scheme val="minor"/>
      </rPr>
      <t>HNO2,AOB,pH,AS</t>
    </r>
  </si>
  <si>
    <t>Decay rate of AOBs</t>
  </si>
  <si>
    <r>
      <t>Half-saturation of NH</t>
    </r>
    <r>
      <rPr>
        <vertAlign val="subscript"/>
        <sz val="11"/>
        <color rgb="FF000000"/>
        <rFont val="Calibri"/>
        <family val="2"/>
        <scheme val="minor"/>
      </rPr>
      <t>x</t>
    </r>
    <r>
      <rPr>
        <sz val="11"/>
        <color rgb="FF000000"/>
        <rFont val="Calibri"/>
        <family val="2"/>
        <charset val="238"/>
        <scheme val="minor"/>
      </rPr>
      <t xml:space="preserve"> for AOBs (AS)</t>
    </r>
  </si>
  <si>
    <t>Half-saturation of bicarbonate for AOBs (Sidestream)</t>
  </si>
  <si>
    <t>Half-saturation of bicarbonate for AOBs (AS)</t>
  </si>
  <si>
    <r>
      <t>Half-saturation of O</t>
    </r>
    <r>
      <rPr>
        <vertAlign val="subscript"/>
        <sz val="11"/>
        <color rgb="FF000000"/>
        <rFont val="Calibri"/>
        <family val="2"/>
        <scheme val="minor"/>
      </rPr>
      <t>2</t>
    </r>
    <r>
      <rPr>
        <sz val="11"/>
        <color rgb="FF000000"/>
        <rFont val="Calibri"/>
        <family val="2"/>
        <charset val="238"/>
        <scheme val="minor"/>
      </rPr>
      <t xml:space="preserve"> for AOBs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</si>
  <si>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AOBs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</si>
  <si>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 (AS)</t>
    </r>
  </si>
  <si>
    <t>Half-inhibition of nitrous acid for AOBs (AS)</t>
  </si>
  <si>
    <t>Decay rate of NOBs</t>
  </si>
  <si>
    <r>
      <t>Half-saturation of NO</t>
    </r>
    <r>
      <rPr>
        <vertAlign val="subscript"/>
        <sz val="11"/>
        <color rgb="FF000000"/>
        <rFont val="Calibri"/>
        <family val="2"/>
        <scheme val="minor"/>
      </rPr>
      <t>2</t>
    </r>
    <r>
      <rPr>
        <sz val="11"/>
        <color rgb="FF000000"/>
        <rFont val="Calibri"/>
        <family val="2"/>
        <charset val="238"/>
        <scheme val="minor"/>
      </rPr>
      <t xml:space="preserve"> for NOBs (AS)</t>
    </r>
  </si>
  <si>
    <t>Half-saturation of bicarbonate for NOBs (AS)</t>
  </si>
  <si>
    <r>
      <t>Half-saturation of O</t>
    </r>
    <r>
      <rPr>
        <vertAlign val="subscript"/>
        <sz val="11"/>
        <color rgb="FF000000"/>
        <rFont val="Calibri"/>
        <family val="2"/>
        <scheme val="minor"/>
      </rPr>
      <t>2</t>
    </r>
    <r>
      <rPr>
        <sz val="11"/>
        <color rgb="FF000000"/>
        <rFont val="Calibri"/>
        <family val="2"/>
        <charset val="238"/>
        <scheme val="minor"/>
      </rPr>
      <t xml:space="preserve"> for NOBs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</si>
  <si>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NOBs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</si>
  <si>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 (AS)</t>
    </r>
  </si>
  <si>
    <r>
      <t>Half-inhibition of NH</t>
    </r>
    <r>
      <rPr>
        <vertAlign val="subscript"/>
        <sz val="11"/>
        <color rgb="FF000000"/>
        <rFont val="Calibri"/>
        <family val="2"/>
        <scheme val="minor"/>
      </rPr>
      <t>3</t>
    </r>
    <r>
      <rPr>
        <sz val="11"/>
        <color rgb="FF000000"/>
        <rFont val="Calibri"/>
        <family val="2"/>
        <charset val="238"/>
        <scheme val="minor"/>
      </rPr>
      <t xml:space="preserve"> for NOBs (AS)</t>
    </r>
  </si>
  <si>
    <r>
      <t>Ki</t>
    </r>
    <r>
      <rPr>
        <vertAlign val="subscript"/>
        <sz val="11"/>
        <color indexed="8"/>
        <rFont val="Calibri"/>
        <family val="2"/>
        <scheme val="minor"/>
      </rPr>
      <t>HNO2,AMX,pH,AS</t>
    </r>
  </si>
  <si>
    <t>Maximum specific growth rate of AMX</t>
  </si>
  <si>
    <t>Decay rate of AMXs</t>
  </si>
  <si>
    <r>
      <t>Half-saturation of NH</t>
    </r>
    <r>
      <rPr>
        <vertAlign val="subscript"/>
        <sz val="11"/>
        <color rgb="FF000000"/>
        <rFont val="Calibri"/>
        <family val="2"/>
        <scheme val="minor"/>
      </rPr>
      <t>x</t>
    </r>
    <r>
      <rPr>
        <sz val="11"/>
        <color rgb="FF000000"/>
        <rFont val="Calibri"/>
        <family val="2"/>
        <charset val="238"/>
        <scheme val="minor"/>
      </rPr>
      <t xml:space="preserve"> for AMX</t>
    </r>
  </si>
  <si>
    <r>
      <t>Half-saturation of N</t>
    </r>
    <r>
      <rPr>
        <vertAlign val="subscript"/>
        <sz val="11"/>
        <color rgb="FF000000"/>
        <rFont val="Calibri"/>
        <family val="2"/>
        <scheme val="minor"/>
      </rPr>
      <t>O2</t>
    </r>
    <r>
      <rPr>
        <sz val="11"/>
        <color rgb="FF000000"/>
        <rFont val="Calibri"/>
        <family val="2"/>
        <charset val="238"/>
        <scheme val="minor"/>
      </rPr>
      <t xml:space="preserve"> for AMX</t>
    </r>
  </si>
  <si>
    <t>Half-saturation of bicarbonate for AMX</t>
  </si>
  <si>
    <r>
      <t>Half-saturation of NO</t>
    </r>
    <r>
      <rPr>
        <vertAlign val="subscript"/>
        <sz val="11"/>
        <color rgb="FF000000"/>
        <rFont val="Calibri"/>
        <family val="2"/>
        <scheme val="minor"/>
      </rPr>
      <t>x</t>
    </r>
    <r>
      <rPr>
        <sz val="11"/>
        <color rgb="FF000000"/>
        <rFont val="Calibri"/>
        <family val="2"/>
        <charset val="238"/>
        <scheme val="minor"/>
      </rPr>
      <t xml:space="preserve"> for AMX</t>
    </r>
  </si>
  <si>
    <t>Half-inhibition of nitrous acid for AMX</t>
  </si>
  <si>
    <r>
      <t>Ki</t>
    </r>
    <r>
      <rPr>
        <vertAlign val="subscript"/>
        <sz val="11"/>
        <rFont val="Calibri"/>
        <family val="2"/>
        <scheme val="minor"/>
      </rPr>
      <t>VFA,AMETO,AS</t>
    </r>
  </si>
  <si>
    <t>Decay rate of AMETOs</t>
  </si>
  <si>
    <t>Half-saturation of VFA for AMETOs (AS)</t>
  </si>
  <si>
    <t>Haldane inhibition of VFA for AMETOs (AS)</t>
  </si>
  <si>
    <r>
      <t>Half-saturation of NO</t>
    </r>
    <r>
      <rPr>
        <vertAlign val="subscript"/>
        <sz val="11"/>
        <color rgb="FF000000"/>
        <rFont val="Calibri"/>
        <family val="2"/>
        <scheme val="minor"/>
      </rPr>
      <t>x</t>
    </r>
    <r>
      <rPr>
        <sz val="11"/>
        <color rgb="FF000000"/>
        <rFont val="Calibri"/>
        <family val="2"/>
        <charset val="238"/>
        <scheme val="minor"/>
      </rPr>
      <t xml:space="preserve"> for AMETOs (AS)</t>
    </r>
  </si>
  <si>
    <t>pH inhibition low value for AMETOs</t>
  </si>
  <si>
    <t>pH inhibition high value for AMETOs</t>
  </si>
  <si>
    <t>Decay rate of HMETOs</t>
  </si>
  <si>
    <r>
      <t>Half-saturation of H</t>
    </r>
    <r>
      <rPr>
        <vertAlign val="subscript"/>
        <sz val="11"/>
        <color rgb="FF000000"/>
        <rFont val="Calibri"/>
        <family val="2"/>
        <scheme val="minor"/>
      </rPr>
      <t>2</t>
    </r>
    <r>
      <rPr>
        <sz val="11"/>
        <color rgb="FF000000"/>
        <rFont val="Calibri"/>
        <family val="2"/>
        <charset val="238"/>
        <scheme val="minor"/>
      </rPr>
      <t xml:space="preserve"> for HMETOs (AS)</t>
    </r>
  </si>
  <si>
    <r>
      <t>Half-saturation of NO</t>
    </r>
    <r>
      <rPr>
        <vertAlign val="subscript"/>
        <sz val="11"/>
        <color rgb="FF000000"/>
        <rFont val="Calibri"/>
        <family val="2"/>
        <scheme val="minor"/>
      </rPr>
      <t>x</t>
    </r>
    <r>
      <rPr>
        <sz val="11"/>
        <color rgb="FF000000"/>
        <rFont val="Calibri"/>
        <family val="2"/>
        <charset val="238"/>
        <scheme val="minor"/>
      </rPr>
      <t xml:space="preserve"> for HMETOs (AS)</t>
    </r>
  </si>
  <si>
    <t>pH inhibition low value for HMETOs</t>
  </si>
  <si>
    <t>pH inhibition high value for HMETOs</t>
  </si>
  <si>
    <r>
      <t>Rate of CaCO</t>
    </r>
    <r>
      <rPr>
        <vertAlign val="subscript"/>
        <sz val="11"/>
        <color rgb="FF000000"/>
        <rFont val="Calibri"/>
        <family val="2"/>
        <scheme val="minor"/>
      </rPr>
      <t>3</t>
    </r>
    <r>
      <rPr>
        <sz val="11"/>
        <color rgb="FF000000"/>
        <rFont val="Calibri"/>
        <family val="2"/>
        <charset val="238"/>
        <scheme val="minor"/>
      </rPr>
      <t xml:space="preserve"> precipitation</t>
    </r>
  </si>
  <si>
    <r>
      <t>Rate of CaCO</t>
    </r>
    <r>
      <rPr>
        <vertAlign val="subscript"/>
        <sz val="11"/>
        <color rgb="FF000000"/>
        <rFont val="Calibri"/>
        <family val="2"/>
        <scheme val="minor"/>
      </rPr>
      <t>3</t>
    </r>
    <r>
      <rPr>
        <sz val="11"/>
        <color rgb="FF000000"/>
        <rFont val="Calibri"/>
        <family val="2"/>
        <charset val="238"/>
        <scheme val="minor"/>
      </rPr>
      <t xml:space="preserve"> dissolution</t>
    </r>
  </si>
  <si>
    <t>Rate of struvite precipitation</t>
  </si>
  <si>
    <t>Rate of struvite dissolution</t>
  </si>
  <si>
    <t>Rate of ACP precipitation</t>
  </si>
  <si>
    <t>Rate of ACP dissolution</t>
  </si>
  <si>
    <t>Rate of vivianite precipitation</t>
  </si>
  <si>
    <t>Rate of vivianite dissolution</t>
  </si>
  <si>
    <t>Half-saturation of struvite redissolution</t>
  </si>
  <si>
    <t>Half-saturation of ACP redissolution</t>
  </si>
  <si>
    <r>
      <t>Half-saturation of CaCO</t>
    </r>
    <r>
      <rPr>
        <vertAlign val="subscript"/>
        <sz val="11"/>
        <color rgb="FF000000"/>
        <rFont val="Calibri"/>
        <family val="2"/>
        <scheme val="minor"/>
      </rPr>
      <t>3</t>
    </r>
    <r>
      <rPr>
        <sz val="11"/>
        <color rgb="FF000000"/>
        <rFont val="Calibri"/>
        <family val="2"/>
        <charset val="238"/>
        <scheme val="minor"/>
      </rPr>
      <t xml:space="preserve"> redissolution</t>
    </r>
  </si>
  <si>
    <t>Half-saturation of vivianite redissolution</t>
  </si>
  <si>
    <r>
      <t>q</t>
    </r>
    <r>
      <rPr>
        <vertAlign val="subscript"/>
        <sz val="11"/>
        <color indexed="8"/>
        <rFont val="Calibri"/>
        <family val="2"/>
        <scheme val="minor"/>
      </rPr>
      <t>Fe2,OX</t>
    </r>
  </si>
  <si>
    <r>
      <t>Rate of X</t>
    </r>
    <r>
      <rPr>
        <vertAlign val="subscript"/>
        <sz val="11"/>
        <color rgb="FF000000"/>
        <rFont val="Calibri"/>
        <family val="2"/>
        <scheme val="minor"/>
      </rPr>
      <t>HFO,H</t>
    </r>
    <r>
      <rPr>
        <sz val="11"/>
        <color rgb="FF000000"/>
        <rFont val="Calibri"/>
        <family val="2"/>
        <charset val="238"/>
        <scheme val="minor"/>
      </rPr>
      <t xml:space="preserve"> aging</t>
    </r>
  </si>
  <si>
    <r>
      <t>Rate of X</t>
    </r>
    <r>
      <rPr>
        <vertAlign val="subscript"/>
        <sz val="11"/>
        <color rgb="FF000000"/>
        <rFont val="Calibri"/>
        <family val="2"/>
        <scheme val="minor"/>
      </rPr>
      <t>HFO,L</t>
    </r>
    <r>
      <rPr>
        <sz val="11"/>
        <color rgb="FF000000"/>
        <rFont val="Calibri"/>
        <family val="2"/>
        <charset val="238"/>
        <scheme val="minor"/>
      </rPr>
      <t xml:space="preserve"> aging</t>
    </r>
  </si>
  <si>
    <t>Rate of P binding and coprecipitation on XHFO,H</t>
  </si>
  <si>
    <t>Rate of P binding on XHFO,L</t>
  </si>
  <si>
    <t>Rate of HFO reduction with organics</t>
  </si>
  <si>
    <r>
      <t>Rate of Fe</t>
    </r>
    <r>
      <rPr>
        <vertAlign val="subscript"/>
        <sz val="11"/>
        <color rgb="FF000000"/>
        <rFont val="Calibri"/>
        <family val="2"/>
        <scheme val="minor"/>
      </rPr>
      <t>2</t>
    </r>
    <r>
      <rPr>
        <sz val="11"/>
        <color rgb="FF000000"/>
        <rFont val="Calibri"/>
        <family val="2"/>
        <charset val="238"/>
        <scheme val="minor"/>
      </rPr>
      <t xml:space="preserve"> oxidation</t>
    </r>
  </si>
  <si>
    <r>
      <t>Half-inhibition of PO</t>
    </r>
    <r>
      <rPr>
        <vertAlign val="subscript"/>
        <sz val="11"/>
        <color rgb="FF000000"/>
        <rFont val="Calibri"/>
        <family val="2"/>
        <scheme val="minor"/>
      </rPr>
      <t>4</t>
    </r>
    <r>
      <rPr>
        <sz val="11"/>
        <color rgb="FF000000"/>
        <rFont val="Calibri"/>
        <family val="2"/>
        <charset val="238"/>
        <scheme val="minor"/>
      </rPr>
      <t xml:space="preserve"> in HFO redissolution</t>
    </r>
  </si>
  <si>
    <r>
      <t>Half-saturation of PO</t>
    </r>
    <r>
      <rPr>
        <vertAlign val="subscript"/>
        <sz val="11"/>
        <color rgb="FF000000"/>
        <rFont val="Calibri"/>
        <family val="2"/>
        <scheme val="minor"/>
      </rPr>
      <t>4</t>
    </r>
    <r>
      <rPr>
        <sz val="11"/>
        <color rgb="FF000000"/>
        <rFont val="Calibri"/>
        <family val="2"/>
        <charset val="238"/>
        <scheme val="minor"/>
      </rPr>
      <t xml:space="preserve"> in binding on HFO</t>
    </r>
  </si>
  <si>
    <r>
      <t>Half-saturation of NH</t>
    </r>
    <r>
      <rPr>
        <vertAlign val="subscript"/>
        <sz val="11"/>
        <color rgb="FF000000"/>
        <rFont val="Calibri"/>
        <family val="2"/>
        <scheme val="minor"/>
      </rPr>
      <t>x</t>
    </r>
    <r>
      <rPr>
        <sz val="11"/>
        <color rgb="FF000000"/>
        <rFont val="Calibri"/>
        <family val="2"/>
        <charset val="238"/>
        <scheme val="minor"/>
      </rPr>
      <t xml:space="preserve"> as nutrient for biomasses (AS)</t>
    </r>
  </si>
  <si>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 (AS)</t>
    </r>
  </si>
  <si>
    <r>
      <t>Half-saturation of CO</t>
    </r>
    <r>
      <rPr>
        <vertAlign val="subscript"/>
        <sz val="11"/>
        <color rgb="FF000000"/>
        <rFont val="Calibri"/>
        <family val="2"/>
        <scheme val="minor"/>
      </rPr>
      <t>2</t>
    </r>
    <r>
      <rPr>
        <sz val="11"/>
        <color rgb="FF000000"/>
        <rFont val="Calibri"/>
        <family val="2"/>
        <charset val="238"/>
        <scheme val="minor"/>
      </rPr>
      <t xml:space="preserve"> for biomasses (except NITOs)</t>
    </r>
  </si>
  <si>
    <t>Half-saturation of strong cations (as Na+)</t>
  </si>
  <si>
    <t>Half-saturation of strong anions (as Cl-)</t>
  </si>
  <si>
    <t>Reduction factor for anoxic decay</t>
  </si>
  <si>
    <t>Reduction factor for anaerobic decay</t>
  </si>
  <si>
    <t>Reduction factor for anoxic hydrolysis</t>
  </si>
  <si>
    <t>Reduction factor for anaerobic hydrolysis</t>
  </si>
  <si>
    <t>Toxicity factor of anaerobes under anoxic conditions</t>
  </si>
  <si>
    <t>Toxicity factor of anaerobes under aerobic conditions</t>
  </si>
  <si>
    <t>Toxicity factor of aerobes under anaerobic conditions (maximum)</t>
  </si>
  <si>
    <t>pH inhibition low value</t>
  </si>
  <si>
    <t>pH inhibition high value</t>
  </si>
  <si>
    <r>
      <t>Ki</t>
    </r>
    <r>
      <rPr>
        <vertAlign val="subscript"/>
        <sz val="11"/>
        <color indexed="8"/>
        <rFont val="Calibri"/>
        <family val="2"/>
        <scheme val="minor"/>
      </rPr>
      <t>NHx,ASSIM,AS</t>
    </r>
  </si>
  <si>
    <t>Rate of flocculation</t>
  </si>
  <si>
    <t>Half-saturation of particulates in hydrolysis (AS)</t>
  </si>
  <si>
    <t>Rate of ammonification</t>
  </si>
  <si>
    <t>Rate of soluble biodegradable organic P conversion</t>
  </si>
  <si>
    <t>Rate of endogenous decay products conversion</t>
  </si>
  <si>
    <t>Rate of assimilative nutrient production</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</si>
  <si>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 (AS)</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</si>
  <si>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 (AS)</t>
    </r>
  </si>
  <si>
    <r>
      <t>θ</t>
    </r>
    <r>
      <rPr>
        <vertAlign val="subscript"/>
        <sz val="11"/>
        <color indexed="8"/>
        <rFont val="Calibri"/>
        <family val="2"/>
        <scheme val="minor"/>
      </rPr>
      <t>FERM,PAO</t>
    </r>
  </si>
  <si>
    <t>Arrhenius coefficient for fermentation (PAO)</t>
  </si>
  <si>
    <t>Diffusion factor for half-saturation coefficients</t>
  </si>
  <si>
    <t>Yield of OHOs on VFA under aerobic conditions</t>
  </si>
  <si>
    <t>Yield of OHOs on VFA under anoxic conditions</t>
  </si>
  <si>
    <t>Yield of OHOs on readily biodegradable substrate under aerobic conditions</t>
  </si>
  <si>
    <t>Yield of OHOs on readily biodegradable substrate under anoxic conditions</t>
  </si>
  <si>
    <t>Yield of OHOs on readily biodegradable substrate under anaerobic conditions</t>
  </si>
  <si>
    <t>Yield of H2 production in fermentation with high VFA concentration (OHO)</t>
  </si>
  <si>
    <t>Yield of H2 production in fermentation with low VFA concentration (OHO)</t>
  </si>
  <si>
    <t>Yield of OHOs on methanol under aerobic conditions</t>
  </si>
  <si>
    <t>Yield of MEOLOs on methanol</t>
  </si>
  <si>
    <t>Ratio of P released per VFA stored</t>
  </si>
  <si>
    <t>Yield of AMETOs on VFA</t>
  </si>
  <si>
    <r>
      <t>Yield of HMETOs on H</t>
    </r>
    <r>
      <rPr>
        <vertAlign val="subscript"/>
        <sz val="11"/>
        <color rgb="FF000000"/>
        <rFont val="Calibri"/>
        <family val="2"/>
        <scheme val="minor"/>
      </rPr>
      <t>2</t>
    </r>
  </si>
  <si>
    <r>
      <t>Yield of AOBs on NH</t>
    </r>
    <r>
      <rPr>
        <vertAlign val="subscript"/>
        <sz val="11"/>
        <color rgb="FF000000"/>
        <rFont val="Calibri"/>
        <family val="2"/>
        <scheme val="minor"/>
      </rPr>
      <t>x</t>
    </r>
  </si>
  <si>
    <r>
      <t>Yield of NOBs on NO</t>
    </r>
    <r>
      <rPr>
        <vertAlign val="subscript"/>
        <sz val="11"/>
        <color rgb="FF000000"/>
        <rFont val="Calibri"/>
        <family val="2"/>
        <scheme val="minor"/>
      </rPr>
      <t>2</t>
    </r>
  </si>
  <si>
    <r>
      <t>Yield of AMX on NO</t>
    </r>
    <r>
      <rPr>
        <vertAlign val="subscript"/>
        <sz val="11"/>
        <color rgb="FF000000"/>
        <rFont val="Calibri"/>
        <family val="2"/>
        <scheme val="minor"/>
      </rPr>
      <t>2</t>
    </r>
  </si>
  <si>
    <r>
      <t>Yield of AMX on NO</t>
    </r>
    <r>
      <rPr>
        <vertAlign val="subscript"/>
        <sz val="11"/>
        <color rgb="FF000000"/>
        <rFont val="Calibri"/>
        <family val="2"/>
        <scheme val="minor"/>
      </rPr>
      <t>3</t>
    </r>
  </si>
  <si>
    <r>
      <t>i</t>
    </r>
    <r>
      <rPr>
        <vertAlign val="subscript"/>
        <sz val="11"/>
        <rFont val="Calibri"/>
        <family val="2"/>
        <scheme val="minor"/>
      </rPr>
      <t>CV,XB</t>
    </r>
  </si>
  <si>
    <r>
      <t>i</t>
    </r>
    <r>
      <rPr>
        <vertAlign val="subscript"/>
        <sz val="11"/>
        <rFont val="Calibri"/>
        <family val="2"/>
        <scheme val="minor"/>
      </rPr>
      <t>CV,XU</t>
    </r>
  </si>
  <si>
    <r>
      <t>i</t>
    </r>
    <r>
      <rPr>
        <vertAlign val="subscript"/>
        <sz val="11"/>
        <rFont val="Calibri"/>
        <family val="2"/>
        <scheme val="minor"/>
      </rPr>
      <t>CV,XE</t>
    </r>
  </si>
  <si>
    <t>Fraction of endogenous products produced in biomass decay</t>
  </si>
  <si>
    <t>N content of colloidal biodegradable substrate</t>
  </si>
  <si>
    <t>N content of colloidal unbiodegradable organics</t>
  </si>
  <si>
    <t>N content of soluble unbiodegradable organics</t>
  </si>
  <si>
    <t>N content of struvite</t>
  </si>
  <si>
    <t>P content of colloidal biodegradable substrate</t>
  </si>
  <si>
    <t>P content of colloidal unbiodegradable organics</t>
  </si>
  <si>
    <t>P content of soluble unbiodegradable organics</t>
  </si>
  <si>
    <t>P content of struvite</t>
  </si>
  <si>
    <t>P content of ACP</t>
  </si>
  <si>
    <t>P content of vivianite</t>
  </si>
  <si>
    <t>COD of biomass in volatile solids</t>
  </si>
  <si>
    <t>COD of biodegradable substrate in volatile solids</t>
  </si>
  <si>
    <t>COD of particulate unbiodegradable organics in volatile solids</t>
  </si>
  <si>
    <t>COD of VFA in volatile solids</t>
  </si>
  <si>
    <t>COD of readily biodegradable substrate in volatile solids</t>
  </si>
  <si>
    <t>COD of soluble unbiodegradable organics in volatile solids</t>
  </si>
  <si>
    <t>COD of colloidal biodegradable substrate in volatile solids</t>
  </si>
  <si>
    <t>COD of colloidal unbiodegradable organics in volatile solids</t>
  </si>
  <si>
    <t>COD of PHA in volatile solids</t>
  </si>
  <si>
    <t>COD of endogenous products in volatile solids</t>
  </si>
  <si>
    <t>Inorganic carbon content of biomass</t>
  </si>
  <si>
    <r>
      <t>Inorganic carbon content of S</t>
    </r>
    <r>
      <rPr>
        <vertAlign val="subscript"/>
        <sz val="11"/>
        <color rgb="FF000000"/>
        <rFont val="Calibri"/>
        <family val="2"/>
        <scheme val="minor"/>
      </rPr>
      <t>B</t>
    </r>
    <r>
      <rPr>
        <sz val="11"/>
        <color rgb="FF000000"/>
        <rFont val="Calibri"/>
        <family val="2"/>
        <charset val="238"/>
        <scheme val="minor"/>
      </rPr>
      <t xml:space="preserve"> and S</t>
    </r>
    <r>
      <rPr>
        <vertAlign val="subscript"/>
        <sz val="11"/>
        <color rgb="FF000000"/>
        <rFont val="Calibri"/>
        <family val="2"/>
        <scheme val="minor"/>
      </rPr>
      <t>U</t>
    </r>
  </si>
  <si>
    <t>Inorganic carbon content of methanol</t>
  </si>
  <si>
    <t>Inorganic carbon content of CH4</t>
  </si>
  <si>
    <t>Inorganic carbon content of VFA</t>
  </si>
  <si>
    <t>Inorganic carbon content of PHA</t>
  </si>
  <si>
    <t>Inorganic content of biomass</t>
  </si>
  <si>
    <t>Calcium content of PP</t>
  </si>
  <si>
    <t>Magnesium content of PP</t>
  </si>
  <si>
    <t>Potassium content of PP</t>
  </si>
  <si>
    <t>Fraction of Na in NaCl</t>
  </si>
  <si>
    <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</si>
  <si>
    <r>
      <t>ratio</t>
    </r>
    <r>
      <rPr>
        <vertAlign val="subscript"/>
        <sz val="11"/>
        <rFont val="Calibri"/>
        <family val="2"/>
        <scheme val="minor"/>
      </rPr>
      <t>VSS,TSS</t>
    </r>
  </si>
  <si>
    <r>
      <t>T</t>
    </r>
    <r>
      <rPr>
        <vertAlign val="subscript"/>
        <sz val="11"/>
        <rFont val="Calibri"/>
        <family val="2"/>
        <scheme val="minor"/>
      </rPr>
      <t>COD</t>
    </r>
    <r>
      <rPr>
        <sz val="11"/>
        <rFont val="Calibri"/>
        <family val="2"/>
        <scheme val="minor"/>
      </rPr>
      <t xml:space="preserve"> + S</t>
    </r>
    <r>
      <rPr>
        <vertAlign val="subscript"/>
        <sz val="11"/>
        <rFont val="Calibri"/>
        <family val="2"/>
        <scheme val="minor"/>
      </rPr>
      <t>H2</t>
    </r>
    <r>
      <rPr>
        <sz val="11"/>
        <rFont val="Calibri"/>
        <family val="2"/>
        <scheme val="minor"/>
      </rPr>
      <t xml:space="preserve"> + S</t>
    </r>
    <r>
      <rPr>
        <vertAlign val="subscript"/>
        <sz val="11"/>
        <rFont val="Calibri"/>
        <family val="2"/>
        <scheme val="minor"/>
      </rPr>
      <t>CH4</t>
    </r>
    <r>
      <rPr>
        <sz val="11"/>
        <rFont val="Calibri"/>
        <family val="2"/>
        <scheme val="minor"/>
      </rPr>
      <t xml:space="preserve">  + EEQ</t>
    </r>
    <r>
      <rPr>
        <vertAlign val="subscript"/>
        <sz val="11"/>
        <rFont val="Calibri"/>
        <family val="2"/>
        <scheme val="minor"/>
      </rPr>
      <t>Fe2</t>
    </r>
    <r>
      <rPr>
        <sz val="11"/>
        <rFont val="Calibri"/>
        <family val="2"/>
        <scheme val="minor"/>
      </rPr>
      <t>*S</t>
    </r>
    <r>
      <rPr>
        <vertAlign val="subscript"/>
        <sz val="11"/>
        <rFont val="Calibri"/>
        <family val="2"/>
        <scheme val="minor"/>
      </rPr>
      <t>Fe2</t>
    </r>
    <r>
      <rPr>
        <sz val="11"/>
        <rFont val="Calibri"/>
        <family val="2"/>
        <scheme val="minor"/>
      </rPr>
      <t xml:space="preserve"> + (3*AM</t>
    </r>
    <r>
      <rPr>
        <vertAlign val="subscript"/>
        <sz val="11"/>
        <rFont val="Calibri"/>
        <family val="2"/>
        <scheme val="minor"/>
      </rPr>
      <t>Fe</t>
    </r>
    <r>
      <rPr>
        <sz val="11"/>
        <rFont val="Calibri"/>
        <family val="2"/>
        <scheme val="minor"/>
      </rPr>
      <t>/MM</t>
    </r>
    <r>
      <rPr>
        <vertAlign val="subscript"/>
        <sz val="11"/>
        <rFont val="Calibri"/>
        <family val="2"/>
        <scheme val="minor"/>
      </rPr>
      <t>Vivi</t>
    </r>
    <r>
      <rPr>
        <sz val="11"/>
        <rFont val="Calibri"/>
        <family val="2"/>
        <scheme val="minor"/>
      </rPr>
      <t>*EEQ</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 xml:space="preserve"> - EEQ</t>
    </r>
    <r>
      <rPr>
        <vertAlign val="subscript"/>
        <sz val="11"/>
        <rFont val="Calibri"/>
        <family val="2"/>
        <scheme val="minor"/>
      </rPr>
      <t>NO3</t>
    </r>
    <r>
      <rPr>
        <sz val="11"/>
        <rFont val="Calibri"/>
        <family val="2"/>
        <scheme val="minor"/>
      </rPr>
      <t>*S</t>
    </r>
    <r>
      <rPr>
        <vertAlign val="subscript"/>
        <sz val="11"/>
        <rFont val="Calibri"/>
        <family val="2"/>
        <scheme val="minor"/>
      </rPr>
      <t>NO3</t>
    </r>
    <r>
      <rPr>
        <sz val="11"/>
        <rFont val="Calibri"/>
        <family val="2"/>
        <scheme val="minor"/>
      </rPr>
      <t xml:space="preserve"> - EEQ</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 xml:space="preserve"> - EEQ</t>
    </r>
    <r>
      <rPr>
        <vertAlign val="subscript"/>
        <sz val="11"/>
        <rFont val="Calibri"/>
        <family val="2"/>
        <scheme val="minor"/>
      </rPr>
      <t>N2</t>
    </r>
    <r>
      <rPr>
        <sz val="11"/>
        <rFont val="Calibri"/>
        <family val="2"/>
        <scheme val="minor"/>
      </rPr>
      <t>*S</t>
    </r>
    <r>
      <rPr>
        <vertAlign val="subscript"/>
        <sz val="11"/>
        <rFont val="Calibri"/>
        <family val="2"/>
        <scheme val="minor"/>
      </rPr>
      <t>N2</t>
    </r>
    <r>
      <rPr>
        <sz val="11"/>
        <rFont val="Calibri"/>
        <family val="2"/>
        <scheme val="minor"/>
      </rPr>
      <t xml:space="preserve"> - S</t>
    </r>
    <r>
      <rPr>
        <vertAlign val="subscript"/>
        <sz val="11"/>
        <rFont val="Calibri"/>
        <family val="2"/>
        <scheme val="minor"/>
      </rPr>
      <t>O2</t>
    </r>
  </si>
  <si>
    <r>
      <t>Correction factor for mass transfer of N</t>
    </r>
    <r>
      <rPr>
        <vertAlign val="subscript"/>
        <sz val="11"/>
        <color rgb="FF000000"/>
        <rFont val="Calibri"/>
        <family val="2"/>
        <scheme val="minor"/>
      </rPr>
      <t>2</t>
    </r>
  </si>
  <si>
    <r>
      <t>Correction factor for mass transfer of CO</t>
    </r>
    <r>
      <rPr>
        <vertAlign val="subscript"/>
        <sz val="11"/>
        <color rgb="FF000000"/>
        <rFont val="Calibri"/>
        <family val="2"/>
        <scheme val="minor"/>
      </rPr>
      <t>2</t>
    </r>
  </si>
  <si>
    <r>
      <t>Correction factor for mass transfer of CH</t>
    </r>
    <r>
      <rPr>
        <vertAlign val="subscript"/>
        <sz val="11"/>
        <color rgb="FF000000"/>
        <rFont val="Calibri"/>
        <family val="2"/>
        <scheme val="minor"/>
      </rPr>
      <t>4</t>
    </r>
  </si>
  <si>
    <r>
      <t>Correction factor for mass transfer of H</t>
    </r>
    <r>
      <rPr>
        <vertAlign val="subscript"/>
        <sz val="11"/>
        <color rgb="FF000000"/>
        <rFont val="Calibri"/>
        <family val="2"/>
        <scheme val="minor"/>
      </rPr>
      <t>2</t>
    </r>
  </si>
  <si>
    <r>
      <t>Correction factor for mass transfer of NH</t>
    </r>
    <r>
      <rPr>
        <vertAlign val="subscript"/>
        <sz val="11"/>
        <color rgb="FF000000"/>
        <rFont val="Calibri"/>
        <family val="2"/>
        <scheme val="minor"/>
      </rPr>
      <t>3</t>
    </r>
  </si>
  <si>
    <t>COD of particulates</t>
  </si>
  <si>
    <t>Volatile suspended solids of biomasses</t>
  </si>
  <si>
    <t>Volatile ultimately degradable solids</t>
  </si>
  <si>
    <t>Total inorganic suspended solids (ISS)</t>
  </si>
  <si>
    <t>Total suspended solids (TSS)</t>
  </si>
  <si>
    <t>Filtered ultimate biochemical oxygen demand</t>
  </si>
  <si>
    <t>Filtered biochemical oxygen demand (5 days)</t>
  </si>
  <si>
    <t>Filtered chemical oxygen demand</t>
  </si>
  <si>
    <r>
      <t>Nitrate and nitrite (NO</t>
    </r>
    <r>
      <rPr>
        <vertAlign val="subscript"/>
        <sz val="11"/>
        <color rgb="FF000000"/>
        <rFont val="Calibri"/>
        <family val="2"/>
        <scheme val="minor"/>
      </rPr>
      <t>x</t>
    </r>
    <r>
      <rPr>
        <sz val="11"/>
        <color rgb="FF000000"/>
        <rFont val="Calibri"/>
        <family val="2"/>
        <charset val="238"/>
        <scheme val="minor"/>
      </rPr>
      <t>)</t>
    </r>
  </si>
  <si>
    <t>Total phosphorus in HFOs</t>
  </si>
  <si>
    <t>Rate expression of struvite precipitation (driving force)</t>
  </si>
  <si>
    <r>
      <t>If(PrecipDrivingForce</t>
    </r>
    <r>
      <rPr>
        <vertAlign val="subscript"/>
        <sz val="11"/>
        <color theme="1"/>
        <rFont val="Calibri"/>
        <family val="2"/>
        <scheme val="minor"/>
      </rPr>
      <t>STR</t>
    </r>
    <r>
      <rPr>
        <sz val="11"/>
        <color theme="1"/>
        <rFont val="Calibri"/>
        <family val="2"/>
        <scheme val="minor"/>
      </rPr>
      <t>&gt;0;q</t>
    </r>
    <r>
      <rPr>
        <vertAlign val="subscript"/>
        <sz val="11"/>
        <color theme="1"/>
        <rFont val="Calibri"/>
        <family val="2"/>
        <scheme val="minor"/>
      </rPr>
      <t>STR,PREC</t>
    </r>
    <r>
      <rPr>
        <sz val="11"/>
        <color theme="1"/>
        <rFont val="Calibri"/>
        <family val="2"/>
        <scheme val="minor"/>
      </rPr>
      <t>;q</t>
    </r>
    <r>
      <rPr>
        <vertAlign val="subscript"/>
        <sz val="11"/>
        <color theme="1"/>
        <rFont val="Calibri"/>
        <family val="2"/>
        <scheme val="minor"/>
      </rPr>
      <t>STR,DISS</t>
    </r>
    <r>
      <rPr>
        <sz val="11"/>
        <color theme="1"/>
        <rFont val="Calibri"/>
        <family val="2"/>
        <scheme val="minor"/>
      </rPr>
      <t>*Msat</t>
    </r>
    <r>
      <rPr>
        <vertAlign val="subscript"/>
        <sz val="11"/>
        <color theme="1"/>
        <rFont val="Calibri"/>
        <family val="2"/>
        <scheme val="minor"/>
      </rPr>
      <t>XSTR,KSTR,DISS</t>
    </r>
    <r>
      <rPr>
        <sz val="11"/>
        <color theme="1"/>
        <rFont val="Calibri"/>
        <family val="2"/>
        <scheme val="minor"/>
      </rPr>
      <t>)</t>
    </r>
  </si>
  <si>
    <t>Rate expression of ACP precipitation (driving force)</t>
  </si>
  <si>
    <r>
      <t>If(PrecipDrivingForce</t>
    </r>
    <r>
      <rPr>
        <vertAlign val="subscript"/>
        <sz val="11"/>
        <color theme="1"/>
        <rFont val="Calibri"/>
        <family val="2"/>
        <scheme val="minor"/>
      </rPr>
      <t>ACP</t>
    </r>
    <r>
      <rPr>
        <sz val="11"/>
        <color theme="1"/>
        <rFont val="Calibri"/>
        <family val="2"/>
        <scheme val="minor"/>
      </rPr>
      <t>&gt;0;q</t>
    </r>
    <r>
      <rPr>
        <vertAlign val="subscript"/>
        <sz val="11"/>
        <color theme="1"/>
        <rFont val="Calibri"/>
        <family val="2"/>
        <scheme val="minor"/>
      </rPr>
      <t>ACP,PREC</t>
    </r>
    <r>
      <rPr>
        <sz val="11"/>
        <color theme="1"/>
        <rFont val="Calibri"/>
        <family val="2"/>
        <scheme val="minor"/>
      </rPr>
      <t>;-q</t>
    </r>
    <r>
      <rPr>
        <vertAlign val="subscript"/>
        <sz val="11"/>
        <color theme="1"/>
        <rFont val="Calibri"/>
        <family val="2"/>
        <scheme val="minor"/>
      </rPr>
      <t>ACP,DISS</t>
    </r>
    <r>
      <rPr>
        <sz val="11"/>
        <color theme="1"/>
        <rFont val="Calibri"/>
        <family val="2"/>
        <scheme val="minor"/>
      </rPr>
      <t>*Msat</t>
    </r>
    <r>
      <rPr>
        <vertAlign val="subscript"/>
        <sz val="11"/>
        <color theme="1"/>
        <rFont val="Calibri"/>
        <family val="2"/>
        <scheme val="minor"/>
      </rPr>
      <t>XACP,KACP,DISS</t>
    </r>
    <r>
      <rPr>
        <sz val="11"/>
        <color theme="1"/>
        <rFont val="Calibri"/>
        <family val="2"/>
        <scheme val="minor"/>
      </rPr>
      <t>)</t>
    </r>
  </si>
  <si>
    <r>
      <t>Rate expression of CaCO</t>
    </r>
    <r>
      <rPr>
        <vertAlign val="subscript"/>
        <sz val="11"/>
        <color rgb="FF000000"/>
        <rFont val="Calibri"/>
        <family val="2"/>
        <scheme val="minor"/>
      </rPr>
      <t>3</t>
    </r>
    <r>
      <rPr>
        <sz val="11"/>
        <color rgb="FF000000"/>
        <rFont val="Calibri"/>
        <family val="2"/>
        <charset val="238"/>
        <scheme val="minor"/>
      </rPr>
      <t xml:space="preserve"> precipitation (driving force)</t>
    </r>
  </si>
  <si>
    <r>
      <t>If(PrecipDrivingForce</t>
    </r>
    <r>
      <rPr>
        <vertAlign val="subscript"/>
        <sz val="11"/>
        <color theme="1"/>
        <rFont val="Calibri"/>
        <family val="2"/>
        <scheme val="minor"/>
      </rPr>
      <t>CaCO3</t>
    </r>
    <r>
      <rPr>
        <sz val="11"/>
        <color theme="1"/>
        <rFont val="Calibri"/>
        <family val="2"/>
        <scheme val="minor"/>
      </rPr>
      <t>&gt;0;q</t>
    </r>
    <r>
      <rPr>
        <vertAlign val="subscript"/>
        <sz val="11"/>
        <color theme="1"/>
        <rFont val="Calibri"/>
        <family val="2"/>
        <scheme val="minor"/>
      </rPr>
      <t>CaCO3,PREC</t>
    </r>
    <r>
      <rPr>
        <sz val="11"/>
        <color theme="1"/>
        <rFont val="Calibri"/>
        <family val="2"/>
        <scheme val="minor"/>
      </rPr>
      <t>;-q</t>
    </r>
    <r>
      <rPr>
        <vertAlign val="subscript"/>
        <sz val="11"/>
        <color theme="1"/>
        <rFont val="Calibri"/>
        <family val="2"/>
        <scheme val="minor"/>
      </rPr>
      <t>CaCO3,DISS</t>
    </r>
    <r>
      <rPr>
        <sz val="11"/>
        <color theme="1"/>
        <rFont val="Calibri"/>
        <family val="2"/>
        <scheme val="minor"/>
      </rPr>
      <t>*Msat</t>
    </r>
    <r>
      <rPr>
        <vertAlign val="subscript"/>
        <sz val="11"/>
        <color theme="1"/>
        <rFont val="Calibri"/>
        <family val="2"/>
        <scheme val="minor"/>
      </rPr>
      <t>XCaCO3,KCaCO3,DISS</t>
    </r>
    <r>
      <rPr>
        <sz val="11"/>
        <color theme="1"/>
        <rFont val="Calibri"/>
        <family val="2"/>
        <scheme val="minor"/>
      </rPr>
      <t>)</t>
    </r>
  </si>
  <si>
    <t>Rate expression of vivianite precipitation (driving force)</t>
  </si>
  <si>
    <r>
      <t>If(PrecipDrivingForce</t>
    </r>
    <r>
      <rPr>
        <vertAlign val="subscript"/>
        <sz val="11"/>
        <color theme="1"/>
        <rFont val="Calibri"/>
        <family val="2"/>
        <scheme val="minor"/>
      </rPr>
      <t>Vivi</t>
    </r>
    <r>
      <rPr>
        <sz val="11"/>
        <color theme="1"/>
        <rFont val="Calibri"/>
        <family val="2"/>
        <scheme val="minor"/>
      </rPr>
      <t>&gt;0;q</t>
    </r>
    <r>
      <rPr>
        <vertAlign val="subscript"/>
        <sz val="11"/>
        <color theme="1"/>
        <rFont val="Calibri"/>
        <family val="2"/>
        <scheme val="minor"/>
      </rPr>
      <t>Vivi,PREC</t>
    </r>
    <r>
      <rPr>
        <sz val="11"/>
        <color theme="1"/>
        <rFont val="Calibri"/>
        <family val="2"/>
        <scheme val="minor"/>
      </rPr>
      <t>;-q</t>
    </r>
    <r>
      <rPr>
        <vertAlign val="subscript"/>
        <sz val="11"/>
        <color theme="1"/>
        <rFont val="Calibri"/>
        <family val="2"/>
        <scheme val="minor"/>
      </rPr>
      <t>Vivi,DISS</t>
    </r>
    <r>
      <rPr>
        <sz val="11"/>
        <color theme="1"/>
        <rFont val="Calibri"/>
        <family val="2"/>
        <scheme val="minor"/>
      </rPr>
      <t>*Msat</t>
    </r>
    <r>
      <rPr>
        <vertAlign val="subscript"/>
        <sz val="11"/>
        <color theme="1"/>
        <rFont val="Calibri"/>
        <family val="2"/>
        <scheme val="minor"/>
      </rPr>
      <t>XVivi,KVivi,DISS</t>
    </r>
    <r>
      <rPr>
        <sz val="11"/>
        <color theme="1"/>
        <rFont val="Calibri"/>
        <family val="2"/>
        <scheme val="minor"/>
      </rPr>
      <t>)</t>
    </r>
  </si>
  <si>
    <t>N3UR</t>
  </si>
  <si>
    <t>N2UR</t>
  </si>
  <si>
    <t>Carbonaceous oxygen uptake rate (COUR)</t>
  </si>
  <si>
    <t>Nitrification oxygen uptake rate (NOUR)</t>
  </si>
  <si>
    <t>Toxicity factor of aerobes under anaerobic conditions (in digester)</t>
  </si>
  <si>
    <t>Toxicity factor of aerobes under anaerobic conditions (not in digester)</t>
  </si>
  <si>
    <r>
      <t>Half-saturation of NH</t>
    </r>
    <r>
      <rPr>
        <vertAlign val="subscript"/>
        <sz val="11"/>
        <color rgb="FF000000"/>
        <rFont val="Calibri"/>
        <family val="2"/>
        <scheme val="minor"/>
      </rPr>
      <t>x</t>
    </r>
    <r>
      <rPr>
        <sz val="11"/>
        <color rgb="FF000000"/>
        <rFont val="Calibri"/>
        <family val="2"/>
        <charset val="238"/>
        <scheme val="minor"/>
      </rPr>
      <t xml:space="preserve"> for AOBs</t>
    </r>
  </si>
  <si>
    <t>Half-saturation of bicarbonate for AOBs</t>
  </si>
  <si>
    <r>
      <t>Half-saturation of O</t>
    </r>
    <r>
      <rPr>
        <vertAlign val="subscript"/>
        <sz val="11"/>
        <color rgb="FF000000"/>
        <rFont val="Calibri"/>
        <family val="2"/>
        <scheme val="minor"/>
      </rPr>
      <t>2</t>
    </r>
    <r>
      <rPr>
        <sz val="11"/>
        <color rgb="FF000000"/>
        <rFont val="Calibri"/>
        <family val="2"/>
        <charset val="238"/>
        <scheme val="minor"/>
      </rPr>
      <t xml:space="preserve"> for AOBs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</si>
  <si>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t>
    </r>
  </si>
  <si>
    <t>Half-inhibition of nitrous acid for AOBs</t>
  </si>
  <si>
    <r>
      <t>Ki</t>
    </r>
    <r>
      <rPr>
        <vertAlign val="subscript"/>
        <sz val="11"/>
        <rFont val="Calibri"/>
        <family val="2"/>
        <scheme val="minor"/>
      </rPr>
      <t>HNO2,AOB,pH</t>
    </r>
  </si>
  <si>
    <r>
      <t>Ki</t>
    </r>
    <r>
      <rPr>
        <vertAlign val="subscript"/>
        <sz val="11"/>
        <rFont val="Calibri"/>
        <family val="2"/>
      </rPr>
      <t>HNO2,AOB,pH,AS</t>
    </r>
  </si>
  <si>
    <r>
      <t>Ki</t>
    </r>
    <r>
      <rPr>
        <vertAlign val="subscript"/>
        <sz val="11"/>
        <rFont val="Calibri"/>
        <family val="2"/>
        <scheme val="minor"/>
      </rPr>
      <t>NH3,NOB,pH</t>
    </r>
  </si>
  <si>
    <r>
      <t>Half-inhibition of NH</t>
    </r>
    <r>
      <rPr>
        <vertAlign val="subscript"/>
        <sz val="11"/>
        <color rgb="FF000000"/>
        <rFont val="Calibri"/>
        <family val="2"/>
        <scheme val="minor"/>
      </rPr>
      <t>3</t>
    </r>
    <r>
      <rPr>
        <sz val="11"/>
        <color rgb="FF000000"/>
        <rFont val="Calibri"/>
        <family val="2"/>
        <charset val="238"/>
        <scheme val="minor"/>
      </rPr>
      <t xml:space="preserve"> for NOBs</t>
    </r>
  </si>
  <si>
    <r>
      <t>Ki</t>
    </r>
    <r>
      <rPr>
        <vertAlign val="subscript"/>
        <sz val="11"/>
        <rFont val="Calibri"/>
        <family val="2"/>
      </rPr>
      <t>NH3,NOB,pH,AS</t>
    </r>
  </si>
  <si>
    <r>
      <t>Half-saturation of NO</t>
    </r>
    <r>
      <rPr>
        <vertAlign val="subscript"/>
        <sz val="11"/>
        <color rgb="FF000000"/>
        <rFont val="Calibri"/>
        <family val="2"/>
        <scheme val="minor"/>
      </rPr>
      <t>2</t>
    </r>
    <r>
      <rPr>
        <sz val="11"/>
        <color rgb="FF000000"/>
        <rFont val="Calibri"/>
        <family val="2"/>
        <charset val="238"/>
        <scheme val="minor"/>
      </rPr>
      <t xml:space="preserve"> for NOBs</t>
    </r>
  </si>
  <si>
    <t>Half-saturation of bicarbonate for NOBs</t>
  </si>
  <si>
    <r>
      <t>Half-saturation of O</t>
    </r>
    <r>
      <rPr>
        <vertAlign val="subscript"/>
        <sz val="11"/>
        <color rgb="FF000000"/>
        <rFont val="Calibri"/>
        <family val="2"/>
        <scheme val="minor"/>
      </rPr>
      <t>2</t>
    </r>
    <r>
      <rPr>
        <sz val="11"/>
        <color rgb="FF000000"/>
        <rFont val="Calibri"/>
        <family val="2"/>
        <charset val="238"/>
        <scheme val="minor"/>
      </rPr>
      <t xml:space="preserve"> for NOBs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</si>
  <si>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t>
    </r>
  </si>
  <si>
    <t>Half-saturations for nitrite oxidizers (NOB)</t>
  </si>
  <si>
    <t>Half-saturations for anammox organisms (AMX)</t>
  </si>
  <si>
    <t>Half-saturations for ordinary heterotrophic organisms (OHO)</t>
  </si>
  <si>
    <t>Half-saturations for anoxic methanol utilizers (MEOLO)</t>
  </si>
  <si>
    <t>Half-saturation of readily biodegradable substrate for OHOs</t>
  </si>
  <si>
    <t>Half-saturation of VFA for OHOs</t>
  </si>
  <si>
    <r>
      <t>Half-saturation of O</t>
    </r>
    <r>
      <rPr>
        <vertAlign val="subscript"/>
        <sz val="11"/>
        <color rgb="FF000000"/>
        <rFont val="Calibri"/>
        <family val="2"/>
        <scheme val="minor"/>
      </rPr>
      <t>2</t>
    </r>
    <r>
      <rPr>
        <sz val="11"/>
        <color rgb="FF000000"/>
        <rFont val="Calibri"/>
        <family val="2"/>
        <charset val="238"/>
        <scheme val="minor"/>
      </rPr>
      <t xml:space="preserve"> for OHOs</t>
    </r>
  </si>
  <si>
    <t>Half-saturation of methanol for OHOs</t>
  </si>
  <si>
    <r>
      <t>Half-saturation of NO</t>
    </r>
    <r>
      <rPr>
        <vertAlign val="subscript"/>
        <sz val="11"/>
        <color rgb="FF000000"/>
        <rFont val="Calibri"/>
        <family val="2"/>
        <scheme val="minor"/>
      </rPr>
      <t>2</t>
    </r>
    <r>
      <rPr>
        <sz val="11"/>
        <color rgb="FF000000"/>
        <rFont val="Calibri"/>
        <family val="2"/>
        <charset val="238"/>
        <scheme val="minor"/>
      </rPr>
      <t xml:space="preserve"> for OHOs</t>
    </r>
  </si>
  <si>
    <r>
      <t>Half-saturation of NO</t>
    </r>
    <r>
      <rPr>
        <vertAlign val="subscript"/>
        <sz val="11"/>
        <color rgb="FF000000"/>
        <rFont val="Calibri"/>
        <family val="2"/>
        <scheme val="minor"/>
      </rPr>
      <t>3</t>
    </r>
    <r>
      <rPr>
        <sz val="11"/>
        <color rgb="FF000000"/>
        <rFont val="Calibri"/>
        <family val="2"/>
        <charset val="238"/>
        <scheme val="minor"/>
      </rPr>
      <t xml:space="preserve"> for OHOs</t>
    </r>
  </si>
  <si>
    <t>Half-saturation of readily biodegradable substrate in fermentation by OHOs</t>
  </si>
  <si>
    <t>Half-saturation of VFA in fermentation of OHOs (AS)</t>
  </si>
  <si>
    <t>Half-saturation of VFA in fermentation of OHOs</t>
  </si>
  <si>
    <t>Half-saturation of methanol for MEOLOs</t>
  </si>
  <si>
    <r>
      <t>Half-saturation of NO</t>
    </r>
    <r>
      <rPr>
        <vertAlign val="subscript"/>
        <sz val="11"/>
        <color rgb="FF000000"/>
        <rFont val="Calibri"/>
        <family val="2"/>
        <scheme val="minor"/>
      </rPr>
      <t>2</t>
    </r>
    <r>
      <rPr>
        <sz val="11"/>
        <color rgb="FF000000"/>
        <rFont val="Calibri"/>
        <family val="2"/>
        <charset val="238"/>
        <scheme val="minor"/>
      </rPr>
      <t xml:space="preserve"> for MEOLOs</t>
    </r>
  </si>
  <si>
    <r>
      <t>Half-saturation of NO</t>
    </r>
    <r>
      <rPr>
        <vertAlign val="subscript"/>
        <sz val="11"/>
        <color rgb="FF000000"/>
        <rFont val="Calibri"/>
        <family val="2"/>
        <scheme val="minor"/>
      </rPr>
      <t>3</t>
    </r>
    <r>
      <rPr>
        <sz val="11"/>
        <color rgb="FF000000"/>
        <rFont val="Calibri"/>
        <family val="2"/>
        <charset val="238"/>
        <scheme val="minor"/>
      </rPr>
      <t xml:space="preserve"> for MEOLOs</t>
    </r>
  </si>
  <si>
    <t>Half-saturation of PP for PAOs</t>
  </si>
  <si>
    <r>
      <t>Half-saturation of PO</t>
    </r>
    <r>
      <rPr>
        <vertAlign val="subscript"/>
        <sz val="11"/>
        <color rgb="FF000000"/>
        <rFont val="Calibri"/>
        <family val="2"/>
        <scheme val="minor"/>
      </rPr>
      <t>4</t>
    </r>
    <r>
      <rPr>
        <sz val="11"/>
        <color rgb="FF000000"/>
        <rFont val="Calibri"/>
        <family val="2"/>
        <charset val="238"/>
        <scheme val="minor"/>
      </rPr>
      <t xml:space="preserve"> for PAOs</t>
    </r>
  </si>
  <si>
    <t>Half-saturation of Mg (counter-ion in PP storage) for PAOs</t>
  </si>
  <si>
    <t>Half-saturation of K (counter-ion in PP storage) for PAOs</t>
  </si>
  <si>
    <t>Half-saturation of Ca (counter-ion in PP storage) for PAOs</t>
  </si>
  <si>
    <r>
      <t>Half-inhibition of PO</t>
    </r>
    <r>
      <rPr>
        <vertAlign val="subscript"/>
        <sz val="11"/>
        <color rgb="FF000000"/>
        <rFont val="Calibri"/>
        <family val="2"/>
        <scheme val="minor"/>
      </rPr>
      <t>4</t>
    </r>
    <r>
      <rPr>
        <sz val="11"/>
        <color rgb="FF000000"/>
        <rFont val="Calibri"/>
        <family val="2"/>
        <charset val="238"/>
        <scheme val="minor"/>
      </rPr>
      <t xml:space="preserve"> for PP use as nutrient for PAOs</t>
    </r>
  </si>
  <si>
    <r>
      <t>Ki</t>
    </r>
    <r>
      <rPr>
        <vertAlign val="subscript"/>
        <sz val="11"/>
        <rFont val="Calibri"/>
        <family val="2"/>
        <scheme val="minor"/>
      </rPr>
      <t>PP,PAO,max</t>
    </r>
  </si>
  <si>
    <r>
      <t>Ki</t>
    </r>
    <r>
      <rPr>
        <vertAlign val="subscript"/>
        <sz val="11"/>
        <rFont val="Calibri"/>
        <family val="2"/>
        <scheme val="minor"/>
      </rPr>
      <t>PHA,PAO,max</t>
    </r>
  </si>
  <si>
    <r>
      <t>Ki</t>
    </r>
    <r>
      <rPr>
        <vertAlign val="subscript"/>
        <sz val="11"/>
        <rFont val="Calibri"/>
        <family val="2"/>
        <scheme val="minor"/>
      </rPr>
      <t>PO4,lim</t>
    </r>
  </si>
  <si>
    <t>Half-saturations for acidoclastic methanogens (AMETO)</t>
  </si>
  <si>
    <t>Half-saturations for hydrogenotrophic methanogens (HMETO)</t>
  </si>
  <si>
    <t>Half-saturation of VFA for AMETOs</t>
  </si>
  <si>
    <t>Haldane inhibition of VFA for AMETOs</t>
  </si>
  <si>
    <r>
      <t>Half-saturation of NO</t>
    </r>
    <r>
      <rPr>
        <vertAlign val="subscript"/>
        <sz val="11"/>
        <color rgb="FF000000"/>
        <rFont val="Calibri"/>
        <family val="2"/>
        <scheme val="minor"/>
      </rPr>
      <t>x</t>
    </r>
    <r>
      <rPr>
        <sz val="11"/>
        <color rgb="FF000000"/>
        <rFont val="Calibri"/>
        <family val="2"/>
        <charset val="238"/>
        <scheme val="minor"/>
      </rPr>
      <t xml:space="preserve"> for AMETOs</t>
    </r>
  </si>
  <si>
    <r>
      <t>Ki</t>
    </r>
    <r>
      <rPr>
        <vertAlign val="subscript"/>
        <sz val="11"/>
        <rFont val="Calibri"/>
        <family val="2"/>
        <scheme val="minor"/>
      </rPr>
      <t>VFA,AMETO</t>
    </r>
  </si>
  <si>
    <r>
      <t>Half-saturation of H</t>
    </r>
    <r>
      <rPr>
        <vertAlign val="subscript"/>
        <sz val="11"/>
        <color rgb="FF000000"/>
        <rFont val="Calibri"/>
        <family val="2"/>
        <scheme val="minor"/>
      </rPr>
      <t>2</t>
    </r>
    <r>
      <rPr>
        <sz val="11"/>
        <color rgb="FF000000"/>
        <rFont val="Calibri"/>
        <family val="2"/>
        <charset val="238"/>
        <scheme val="minor"/>
      </rPr>
      <t xml:space="preserve"> for HMETOs</t>
    </r>
  </si>
  <si>
    <r>
      <t>Half-saturation of NO</t>
    </r>
    <r>
      <rPr>
        <vertAlign val="subscript"/>
        <sz val="11"/>
        <color rgb="FF000000"/>
        <rFont val="Calibri"/>
        <family val="2"/>
        <scheme val="minor"/>
      </rPr>
      <t>x</t>
    </r>
    <r>
      <rPr>
        <sz val="11"/>
        <color rgb="FF000000"/>
        <rFont val="Calibri"/>
        <family val="2"/>
        <charset val="238"/>
        <scheme val="minor"/>
      </rPr>
      <t xml:space="preserve"> for HMETOs</t>
    </r>
  </si>
  <si>
    <r>
      <t>Ki</t>
    </r>
    <r>
      <rPr>
        <vertAlign val="subscript"/>
        <sz val="11"/>
        <rFont val="Calibri"/>
        <family val="2"/>
        <scheme val="minor"/>
      </rPr>
      <t>NHx,ASSIM</t>
    </r>
  </si>
  <si>
    <r>
      <t>Ki</t>
    </r>
    <r>
      <rPr>
        <vertAlign val="subscript"/>
        <sz val="11"/>
        <rFont val="Calibri"/>
        <family val="2"/>
        <scheme val="minor"/>
      </rPr>
      <t>NHx,ASSIM,AS</t>
    </r>
  </si>
  <si>
    <t>Half-saturation of NHx as nutrient for biomasses</t>
  </si>
  <si>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t>
    </r>
  </si>
  <si>
    <t>Half-saturation of particulates in hydrolysis</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</si>
  <si>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</si>
  <si>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t>
    </r>
  </si>
  <si>
    <t>pH inhibition (Bell shaped)</t>
  </si>
  <si>
    <t>pH inhibition (Bell shaped) (AMETO)</t>
  </si>
  <si>
    <t>pH inhibition (Bell shaped) (HMETO)</t>
  </si>
  <si>
    <t>Inhibition term for nitrous acid (AOB)</t>
  </si>
  <si>
    <t>Logistic saturation term for bicarbonate (AOB)</t>
  </si>
  <si>
    <r>
      <t>Inhibition term for NH</t>
    </r>
    <r>
      <rPr>
        <vertAlign val="subscript"/>
        <sz val="11"/>
        <color rgb="FF000000"/>
        <rFont val="Calibri"/>
        <family val="2"/>
        <scheme val="minor"/>
      </rPr>
      <t>3</t>
    </r>
    <r>
      <rPr>
        <sz val="11"/>
        <color rgb="FF000000"/>
        <rFont val="Calibri"/>
        <family val="2"/>
        <charset val="238"/>
        <scheme val="minor"/>
      </rPr>
      <t xml:space="preserve"> (NOB)</t>
    </r>
  </si>
  <si>
    <t>Logistic saturation term for bicarbonate (NOB)</t>
  </si>
  <si>
    <t>Logistic saturation term for bicarbonate (AMX)</t>
  </si>
  <si>
    <t>Inhibition term for nitrous acid (AMX)</t>
  </si>
  <si>
    <r>
      <t>Minh([HNO</t>
    </r>
    <r>
      <rPr>
        <vertAlign val="subscript"/>
        <sz val="11"/>
        <rFont val="Calibri"/>
        <family val="2"/>
      </rPr>
      <t>2</t>
    </r>
    <r>
      <rPr>
        <sz val="11"/>
        <rFont val="Calibri"/>
        <family val="2"/>
      </rPr>
      <t>]; Ki</t>
    </r>
    <r>
      <rPr>
        <vertAlign val="subscript"/>
        <sz val="11"/>
        <rFont val="Calibri"/>
        <family val="2"/>
      </rPr>
      <t>HNO2,AMX,pH</t>
    </r>
    <r>
      <rPr>
        <sz val="11"/>
        <rFont val="Calibri"/>
        <family val="2"/>
      </rPr>
      <t>)</t>
    </r>
  </si>
  <si>
    <r>
      <t>Minh([NH</t>
    </r>
    <r>
      <rPr>
        <vertAlign val="subscript"/>
        <sz val="11"/>
        <rFont val="Calibri"/>
        <family val="2"/>
        <scheme val="minor"/>
      </rPr>
      <t>3</t>
    </r>
    <r>
      <rPr>
        <sz val="11"/>
        <rFont val="Calibri"/>
        <family val="2"/>
        <scheme val="minor"/>
      </rPr>
      <t>];Ki</t>
    </r>
    <r>
      <rPr>
        <vertAlign val="subscript"/>
        <sz val="11"/>
        <rFont val="Calibri"/>
        <family val="2"/>
        <scheme val="minor"/>
      </rPr>
      <t>NH3,NOB,pH</t>
    </r>
    <r>
      <rPr>
        <sz val="11"/>
        <rFont val="Calibri"/>
        <family val="2"/>
        <scheme val="minor"/>
      </rPr>
      <t>)</t>
    </r>
  </si>
  <si>
    <r>
      <t>Minh([HNO</t>
    </r>
    <r>
      <rPr>
        <vertAlign val="subscript"/>
        <sz val="11"/>
        <rFont val="Calibri"/>
        <family val="2"/>
        <scheme val="minor"/>
      </rPr>
      <t>2</t>
    </r>
    <r>
      <rPr>
        <sz val="11"/>
        <rFont val="Calibri"/>
        <family val="2"/>
        <scheme val="minor"/>
      </rPr>
      <t>]; Ki</t>
    </r>
    <r>
      <rPr>
        <vertAlign val="subscript"/>
        <sz val="11"/>
        <rFont val="Calibri"/>
        <family val="2"/>
        <scheme val="minor"/>
      </rPr>
      <t>HNO2,AOB,pH</t>
    </r>
    <r>
      <rPr>
        <sz val="11"/>
        <rFont val="Calibri"/>
        <family val="2"/>
        <scheme val="minor"/>
      </rPr>
      <t>)</t>
    </r>
  </si>
  <si>
    <r>
      <t>Loginh</t>
    </r>
    <r>
      <rPr>
        <vertAlign val="subscript"/>
        <sz val="11"/>
        <rFont val="Calibri"/>
        <family val="2"/>
      </rPr>
      <t>ORP,PAO</t>
    </r>
  </si>
  <si>
    <t>ORP switch of fermentation by PAOs</t>
  </si>
  <si>
    <r>
      <t>Saturation term for strong anion (as Cl</t>
    </r>
    <r>
      <rPr>
        <vertAlign val="superscript"/>
        <sz val="11"/>
        <color rgb="FF000000"/>
        <rFont val="Calibri"/>
        <family val="2"/>
        <scheme val="minor"/>
      </rPr>
      <t>-</t>
    </r>
    <r>
      <rPr>
        <sz val="11"/>
        <color rgb="FF000000"/>
        <rFont val="Calibri"/>
        <family val="2"/>
        <charset val="238"/>
        <scheme val="minor"/>
      </rPr>
      <t>)</t>
    </r>
  </si>
  <si>
    <r>
      <t>Saturation term for strong cation (as Na</t>
    </r>
    <r>
      <rPr>
        <vertAlign val="superscript"/>
        <sz val="11"/>
        <color rgb="FF000000"/>
        <rFont val="Calibri"/>
        <family val="2"/>
        <scheme val="minor"/>
      </rPr>
      <t>+</t>
    </r>
    <r>
      <rPr>
        <sz val="11"/>
        <color rgb="FF000000"/>
        <rFont val="Calibri"/>
        <family val="2"/>
        <charset val="238"/>
        <scheme val="minor"/>
      </rPr>
      <t>)</t>
    </r>
  </si>
  <si>
    <t>Saturation term for inorganic carbon (BIO except NITO)</t>
  </si>
  <si>
    <r>
      <t>Saturation term for NH</t>
    </r>
    <r>
      <rPr>
        <vertAlign val="subscript"/>
        <sz val="11"/>
        <color rgb="FF000000"/>
        <rFont val="Calibri"/>
        <family val="2"/>
        <scheme val="minor"/>
      </rPr>
      <t>x</t>
    </r>
    <r>
      <rPr>
        <sz val="11"/>
        <color rgb="FF000000"/>
        <rFont val="Calibri"/>
        <family val="2"/>
        <charset val="238"/>
        <scheme val="minor"/>
      </rPr>
      <t xml:space="preserve"> (biomass)</t>
    </r>
  </si>
  <si>
    <r>
      <t>Saturation term for PO</t>
    </r>
    <r>
      <rPr>
        <vertAlign val="subscript"/>
        <sz val="11"/>
        <color rgb="FF000000"/>
        <rFont val="Calibri"/>
        <family val="2"/>
        <scheme val="minor"/>
      </rPr>
      <t>4</t>
    </r>
    <r>
      <rPr>
        <sz val="11"/>
        <color rgb="FF000000"/>
        <rFont val="Calibri"/>
        <family val="2"/>
        <charset val="238"/>
        <scheme val="minor"/>
      </rPr>
      <t xml:space="preserve"> (biomass)</t>
    </r>
  </si>
  <si>
    <r>
      <t>Inhibition term for O</t>
    </r>
    <r>
      <rPr>
        <vertAlign val="subscript"/>
        <sz val="11"/>
        <color rgb="FF000000"/>
        <rFont val="Calibri"/>
        <family val="2"/>
        <scheme val="minor"/>
      </rPr>
      <t>2</t>
    </r>
    <r>
      <rPr>
        <sz val="11"/>
        <color rgb="FF000000"/>
        <rFont val="Calibri"/>
        <family val="2"/>
        <charset val="238"/>
        <scheme val="minor"/>
      </rPr>
      <t xml:space="preserve"> (OHO)</t>
    </r>
  </si>
  <si>
    <t>Inhibition term for VFA</t>
  </si>
  <si>
    <t>Saturation term for readily biodegradable substrate (OHO)</t>
  </si>
  <si>
    <t>Saturation term for readily biodegradable substrate (OHO, anaerobic)</t>
  </si>
  <si>
    <t>Saturation term for methanol (OHO)</t>
  </si>
  <si>
    <r>
      <t>Saturation term for O</t>
    </r>
    <r>
      <rPr>
        <vertAlign val="subscript"/>
        <sz val="11"/>
        <color rgb="FF000000"/>
        <rFont val="Calibri"/>
        <family val="2"/>
        <scheme val="minor"/>
      </rPr>
      <t>2</t>
    </r>
    <r>
      <rPr>
        <sz val="11"/>
        <color rgb="FF000000"/>
        <rFont val="Calibri"/>
        <family val="2"/>
        <charset val="238"/>
        <scheme val="minor"/>
      </rPr>
      <t xml:space="preserve"> (OHO)</t>
    </r>
  </si>
  <si>
    <t>Saturation term for VFA</t>
  </si>
  <si>
    <r>
      <t>Inhibition term for O</t>
    </r>
    <r>
      <rPr>
        <vertAlign val="subscript"/>
        <sz val="11"/>
        <color rgb="FF000000"/>
        <rFont val="Calibri"/>
        <family val="2"/>
        <scheme val="minor"/>
      </rPr>
      <t>2</t>
    </r>
    <r>
      <rPr>
        <sz val="11"/>
        <color rgb="FF000000"/>
        <rFont val="Calibri"/>
        <family val="2"/>
        <charset val="238"/>
        <scheme val="minor"/>
      </rPr>
      <t xml:space="preserve"> (MEOLO)</t>
    </r>
  </si>
  <si>
    <t>Saturation term for methanol (MEOLO)</t>
  </si>
  <si>
    <r>
      <t>Saturation term for 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</si>
  <si>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(OHO)</t>
    </r>
  </si>
  <si>
    <r>
      <t>Saturation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</si>
  <si>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2</t>
    </r>
    <r>
      <rPr>
        <sz val="11"/>
        <color rgb="FF000000"/>
        <rFont val="Calibri"/>
        <family val="2"/>
        <charset val="238"/>
        <scheme val="minor"/>
      </rPr>
      <t xml:space="preserve"> (MEOLO)</t>
    </r>
  </si>
  <si>
    <r>
      <t>Inhibition term for NO</t>
    </r>
    <r>
      <rPr>
        <vertAlign val="subscript"/>
        <sz val="11"/>
        <color rgb="FF000000"/>
        <rFont val="Calibri"/>
        <family val="2"/>
        <scheme val="minor"/>
      </rPr>
      <t>3</t>
    </r>
    <r>
      <rPr>
        <sz val="11"/>
        <color rgb="FF000000"/>
        <rFont val="Calibri"/>
        <family val="2"/>
        <charset val="238"/>
        <scheme val="minor"/>
      </rPr>
      <t xml:space="preserve"> (MEOLO)</t>
    </r>
  </si>
  <si>
    <r>
      <t>Saturation term for NO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</si>
  <si>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(MEOLO)</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</si>
  <si>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</si>
  <si>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Inhibition term for O</t>
    </r>
    <r>
      <rPr>
        <vertAlign val="subscript"/>
        <sz val="11"/>
        <color rgb="FF000000"/>
        <rFont val="Calibri"/>
        <family val="2"/>
        <scheme val="minor"/>
      </rPr>
      <t>2</t>
    </r>
    <r>
      <rPr>
        <sz val="11"/>
        <color rgb="FF000000"/>
        <rFont val="Calibri"/>
        <family val="2"/>
        <charset val="238"/>
        <scheme val="minor"/>
      </rPr>
      <t xml:space="preserve"> (AOB)</t>
    </r>
  </si>
  <si>
    <r>
      <t>Saturation term for NH</t>
    </r>
    <r>
      <rPr>
        <vertAlign val="subscript"/>
        <sz val="11"/>
        <color rgb="FF000000"/>
        <rFont val="Calibri"/>
        <family val="2"/>
        <scheme val="minor"/>
      </rPr>
      <t>x</t>
    </r>
    <r>
      <rPr>
        <sz val="11"/>
        <color rgb="FF000000"/>
        <rFont val="Calibri"/>
        <family val="2"/>
        <charset val="238"/>
        <scheme val="minor"/>
      </rPr>
      <t xml:space="preserve"> (AOB)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</si>
  <si>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</si>
  <si>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Saturation term for O</t>
    </r>
    <r>
      <rPr>
        <vertAlign val="subscript"/>
        <sz val="11"/>
        <color rgb="FF000000"/>
        <rFont val="Calibri"/>
        <family val="2"/>
        <scheme val="minor"/>
      </rPr>
      <t>2</t>
    </r>
    <r>
      <rPr>
        <sz val="11"/>
        <color rgb="FF000000"/>
        <rFont val="Calibri"/>
        <family val="2"/>
        <charset val="238"/>
        <scheme val="minor"/>
      </rPr>
      <t xml:space="preserve"> (AOB)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</si>
  <si>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(NOB)</t>
    </r>
  </si>
  <si>
    <r>
      <t>Inhibition term for 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</si>
  <si>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</si>
  <si>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(NOB )</t>
    </r>
  </si>
  <si>
    <r>
      <t>Saturation term for O</t>
    </r>
    <r>
      <rPr>
        <vertAlign val="subscript"/>
        <sz val="11"/>
        <color rgb="FF000000"/>
        <rFont val="Calibri"/>
        <family val="2"/>
        <scheme val="minor"/>
      </rPr>
      <t>2</t>
    </r>
    <r>
      <rPr>
        <sz val="11"/>
        <color rgb="FF000000"/>
        <rFont val="Calibri"/>
        <family val="2"/>
        <charset val="238"/>
        <scheme val="minor"/>
      </rPr>
      <t xml:space="preserve"> (NOB)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</si>
  <si>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</si>
  <si>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Inhibition term for O</t>
    </r>
    <r>
      <rPr>
        <vertAlign val="subscript"/>
        <sz val="11"/>
        <color rgb="FF000000"/>
        <rFont val="Calibri"/>
        <family val="2"/>
        <scheme val="minor"/>
      </rPr>
      <t>2</t>
    </r>
    <r>
      <rPr>
        <sz val="11"/>
        <color rgb="FF000000"/>
        <rFont val="Calibri"/>
        <family val="2"/>
        <charset val="238"/>
        <scheme val="minor"/>
      </rPr>
      <t xml:space="preserve"> (AMX)</t>
    </r>
  </si>
  <si>
    <r>
      <t>Saturation term for NH</t>
    </r>
    <r>
      <rPr>
        <vertAlign val="subscript"/>
        <sz val="11"/>
        <color rgb="FF000000"/>
        <rFont val="Calibri"/>
        <family val="2"/>
        <scheme val="minor"/>
      </rPr>
      <t>x</t>
    </r>
    <r>
      <rPr>
        <sz val="11"/>
        <color rgb="FF000000"/>
        <rFont val="Calibri"/>
        <family val="2"/>
        <charset val="238"/>
        <scheme val="minor"/>
      </rPr>
      <t xml:space="preserve"> (AMX)</t>
    </r>
  </si>
  <si>
    <r>
      <t>Saturation term for NO</t>
    </r>
    <r>
      <rPr>
        <vertAlign val="subscript"/>
        <sz val="11"/>
        <color rgb="FF000000"/>
        <rFont val="Calibri"/>
        <family val="2"/>
        <scheme val="minor"/>
      </rPr>
      <t>2</t>
    </r>
    <r>
      <rPr>
        <sz val="11"/>
        <color rgb="FF000000"/>
        <rFont val="Calibri"/>
        <family val="2"/>
        <charset val="238"/>
        <scheme val="minor"/>
      </rPr>
      <t xml:space="preserve"> (AMX)</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</si>
  <si>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</si>
  <si>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Saturation term for O</t>
    </r>
    <r>
      <rPr>
        <vertAlign val="subscript"/>
        <sz val="11"/>
        <color rgb="FF000000"/>
        <rFont val="Calibri"/>
        <family val="2"/>
        <scheme val="minor"/>
      </rPr>
      <t>2</t>
    </r>
    <r>
      <rPr>
        <sz val="11"/>
        <color rgb="FF000000"/>
        <rFont val="Calibri"/>
        <family val="2"/>
        <charset val="238"/>
        <scheme val="minor"/>
      </rPr>
      <t xml:space="preserve"> (AMX)</t>
    </r>
  </si>
  <si>
    <r>
      <t>Minh</t>
    </r>
    <r>
      <rPr>
        <vertAlign val="subscript"/>
        <sz val="11"/>
        <rFont val="Calibri"/>
        <family val="2"/>
        <scheme val="minor"/>
      </rPr>
      <t>SPO4,KiPO4,lim</t>
    </r>
  </si>
  <si>
    <t>Inhibition term for PO4 (PAO)</t>
  </si>
  <si>
    <r>
      <t>Minh(S</t>
    </r>
    <r>
      <rPr>
        <vertAlign val="subscript"/>
        <sz val="11"/>
        <rFont val="Calibri"/>
        <family val="2"/>
        <scheme val="minor"/>
      </rPr>
      <t>PO4</t>
    </r>
    <r>
      <rPr>
        <sz val="11"/>
        <rFont val="Calibri"/>
        <family val="2"/>
        <scheme val="minor"/>
      </rPr>
      <t>;Ki</t>
    </r>
    <r>
      <rPr>
        <vertAlign val="subscript"/>
        <sz val="11"/>
        <rFont val="Calibri"/>
        <family val="2"/>
        <scheme val="minor"/>
      </rPr>
      <t>PO4,lim</t>
    </r>
    <r>
      <rPr>
        <sz val="11"/>
        <rFont val="Calibri"/>
        <family val="2"/>
        <scheme val="minor"/>
      </rPr>
      <t>)</t>
    </r>
  </si>
  <si>
    <t>Saturation term for Ca as counter ion for PP (PAO)</t>
  </si>
  <si>
    <t>Saturation term for K as counter ion for PP (PAO)</t>
  </si>
  <si>
    <t>Saturation term for Mg as counter ion for PP (PAO)</t>
  </si>
  <si>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</si>
  <si>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PP as nutrient (PAO)</t>
  </si>
  <si>
    <r>
      <t>Inhibition term for NO</t>
    </r>
    <r>
      <rPr>
        <vertAlign val="subscript"/>
        <sz val="11"/>
        <color rgb="FF000000"/>
        <rFont val="Calibri"/>
        <family val="2"/>
        <scheme val="minor"/>
      </rPr>
      <t>x</t>
    </r>
    <r>
      <rPr>
        <sz val="11"/>
        <color rgb="FF000000"/>
        <rFont val="Calibri"/>
        <family val="2"/>
        <charset val="238"/>
        <scheme val="minor"/>
      </rPr>
      <t xml:space="preserve"> (AMETO)</t>
    </r>
  </si>
  <si>
    <r>
      <t>Inhibition term for O</t>
    </r>
    <r>
      <rPr>
        <vertAlign val="subscript"/>
        <sz val="11"/>
        <color rgb="FF000000"/>
        <rFont val="Calibri"/>
        <family val="2"/>
        <scheme val="minor"/>
      </rPr>
      <t>2</t>
    </r>
    <r>
      <rPr>
        <sz val="11"/>
        <color rgb="FF000000"/>
        <rFont val="Calibri"/>
        <family val="2"/>
        <charset val="238"/>
        <scheme val="minor"/>
      </rPr>
      <t xml:space="preserve"> (AMETO)</t>
    </r>
  </si>
  <si>
    <r>
      <t>Saturation term for NO</t>
    </r>
    <r>
      <rPr>
        <vertAlign val="subscript"/>
        <sz val="11"/>
        <color rgb="FF000000"/>
        <rFont val="Calibri"/>
        <family val="2"/>
        <scheme val="minor"/>
      </rPr>
      <t>x</t>
    </r>
    <r>
      <rPr>
        <sz val="11"/>
        <color rgb="FF000000"/>
        <rFont val="Calibri"/>
        <family val="2"/>
        <charset val="238"/>
        <scheme val="minor"/>
      </rPr>
      <t xml:space="preserve"> (AMETO)</t>
    </r>
  </si>
  <si>
    <r>
      <t>Saturation term for O</t>
    </r>
    <r>
      <rPr>
        <vertAlign val="subscript"/>
        <sz val="11"/>
        <color rgb="FF000000"/>
        <rFont val="Calibri"/>
        <family val="2"/>
        <scheme val="minor"/>
      </rPr>
      <t>2</t>
    </r>
    <r>
      <rPr>
        <sz val="11"/>
        <color rgb="FF000000"/>
        <rFont val="Calibri"/>
        <family val="2"/>
        <charset val="238"/>
        <scheme val="minor"/>
      </rPr>
      <t xml:space="preserve"> (AMETO)</t>
    </r>
  </si>
  <si>
    <t>Haldane term for VFA (AMETO)</t>
  </si>
  <si>
    <r>
      <t>Inhibition term for NO</t>
    </r>
    <r>
      <rPr>
        <vertAlign val="subscript"/>
        <sz val="11"/>
        <color rgb="FF000000"/>
        <rFont val="Calibri"/>
        <family val="2"/>
        <scheme val="minor"/>
      </rPr>
      <t>x</t>
    </r>
    <r>
      <rPr>
        <sz val="11"/>
        <color rgb="FF000000"/>
        <rFont val="Calibri"/>
        <family val="2"/>
        <charset val="238"/>
        <scheme val="minor"/>
      </rPr>
      <t xml:space="preserve"> (HMETO)</t>
    </r>
  </si>
  <si>
    <r>
      <t>Inhibition term for O</t>
    </r>
    <r>
      <rPr>
        <vertAlign val="subscript"/>
        <sz val="11"/>
        <color rgb="FF000000"/>
        <rFont val="Calibri"/>
        <family val="2"/>
        <scheme val="minor"/>
      </rPr>
      <t>2</t>
    </r>
    <r>
      <rPr>
        <sz val="11"/>
        <color rgb="FF000000"/>
        <rFont val="Calibri"/>
        <family val="2"/>
        <charset val="238"/>
        <scheme val="minor"/>
      </rPr>
      <t xml:space="preserve"> (HMETO)</t>
    </r>
  </si>
  <si>
    <r>
      <t>Saturation term for H</t>
    </r>
    <r>
      <rPr>
        <vertAlign val="subscript"/>
        <sz val="11"/>
        <color rgb="FF000000"/>
        <rFont val="Calibri"/>
        <family val="2"/>
        <scheme val="minor"/>
      </rPr>
      <t>2</t>
    </r>
    <r>
      <rPr>
        <sz val="11"/>
        <color rgb="FF000000"/>
        <rFont val="Calibri"/>
        <family val="2"/>
        <charset val="238"/>
        <scheme val="minor"/>
      </rPr>
      <t xml:space="preserve"> (HMETO)</t>
    </r>
  </si>
  <si>
    <r>
      <t>Saturation term for NO</t>
    </r>
    <r>
      <rPr>
        <vertAlign val="subscript"/>
        <sz val="11"/>
        <color rgb="FF000000"/>
        <rFont val="Calibri"/>
        <family val="2"/>
        <scheme val="minor"/>
      </rPr>
      <t>x</t>
    </r>
    <r>
      <rPr>
        <sz val="11"/>
        <color rgb="FF000000"/>
        <rFont val="Calibri"/>
        <family val="2"/>
        <charset val="238"/>
        <scheme val="minor"/>
      </rPr>
      <t xml:space="preserve"> (HMETO)</t>
    </r>
  </si>
  <si>
    <r>
      <t>Saturation term for O</t>
    </r>
    <r>
      <rPr>
        <vertAlign val="subscript"/>
        <sz val="11"/>
        <color rgb="FF000000"/>
        <rFont val="Calibri"/>
        <family val="2"/>
        <scheme val="minor"/>
      </rPr>
      <t>2</t>
    </r>
    <r>
      <rPr>
        <sz val="11"/>
        <color rgb="FF000000"/>
        <rFont val="Calibri"/>
        <family val="2"/>
        <charset val="238"/>
        <scheme val="minor"/>
      </rPr>
      <t xml:space="preserve"> (HMETO)</t>
    </r>
  </si>
  <si>
    <r>
      <t>Hsat(S</t>
    </r>
    <r>
      <rPr>
        <vertAlign val="subscript"/>
        <sz val="11"/>
        <rFont val="Calibri"/>
        <family val="2"/>
        <scheme val="minor"/>
      </rPr>
      <t>VFA</t>
    </r>
    <r>
      <rPr>
        <sz val="11"/>
        <rFont val="Calibri"/>
        <family val="2"/>
        <scheme val="minor"/>
      </rPr>
      <t>;K</t>
    </r>
    <r>
      <rPr>
        <vertAlign val="subscript"/>
        <sz val="11"/>
        <rFont val="Calibri"/>
        <family val="2"/>
        <scheme val="minor"/>
      </rPr>
      <t>VFA,AMETO</t>
    </r>
    <r>
      <rPr>
        <sz val="11"/>
        <rFont val="Calibri"/>
        <family val="2"/>
        <scheme val="minor"/>
      </rPr>
      <t>;Ki</t>
    </r>
    <r>
      <rPr>
        <vertAlign val="subscript"/>
        <sz val="11"/>
        <rFont val="Calibri"/>
        <family val="2"/>
        <scheme val="minor"/>
      </rPr>
      <t>VFA,AMETO</t>
    </r>
    <r>
      <rPr>
        <sz val="11"/>
        <rFont val="Calibri"/>
        <family val="2"/>
        <scheme val="minor"/>
      </rPr>
      <t>)</t>
    </r>
  </si>
  <si>
    <r>
      <t>Minh</t>
    </r>
    <r>
      <rPr>
        <vertAlign val="subscript"/>
        <sz val="11"/>
        <rFont val="Calibri"/>
        <family val="2"/>
        <scheme val="minor"/>
      </rPr>
      <t>SNHx,KiNHx,ASSIM</t>
    </r>
  </si>
  <si>
    <r>
      <t>Minh(S</t>
    </r>
    <r>
      <rPr>
        <vertAlign val="subscript"/>
        <sz val="11"/>
        <rFont val="Calibri"/>
        <family val="2"/>
        <scheme val="minor"/>
      </rPr>
      <t>NHx</t>
    </r>
    <r>
      <rPr>
        <sz val="11"/>
        <rFont val="Calibri"/>
        <family val="2"/>
        <scheme val="minor"/>
      </rPr>
      <t>;Ki</t>
    </r>
    <r>
      <rPr>
        <vertAlign val="subscript"/>
        <sz val="11"/>
        <rFont val="Calibri"/>
        <family val="2"/>
        <scheme val="minor"/>
      </rPr>
      <t>NHx,ASSIM</t>
    </r>
    <r>
      <rPr>
        <sz val="11"/>
        <rFont val="Calibri"/>
        <family val="2"/>
        <scheme val="minor"/>
      </rPr>
      <t>)</t>
    </r>
  </si>
  <si>
    <t>Saturation term for colloidal biodegradable substrate (flocculation)</t>
  </si>
  <si>
    <t>Saturation term for slowly biodegradable substrate (hydrolysis)</t>
  </si>
  <si>
    <t>Saturation term for anaerobic endogenous decay products (hydrolysis)</t>
  </si>
  <si>
    <r>
      <t>Saturation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</si>
  <si>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Saturation term for NO</t>
    </r>
    <r>
      <rPr>
        <vertAlign val="subscript"/>
        <sz val="11"/>
        <color rgb="FF000000"/>
        <rFont val="Calibri"/>
        <family val="2"/>
        <scheme val="minor"/>
      </rPr>
      <t>3</t>
    </r>
    <r>
      <rPr>
        <sz val="11"/>
        <color rgb="FF000000"/>
        <rFont val="Calibri"/>
        <family val="2"/>
        <charset val="238"/>
        <scheme val="minor"/>
      </rPr>
      <t xml:space="preserve"> (assimilative reduction)</t>
    </r>
  </si>
  <si>
    <r>
      <t>Inhibition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</si>
  <si>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HFO</t>
    </r>
  </si>
  <si>
    <r>
      <t>Saturation term for PO</t>
    </r>
    <r>
      <rPr>
        <vertAlign val="subscript"/>
        <sz val="11"/>
        <color rgb="FF000000"/>
        <rFont val="Calibri"/>
        <family val="2"/>
        <scheme val="minor"/>
      </rPr>
      <t>4</t>
    </r>
    <r>
      <rPr>
        <sz val="11"/>
        <color rgb="FF000000"/>
        <rFont val="Calibri"/>
        <family val="2"/>
        <charset val="238"/>
        <scheme val="minor"/>
      </rPr>
      <t xml:space="preserve"> binding on HFO</t>
    </r>
  </si>
  <si>
    <r>
      <t>Msat</t>
    </r>
    <r>
      <rPr>
        <vertAlign val="subscript"/>
        <sz val="11"/>
        <rFont val="Calibri"/>
        <family val="2"/>
        <scheme val="minor"/>
      </rPr>
      <t>XACP,KACP,DISS</t>
    </r>
  </si>
  <si>
    <t>Saturation term for ACP dissolution</t>
  </si>
  <si>
    <r>
      <t>Msat(X</t>
    </r>
    <r>
      <rPr>
        <vertAlign val="subscript"/>
        <sz val="11"/>
        <rFont val="Calibri"/>
        <family val="2"/>
        <scheme val="minor"/>
      </rPr>
      <t>ACP</t>
    </r>
    <r>
      <rPr>
        <sz val="11"/>
        <rFont val="Calibri"/>
        <family val="2"/>
        <scheme val="minor"/>
      </rPr>
      <t>;K</t>
    </r>
    <r>
      <rPr>
        <vertAlign val="subscript"/>
        <sz val="11"/>
        <rFont val="Calibri"/>
        <family val="2"/>
        <scheme val="minor"/>
      </rPr>
      <t>ACP,DISS</t>
    </r>
    <r>
      <rPr>
        <sz val="11"/>
        <rFont val="Calibri"/>
        <family val="2"/>
        <scheme val="minor"/>
      </rPr>
      <t>)</t>
    </r>
  </si>
  <si>
    <r>
      <t>Msat</t>
    </r>
    <r>
      <rPr>
        <vertAlign val="subscript"/>
        <sz val="11"/>
        <rFont val="Calibri"/>
        <family val="2"/>
        <scheme val="minor"/>
      </rPr>
      <t>XCaCO3,KCaCO3,DISS</t>
    </r>
  </si>
  <si>
    <t>Saturation term for calcium carbonate dissolution</t>
  </si>
  <si>
    <r>
      <t>Msat(X</t>
    </r>
    <r>
      <rPr>
        <vertAlign val="subscript"/>
        <sz val="11"/>
        <rFont val="Calibri"/>
        <family val="2"/>
        <scheme val="minor"/>
      </rPr>
      <t>CaCO3</t>
    </r>
    <r>
      <rPr>
        <sz val="11"/>
        <rFont val="Calibri"/>
        <family val="2"/>
        <scheme val="minor"/>
      </rPr>
      <t>;K</t>
    </r>
    <r>
      <rPr>
        <vertAlign val="subscript"/>
        <sz val="11"/>
        <rFont val="Calibri"/>
        <family val="2"/>
        <scheme val="minor"/>
      </rPr>
      <t>CaCO3,DISS</t>
    </r>
    <r>
      <rPr>
        <sz val="11"/>
        <rFont val="Calibri"/>
        <family val="2"/>
        <scheme val="minor"/>
      </rPr>
      <t>)</t>
    </r>
  </si>
  <si>
    <r>
      <t>Msat</t>
    </r>
    <r>
      <rPr>
        <vertAlign val="subscript"/>
        <sz val="11"/>
        <rFont val="Calibri"/>
        <family val="2"/>
        <scheme val="minor"/>
      </rPr>
      <t>XSTR,KSTR,DISS</t>
    </r>
  </si>
  <si>
    <t>Saturation term for struvite dissolution</t>
  </si>
  <si>
    <r>
      <t>Msat(X</t>
    </r>
    <r>
      <rPr>
        <vertAlign val="subscript"/>
        <sz val="11"/>
        <rFont val="Calibri"/>
        <family val="2"/>
        <scheme val="minor"/>
      </rPr>
      <t>STR</t>
    </r>
    <r>
      <rPr>
        <sz val="11"/>
        <rFont val="Calibri"/>
        <family val="2"/>
        <scheme val="minor"/>
      </rPr>
      <t>;K</t>
    </r>
    <r>
      <rPr>
        <vertAlign val="subscript"/>
        <sz val="11"/>
        <rFont val="Calibri"/>
        <family val="2"/>
        <scheme val="minor"/>
      </rPr>
      <t>STR,DISS</t>
    </r>
    <r>
      <rPr>
        <sz val="11"/>
        <rFont val="Calibri"/>
        <family val="2"/>
        <scheme val="minor"/>
      </rPr>
      <t>)</t>
    </r>
  </si>
  <si>
    <r>
      <t>Msat</t>
    </r>
    <r>
      <rPr>
        <vertAlign val="subscript"/>
        <sz val="11"/>
        <rFont val="Calibri"/>
        <family val="2"/>
        <scheme val="minor"/>
      </rPr>
      <t>XVivi,KVivi,DISS</t>
    </r>
  </si>
  <si>
    <t>Saturation term for vivianite dissolution</t>
  </si>
  <si>
    <r>
      <t>Msat(X</t>
    </r>
    <r>
      <rPr>
        <vertAlign val="subscript"/>
        <sz val="11"/>
        <rFont val="Calibri"/>
        <family val="2"/>
        <scheme val="minor"/>
      </rPr>
      <t>Vivi</t>
    </r>
    <r>
      <rPr>
        <sz val="11"/>
        <rFont val="Calibri"/>
        <family val="2"/>
        <scheme val="minor"/>
      </rPr>
      <t>;K</t>
    </r>
    <r>
      <rPr>
        <vertAlign val="subscript"/>
        <sz val="11"/>
        <rFont val="Calibri"/>
        <family val="2"/>
        <scheme val="minor"/>
      </rPr>
      <t>Vivi,DISS</t>
    </r>
    <r>
      <rPr>
        <sz val="11"/>
        <rFont val="Calibri"/>
        <family val="2"/>
        <scheme val="minor"/>
      </rPr>
      <t>)</t>
    </r>
  </si>
  <si>
    <r>
      <t>µ</t>
    </r>
    <r>
      <rPr>
        <vertAlign val="subscript"/>
        <sz val="11"/>
        <color indexed="8"/>
        <rFont val="Calibri"/>
        <family val="2"/>
        <scheme val="minor"/>
      </rPr>
      <t>FERM,PAO,T</t>
    </r>
  </si>
  <si>
    <t>Fermentation growth rate of PAOs (temperature corrected)</t>
  </si>
  <si>
    <r>
      <t>µ</t>
    </r>
    <r>
      <rPr>
        <vertAlign val="subscript"/>
        <sz val="11"/>
        <color indexed="8"/>
        <rFont val="Calibri"/>
        <family val="2"/>
        <scheme val="minor"/>
      </rPr>
      <t>FERM,PAO</t>
    </r>
    <r>
      <rPr>
        <sz val="11"/>
        <color indexed="8"/>
        <rFont val="Calibri"/>
        <family val="2"/>
        <scheme val="minor"/>
      </rPr>
      <t>*Arrh(θ</t>
    </r>
    <r>
      <rPr>
        <vertAlign val="subscript"/>
        <sz val="11"/>
        <color indexed="8"/>
        <rFont val="Calibri"/>
        <family val="2"/>
        <scheme val="minor"/>
      </rPr>
      <t>FERM,PAO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</si>
  <si>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Maximum specific growth rate of OHOs (temperature corrected)</t>
  </si>
  <si>
    <t>Fermentation growth rate of OHOs (temperature corrected)</t>
  </si>
  <si>
    <t>Decay rate of OHOs (temperature corrected)</t>
  </si>
  <si>
    <t>Maximum specific growth rate of MEOLOs (temperature corrected)</t>
  </si>
  <si>
    <t>Decay rate of MEOLOs (temperature corrected)</t>
  </si>
  <si>
    <t>Maximum specific growth rate of PAOs under P limited (temperature corrected)</t>
  </si>
  <si>
    <t>Rate of VFA storage into PHA for PAOs (temperature corrected)</t>
  </si>
  <si>
    <t>Rate of maintenance under anaerobic conditions (PP cleavage) of PAOs (temperature corrected)</t>
  </si>
  <si>
    <t>Maximum specific growth rate of AOBs (temperature corrected)</t>
  </si>
  <si>
    <t>Decay rate of AOBs (temperature corrected)</t>
  </si>
  <si>
    <t>Maximum specific growth rate of NOBs (temperature corrected)</t>
  </si>
  <si>
    <t>Decay rate of NOBs (temperature corrected)</t>
  </si>
  <si>
    <t>Maximum specific growth rate of AMXs (temperature corrected)</t>
  </si>
  <si>
    <t>Decay rate of AMXs (temperature corrected)</t>
  </si>
  <si>
    <t>Maximum specific growth rate of AMETOs (temperature corrected)</t>
  </si>
  <si>
    <t>Decay rate of AMETOs (temperature corrected)</t>
  </si>
  <si>
    <t>Maximum specific growth rate of HMETOs (temperature corrected)</t>
  </si>
  <si>
    <t>Decay rate of HMETOs (temperature corrected)</t>
  </si>
  <si>
    <t>Rate of flocculation (temperature corrected)</t>
  </si>
  <si>
    <t>Rate of hydrolysis (temperature corrected)</t>
  </si>
  <si>
    <t>Rate of ammonification (temperature corrected)</t>
  </si>
  <si>
    <t>Rate of soluble biodegradable organic P conversion (temperature corrected)</t>
  </si>
  <si>
    <t>Rate of endogenous decay products conversion (temperature corrected)</t>
  </si>
  <si>
    <t>Rate of assimilative nutrient reduction (temperature corrected)</t>
  </si>
  <si>
    <r>
      <t>Rate of Fe</t>
    </r>
    <r>
      <rPr>
        <vertAlign val="subscript"/>
        <sz val="11"/>
        <color rgb="FF000000"/>
        <rFont val="Calibri"/>
        <family val="2"/>
        <scheme val="minor"/>
      </rPr>
      <t>2</t>
    </r>
    <r>
      <rPr>
        <sz val="11"/>
        <color rgb="FF000000"/>
        <rFont val="Calibri"/>
        <family val="2"/>
        <charset val="238"/>
        <scheme val="minor"/>
      </rPr>
      <t xml:space="preserve"> oxidation (temperature corrected)</t>
    </r>
  </si>
  <si>
    <t>Rate of HFO reduction with organics (temperature corrected)</t>
  </si>
  <si>
    <r>
      <t>q</t>
    </r>
    <r>
      <rPr>
        <vertAlign val="subscript"/>
        <sz val="11"/>
        <color indexed="8"/>
        <rFont val="Calibri"/>
        <family val="2"/>
        <scheme val="minor"/>
      </rPr>
      <t>Fe2,OX,T</t>
    </r>
  </si>
  <si>
    <r>
      <t>q</t>
    </r>
    <r>
      <rPr>
        <vertAlign val="subscript"/>
        <sz val="11"/>
        <color indexed="8"/>
        <rFont val="Calibri"/>
        <family val="2"/>
        <scheme val="minor"/>
      </rPr>
      <t>Fe2,OX</t>
    </r>
    <r>
      <rPr>
        <sz val="11"/>
        <color indexed="8"/>
        <rFont val="Calibri"/>
        <family val="2"/>
        <scheme val="minor"/>
      </rPr>
      <t>*Arrh(θ</t>
    </r>
    <r>
      <rPr>
        <vertAlign val="subscript"/>
        <sz val="11"/>
        <color indexed="8"/>
        <rFont val="Calibri"/>
        <family val="2"/>
        <scheme val="minor"/>
      </rPr>
      <t>q,Fe2,OX</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</si>
  <si>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q,Fe2,OX</t>
    </r>
  </si>
  <si>
    <t>Dissociation constant of water (temperature corrected)</t>
  </si>
  <si>
    <t>Dissociation constant of carbonate first step (temperature corrected)</t>
  </si>
  <si>
    <t>Dissociation constant of carbonate second step (temperature corrected)</t>
  </si>
  <si>
    <t>Dissociation constant of phosphate first step (temperature corrected)</t>
  </si>
  <si>
    <t>Dissociation constant of phosphate second step (temperature corrected)</t>
  </si>
  <si>
    <t>Dissociation constant of phosphate third step (temperature corrected)</t>
  </si>
  <si>
    <t>Dissociation constant of acetate (temperature corrected)</t>
  </si>
  <si>
    <t>Dissociation constant of ammonia (temperature corrected)</t>
  </si>
  <si>
    <t>Dissociation constant of water (activity corrected)</t>
  </si>
  <si>
    <t>Dissociation constant of carbonate first step (activity corrected)</t>
  </si>
  <si>
    <t>Dissociation constant of carbonate second step (activity corrected)</t>
  </si>
  <si>
    <t>Dissociation constant of phosphate first step (activity corrected)</t>
  </si>
  <si>
    <t>Dissociation constant of phosphate second step (activity corrected)</t>
  </si>
  <si>
    <t>Dissociation constant of phosphate third step (activity corrected)</t>
  </si>
  <si>
    <t>Dissociation constant of acetate (activity corrected)</t>
  </si>
  <si>
    <t>Dissociation constant of ammonia (activity corrected)</t>
  </si>
  <si>
    <t>Dissociation constant of nitrous acid (temperature corrected)</t>
  </si>
  <si>
    <r>
      <t>K</t>
    </r>
    <r>
      <rPr>
        <vertAlign val="subscript"/>
        <sz val="11"/>
        <rFont val="Calibri"/>
        <family val="2"/>
        <scheme val="minor"/>
      </rPr>
      <t>Ac</t>
    </r>
  </si>
  <si>
    <r>
      <t>K</t>
    </r>
    <r>
      <rPr>
        <vertAlign val="subscript"/>
        <sz val="11"/>
        <rFont val="Calibri"/>
        <family val="2"/>
        <scheme val="minor"/>
      </rPr>
      <t>Ac,T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</si>
  <si>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NO2</t>
    </r>
  </si>
  <si>
    <r>
      <t>K</t>
    </r>
    <r>
      <rPr>
        <vertAlign val="subscript"/>
        <sz val="11"/>
        <rFont val="Calibri"/>
        <family val="2"/>
        <scheme val="minor"/>
      </rPr>
      <t>NO2,T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</si>
  <si>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NH3</t>
    </r>
  </si>
  <si>
    <r>
      <t>K</t>
    </r>
    <r>
      <rPr>
        <vertAlign val="subscript"/>
        <sz val="11"/>
        <rFont val="Calibri"/>
        <family val="2"/>
        <scheme val="minor"/>
      </rPr>
      <t>NH3,T</t>
    </r>
  </si>
  <si>
    <t>r73</t>
  </si>
  <si>
    <t>r74</t>
  </si>
  <si>
    <r>
      <t>Ki</t>
    </r>
    <r>
      <rPr>
        <vertAlign val="subscript"/>
        <sz val="11"/>
        <rFont val="Calibri"/>
        <family val="2"/>
        <scheme val="minor"/>
      </rPr>
      <t>HNO2,AMX,pH</t>
    </r>
  </si>
  <si>
    <r>
      <t>Ki</t>
    </r>
    <r>
      <rPr>
        <vertAlign val="subscript"/>
        <sz val="11"/>
        <rFont val="Calibri"/>
        <family val="2"/>
      </rPr>
      <t>HNO2,AMX,pH,AS</t>
    </r>
  </si>
  <si>
    <r>
      <t>K</t>
    </r>
    <r>
      <rPr>
        <vertAlign val="subscript"/>
        <sz val="11"/>
        <color indexed="8"/>
        <rFont val="Calibri"/>
        <family val="2"/>
        <scheme val="minor"/>
      </rPr>
      <t>STR,DISS</t>
    </r>
  </si>
  <si>
    <r>
      <t>K</t>
    </r>
    <r>
      <rPr>
        <vertAlign val="subscript"/>
        <sz val="11"/>
        <color indexed="8"/>
        <rFont val="Calibri"/>
        <family val="2"/>
        <scheme val="minor"/>
      </rPr>
      <t>ACP,DISS</t>
    </r>
  </si>
  <si>
    <r>
      <t>K</t>
    </r>
    <r>
      <rPr>
        <vertAlign val="subscript"/>
        <sz val="11"/>
        <color indexed="8"/>
        <rFont val="Calibri"/>
        <family val="2"/>
        <scheme val="minor"/>
      </rPr>
      <t>CaCO3,DISS</t>
    </r>
  </si>
  <si>
    <r>
      <t>K</t>
    </r>
    <r>
      <rPr>
        <vertAlign val="subscript"/>
        <sz val="11"/>
        <color indexed="8"/>
        <rFont val="Calibri"/>
        <family val="2"/>
        <scheme val="minor"/>
      </rPr>
      <t>Vivi,DISS</t>
    </r>
  </si>
  <si>
    <r>
      <t>K</t>
    </r>
    <r>
      <rPr>
        <vertAlign val="subscript"/>
        <sz val="11"/>
        <rFont val="Calibri"/>
        <family val="2"/>
        <scheme val="minor"/>
      </rPr>
      <t>Ac,T</t>
    </r>
  </si>
  <si>
    <r>
      <t>K</t>
    </r>
    <r>
      <rPr>
        <vertAlign val="subscript"/>
        <sz val="11"/>
        <rFont val="Calibri"/>
        <family val="2"/>
      </rPr>
      <t>NO2,T</t>
    </r>
  </si>
  <si>
    <r>
      <t>S</t>
    </r>
    <r>
      <rPr>
        <vertAlign val="subscript"/>
        <sz val="11"/>
        <rFont val="Calibri"/>
        <family val="2"/>
        <scheme val="minor"/>
      </rPr>
      <t>VFA</t>
    </r>
    <r>
      <rPr>
        <sz val="11"/>
        <rFont val="Calibri"/>
        <family val="2"/>
        <scheme val="minor"/>
      </rPr>
      <t>/(4*AM</t>
    </r>
    <r>
      <rPr>
        <vertAlign val="subscript"/>
        <sz val="11"/>
        <rFont val="Calibri"/>
        <family val="2"/>
        <scheme val="minor"/>
      </rPr>
      <t>O</t>
    </r>
    <r>
      <rPr>
        <sz val="11"/>
        <rFont val="Calibri"/>
        <family val="2"/>
        <scheme val="minor"/>
      </rPr>
      <t>*1000)*K</t>
    </r>
    <r>
      <rPr>
        <vertAlign val="subscript"/>
        <sz val="11"/>
        <rFont val="Calibri"/>
        <family val="2"/>
        <scheme val="minor"/>
      </rPr>
      <t>Ac</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K</t>
    </r>
    <r>
      <rPr>
        <vertAlign val="subscript"/>
        <sz val="11"/>
        <rFont val="Calibri"/>
        <family val="2"/>
        <scheme val="minor"/>
      </rPr>
      <t>Ac</t>
    </r>
    <r>
      <rPr>
        <sz val="11"/>
        <rFont val="Calibri"/>
        <family val="2"/>
        <scheme val="minor"/>
      </rPr>
      <t>)</t>
    </r>
  </si>
  <si>
    <r>
      <t>K</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NO2</t>
    </r>
    <r>
      <rPr>
        <sz val="11"/>
        <rFont val="Calibri"/>
        <family val="2"/>
        <scheme val="minor"/>
      </rPr>
      <t>)</t>
    </r>
  </si>
  <si>
    <r>
      <t>[H</t>
    </r>
    <r>
      <rPr>
        <vertAlign val="superscript"/>
        <sz val="11"/>
        <rFont val="Calibri"/>
        <family val="2"/>
      </rPr>
      <t>+</t>
    </r>
    <r>
      <rPr>
        <sz val="11"/>
        <rFont val="Calibri"/>
        <family val="2"/>
      </rPr>
      <t>]*S</t>
    </r>
    <r>
      <rPr>
        <vertAlign val="subscript"/>
        <sz val="11"/>
        <rFont val="Calibri"/>
        <family val="2"/>
      </rPr>
      <t>VFA</t>
    </r>
    <r>
      <rPr>
        <sz val="11"/>
        <rFont val="Calibri"/>
        <family val="2"/>
      </rPr>
      <t>/(4*AM</t>
    </r>
    <r>
      <rPr>
        <vertAlign val="subscript"/>
        <sz val="11"/>
        <rFont val="Calibri"/>
        <family val="2"/>
      </rPr>
      <t>O</t>
    </r>
    <r>
      <rPr>
        <sz val="11"/>
        <rFont val="Calibri"/>
        <family val="2"/>
      </rPr>
      <t>*1000)/([H</t>
    </r>
    <r>
      <rPr>
        <vertAlign val="superscript"/>
        <sz val="11"/>
        <rFont val="Calibri"/>
        <family val="2"/>
      </rPr>
      <t>+</t>
    </r>
    <r>
      <rPr>
        <sz val="11"/>
        <rFont val="Calibri"/>
        <family val="2"/>
      </rPr>
      <t>]+K</t>
    </r>
    <r>
      <rPr>
        <vertAlign val="subscript"/>
        <sz val="11"/>
        <rFont val="Calibri"/>
        <family val="2"/>
      </rPr>
      <t>Ac</t>
    </r>
    <r>
      <rPr>
        <sz val="11"/>
        <rFont val="Calibri"/>
        <family val="2"/>
      </rPr>
      <t>)</t>
    </r>
  </si>
  <si>
    <r>
      <t>S</t>
    </r>
    <r>
      <rPr>
        <vertAlign val="subscript"/>
        <sz val="11"/>
        <rFont val="Calibri"/>
        <family val="2"/>
      </rPr>
      <t>VFA</t>
    </r>
    <r>
      <rPr>
        <sz val="11"/>
        <rFont val="Calibri"/>
        <family val="2"/>
      </rPr>
      <t>/(4*AM</t>
    </r>
    <r>
      <rPr>
        <vertAlign val="subscript"/>
        <sz val="11"/>
        <rFont val="Calibri"/>
        <family val="2"/>
      </rPr>
      <t>O</t>
    </r>
    <r>
      <rPr>
        <sz val="11"/>
        <rFont val="Calibri"/>
        <family val="2"/>
      </rPr>
      <t>*1000)*K</t>
    </r>
    <r>
      <rPr>
        <vertAlign val="subscript"/>
        <sz val="11"/>
        <rFont val="Calibri"/>
        <family val="2"/>
      </rPr>
      <t>Ac</t>
    </r>
    <r>
      <rPr>
        <sz val="11"/>
        <rFont val="Calibri"/>
        <family val="2"/>
      </rPr>
      <t>/([H</t>
    </r>
    <r>
      <rPr>
        <vertAlign val="superscript"/>
        <sz val="11"/>
        <rFont val="Calibri"/>
        <family val="2"/>
      </rPr>
      <t>+</t>
    </r>
    <r>
      <rPr>
        <sz val="11"/>
        <rFont val="Calibri"/>
        <family val="2"/>
      </rPr>
      <t>]+K</t>
    </r>
    <r>
      <rPr>
        <vertAlign val="subscript"/>
        <sz val="11"/>
        <rFont val="Calibri"/>
        <family val="2"/>
      </rPr>
      <t>Ac</t>
    </r>
    <r>
      <rPr>
        <sz val="11"/>
        <rFont val="Calibri"/>
        <family val="2"/>
      </rPr>
      <t>)</t>
    </r>
  </si>
  <si>
    <r>
      <t>Inhibition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</si>
  <si>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3</t>
    </r>
    <r>
      <rPr>
        <sz val="11"/>
        <color rgb="FF000000"/>
        <rFont val="Calibri"/>
        <family val="2"/>
        <charset val="238"/>
        <scheme val="minor"/>
      </rPr>
      <t xml:space="preserve"> (OHO)</t>
    </r>
  </si>
  <si>
    <r>
      <t>S</t>
    </r>
    <r>
      <rPr>
        <vertAlign val="subscript"/>
        <sz val="11"/>
        <rFont val="Calibri"/>
        <family val="2"/>
      </rPr>
      <t>B</t>
    </r>
    <r>
      <rPr>
        <sz val="11"/>
        <rFont val="Calibri"/>
        <family val="2"/>
      </rPr>
      <t xml:space="preserve"> fermentation with low VFA (OHO growth, anaerobic)</t>
    </r>
  </si>
  <si>
    <t>Aging of active HFO,H</t>
  </si>
  <si>
    <t>Aging of active HFO,L</t>
  </si>
  <si>
    <t>Fast binding of P on active HFO,H</t>
  </si>
  <si>
    <t>Slow binding of P on active HFO,L</t>
  </si>
  <si>
    <t>Volatile fatty acids (VFA)</t>
  </si>
  <si>
    <t>Methanol (MEOL)</t>
  </si>
  <si>
    <t>Ordinary heterotrophic organisms (OHO)</t>
  </si>
  <si>
    <t>Anoxic methanol utilizers (MEOLO)</t>
  </si>
  <si>
    <t>Aerobic ammonia oxidizers (AOB)</t>
  </si>
  <si>
    <t>Nitrite oxidizers (NOB)</t>
  </si>
  <si>
    <t>Anammox organisms (AMX)</t>
  </si>
  <si>
    <t>Acidoclastic methanogens (AMETO)</t>
  </si>
  <si>
    <t>Hydrogenotrophic methanogens (HMETO)</t>
  </si>
  <si>
    <r>
      <t>Total ammonia (NH</t>
    </r>
    <r>
      <rPr>
        <vertAlign val="subscript"/>
        <sz val="11"/>
        <color theme="1"/>
        <rFont val="Calibri"/>
        <family val="2"/>
        <scheme val="minor"/>
      </rPr>
      <t>x</t>
    </r>
    <r>
      <rPr>
        <sz val="11"/>
        <color indexed="8"/>
        <rFont val="Calibri"/>
        <family val="2"/>
      </rPr>
      <t>)</t>
    </r>
  </si>
  <si>
    <r>
      <t>Nitrite (NO</t>
    </r>
    <r>
      <rPr>
        <vertAlign val="subscript"/>
        <sz val="11"/>
        <color rgb="FF000000"/>
        <rFont val="Calibri"/>
        <family val="2"/>
        <scheme val="minor"/>
      </rPr>
      <t>2</t>
    </r>
    <r>
      <rPr>
        <sz val="11"/>
        <color rgb="FF000000"/>
        <rFont val="Calibri"/>
        <family val="2"/>
        <charset val="238"/>
        <scheme val="minor"/>
      </rPr>
      <t>)</t>
    </r>
  </si>
  <si>
    <r>
      <t>Nitrate (NO</t>
    </r>
    <r>
      <rPr>
        <vertAlign val="subscript"/>
        <sz val="11"/>
        <color rgb="FF000000"/>
        <rFont val="Calibri"/>
        <family val="2"/>
        <scheme val="minor"/>
      </rPr>
      <t>3</t>
    </r>
    <r>
      <rPr>
        <sz val="11"/>
        <color rgb="FF000000"/>
        <rFont val="Calibri"/>
        <family val="2"/>
        <charset val="238"/>
        <scheme val="minor"/>
      </rPr>
      <t>)</t>
    </r>
  </si>
  <si>
    <r>
      <t>Dissolved nitrogen (N</t>
    </r>
    <r>
      <rPr>
        <vertAlign val="subscript"/>
        <sz val="11"/>
        <color rgb="FF000000"/>
        <rFont val="Calibri"/>
        <family val="2"/>
        <scheme val="minor"/>
      </rPr>
      <t>2</t>
    </r>
    <r>
      <rPr>
        <sz val="11"/>
        <color rgb="FF000000"/>
        <rFont val="Calibri"/>
        <family val="2"/>
        <charset val="238"/>
        <scheme val="minor"/>
      </rPr>
      <t>)</t>
    </r>
  </si>
  <si>
    <r>
      <t>Particulate biodegradable organic N (from X</t>
    </r>
    <r>
      <rPr>
        <vertAlign val="subscript"/>
        <sz val="11"/>
        <color rgb="FF000000"/>
        <rFont val="Calibri"/>
        <family val="2"/>
        <scheme val="minor"/>
      </rPr>
      <t>B</t>
    </r>
    <r>
      <rPr>
        <sz val="11"/>
        <color rgb="FF000000"/>
        <rFont val="Calibri"/>
        <family val="2"/>
        <charset val="238"/>
        <scheme val="minor"/>
      </rPr>
      <t>)</t>
    </r>
  </si>
  <si>
    <r>
      <t>Orthophosphate (PO</t>
    </r>
    <r>
      <rPr>
        <vertAlign val="subscript"/>
        <sz val="11"/>
        <color rgb="FF000000"/>
        <rFont val="Calibri"/>
        <family val="2"/>
        <scheme val="minor"/>
      </rPr>
      <t>4</t>
    </r>
    <r>
      <rPr>
        <sz val="11"/>
        <color rgb="FF000000"/>
        <rFont val="Calibri"/>
        <family val="2"/>
        <charset val="238"/>
        <scheme val="minor"/>
      </rPr>
      <t>)</t>
    </r>
  </si>
  <si>
    <t>Stored polyphosphate (PP)</t>
  </si>
  <si>
    <t>Soluble biodegradable organic P (from SB)</t>
  </si>
  <si>
    <r>
      <t>Particulate biodegradable organic P (from X</t>
    </r>
    <r>
      <rPr>
        <vertAlign val="subscript"/>
        <sz val="11"/>
        <color rgb="FF000000"/>
        <rFont val="Calibri"/>
        <family val="2"/>
        <scheme val="minor"/>
      </rPr>
      <t>B</t>
    </r>
    <r>
      <rPr>
        <sz val="11"/>
        <color rgb="FF000000"/>
        <rFont val="Calibri"/>
        <family val="2"/>
        <charset val="238"/>
        <scheme val="minor"/>
      </rPr>
      <t>)</t>
    </r>
  </si>
  <si>
    <t>Particulate unbiodegradable organic P</t>
  </si>
  <si>
    <r>
      <t>Dissolved oxygen (O</t>
    </r>
    <r>
      <rPr>
        <vertAlign val="subscript"/>
        <sz val="11"/>
        <color rgb="FF000000"/>
        <rFont val="Calibri"/>
        <family val="2"/>
        <scheme val="minor"/>
      </rPr>
      <t>2</t>
    </r>
    <r>
      <rPr>
        <sz val="11"/>
        <color rgb="FF000000"/>
        <rFont val="Calibri"/>
        <family val="2"/>
        <charset val="238"/>
        <scheme val="minor"/>
      </rPr>
      <t>)</t>
    </r>
  </si>
  <si>
    <r>
      <t>Dissolved methane (CH</t>
    </r>
    <r>
      <rPr>
        <vertAlign val="subscript"/>
        <sz val="11"/>
        <color rgb="FF000000"/>
        <rFont val="Calibri"/>
        <family val="2"/>
        <scheme val="minor"/>
      </rPr>
      <t>4</t>
    </r>
    <r>
      <rPr>
        <sz val="11"/>
        <color rgb="FF000000"/>
        <rFont val="Calibri"/>
        <family val="2"/>
        <charset val="238"/>
        <scheme val="minor"/>
      </rPr>
      <t>)</t>
    </r>
  </si>
  <si>
    <r>
      <t>Dissolved hydrogen (H</t>
    </r>
    <r>
      <rPr>
        <vertAlign val="subscript"/>
        <sz val="11"/>
        <color rgb="FF000000"/>
        <rFont val="Calibri"/>
        <family val="2"/>
        <scheme val="minor"/>
      </rPr>
      <t>2</t>
    </r>
    <r>
      <rPr>
        <sz val="11"/>
        <color rgb="FF000000"/>
        <rFont val="Calibri"/>
        <family val="2"/>
        <charset val="238"/>
        <scheme val="minor"/>
      </rPr>
      <t>)</t>
    </r>
  </si>
  <si>
    <r>
      <t>Total inorganic carbon (CO</t>
    </r>
    <r>
      <rPr>
        <vertAlign val="subscript"/>
        <sz val="11"/>
        <color rgb="FF000000"/>
        <rFont val="Calibri"/>
        <family val="2"/>
        <scheme val="minor"/>
      </rPr>
      <t>2</t>
    </r>
    <r>
      <rPr>
        <sz val="11"/>
        <color rgb="FF000000"/>
        <rFont val="Calibri"/>
        <family val="2"/>
        <charset val="238"/>
        <scheme val="minor"/>
      </rPr>
      <t>)</t>
    </r>
  </si>
  <si>
    <r>
      <t>Other strong cations (as Na</t>
    </r>
    <r>
      <rPr>
        <vertAlign val="superscript"/>
        <sz val="11"/>
        <color rgb="FF000000"/>
        <rFont val="Calibri"/>
        <family val="2"/>
        <scheme val="minor"/>
      </rPr>
      <t>+</t>
    </r>
    <r>
      <rPr>
        <sz val="11"/>
        <color rgb="FF000000"/>
        <rFont val="Calibri"/>
        <family val="2"/>
        <charset val="238"/>
        <scheme val="minor"/>
      </rPr>
      <t>)</t>
    </r>
  </si>
  <si>
    <r>
      <t>Other strong anions (as Cl</t>
    </r>
    <r>
      <rPr>
        <vertAlign val="superscript"/>
        <sz val="11"/>
        <color rgb="FF000000"/>
        <rFont val="Calibri"/>
        <family val="2"/>
        <scheme val="minor"/>
      </rPr>
      <t>-</t>
    </r>
    <r>
      <rPr>
        <sz val="11"/>
        <color rgb="FF000000"/>
        <rFont val="Calibri"/>
        <family val="2"/>
        <charset val="238"/>
        <scheme val="minor"/>
      </rPr>
      <t>)</t>
    </r>
  </si>
  <si>
    <r>
      <t>Ferrous ion (Fe</t>
    </r>
    <r>
      <rPr>
        <vertAlign val="subscript"/>
        <sz val="11"/>
        <color rgb="FF000000"/>
        <rFont val="Calibri"/>
        <family val="2"/>
        <scheme val="minor"/>
      </rPr>
      <t>2</t>
    </r>
    <r>
      <rPr>
        <sz val="11"/>
        <color rgb="FF000000"/>
        <rFont val="Calibri"/>
        <family val="2"/>
        <charset val="238"/>
        <scheme val="minor"/>
      </rPr>
      <t>)</t>
    </r>
  </si>
  <si>
    <t>Active hydrous ferric oxide, high surface (HFO,H)</t>
  </si>
  <si>
    <t>Active hydrous ferric oxide, low surface (HFO,L)</t>
  </si>
  <si>
    <t>Aged unused hydrous ferric oxide (HFO,old)</t>
  </si>
  <si>
    <t>P-bound hydrous ferric oxide, high surface (HFO,H,P)</t>
  </si>
  <si>
    <t>P-bound hydrous ferric oxide, low surface (HFO,L,P)</t>
  </si>
  <si>
    <r>
      <t>Calcium carbonate (CaCO</t>
    </r>
    <r>
      <rPr>
        <vertAlign val="subscript"/>
        <sz val="11"/>
        <color theme="1"/>
        <rFont val="Calibri"/>
        <family val="2"/>
        <scheme val="minor"/>
      </rPr>
      <t>3</t>
    </r>
    <r>
      <rPr>
        <sz val="11"/>
        <color indexed="8"/>
        <rFont val="Calibri"/>
        <family val="2"/>
      </rPr>
      <t>)</t>
    </r>
  </si>
  <si>
    <t>Amorphous calcium phosphate (ACP)</t>
  </si>
  <si>
    <t>Struvite (STR)</t>
  </si>
  <si>
    <t>Vivianite (Vivi)</t>
  </si>
  <si>
    <r>
      <t>Inhibition term for NH</t>
    </r>
    <r>
      <rPr>
        <vertAlign val="subscript"/>
        <sz val="11"/>
        <color rgb="FF000000"/>
        <rFont val="Calibri"/>
        <family val="2"/>
        <scheme val="minor"/>
      </rPr>
      <t>x</t>
    </r>
    <r>
      <rPr>
        <sz val="11"/>
        <color rgb="FF000000"/>
        <rFont val="Calibri"/>
        <family val="2"/>
        <charset val="238"/>
        <scheme val="minor"/>
      </rPr>
      <t xml:space="preserve"> (assimilative reduction)</t>
    </r>
  </si>
  <si>
    <t>Dielectric constant</t>
  </si>
  <si>
    <t>Solution density</t>
  </si>
  <si>
    <t>Dissociation constant of nitrous acid (activity corrected)</t>
  </si>
  <si>
    <r>
      <t>Solubility constant of CaCO</t>
    </r>
    <r>
      <rPr>
        <vertAlign val="subscript"/>
        <sz val="11"/>
        <color rgb="FF000000"/>
        <rFont val="Calibri"/>
        <family val="2"/>
        <scheme val="minor"/>
      </rPr>
      <t>3</t>
    </r>
    <r>
      <rPr>
        <sz val="11"/>
        <color rgb="FF000000"/>
        <rFont val="Calibri"/>
        <family val="2"/>
        <charset val="238"/>
        <scheme val="minor"/>
      </rPr>
      <t xml:space="preserve"> (activity corrected)</t>
    </r>
  </si>
  <si>
    <t>Solubility constant of struvite (activity corrected)</t>
  </si>
  <si>
    <t>Solubility constant of vivianite (activity corrected)</t>
  </si>
  <si>
    <t>Solubility constant of ACP (activity corrected)</t>
  </si>
  <si>
    <t>Half-saturations for aerobic ammonia oxidizers (AOB)</t>
  </si>
  <si>
    <t>Aerobic ammonia oxidizer kinetics (AOB)</t>
  </si>
  <si>
    <t>Nitrite oxidizer kinetics (NOB)</t>
  </si>
  <si>
    <t>Anammox organism kinetics (AMX)</t>
  </si>
  <si>
    <r>
      <t>Half-inhibition of NH</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</si>
  <si>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mol [HNO</t>
    </r>
    <r>
      <rPr>
        <vertAlign val="subscript"/>
        <sz val="11"/>
        <color indexed="8"/>
        <rFont val="Calibri"/>
        <family val="2"/>
        <scheme val="minor"/>
      </rPr>
      <t>2</t>
    </r>
    <r>
      <rPr>
        <sz val="11"/>
        <color indexed="8"/>
        <rFont val="Calibri"/>
        <family val="2"/>
        <scheme val="minor"/>
      </rPr>
      <t>].L</t>
    </r>
    <r>
      <rPr>
        <vertAlign val="superscript"/>
        <sz val="11"/>
        <color indexed="8"/>
        <rFont val="Calibri"/>
        <family val="2"/>
        <scheme val="minor"/>
      </rPr>
      <t>-1</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</si>
  <si>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AMX</t>
    </r>
  </si>
  <si>
    <t>Half-saturations for conversions</t>
  </si>
  <si>
    <r>
      <t>g Na.m</t>
    </r>
    <r>
      <rPr>
        <vertAlign val="superscript"/>
        <sz val="11"/>
        <rFont val="Calibri"/>
        <family val="2"/>
        <scheme val="minor"/>
      </rPr>
      <t>-3</t>
    </r>
  </si>
  <si>
    <r>
      <t>g Cl.m</t>
    </r>
    <r>
      <rPr>
        <vertAlign val="superscript"/>
        <sz val="11"/>
        <rFont val="Calibri"/>
        <family val="2"/>
        <scheme val="minor"/>
      </rPr>
      <t>-3</t>
    </r>
  </si>
  <si>
    <r>
      <t>g X</t>
    </r>
    <r>
      <rPr>
        <vertAlign val="subscript"/>
        <sz val="11"/>
        <rFont val="Calibri"/>
        <family val="2"/>
        <scheme val="minor"/>
      </rPr>
      <t>E</t>
    </r>
    <r>
      <rPr>
        <sz val="11"/>
        <rFont val="Calibri"/>
        <family val="2"/>
        <scheme val="minor"/>
      </rPr>
      <t>.g X</t>
    </r>
    <r>
      <rPr>
        <vertAlign val="subscript"/>
        <sz val="11"/>
        <rFont val="Calibri"/>
        <family val="2"/>
        <scheme val="minor"/>
      </rPr>
      <t>BIO</t>
    </r>
    <r>
      <rPr>
        <vertAlign val="superscript"/>
        <sz val="11"/>
        <rFont val="Calibri"/>
        <family val="2"/>
        <scheme val="minor"/>
      </rPr>
      <t>-1</t>
    </r>
  </si>
  <si>
    <r>
      <t>g O2.g COD</t>
    </r>
    <r>
      <rPr>
        <vertAlign val="superscript"/>
        <sz val="11"/>
        <color theme="1"/>
        <rFont val="Calibri"/>
        <family val="2"/>
        <scheme val="minor"/>
      </rPr>
      <t>-1</t>
    </r>
  </si>
  <si>
    <r>
      <t>f</t>
    </r>
    <r>
      <rPr>
        <vertAlign val="subscript"/>
        <sz val="11"/>
        <rFont val="Calibri"/>
        <family val="2"/>
        <scheme val="minor"/>
      </rPr>
      <t>S,BOD5,BODult</t>
    </r>
  </si>
  <si>
    <t>Fraction of BOD5 to ultimate BOD in soluble biodegradable substrates</t>
  </si>
  <si>
    <r>
      <t>f</t>
    </r>
    <r>
      <rPr>
        <vertAlign val="subscript"/>
        <sz val="11"/>
        <rFont val="Calibri"/>
        <family val="2"/>
        <scheme val="minor"/>
      </rPr>
      <t>C,BOD5,BODult</t>
    </r>
  </si>
  <si>
    <t>Fraction of BOD5 to ultimate BOD in colloidal biodegradable substrates</t>
  </si>
  <si>
    <r>
      <t>f</t>
    </r>
    <r>
      <rPr>
        <vertAlign val="subscript"/>
        <sz val="11"/>
        <rFont val="Calibri"/>
        <family val="2"/>
        <scheme val="minor"/>
      </rPr>
      <t>X,BOD5,BODult</t>
    </r>
  </si>
  <si>
    <t>Fraction of BOD5 to ultimate BOD in particulate biodegradable substrates</t>
  </si>
  <si>
    <r>
      <t>S</t>
    </r>
    <r>
      <rPr>
        <vertAlign val="subscript"/>
        <sz val="11"/>
        <rFont val="Calibri"/>
        <family val="2"/>
      </rPr>
      <t>rbCOD</t>
    </r>
  </si>
  <si>
    <t>COD of readily biodegradable substrates</t>
  </si>
  <si>
    <r>
      <t>XC</t>
    </r>
    <r>
      <rPr>
        <vertAlign val="subscript"/>
        <sz val="11"/>
        <rFont val="Calibri"/>
        <family val="2"/>
      </rPr>
      <t>sbCOD</t>
    </r>
  </si>
  <si>
    <t>COD of slowly biodegradable substrates</t>
  </si>
  <si>
    <t>Oxygen uptake rate (OUR)</t>
  </si>
  <si>
    <t>Phosphorus uptake rate, biologically (PURBIO)</t>
  </si>
  <si>
    <t>Phosphorus uptake rate, chemically (PURCHEM)</t>
  </si>
  <si>
    <r>
      <t>S</t>
    </r>
    <r>
      <rPr>
        <vertAlign val="subscript"/>
        <sz val="11"/>
        <rFont val="Calibri"/>
        <family val="2"/>
        <scheme val="minor"/>
      </rPr>
      <t>IC</t>
    </r>
  </si>
  <si>
    <t>Strong ion correction</t>
  </si>
  <si>
    <r>
      <t>S</t>
    </r>
    <r>
      <rPr>
        <vertAlign val="subscript"/>
        <sz val="11"/>
        <rFont val="Calibri"/>
        <family val="2"/>
        <scheme val="minor"/>
      </rPr>
      <t>CAT,ini,corr</t>
    </r>
  </si>
  <si>
    <r>
      <t>Other strong cations (as Na</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</si>
  <si>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CAT,ini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t>
    </r>
  </si>
  <si>
    <r>
      <t>S</t>
    </r>
    <r>
      <rPr>
        <vertAlign val="subscript"/>
        <sz val="11"/>
        <rFont val="Calibri"/>
        <family val="2"/>
        <scheme val="minor"/>
      </rPr>
      <t>AN,ini,corr</t>
    </r>
  </si>
  <si>
    <r>
      <t>Other strong anions (as Cl</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</si>
  <si>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AN,ini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t>
    </r>
  </si>
  <si>
    <r>
      <t>Other strong cations (as Na</t>
    </r>
    <r>
      <rPr>
        <vertAlign val="superscript"/>
        <sz val="11"/>
        <color rgb="FF000000"/>
        <rFont val="Calibri"/>
        <family val="2"/>
        <scheme val="minor"/>
      </rPr>
      <t>+</t>
    </r>
    <r>
      <rPr>
        <sz val="11"/>
        <color rgb="FF000000"/>
        <rFont val="Calibri"/>
        <family val="2"/>
        <charset val="238"/>
        <scheme val="minor"/>
      </rPr>
      <t>)</t>
    </r>
  </si>
  <si>
    <r>
      <t>If(S</t>
    </r>
    <r>
      <rPr>
        <vertAlign val="subscript"/>
        <sz val="11"/>
        <color indexed="8"/>
        <rFont val="Calibri"/>
        <family val="2"/>
      </rPr>
      <t>CAT,ini,corr</t>
    </r>
    <r>
      <rPr>
        <sz val="11"/>
        <color indexed="8"/>
        <rFont val="Calibri"/>
        <family val="2"/>
      </rPr>
      <t>&gt; 0; S</t>
    </r>
    <r>
      <rPr>
        <vertAlign val="subscript"/>
        <sz val="11"/>
        <color indexed="8"/>
        <rFont val="Calibri"/>
        <family val="2"/>
      </rPr>
      <t>CAT,ini,corr</t>
    </r>
    <r>
      <rPr>
        <sz val="11"/>
        <color theme="1"/>
        <rFont val="Calibri"/>
        <family val="2"/>
        <scheme val="minor"/>
      </rPr>
      <t>; S</t>
    </r>
    <r>
      <rPr>
        <vertAlign val="subscript"/>
        <sz val="11"/>
        <color theme="1"/>
        <rFont val="Calibri"/>
        <family val="2"/>
        <scheme val="minor"/>
      </rPr>
      <t>CAT,ini</t>
    </r>
    <r>
      <rPr>
        <sz val="11"/>
        <color indexed="8"/>
        <rFont val="Calibri"/>
        <family val="2"/>
      </rPr>
      <t>)</t>
    </r>
  </si>
  <si>
    <r>
      <t>Other strong anions (as Cl</t>
    </r>
    <r>
      <rPr>
        <vertAlign val="superscript"/>
        <sz val="11"/>
        <color rgb="FF000000"/>
        <rFont val="Calibri"/>
        <family val="2"/>
        <scheme val="minor"/>
      </rPr>
      <t>-</t>
    </r>
    <r>
      <rPr>
        <sz val="11"/>
        <color rgb="FF000000"/>
        <rFont val="Calibri"/>
        <family val="2"/>
        <charset val="238"/>
        <scheme val="minor"/>
      </rPr>
      <t>)</t>
    </r>
  </si>
  <si>
    <r>
      <t>If(S</t>
    </r>
    <r>
      <rPr>
        <vertAlign val="subscript"/>
        <sz val="11"/>
        <color theme="1"/>
        <rFont val="Calibri"/>
        <family val="2"/>
        <scheme val="minor"/>
      </rPr>
      <t>CAT,ini,corr</t>
    </r>
    <r>
      <rPr>
        <sz val="11"/>
        <color indexed="8"/>
        <rFont val="Calibri"/>
        <family val="2"/>
      </rPr>
      <t>&gt; 0; S</t>
    </r>
    <r>
      <rPr>
        <vertAlign val="subscript"/>
        <sz val="11"/>
        <color theme="1"/>
        <rFont val="Calibri"/>
        <family val="2"/>
        <scheme val="minor"/>
      </rPr>
      <t>AN,ini</t>
    </r>
    <r>
      <rPr>
        <sz val="11"/>
        <color indexed="8"/>
        <rFont val="Calibri"/>
        <family val="2"/>
      </rPr>
      <t>; S</t>
    </r>
    <r>
      <rPr>
        <vertAlign val="subscript"/>
        <sz val="11"/>
        <color theme="1"/>
        <rFont val="Calibri"/>
        <family val="2"/>
        <scheme val="minor"/>
      </rPr>
      <t>AN,ini,corr</t>
    </r>
    <r>
      <rPr>
        <sz val="11"/>
        <color indexed="8"/>
        <rFont val="Calibri"/>
        <family val="2"/>
      </rPr>
      <t>)</t>
    </r>
  </si>
  <si>
    <r>
      <t>f</t>
    </r>
    <r>
      <rPr>
        <vertAlign val="subscript"/>
        <sz val="11"/>
        <rFont val="Calibri"/>
        <family val="2"/>
        <scheme val="minor"/>
      </rPr>
      <t>H2O,HFO,TSS</t>
    </r>
  </si>
  <si>
    <r>
      <t>Fraction of H</t>
    </r>
    <r>
      <rPr>
        <vertAlign val="subscript"/>
        <sz val="11"/>
        <color rgb="FF000000"/>
        <rFont val="Calibri"/>
        <family val="2"/>
        <scheme val="minor"/>
      </rPr>
      <t>2</t>
    </r>
    <r>
      <rPr>
        <sz val="11"/>
        <color rgb="FF000000"/>
        <rFont val="Calibri"/>
        <family val="2"/>
        <charset val="238"/>
        <scheme val="minor"/>
      </rPr>
      <t>O loss in TSS test for HFO</t>
    </r>
  </si>
  <si>
    <r>
      <t>g H2O.g FeOH</t>
    </r>
    <r>
      <rPr>
        <vertAlign val="superscript"/>
        <sz val="11"/>
        <rFont val="Calibri"/>
        <family val="2"/>
        <scheme val="minor"/>
      </rPr>
      <t>-1</t>
    </r>
  </si>
  <si>
    <r>
      <t>f</t>
    </r>
    <r>
      <rPr>
        <vertAlign val="subscript"/>
        <sz val="11"/>
        <rFont val="Calibri"/>
        <family val="2"/>
        <scheme val="minor"/>
      </rPr>
      <t>H2O,HFO,VSS</t>
    </r>
  </si>
  <si>
    <t xml:space="preserve">Fraction of H2O loss in VSS test for HFO </t>
  </si>
  <si>
    <t>Me(OH)3 -&gt; Me2O3 + 3H2O</t>
  </si>
  <si>
    <t>Fe</t>
  </si>
  <si>
    <t>Al</t>
  </si>
  <si>
    <t>g H2O /g MeOH</t>
  </si>
  <si>
    <t>theoretical complete reaction</t>
  </si>
  <si>
    <t>measured loss between 105°C and 500°C</t>
  </si>
  <si>
    <t>Stricker et al. (2004) for Fe, calculation for Al</t>
  </si>
  <si>
    <r>
      <t>X</t>
    </r>
    <r>
      <rPr>
        <vertAlign val="subscript"/>
        <sz val="11"/>
        <rFont val="Calibri"/>
        <family val="2"/>
        <scheme val="minor"/>
      </rPr>
      <t>Me,TSS</t>
    </r>
  </si>
  <si>
    <t>Metal precipitates in TSS unit</t>
  </si>
  <si>
    <t>r75</t>
  </si>
  <si>
    <t>r76</t>
  </si>
  <si>
    <t>r77</t>
  </si>
  <si>
    <t>r78</t>
  </si>
  <si>
    <t>r79</t>
  </si>
  <si>
    <t>r80</t>
  </si>
  <si>
    <t>r81</t>
  </si>
  <si>
    <t>r82</t>
  </si>
  <si>
    <t>r83</t>
  </si>
  <si>
    <t>r84</t>
  </si>
  <si>
    <t>r85</t>
  </si>
  <si>
    <t>OHO anaerobic decay</t>
  </si>
  <si>
    <t>MEOLO anaerobic decay</t>
  </si>
  <si>
    <t>AOB anaerobic decay</t>
  </si>
  <si>
    <t>NOB anaerobic decay</t>
  </si>
  <si>
    <t>Anammox anaerobic decay</t>
  </si>
  <si>
    <t>AMETO anaerobic decay</t>
  </si>
  <si>
    <t>HMETO anaerobic decay</t>
  </si>
  <si>
    <r>
      <t>b</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</si>
  <si>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b</t>
    </r>
    <r>
      <rPr>
        <vertAlign val="subscript"/>
        <sz val="11"/>
        <rFont val="Calibri"/>
        <family val="2"/>
      </rPr>
      <t>OHO,T</t>
    </r>
    <r>
      <rPr>
        <sz val="11"/>
        <rFont val="Calibri"/>
        <family val="2"/>
      </rPr>
      <t>*X</t>
    </r>
    <r>
      <rPr>
        <vertAlign val="subscript"/>
        <sz val="11"/>
        <rFont val="Calibri"/>
        <family val="2"/>
      </rPr>
      <t>OHO</t>
    </r>
    <r>
      <rPr>
        <sz val="11"/>
        <rFont val="Calibri"/>
        <family val="2"/>
      </rPr>
      <t>*</t>
    </r>
    <r>
      <rPr>
        <sz val="11"/>
        <rFont val="Calibri"/>
        <family val="2"/>
      </rPr>
      <t>η</t>
    </r>
    <r>
      <rPr>
        <vertAlign val="subscript"/>
        <sz val="11"/>
        <rFont val="Calibri"/>
        <family val="2"/>
      </rPr>
      <t>b,ana</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SO2,KO2,OHO</t>
    </r>
  </si>
  <si>
    <r>
      <t>J.m</t>
    </r>
    <r>
      <rPr>
        <vertAlign val="superscript"/>
        <sz val="11"/>
        <rFont val="Calibri"/>
        <family val="2"/>
        <scheme val="minor"/>
      </rPr>
      <t>-3</t>
    </r>
  </si>
  <si>
    <r>
      <t>Molecular mass of Fe(OH)</t>
    </r>
    <r>
      <rPr>
        <vertAlign val="subscript"/>
        <sz val="11"/>
        <rFont val="Calibri"/>
        <family val="2"/>
        <scheme val="minor"/>
      </rPr>
      <t>3</t>
    </r>
  </si>
  <si>
    <r>
      <t>Molecular mass of Al(OH)</t>
    </r>
    <r>
      <rPr>
        <vertAlign val="subscript"/>
        <sz val="11"/>
        <rFont val="Calibri"/>
        <family val="2"/>
        <scheme val="minor"/>
      </rPr>
      <t>3</t>
    </r>
  </si>
  <si>
    <r>
      <t>Molecular mass of AlPO</t>
    </r>
    <r>
      <rPr>
        <vertAlign val="subscript"/>
        <sz val="11"/>
        <rFont val="Calibri"/>
        <family val="2"/>
        <scheme val="minor"/>
      </rPr>
      <t>4</t>
    </r>
  </si>
  <si>
    <t>Dissociation constant of water</t>
  </si>
  <si>
    <t>10^-13.997 NIST  (Minteq V4) 25°C</t>
  </si>
  <si>
    <t>Dissociation constant of ammonia</t>
  </si>
  <si>
    <t>10^-9.244 NIST  (Minteq V4) 25°C</t>
  </si>
  <si>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</si>
  <si>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</si>
  <si>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</si>
  <si>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</si>
  <si>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</si>
  <si>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</si>
  <si>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</si>
  <si>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</si>
  <si>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</si>
  <si>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</si>
  <si>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</si>
  <si>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</si>
  <si>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</si>
  <si>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</si>
  <si>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</si>
  <si>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</si>
  <si>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</si>
  <si>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</si>
  <si>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</si>
  <si>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</si>
  <si>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t>Solubility constant of ACP</t>
  </si>
  <si>
    <t>Solubility constant of vivianite</t>
  </si>
  <si>
    <t>Solubility constant of FeS</t>
  </si>
  <si>
    <t>Solubility constant of HDP</t>
  </si>
  <si>
    <t>Solubility constant of MKP</t>
  </si>
  <si>
    <r>
      <t>J.mol</t>
    </r>
    <r>
      <rPr>
        <vertAlign val="superscript"/>
        <sz val="11"/>
        <rFont val="Calibri"/>
        <family val="2"/>
        <scheme val="minor"/>
      </rPr>
      <t>-1</t>
    </r>
  </si>
  <si>
    <t>Diffusion coefficient of volatile fatty acids</t>
  </si>
  <si>
    <t>to be set accurately</t>
  </si>
  <si>
    <t>Diffusion coefficient of soluble degradable organics</t>
  </si>
  <si>
    <t>Diffusion coefficient of soluble degradable organics (monomers)</t>
  </si>
  <si>
    <t>Diffusion coefficient of soluble degradable organics (polymers)</t>
  </si>
  <si>
    <t>Diffusion coefficient of fermentable organic matter</t>
  </si>
  <si>
    <t>Diffusion coefficient of methanol</t>
  </si>
  <si>
    <t>Diffusion coefficient of soluble undegradable organics</t>
  </si>
  <si>
    <t>Diffusion coefficient of total ammonia</t>
  </si>
  <si>
    <t>Diffusivities from Perry, Handbook of Chemical Engineers, Table 2-372, for 25°C, as acetate</t>
  </si>
  <si>
    <t>Diffusion coefficient of ammonia</t>
  </si>
  <si>
    <t>Diffusitives from Perry, Handbook of Chemical Engineers, Table 2-372, for 25°C, as acetate</t>
  </si>
  <si>
    <t>Diffusion coefficient of nitrate and nitrite</t>
  </si>
  <si>
    <t>Diffusion coefficient of orthophosphate</t>
  </si>
  <si>
    <t>Diffusion coefficient of dissolved nitrogen gas</t>
  </si>
  <si>
    <t>Diffusitives from Perry, Handbook of Chemical Engineers, Table 2-372, for 25°C</t>
  </si>
  <si>
    <t>Diffusion coefficient of soluble inert organic nitrogen</t>
  </si>
  <si>
    <t>Assumed the same as SS</t>
  </si>
  <si>
    <t>Diffusion coefficient of soluble biodegradable organic nitrogen</t>
  </si>
  <si>
    <t>Diffusion coefficient of nitrite</t>
  </si>
  <si>
    <t>Diffusion coefficient of nitrate</t>
  </si>
  <si>
    <t>Diffusion coefficient of soluble biodegradable organic N</t>
  </si>
  <si>
    <t>Diffusion coefficient of soluble biodegradable organic P</t>
  </si>
  <si>
    <t>Diffusion coefficient of dissolved oxygen</t>
  </si>
  <si>
    <t>Diffusivities from Perry, Handbook of Chemical Engineers, Table 2-372, for 25°C</t>
  </si>
  <si>
    <t>Diffusion coefficient of dissolved methane</t>
  </si>
  <si>
    <t>Diffusion coefficient of dissolved hydrogen</t>
  </si>
  <si>
    <t>Diffusion coefficient of dissolved carbon dioxide</t>
  </si>
  <si>
    <t>Diffusion coefficient of dissolved potassium</t>
  </si>
  <si>
    <t>Diffusion coefficient of dissolved calcium</t>
  </si>
  <si>
    <t>Diffusion coefficient of dissolved magnesium</t>
  </si>
  <si>
    <t>Diffusion coefficient of dissolved strong cations</t>
  </si>
  <si>
    <t>Diffusion coefficient of dissolved strong anions</t>
  </si>
  <si>
    <t>Diffusion coefficient of hydrogen sulfide</t>
  </si>
  <si>
    <t>Diffusion coefficient of sulphate</t>
  </si>
  <si>
    <t>Diffusion coefficient of dissolved ferrous ion</t>
  </si>
  <si>
    <t>Diffusion coefficient of alkalinity</t>
  </si>
  <si>
    <t>Diffusion coefficient of Methyl Mercaptan production index</t>
  </si>
  <si>
    <t>Diffusion coefficient of colloidal biodegradable substrate</t>
  </si>
  <si>
    <t>Diffusion coefficient of colloidal unbiodegradable organics</t>
  </si>
  <si>
    <r>
      <t>Logsat</t>
    </r>
    <r>
      <rPr>
        <vertAlign val="subscript"/>
        <sz val="11"/>
        <rFont val="Calibri"/>
        <family val="2"/>
        <scheme val="minor"/>
      </rPr>
      <t>ORP,HFO,Half</t>
    </r>
  </si>
  <si>
    <t>Logistic half-saturation of ORP switching in HFO reduction</t>
  </si>
  <si>
    <r>
      <rPr>
        <sz val="11"/>
        <color indexed="8"/>
        <rFont val="Calibri"/>
        <family val="2"/>
        <scheme val="minor"/>
      </rPr>
      <t>Logsat</t>
    </r>
    <r>
      <rPr>
        <vertAlign val="subscript"/>
        <sz val="11"/>
        <rFont val="Calibri"/>
        <family val="2"/>
        <scheme val="minor"/>
      </rPr>
      <t>ORP,HFO,Slope</t>
    </r>
  </si>
  <si>
    <t>Logistic slope of ORP switching in HFO reduction</t>
  </si>
  <si>
    <r>
      <t>Loginh</t>
    </r>
    <r>
      <rPr>
        <vertAlign val="subscript"/>
        <sz val="11"/>
        <rFont val="Calibri"/>
        <family val="2"/>
      </rPr>
      <t>ORP,HFO</t>
    </r>
  </si>
  <si>
    <t>ORP switch of HFO reduction</t>
  </si>
  <si>
    <t>MinStateVar</t>
  </si>
  <si>
    <t>MaxStateVar</t>
  </si>
  <si>
    <t>Separators</t>
  </si>
  <si>
    <t>Sumo 2</t>
  </si>
  <si>
    <r>
      <t>S</t>
    </r>
    <r>
      <rPr>
        <vertAlign val="subscript"/>
        <sz val="11"/>
        <rFont val="Calibri"/>
        <family val="2"/>
      </rPr>
      <t>B</t>
    </r>
    <r>
      <rPr>
        <sz val="11"/>
        <rFont val="Calibri"/>
        <family val="2"/>
      </rPr>
      <t xml:space="preserve"> fermentation with high VFA (PAO growth, anaerobic)</t>
    </r>
  </si>
  <si>
    <r>
      <t>S</t>
    </r>
    <r>
      <rPr>
        <vertAlign val="subscript"/>
        <sz val="11"/>
        <rFont val="Calibri"/>
        <family val="2"/>
      </rPr>
      <t>B</t>
    </r>
    <r>
      <rPr>
        <sz val="11"/>
        <rFont val="Calibri"/>
        <family val="2"/>
      </rPr>
      <t xml:space="preserve"> fermentation with low VFA (PAO growth, anaerobic)</t>
    </r>
  </si>
  <si>
    <r>
      <t>Carbon dioxide gas (CO</t>
    </r>
    <r>
      <rPr>
        <vertAlign val="subscript"/>
        <sz val="11"/>
        <rFont val="Calibri"/>
        <family val="2"/>
      </rPr>
      <t>2</t>
    </r>
    <r>
      <rPr>
        <sz val="11"/>
        <rFont val="Calibri"/>
        <family val="2"/>
      </rPr>
      <t>)</t>
    </r>
  </si>
  <si>
    <r>
      <t>g TIC</t>
    </r>
    <r>
      <rPr>
        <sz val="11"/>
        <color theme="1"/>
        <rFont val="Calibri"/>
        <family val="2"/>
        <charset val="238"/>
        <scheme val="minor"/>
      </rPr>
      <t>.</t>
    </r>
    <r>
      <rPr>
        <sz val="11"/>
        <color theme="1"/>
        <rFont val="Calibri"/>
        <family val="2"/>
        <scheme val="minor"/>
      </rPr>
      <t>m</t>
    </r>
    <r>
      <rPr>
        <vertAlign val="superscript"/>
        <sz val="11"/>
        <color theme="1"/>
        <rFont val="Calibri"/>
        <family val="2"/>
        <scheme val="minor"/>
      </rPr>
      <t>-3</t>
    </r>
  </si>
  <si>
    <r>
      <t>Methane gas (CH</t>
    </r>
    <r>
      <rPr>
        <vertAlign val="subscript"/>
        <sz val="11"/>
        <color rgb="FF000000"/>
        <rFont val="Calibri"/>
        <family val="2"/>
        <scheme val="minor"/>
      </rPr>
      <t>4</t>
    </r>
    <r>
      <rPr>
        <sz val="11"/>
        <color rgb="FF000000"/>
        <rFont val="Calibri"/>
        <family val="2"/>
        <charset val="238"/>
        <scheme val="minor"/>
      </rPr>
      <t>)</t>
    </r>
  </si>
  <si>
    <r>
      <t>g COD.m</t>
    </r>
    <r>
      <rPr>
        <vertAlign val="superscript"/>
        <sz val="11"/>
        <color theme="1"/>
        <rFont val="Calibri"/>
        <family val="2"/>
        <scheme val="minor"/>
      </rPr>
      <t>-3</t>
    </r>
  </si>
  <si>
    <r>
      <t>Hydrogen gas (H</t>
    </r>
    <r>
      <rPr>
        <vertAlign val="subscript"/>
        <sz val="11"/>
        <color rgb="FF000000"/>
        <rFont val="Calibri"/>
        <family val="2"/>
        <scheme val="minor"/>
      </rPr>
      <t>2</t>
    </r>
    <r>
      <rPr>
        <sz val="11"/>
        <color rgb="FF000000"/>
        <rFont val="Calibri"/>
        <family val="2"/>
        <charset val="238"/>
        <scheme val="minor"/>
      </rPr>
      <t>)</t>
    </r>
  </si>
  <si>
    <r>
      <t>Oxygen gas (O</t>
    </r>
    <r>
      <rPr>
        <vertAlign val="subscript"/>
        <sz val="11"/>
        <color rgb="FF000000"/>
        <rFont val="Calibri"/>
        <family val="2"/>
        <scheme val="minor"/>
      </rPr>
      <t>2</t>
    </r>
    <r>
      <rPr>
        <sz val="11"/>
        <color rgb="FF000000"/>
        <rFont val="Calibri"/>
        <family val="2"/>
        <charset val="238"/>
        <scheme val="minor"/>
      </rPr>
      <t>)</t>
    </r>
  </si>
  <si>
    <r>
      <t>g O</t>
    </r>
    <r>
      <rPr>
        <vertAlign val="subscript"/>
        <sz val="11"/>
        <color theme="1"/>
        <rFont val="Calibri"/>
        <family val="2"/>
        <scheme val="minor"/>
      </rPr>
      <t>2</t>
    </r>
    <r>
      <rPr>
        <sz val="11"/>
        <color theme="1"/>
        <rFont val="Calibri"/>
        <family val="2"/>
        <scheme val="minor"/>
      </rPr>
      <t>.m</t>
    </r>
    <r>
      <rPr>
        <vertAlign val="superscript"/>
        <sz val="11"/>
        <color theme="1"/>
        <rFont val="Calibri"/>
        <family val="2"/>
        <scheme val="minor"/>
      </rPr>
      <t>-3</t>
    </r>
  </si>
  <si>
    <r>
      <t>Ammonia gas (NH</t>
    </r>
    <r>
      <rPr>
        <vertAlign val="subscript"/>
        <sz val="11"/>
        <rFont val="Calibri"/>
        <family val="2"/>
      </rPr>
      <t>3</t>
    </r>
    <r>
      <rPr>
        <sz val="11"/>
        <rFont val="Calibri"/>
        <family val="2"/>
      </rPr>
      <t>)</t>
    </r>
  </si>
  <si>
    <r>
      <t>g N.m</t>
    </r>
    <r>
      <rPr>
        <vertAlign val="superscript"/>
        <sz val="11"/>
        <color theme="1"/>
        <rFont val="Calibri"/>
        <family val="2"/>
        <scheme val="minor"/>
      </rPr>
      <t>-3</t>
    </r>
  </si>
  <si>
    <r>
      <t>Nitrogen gas (N</t>
    </r>
    <r>
      <rPr>
        <vertAlign val="subscript"/>
        <sz val="11"/>
        <color rgb="FF000000"/>
        <rFont val="Calibri"/>
        <family val="2"/>
        <scheme val="minor"/>
      </rPr>
      <t>2</t>
    </r>
    <r>
      <rPr>
        <sz val="11"/>
        <color rgb="FF000000"/>
        <rFont val="Calibri"/>
        <family val="2"/>
        <charset val="238"/>
        <scheme val="minor"/>
      </rPr>
      <t>)</t>
    </r>
  </si>
  <si>
    <r>
      <t>g N</t>
    </r>
    <r>
      <rPr>
        <sz val="11"/>
        <color theme="1"/>
        <rFont val="Calibri"/>
        <family val="2"/>
        <scheme val="minor"/>
      </rPr>
      <t>.m</t>
    </r>
    <r>
      <rPr>
        <vertAlign val="superscript"/>
        <sz val="11"/>
        <color theme="1"/>
        <rFont val="Calibri"/>
        <family val="2"/>
        <scheme val="minor"/>
      </rPr>
      <t>-3</t>
    </r>
  </si>
  <si>
    <r>
      <t>G</t>
    </r>
    <r>
      <rPr>
        <b/>
        <vertAlign val="subscript"/>
        <sz val="11"/>
        <rFont val="Calibri"/>
        <family val="2"/>
        <charset val="238"/>
      </rPr>
      <t>CO2,atm</t>
    </r>
  </si>
  <si>
    <t>Balancing</t>
  </si>
  <si>
    <r>
      <t>G</t>
    </r>
    <r>
      <rPr>
        <b/>
        <vertAlign val="subscript"/>
        <sz val="11"/>
        <rFont val="Calibri"/>
        <family val="2"/>
        <charset val="238"/>
      </rPr>
      <t>CH4,atm</t>
    </r>
  </si>
  <si>
    <r>
      <t>G</t>
    </r>
    <r>
      <rPr>
        <b/>
        <vertAlign val="subscript"/>
        <sz val="11"/>
        <rFont val="Calibri"/>
        <family val="2"/>
        <charset val="238"/>
      </rPr>
      <t>H2,atm</t>
    </r>
  </si>
  <si>
    <r>
      <t>G</t>
    </r>
    <r>
      <rPr>
        <b/>
        <vertAlign val="subscript"/>
        <sz val="11"/>
        <rFont val="Calibri"/>
        <family val="2"/>
        <charset val="238"/>
      </rPr>
      <t>O2,atm</t>
    </r>
  </si>
  <si>
    <r>
      <t>G</t>
    </r>
    <r>
      <rPr>
        <b/>
        <vertAlign val="subscript"/>
        <sz val="11"/>
        <rFont val="Calibri"/>
        <family val="2"/>
        <charset val="238"/>
      </rPr>
      <t>NH3,atm</t>
    </r>
  </si>
  <si>
    <r>
      <t>G</t>
    </r>
    <r>
      <rPr>
        <b/>
        <vertAlign val="subscript"/>
        <sz val="11"/>
        <rFont val="Calibri"/>
        <family val="2"/>
        <charset val="238"/>
      </rPr>
      <t>N2,atm</t>
    </r>
  </si>
  <si>
    <r>
      <t>G</t>
    </r>
    <r>
      <rPr>
        <b/>
        <vertAlign val="subscript"/>
        <sz val="11"/>
        <rFont val="Calibri"/>
        <family val="2"/>
      </rPr>
      <t>CO2,atm</t>
    </r>
  </si>
  <si>
    <r>
      <t>G</t>
    </r>
    <r>
      <rPr>
        <b/>
        <vertAlign val="subscript"/>
        <sz val="11"/>
        <rFont val="Calibri"/>
        <family val="2"/>
      </rPr>
      <t>CH4,atm</t>
    </r>
  </si>
  <si>
    <r>
      <t>G</t>
    </r>
    <r>
      <rPr>
        <b/>
        <vertAlign val="subscript"/>
        <sz val="11"/>
        <rFont val="Calibri"/>
        <family val="2"/>
      </rPr>
      <t>H2,atm</t>
    </r>
  </si>
  <si>
    <r>
      <t>G</t>
    </r>
    <r>
      <rPr>
        <b/>
        <vertAlign val="subscript"/>
        <sz val="11"/>
        <rFont val="Calibri"/>
        <family val="2"/>
      </rPr>
      <t>O2,atm</t>
    </r>
  </si>
  <si>
    <r>
      <t>G</t>
    </r>
    <r>
      <rPr>
        <b/>
        <vertAlign val="subscript"/>
        <sz val="11"/>
        <rFont val="Calibri"/>
        <family val="2"/>
      </rPr>
      <t>NH3,atm</t>
    </r>
  </si>
  <si>
    <r>
      <t>G</t>
    </r>
    <r>
      <rPr>
        <b/>
        <vertAlign val="subscript"/>
        <sz val="11"/>
        <rFont val="Calibri"/>
        <family val="2"/>
      </rPr>
      <t>N2,atm</t>
    </r>
  </si>
  <si>
    <t>Carbon dioxide gas transfer - surface</t>
  </si>
  <si>
    <r>
      <t>-Δ</t>
    </r>
    <r>
      <rPr>
        <vertAlign val="subscript"/>
        <sz val="11"/>
        <rFont val="Calibri"/>
        <family val="2"/>
      </rPr>
      <t>atm</t>
    </r>
  </si>
  <si>
    <r>
      <t>k</t>
    </r>
    <r>
      <rPr>
        <vertAlign val="subscript"/>
        <sz val="11"/>
        <rFont val="Calibri"/>
        <family val="2"/>
        <scheme val="minor"/>
      </rPr>
      <t>transfer,GCO2,sur</t>
    </r>
  </si>
  <si>
    <t>Methane gas transfer - surface</t>
  </si>
  <si>
    <r>
      <t>k</t>
    </r>
    <r>
      <rPr>
        <vertAlign val="subscript"/>
        <sz val="11"/>
        <rFont val="Calibri"/>
        <family val="2"/>
      </rPr>
      <t>L</t>
    </r>
    <r>
      <rPr>
        <sz val="11"/>
        <rFont val="Calibri"/>
        <family val="2"/>
      </rPr>
      <t>a</t>
    </r>
    <r>
      <rPr>
        <vertAlign val="subscript"/>
        <sz val="11"/>
        <rFont val="Calibri"/>
        <family val="2"/>
      </rPr>
      <t>GCH4,sur</t>
    </r>
    <r>
      <rPr>
        <sz val="11"/>
        <rFont val="Calibri"/>
        <family val="2"/>
      </rPr>
      <t>*(S</t>
    </r>
    <r>
      <rPr>
        <vertAlign val="subscript"/>
        <sz val="11"/>
        <rFont val="Calibri"/>
        <family val="2"/>
      </rPr>
      <t>GCH4,sur,sat</t>
    </r>
    <r>
      <rPr>
        <sz val="11"/>
        <rFont val="Calibri"/>
        <family val="2"/>
      </rPr>
      <t xml:space="preserve"> - S</t>
    </r>
    <r>
      <rPr>
        <vertAlign val="subscript"/>
        <sz val="11"/>
        <rFont val="Calibri"/>
        <family val="2"/>
      </rPr>
      <t>CH4</t>
    </r>
    <r>
      <rPr>
        <sz val="11"/>
        <rFont val="Calibri"/>
        <family val="2"/>
      </rPr>
      <t>)</t>
    </r>
  </si>
  <si>
    <t>Hydrogen gas transfer - surface</t>
  </si>
  <si>
    <r>
      <t>k</t>
    </r>
    <r>
      <rPr>
        <vertAlign val="subscript"/>
        <sz val="11"/>
        <rFont val="Calibri"/>
        <family val="2"/>
      </rPr>
      <t>L</t>
    </r>
    <r>
      <rPr>
        <sz val="11"/>
        <rFont val="Calibri"/>
        <family val="2"/>
      </rPr>
      <t>a</t>
    </r>
    <r>
      <rPr>
        <vertAlign val="subscript"/>
        <sz val="11"/>
        <rFont val="Calibri"/>
        <family val="2"/>
      </rPr>
      <t>GH2,sur</t>
    </r>
    <r>
      <rPr>
        <sz val="11"/>
        <rFont val="Calibri"/>
        <family val="2"/>
      </rPr>
      <t>*(S</t>
    </r>
    <r>
      <rPr>
        <vertAlign val="subscript"/>
        <sz val="11"/>
        <rFont val="Calibri"/>
        <family val="2"/>
      </rPr>
      <t>GH2,sur,sat</t>
    </r>
    <r>
      <rPr>
        <sz val="11"/>
        <rFont val="Calibri"/>
        <family val="2"/>
      </rPr>
      <t xml:space="preserve"> - S</t>
    </r>
    <r>
      <rPr>
        <vertAlign val="subscript"/>
        <sz val="11"/>
        <rFont val="Calibri"/>
        <family val="2"/>
      </rPr>
      <t>H2</t>
    </r>
    <r>
      <rPr>
        <sz val="11"/>
        <rFont val="Calibri"/>
        <family val="2"/>
      </rPr>
      <t>)</t>
    </r>
  </si>
  <si>
    <t>Oxygen gas transfer - surface</t>
  </si>
  <si>
    <r>
      <t>k</t>
    </r>
    <r>
      <rPr>
        <vertAlign val="subscript"/>
        <sz val="11"/>
        <rFont val="Calibri"/>
        <family val="2"/>
      </rPr>
      <t>L</t>
    </r>
    <r>
      <rPr>
        <sz val="11"/>
        <rFont val="Calibri"/>
        <family val="2"/>
      </rPr>
      <t>a</t>
    </r>
    <r>
      <rPr>
        <vertAlign val="subscript"/>
        <sz val="11"/>
        <rFont val="Calibri"/>
        <family val="2"/>
      </rPr>
      <t>GO2,sur</t>
    </r>
    <r>
      <rPr>
        <sz val="11"/>
        <rFont val="Calibri"/>
        <family val="2"/>
      </rPr>
      <t>*(S</t>
    </r>
    <r>
      <rPr>
        <vertAlign val="subscript"/>
        <sz val="11"/>
        <rFont val="Calibri"/>
        <family val="2"/>
      </rPr>
      <t>GO2,sur,sat</t>
    </r>
    <r>
      <rPr>
        <sz val="11"/>
        <rFont val="Calibri"/>
        <family val="2"/>
      </rPr>
      <t xml:space="preserve"> - S</t>
    </r>
    <r>
      <rPr>
        <vertAlign val="subscript"/>
        <sz val="11"/>
        <rFont val="Calibri"/>
        <family val="2"/>
      </rPr>
      <t>O2</t>
    </r>
    <r>
      <rPr>
        <sz val="11"/>
        <rFont val="Calibri"/>
        <family val="2"/>
      </rPr>
      <t>)</t>
    </r>
  </si>
  <si>
    <t>Ammonia absorption - surface</t>
  </si>
  <si>
    <r>
      <t>k</t>
    </r>
    <r>
      <rPr>
        <vertAlign val="subscript"/>
        <sz val="11"/>
        <rFont val="Calibri"/>
        <family val="2"/>
        <scheme val="minor"/>
      </rPr>
      <t>transfer,GNH3,sur</t>
    </r>
  </si>
  <si>
    <t>Nitrogen gas transfer - surface</t>
  </si>
  <si>
    <r>
      <t>k</t>
    </r>
    <r>
      <rPr>
        <vertAlign val="subscript"/>
        <sz val="11"/>
        <rFont val="Calibri"/>
        <family val="2"/>
      </rPr>
      <t>L</t>
    </r>
    <r>
      <rPr>
        <sz val="11"/>
        <rFont val="Calibri"/>
        <family val="2"/>
      </rPr>
      <t>a</t>
    </r>
    <r>
      <rPr>
        <vertAlign val="subscript"/>
        <sz val="11"/>
        <rFont val="Calibri"/>
        <family val="2"/>
      </rPr>
      <t>GN2,sur</t>
    </r>
    <r>
      <rPr>
        <sz val="11"/>
        <rFont val="Calibri"/>
        <family val="2"/>
      </rPr>
      <t>*(S</t>
    </r>
    <r>
      <rPr>
        <vertAlign val="subscript"/>
        <sz val="11"/>
        <rFont val="Calibri"/>
        <family val="2"/>
      </rPr>
      <t>GN2,sur,sat</t>
    </r>
    <r>
      <rPr>
        <sz val="11"/>
        <rFont val="Calibri"/>
        <family val="2"/>
      </rPr>
      <t xml:space="preserve"> - S</t>
    </r>
    <r>
      <rPr>
        <vertAlign val="subscript"/>
        <sz val="11"/>
        <rFont val="Calibri"/>
        <family val="2"/>
      </rPr>
      <t>N2</t>
    </r>
    <r>
      <rPr>
        <sz val="11"/>
        <rFont val="Calibri"/>
        <family val="2"/>
      </rPr>
      <t>)</t>
    </r>
  </si>
  <si>
    <r>
      <t>k</t>
    </r>
    <r>
      <rPr>
        <vertAlign val="subscript"/>
        <sz val="11"/>
        <rFont val="Calibri"/>
        <family val="2"/>
        <scheme val="minor"/>
      </rPr>
      <t>transfer,GCO2,bub</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</si>
  <si>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CH4,bub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CH4,bub,sat </t>
    </r>
    <r>
      <rPr>
        <sz val="11"/>
        <rFont val="Calibri"/>
        <family val="2"/>
        <scheme val="minor"/>
      </rPr>
      <t>- S</t>
    </r>
    <r>
      <rPr>
        <vertAlign val="subscript"/>
        <sz val="11"/>
        <rFont val="Calibri"/>
        <family val="2"/>
        <scheme val="minor"/>
      </rPr>
      <t>CH4</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</si>
  <si>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GH2</t>
    </r>
    <r>
      <rPr>
        <vertAlign val="subscript"/>
        <sz val="11"/>
        <rFont val="Calibri"/>
        <family val="2"/>
        <scheme val="minor"/>
      </rPr>
      <t>,bub</t>
    </r>
    <r>
      <rPr>
        <sz val="11"/>
        <rFont val="Calibri"/>
        <family val="2"/>
        <scheme val="minor"/>
      </rPr>
      <t>*(S</t>
    </r>
    <r>
      <rPr>
        <vertAlign val="subscript"/>
        <sz val="11"/>
        <rFont val="Calibri"/>
        <family val="2"/>
        <charset val="238"/>
        <scheme val="minor"/>
      </rPr>
      <t>GH2</t>
    </r>
    <r>
      <rPr>
        <vertAlign val="subscript"/>
        <sz val="11"/>
        <rFont val="Calibri"/>
        <family val="2"/>
        <scheme val="minor"/>
      </rPr>
      <t xml:space="preserve">,bub,sat </t>
    </r>
    <r>
      <rPr>
        <sz val="11"/>
        <rFont val="Calibri"/>
        <family val="2"/>
        <scheme val="minor"/>
      </rPr>
      <t>- S</t>
    </r>
    <r>
      <rPr>
        <vertAlign val="subscript"/>
        <sz val="11"/>
        <rFont val="Calibri"/>
        <family val="2"/>
        <scheme val="minor"/>
      </rPr>
      <t>H2</t>
    </r>
    <r>
      <rPr>
        <sz val="11"/>
        <rFont val="Calibri"/>
        <family val="2"/>
        <scheme val="minor"/>
      </rPr>
      <t>)</t>
    </r>
  </si>
  <si>
    <r>
      <t>k</t>
    </r>
    <r>
      <rPr>
        <vertAlign val="subscript"/>
        <sz val="11"/>
        <rFont val="Calibri"/>
        <family val="2"/>
      </rPr>
      <t>L</t>
    </r>
    <r>
      <rPr>
        <sz val="11"/>
        <rFont val="Calibri"/>
        <family val="2"/>
      </rPr>
      <t>a</t>
    </r>
    <r>
      <rPr>
        <vertAlign val="subscript"/>
        <sz val="11"/>
        <rFont val="Calibri"/>
        <family val="2"/>
      </rPr>
      <t>GO2,bub</t>
    </r>
    <r>
      <rPr>
        <sz val="11"/>
        <rFont val="Calibri"/>
        <family val="2"/>
      </rPr>
      <t>*(S</t>
    </r>
    <r>
      <rPr>
        <vertAlign val="subscript"/>
        <sz val="11"/>
        <rFont val="Calibri"/>
        <family val="2"/>
        <charset val="238"/>
      </rPr>
      <t>G</t>
    </r>
    <r>
      <rPr>
        <vertAlign val="subscript"/>
        <sz val="11"/>
        <rFont val="Calibri"/>
        <family val="2"/>
      </rPr>
      <t xml:space="preserve">O2,bub,sat </t>
    </r>
    <r>
      <rPr>
        <sz val="11"/>
        <rFont val="Calibri"/>
        <family val="2"/>
      </rPr>
      <t>- S</t>
    </r>
    <r>
      <rPr>
        <vertAlign val="subscript"/>
        <sz val="11"/>
        <rFont val="Calibri"/>
        <family val="2"/>
      </rPr>
      <t>O2</t>
    </r>
    <r>
      <rPr>
        <sz val="11"/>
        <rFont val="Calibri"/>
        <family val="2"/>
      </rPr>
      <t>)</t>
    </r>
  </si>
  <si>
    <r>
      <t>k</t>
    </r>
    <r>
      <rPr>
        <vertAlign val="subscript"/>
        <sz val="11"/>
        <rFont val="Calibri"/>
        <family val="2"/>
        <scheme val="minor"/>
      </rPr>
      <t>transfer,GNH3,bub</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</si>
  <si>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N2,bub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N2,bub,sat </t>
    </r>
    <r>
      <rPr>
        <sz val="11"/>
        <rFont val="Calibri"/>
        <family val="2"/>
        <scheme val="minor"/>
      </rPr>
      <t>- S</t>
    </r>
    <r>
      <rPr>
        <vertAlign val="subscript"/>
        <sz val="11"/>
        <rFont val="Calibri"/>
        <family val="2"/>
        <scheme val="minor"/>
      </rPr>
      <t>N2</t>
    </r>
    <r>
      <rPr>
        <sz val="11"/>
        <rFont val="Calibri"/>
        <family val="2"/>
        <scheme val="minor"/>
      </rPr>
      <t>)</t>
    </r>
  </si>
  <si>
    <t>Carbon dioxide gas transfer - bubbles</t>
  </si>
  <si>
    <t>Methane gas transfer - bubbles</t>
  </si>
  <si>
    <t>Hydrogen gas transfer - bubbles</t>
  </si>
  <si>
    <t>Oxygen gas transfer - bubbles</t>
  </si>
  <si>
    <t>Ammonia absorption - bubbles</t>
  </si>
  <si>
    <t>Nitrogen gas transfer - bubbles</t>
  </si>
  <si>
    <t>r86</t>
  </si>
  <si>
    <t>r87</t>
  </si>
  <si>
    <t>r88</t>
  </si>
  <si>
    <t>r89</t>
  </si>
  <si>
    <t>r90</t>
  </si>
  <si>
    <t>r91</t>
  </si>
  <si>
    <r>
      <t>1/</t>
    </r>
    <r>
      <rPr>
        <sz val="11"/>
        <rFont val="Calibri"/>
        <family val="2"/>
      </rPr>
      <t>Δ</t>
    </r>
    <r>
      <rPr>
        <vertAlign val="subscript"/>
        <sz val="12.65"/>
        <rFont val="Calibri"/>
        <family val="2"/>
      </rPr>
      <t>atm</t>
    </r>
  </si>
  <si>
    <r>
      <t>-1/</t>
    </r>
    <r>
      <rPr>
        <sz val="11"/>
        <rFont val="Calibri"/>
        <family val="2"/>
      </rPr>
      <t>Δ</t>
    </r>
    <r>
      <rPr>
        <vertAlign val="subscript"/>
        <sz val="12.65"/>
        <rFont val="Calibri"/>
        <family val="2"/>
      </rPr>
      <t>atm</t>
    </r>
  </si>
  <si>
    <r>
      <t>-EEQ</t>
    </r>
    <r>
      <rPr>
        <vertAlign val="subscript"/>
        <sz val="11"/>
        <rFont val="Calibri"/>
        <family val="2"/>
        <scheme val="minor"/>
      </rPr>
      <t>N2</t>
    </r>
    <r>
      <rPr>
        <sz val="11"/>
        <rFont val="Calibri"/>
        <family val="2"/>
        <scheme val="minor"/>
      </rPr>
      <t>/Δ</t>
    </r>
    <r>
      <rPr>
        <vertAlign val="subscript"/>
        <sz val="11"/>
        <rFont val="Calibri"/>
        <family val="2"/>
        <scheme val="minor"/>
      </rPr>
      <t>atm</t>
    </r>
  </si>
  <si>
    <r>
      <t>i</t>
    </r>
    <r>
      <rPr>
        <vertAlign val="subscript"/>
        <sz val="11"/>
        <rFont val="Calibri"/>
        <family val="2"/>
        <scheme val="minor"/>
      </rPr>
      <t>CIT,CH4</t>
    </r>
    <r>
      <rPr>
        <sz val="11"/>
        <rFont val="Calibri"/>
        <family val="2"/>
        <scheme val="minor"/>
      </rPr>
      <t>/</t>
    </r>
    <r>
      <rPr>
        <sz val="11"/>
        <rFont val="Calibri"/>
        <family val="2"/>
      </rPr>
      <t>Δ</t>
    </r>
    <r>
      <rPr>
        <vertAlign val="subscript"/>
        <sz val="11"/>
        <rFont val="Calibri"/>
        <family val="2"/>
      </rPr>
      <t>atm</t>
    </r>
  </si>
  <si>
    <r>
      <t>K</t>
    </r>
    <r>
      <rPr>
        <vertAlign val="subscript"/>
        <sz val="11"/>
        <rFont val="Calibri"/>
        <family val="2"/>
        <scheme val="minor"/>
      </rPr>
      <t>W,param</t>
    </r>
    <r>
      <rPr>
        <sz val="11"/>
        <rFont val="Calibri"/>
        <family val="2"/>
        <scheme val="minor"/>
      </rPr>
      <t>*Exp(dH</t>
    </r>
    <r>
      <rPr>
        <vertAlign val="subscript"/>
        <sz val="11"/>
        <rFont val="Calibri"/>
        <family val="2"/>
        <scheme val="minor"/>
      </rPr>
      <t>diss,H2O</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</si>
  <si>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P3,param</t>
    </r>
    <r>
      <rPr>
        <sz val="11"/>
        <rFont val="Calibri"/>
        <family val="2"/>
        <scheme val="minor"/>
      </rPr>
      <t>*Exp(dH</t>
    </r>
    <r>
      <rPr>
        <vertAlign val="subscript"/>
        <sz val="11"/>
        <rFont val="Calibri"/>
        <family val="2"/>
        <scheme val="minor"/>
      </rPr>
      <t>diss,PO4,3</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</si>
  <si>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NO2,param</t>
    </r>
    <r>
      <rPr>
        <sz val="11"/>
        <rFont val="Calibri"/>
        <family val="2"/>
        <scheme val="minor"/>
      </rPr>
      <t>*Exp(dH</t>
    </r>
    <r>
      <rPr>
        <vertAlign val="subscript"/>
        <sz val="11"/>
        <rFont val="Calibri"/>
        <family val="2"/>
        <scheme val="minor"/>
      </rPr>
      <t>diss,NO2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</si>
  <si>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Gas transfer rate for CO</t>
    </r>
    <r>
      <rPr>
        <vertAlign val="subscript"/>
        <sz val="11"/>
        <color rgb="FF000000"/>
        <rFont val="Calibri"/>
        <family val="2"/>
        <scheme val="minor"/>
      </rPr>
      <t>2</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</si>
  <si>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GCO2,bub</t>
    </r>
    <r>
      <rPr>
        <sz val="11"/>
        <rFont val="Calibri"/>
        <family val="2"/>
      </rPr>
      <t>*(S</t>
    </r>
    <r>
      <rPr>
        <vertAlign val="subscript"/>
        <sz val="11"/>
        <rFont val="Calibri"/>
        <family val="2"/>
      </rPr>
      <t>GCO2,bub,sat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</si>
  <si>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Gas transfer rate for NH</t>
    </r>
    <r>
      <rPr>
        <vertAlign val="subscript"/>
        <sz val="11"/>
        <color rgb="FF000000"/>
        <rFont val="Calibri"/>
        <family val="2"/>
        <scheme val="minor"/>
      </rPr>
      <t>3</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</si>
  <si>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GNH3,bub</t>
    </r>
    <r>
      <rPr>
        <sz val="11"/>
        <rFont val="Calibri"/>
        <family val="2"/>
      </rPr>
      <t>*(S</t>
    </r>
    <r>
      <rPr>
        <vertAlign val="subscript"/>
        <sz val="11"/>
        <rFont val="Calibri"/>
        <family val="2"/>
      </rPr>
      <t>GNH3,bub,sat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</si>
  <si>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Gas transfer rate for CO</t>
    </r>
    <r>
      <rPr>
        <vertAlign val="subscript"/>
        <sz val="11"/>
        <color rgb="FF000000"/>
        <rFont val="Calibri"/>
        <family val="2"/>
        <scheme val="minor"/>
      </rPr>
      <t>2</t>
    </r>
    <r>
      <rPr>
        <sz val="11"/>
        <color rgb="FF000000"/>
        <rFont val="Calibri"/>
        <family val="2"/>
        <charset val="238"/>
        <scheme val="minor"/>
      </rPr>
      <t xml:space="preserve"> - surface</t>
    </r>
  </si>
  <si>
    <r>
      <t>k</t>
    </r>
    <r>
      <rPr>
        <vertAlign val="subscript"/>
        <sz val="11"/>
        <rFont val="Calibri"/>
        <family val="2"/>
      </rPr>
      <t>L</t>
    </r>
    <r>
      <rPr>
        <sz val="11"/>
        <rFont val="Calibri"/>
        <family val="2"/>
      </rPr>
      <t>a</t>
    </r>
    <r>
      <rPr>
        <vertAlign val="subscript"/>
        <sz val="11"/>
        <rFont val="Calibri"/>
        <family val="2"/>
      </rPr>
      <t>GCO2,sur</t>
    </r>
    <r>
      <rPr>
        <sz val="11"/>
        <rFont val="Calibri"/>
        <family val="2"/>
      </rPr>
      <t>*(S</t>
    </r>
    <r>
      <rPr>
        <vertAlign val="subscript"/>
        <sz val="11"/>
        <rFont val="Calibri"/>
        <family val="2"/>
      </rPr>
      <t>GCO2,sur,sat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</si>
  <si>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Gas transfer rate for NH</t>
    </r>
    <r>
      <rPr>
        <vertAlign val="subscript"/>
        <sz val="11"/>
        <color rgb="FF000000"/>
        <rFont val="Calibri"/>
        <family val="2"/>
        <scheme val="minor"/>
      </rPr>
      <t>3</t>
    </r>
    <r>
      <rPr>
        <sz val="11"/>
        <color rgb="FF000000"/>
        <rFont val="Calibri"/>
        <family val="2"/>
        <charset val="238"/>
        <scheme val="minor"/>
      </rPr>
      <t xml:space="preserve"> - surface</t>
    </r>
  </si>
  <si>
    <r>
      <t>k</t>
    </r>
    <r>
      <rPr>
        <vertAlign val="subscript"/>
        <sz val="11"/>
        <rFont val="Calibri"/>
        <family val="2"/>
      </rPr>
      <t>L</t>
    </r>
    <r>
      <rPr>
        <sz val="11"/>
        <rFont val="Calibri"/>
        <family val="2"/>
      </rPr>
      <t>a</t>
    </r>
    <r>
      <rPr>
        <vertAlign val="subscript"/>
        <sz val="11"/>
        <rFont val="Calibri"/>
        <family val="2"/>
      </rPr>
      <t>GNH3,sur</t>
    </r>
    <r>
      <rPr>
        <sz val="11"/>
        <rFont val="Calibri"/>
        <family val="2"/>
      </rPr>
      <t>*(S</t>
    </r>
    <r>
      <rPr>
        <vertAlign val="subscript"/>
        <sz val="11"/>
        <rFont val="Calibri"/>
        <family val="2"/>
      </rPr>
      <t>GNH3,sur,sat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</si>
  <si>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m.d</t>
    </r>
    <r>
      <rPr>
        <vertAlign val="superscript"/>
        <sz val="11"/>
        <rFont val="Calibri"/>
        <family val="2"/>
        <scheme val="minor"/>
      </rPr>
      <t>-1</t>
    </r>
  </si>
  <si>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</si>
  <si>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</si>
  <si>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</si>
  <si>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</si>
  <si>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</si>
  <si>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</si>
  <si>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</si>
  <si>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</si>
  <si>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</si>
  <si>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</si>
  <si>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</si>
  <si>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</si>
  <si>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</si>
  <si>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</si>
  <si>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</si>
  <si>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</si>
  <si>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</si>
  <si>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t>Standard barometric pressure</t>
  </si>
  <si>
    <t>Normal barometric pressure</t>
  </si>
  <si>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</si>
  <si>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</si>
  <si>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</si>
  <si>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</si>
  <si>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</si>
  <si>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</si>
  <si>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</si>
  <si>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</si>
  <si>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</si>
  <si>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</si>
  <si>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</si>
  <si>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</si>
  <si>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</si>
  <si>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</si>
  <si>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MM</t>
    </r>
    <r>
      <rPr>
        <vertAlign val="subscript"/>
        <sz val="11"/>
        <rFont val="Calibri"/>
        <family val="2"/>
        <scheme val="minor"/>
      </rPr>
      <t>FeOH3</t>
    </r>
  </si>
  <si>
    <r>
      <t>MM</t>
    </r>
    <r>
      <rPr>
        <vertAlign val="subscript"/>
        <sz val="11"/>
        <rFont val="Calibri"/>
        <family val="2"/>
        <scheme val="minor"/>
      </rPr>
      <t>AlOH3</t>
    </r>
  </si>
  <si>
    <r>
      <t>MM</t>
    </r>
    <r>
      <rPr>
        <vertAlign val="subscript"/>
        <sz val="11"/>
        <rFont val="Calibri"/>
        <family val="2"/>
        <scheme val="minor"/>
      </rPr>
      <t>AlPO4</t>
    </r>
  </si>
  <si>
    <r>
      <t>K</t>
    </r>
    <r>
      <rPr>
        <vertAlign val="subscript"/>
        <sz val="11"/>
        <rFont val="Calibri"/>
        <family val="2"/>
        <charset val="238"/>
        <scheme val="minor"/>
      </rPr>
      <t>NH3,param</t>
    </r>
  </si>
  <si>
    <r>
      <t>K</t>
    </r>
    <r>
      <rPr>
        <vertAlign val="subscript"/>
        <sz val="11"/>
        <rFont val="Calibri"/>
        <family val="2"/>
        <charset val="238"/>
        <scheme val="minor"/>
      </rPr>
      <t>NO2,param</t>
    </r>
  </si>
  <si>
    <r>
      <t>K</t>
    </r>
    <r>
      <rPr>
        <vertAlign val="subscript"/>
        <sz val="11"/>
        <rFont val="Calibri"/>
        <family val="2"/>
        <charset val="238"/>
        <scheme val="minor"/>
      </rPr>
      <t>Ac,param</t>
    </r>
  </si>
  <si>
    <r>
      <t>K</t>
    </r>
    <r>
      <rPr>
        <vertAlign val="subscript"/>
        <sz val="11"/>
        <rFont val="Calibri"/>
        <family val="2"/>
        <charset val="238"/>
        <scheme val="minor"/>
      </rPr>
      <t>H2S,param</t>
    </r>
  </si>
  <si>
    <r>
      <t>D</t>
    </r>
    <r>
      <rPr>
        <vertAlign val="subscript"/>
        <sz val="11"/>
        <rFont val="Calibri"/>
        <family val="2"/>
        <charset val="238"/>
        <scheme val="minor"/>
      </rPr>
      <t>SVFA</t>
    </r>
  </si>
  <si>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</si>
  <si>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</si>
  <si>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</si>
  <si>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</si>
  <si>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r>
      <t>D</t>
    </r>
    <r>
      <rPr>
        <vertAlign val="subscript"/>
        <sz val="11"/>
        <rFont val="Calibri"/>
        <family val="2"/>
        <charset val="238"/>
        <scheme val="minor"/>
      </rPr>
      <t>SB,mono</t>
    </r>
  </si>
  <si>
    <r>
      <t>D</t>
    </r>
    <r>
      <rPr>
        <vertAlign val="subscript"/>
        <sz val="11"/>
        <rFont val="Calibri"/>
        <family val="2"/>
        <charset val="238"/>
        <scheme val="minor"/>
      </rPr>
      <t>SB,poly</t>
    </r>
  </si>
  <si>
    <r>
      <t>D</t>
    </r>
    <r>
      <rPr>
        <vertAlign val="subscript"/>
        <sz val="11"/>
        <rFont val="Calibri"/>
        <family val="2"/>
        <charset val="238"/>
        <scheme val="minor"/>
      </rPr>
      <t>SS</t>
    </r>
  </si>
  <si>
    <r>
      <t>D</t>
    </r>
    <r>
      <rPr>
        <vertAlign val="subscript"/>
        <sz val="11"/>
        <rFont val="Calibri"/>
        <family val="2"/>
        <charset val="238"/>
        <scheme val="minor"/>
      </rPr>
      <t>SF</t>
    </r>
  </si>
  <si>
    <r>
      <t>D</t>
    </r>
    <r>
      <rPr>
        <vertAlign val="subscript"/>
        <sz val="11"/>
        <rFont val="Calibri"/>
        <family val="2"/>
        <charset val="238"/>
        <scheme val="minor"/>
      </rPr>
      <t>SBSC</t>
    </r>
  </si>
  <si>
    <r>
      <t>D</t>
    </r>
    <r>
      <rPr>
        <vertAlign val="subscript"/>
        <sz val="11"/>
        <rFont val="Calibri"/>
        <family val="2"/>
        <charset val="238"/>
        <scheme val="minor"/>
      </rPr>
      <t>SMEOL</t>
    </r>
  </si>
  <si>
    <r>
      <t>D</t>
    </r>
    <r>
      <rPr>
        <vertAlign val="subscript"/>
        <sz val="11"/>
        <rFont val="Calibri"/>
        <family val="2"/>
        <charset val="238"/>
        <scheme val="minor"/>
      </rPr>
      <t>SU</t>
    </r>
  </si>
  <si>
    <r>
      <t>D</t>
    </r>
    <r>
      <rPr>
        <vertAlign val="subscript"/>
        <sz val="11"/>
        <rFont val="Calibri"/>
        <family val="2"/>
        <charset val="238"/>
        <scheme val="minor"/>
      </rPr>
      <t>SI</t>
    </r>
  </si>
  <si>
    <r>
      <t>D</t>
    </r>
    <r>
      <rPr>
        <vertAlign val="subscript"/>
        <sz val="11"/>
        <rFont val="Calibri"/>
        <family val="2"/>
        <charset val="238"/>
        <scheme val="minor"/>
      </rPr>
      <t>SNHx</t>
    </r>
  </si>
  <si>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</si>
  <si>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</si>
  <si>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</si>
  <si>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r>
      <t>D</t>
    </r>
    <r>
      <rPr>
        <vertAlign val="subscript"/>
        <sz val="11"/>
        <rFont val="Calibri"/>
        <family val="2"/>
        <charset val="238"/>
        <scheme val="minor"/>
      </rPr>
      <t>NO3</t>
    </r>
  </si>
  <si>
    <r>
      <t>D</t>
    </r>
    <r>
      <rPr>
        <vertAlign val="subscript"/>
        <sz val="11"/>
        <rFont val="Calibri"/>
        <family val="2"/>
        <charset val="238"/>
        <scheme val="minor"/>
      </rPr>
      <t>PO4</t>
    </r>
  </si>
  <si>
    <r>
      <t>D</t>
    </r>
    <r>
      <rPr>
        <vertAlign val="subscript"/>
        <sz val="11"/>
        <rFont val="Calibri"/>
        <family val="2"/>
        <charset val="238"/>
        <scheme val="minor"/>
      </rPr>
      <t>SN2</t>
    </r>
  </si>
  <si>
    <r>
      <t>D</t>
    </r>
    <r>
      <rPr>
        <vertAlign val="subscript"/>
        <sz val="11"/>
        <rFont val="Calibri"/>
        <family val="2"/>
        <charset val="238"/>
        <scheme val="minor"/>
      </rPr>
      <t>NUS</t>
    </r>
  </si>
  <si>
    <r>
      <t>D</t>
    </r>
    <r>
      <rPr>
        <vertAlign val="subscript"/>
        <sz val="11"/>
        <rFont val="Calibri"/>
        <family val="2"/>
        <charset val="238"/>
        <scheme val="minor"/>
      </rPr>
      <t>NBS</t>
    </r>
  </si>
  <si>
    <r>
      <t>D</t>
    </r>
    <r>
      <rPr>
        <vertAlign val="subscript"/>
        <sz val="11"/>
        <rFont val="Calibri"/>
        <family val="2"/>
        <charset val="238"/>
        <scheme val="minor"/>
      </rPr>
      <t>SUS</t>
    </r>
  </si>
  <si>
    <r>
      <t>D</t>
    </r>
    <r>
      <rPr>
        <vertAlign val="subscript"/>
        <sz val="11"/>
        <rFont val="Calibri"/>
        <family val="2"/>
        <charset val="238"/>
        <scheme val="minor"/>
      </rPr>
      <t>SNO2</t>
    </r>
  </si>
  <si>
    <r>
      <t>D</t>
    </r>
    <r>
      <rPr>
        <vertAlign val="subscript"/>
        <sz val="11"/>
        <rFont val="Calibri"/>
        <family val="2"/>
        <charset val="238"/>
        <scheme val="minor"/>
      </rPr>
      <t>SNO3</t>
    </r>
  </si>
  <si>
    <r>
      <t>D</t>
    </r>
    <r>
      <rPr>
        <vertAlign val="subscript"/>
        <sz val="11"/>
        <rFont val="Calibri"/>
        <family val="2"/>
        <charset val="238"/>
        <scheme val="minor"/>
      </rPr>
      <t>SN,B</t>
    </r>
  </si>
  <si>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</si>
  <si>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</si>
  <si>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</si>
  <si>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</si>
  <si>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r>
      <t>D</t>
    </r>
    <r>
      <rPr>
        <vertAlign val="subscript"/>
        <sz val="11"/>
        <rFont val="Calibri"/>
        <family val="2"/>
        <charset val="238"/>
        <scheme val="minor"/>
      </rPr>
      <t>SO2</t>
    </r>
  </si>
  <si>
    <r>
      <t>D</t>
    </r>
    <r>
      <rPr>
        <vertAlign val="subscript"/>
        <sz val="11"/>
        <rFont val="Calibri"/>
        <family val="2"/>
        <charset val="238"/>
        <scheme val="minor"/>
      </rPr>
      <t>SCH4</t>
    </r>
  </si>
  <si>
    <r>
      <t>D</t>
    </r>
    <r>
      <rPr>
        <vertAlign val="subscript"/>
        <sz val="11"/>
        <rFont val="Calibri"/>
        <family val="2"/>
        <charset val="238"/>
        <scheme val="minor"/>
      </rPr>
      <t>SH2</t>
    </r>
  </si>
  <si>
    <r>
      <t>D</t>
    </r>
    <r>
      <rPr>
        <vertAlign val="subscript"/>
        <sz val="11"/>
        <rFont val="Calibri"/>
        <family val="2"/>
        <charset val="238"/>
        <scheme val="minor"/>
      </rPr>
      <t>SCO2</t>
    </r>
  </si>
  <si>
    <r>
      <t>D</t>
    </r>
    <r>
      <rPr>
        <vertAlign val="subscript"/>
        <sz val="11"/>
        <rFont val="Calibri"/>
        <family val="2"/>
        <charset val="238"/>
        <scheme val="minor"/>
      </rPr>
      <t>SK</t>
    </r>
  </si>
  <si>
    <r>
      <t>D</t>
    </r>
    <r>
      <rPr>
        <vertAlign val="subscript"/>
        <sz val="11"/>
        <rFont val="Calibri"/>
        <family val="2"/>
        <charset val="238"/>
        <scheme val="minor"/>
      </rPr>
      <t>SCa</t>
    </r>
  </si>
  <si>
    <r>
      <t>D</t>
    </r>
    <r>
      <rPr>
        <vertAlign val="subscript"/>
        <sz val="11"/>
        <rFont val="Calibri"/>
        <family val="2"/>
        <charset val="238"/>
        <scheme val="minor"/>
      </rPr>
      <t>SMg</t>
    </r>
  </si>
  <si>
    <r>
      <t>D</t>
    </r>
    <r>
      <rPr>
        <vertAlign val="subscript"/>
        <sz val="11"/>
        <rFont val="Calibri"/>
        <family val="2"/>
        <charset val="238"/>
        <scheme val="minor"/>
      </rPr>
      <t>SCAT</t>
    </r>
  </si>
  <si>
    <r>
      <t>D</t>
    </r>
    <r>
      <rPr>
        <vertAlign val="subscript"/>
        <sz val="11"/>
        <rFont val="Calibri"/>
        <family val="2"/>
        <charset val="238"/>
        <scheme val="minor"/>
      </rPr>
      <t>SAN</t>
    </r>
  </si>
  <si>
    <r>
      <t>D</t>
    </r>
    <r>
      <rPr>
        <vertAlign val="subscript"/>
        <sz val="11"/>
        <rFont val="Calibri"/>
        <family val="2"/>
        <charset val="238"/>
        <scheme val="minor"/>
      </rPr>
      <t>SH2S</t>
    </r>
  </si>
  <si>
    <r>
      <t>D</t>
    </r>
    <r>
      <rPr>
        <vertAlign val="subscript"/>
        <sz val="11"/>
        <rFont val="Calibri"/>
        <family val="2"/>
        <charset val="238"/>
        <scheme val="minor"/>
      </rPr>
      <t>SSO4</t>
    </r>
  </si>
  <si>
    <r>
      <t>D</t>
    </r>
    <r>
      <rPr>
        <vertAlign val="subscript"/>
        <sz val="11"/>
        <rFont val="Calibri"/>
        <family val="2"/>
        <charset val="238"/>
        <scheme val="minor"/>
      </rPr>
      <t>SFe2</t>
    </r>
  </si>
  <si>
    <r>
      <t>D</t>
    </r>
    <r>
      <rPr>
        <vertAlign val="subscript"/>
        <sz val="11"/>
        <rFont val="Calibri"/>
        <family val="2"/>
        <charset val="238"/>
        <scheme val="minor"/>
      </rPr>
      <t>SALK</t>
    </r>
  </si>
  <si>
    <r>
      <t>D</t>
    </r>
    <r>
      <rPr>
        <vertAlign val="subscript"/>
        <sz val="11"/>
        <rFont val="Calibri"/>
        <family val="2"/>
        <charset val="238"/>
        <scheme val="minor"/>
      </rPr>
      <t>SMM,index</t>
    </r>
  </si>
  <si>
    <r>
      <t>D</t>
    </r>
    <r>
      <rPr>
        <vertAlign val="subscript"/>
        <sz val="11"/>
        <rFont val="Calibri"/>
        <family val="2"/>
        <charset val="238"/>
        <scheme val="minor"/>
      </rPr>
      <t>CB</t>
    </r>
  </si>
  <si>
    <r>
      <t>D</t>
    </r>
    <r>
      <rPr>
        <vertAlign val="subscript"/>
        <sz val="11"/>
        <rFont val="Calibri"/>
        <family val="2"/>
        <charset val="238"/>
        <scheme val="minor"/>
      </rPr>
      <t>CU</t>
    </r>
  </si>
  <si>
    <r>
      <t>T+T</t>
    </r>
    <r>
      <rPr>
        <vertAlign val="subscript"/>
        <sz val="11"/>
        <rFont val="Calibri"/>
        <family val="2"/>
        <scheme val="minor"/>
      </rPr>
      <t>STP,K</t>
    </r>
  </si>
  <si>
    <t>Other parameters - gas transfer via bubbles</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</si>
  <si>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,bub</t>
    </r>
  </si>
  <si>
    <t>H2S mass transfer coefficient for gas bubbles from PU code</t>
  </si>
  <si>
    <r>
      <t>d</t>
    </r>
    <r>
      <rPr>
        <vertAlign val="superscript"/>
        <sz val="11"/>
        <rFont val="Calibri"/>
        <family val="2"/>
        <charset val="238"/>
      </rPr>
      <t>-1</t>
    </r>
  </si>
  <si>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O2,bub</t>
    </r>
  </si>
  <si>
    <t>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</si>
  <si>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O2,bub</t>
    </r>
  </si>
  <si>
    <t>CO2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</si>
  <si>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,bub</t>
    </r>
  </si>
  <si>
    <t>CH4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</si>
  <si>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,bub</t>
    </r>
  </si>
  <si>
    <t>H2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</si>
  <si>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,bub</t>
    </r>
  </si>
  <si>
    <t>NH3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</si>
  <si>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,bub</t>
    </r>
  </si>
  <si>
    <t>N2 mass transfer coefficient for gas bubbles from PU code</t>
  </si>
  <si>
    <r>
      <t>S</t>
    </r>
    <r>
      <rPr>
        <vertAlign val="subscript"/>
        <sz val="11"/>
        <rFont val="Calibri"/>
        <family val="2"/>
        <charset val="238"/>
      </rPr>
      <t>G</t>
    </r>
    <r>
      <rPr>
        <vertAlign val="subscript"/>
        <sz val="11"/>
        <rFont val="Calibri"/>
        <family val="2"/>
      </rPr>
      <t>H2S,bub,sat</t>
    </r>
  </si>
  <si>
    <t>H2S saturation concentration at gas bubble interface</t>
  </si>
  <si>
    <r>
      <t>S</t>
    </r>
    <r>
      <rPr>
        <vertAlign val="subscript"/>
        <sz val="11"/>
        <rFont val="Calibri"/>
        <family val="2"/>
        <charset val="238"/>
      </rPr>
      <t>G</t>
    </r>
    <r>
      <rPr>
        <vertAlign val="subscript"/>
        <sz val="11"/>
        <rFont val="Calibri"/>
        <family val="2"/>
      </rPr>
      <t>O2,bub,sat</t>
    </r>
  </si>
  <si>
    <t>O2 saturation concentration at gas bubble interface</t>
  </si>
  <si>
    <r>
      <t>S</t>
    </r>
    <r>
      <rPr>
        <vertAlign val="subscript"/>
        <sz val="11"/>
        <rFont val="Calibri"/>
        <family val="2"/>
        <charset val="238"/>
      </rPr>
      <t>G</t>
    </r>
    <r>
      <rPr>
        <vertAlign val="subscript"/>
        <sz val="11"/>
        <rFont val="Calibri"/>
        <family val="2"/>
      </rPr>
      <t>CO2,bub,sat</t>
    </r>
  </si>
  <si>
    <t>CO2 saturation concentration at gas bubble interface</t>
  </si>
  <si>
    <r>
      <t>S</t>
    </r>
    <r>
      <rPr>
        <vertAlign val="subscript"/>
        <sz val="11"/>
        <rFont val="Calibri"/>
        <family val="2"/>
        <charset val="238"/>
      </rPr>
      <t>G</t>
    </r>
    <r>
      <rPr>
        <vertAlign val="subscript"/>
        <sz val="11"/>
        <rFont val="Calibri"/>
        <family val="2"/>
      </rPr>
      <t>CH4,bub,sat</t>
    </r>
  </si>
  <si>
    <t>CH4 saturation concentration at gas bubble interface</t>
  </si>
  <si>
    <r>
      <t>S</t>
    </r>
    <r>
      <rPr>
        <vertAlign val="subscript"/>
        <sz val="11"/>
        <rFont val="Calibri"/>
        <family val="2"/>
        <charset val="238"/>
      </rPr>
      <t>G</t>
    </r>
    <r>
      <rPr>
        <vertAlign val="subscript"/>
        <sz val="11"/>
        <rFont val="Calibri"/>
        <family val="2"/>
      </rPr>
      <t>H2,bub,sat</t>
    </r>
  </si>
  <si>
    <t>H2 saturation concentration at gas bubble interface</t>
  </si>
  <si>
    <r>
      <t>S</t>
    </r>
    <r>
      <rPr>
        <vertAlign val="subscript"/>
        <sz val="11"/>
        <rFont val="Calibri"/>
        <family val="2"/>
        <charset val="238"/>
      </rPr>
      <t>G</t>
    </r>
    <r>
      <rPr>
        <vertAlign val="subscript"/>
        <sz val="11"/>
        <rFont val="Calibri"/>
        <family val="2"/>
      </rPr>
      <t>NH3,bub,sat</t>
    </r>
  </si>
  <si>
    <t>NH3 saturation concentration at gas bubble interface</t>
  </si>
  <si>
    <r>
      <t>S</t>
    </r>
    <r>
      <rPr>
        <vertAlign val="subscript"/>
        <sz val="11"/>
        <rFont val="Calibri"/>
        <family val="2"/>
        <charset val="238"/>
      </rPr>
      <t>G</t>
    </r>
    <r>
      <rPr>
        <vertAlign val="subscript"/>
        <sz val="11"/>
        <rFont val="Calibri"/>
        <family val="2"/>
      </rPr>
      <t>N2,bub,sat</t>
    </r>
  </si>
  <si>
    <t>N2 saturation concentration at gas bubble interface</t>
  </si>
  <si>
    <t>Other parameters - gas transfer via reactor surface</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</si>
  <si>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,sur</t>
    </r>
  </si>
  <si>
    <t>H2S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</si>
  <si>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O2,sur</t>
    </r>
  </si>
  <si>
    <t>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</si>
  <si>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O2,sur</t>
    </r>
  </si>
  <si>
    <t>CO2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</si>
  <si>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,sur</t>
    </r>
  </si>
  <si>
    <t>CH4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</si>
  <si>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,sur</t>
    </r>
  </si>
  <si>
    <t>H2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</si>
  <si>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,sur</t>
    </r>
  </si>
  <si>
    <t>NH3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</si>
  <si>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,sur</t>
    </r>
  </si>
  <si>
    <t>N2 mass transfer coefficient at liquid surface from PU code</t>
  </si>
  <si>
    <r>
      <t>S</t>
    </r>
    <r>
      <rPr>
        <vertAlign val="subscript"/>
        <sz val="11"/>
        <rFont val="Calibri"/>
        <family val="2"/>
        <charset val="238"/>
      </rPr>
      <t>G</t>
    </r>
    <r>
      <rPr>
        <vertAlign val="subscript"/>
        <sz val="11"/>
        <rFont val="Calibri"/>
        <family val="2"/>
      </rPr>
      <t>H2S,sur,sat</t>
    </r>
  </si>
  <si>
    <t>H2S saturation concentration at atmospheric interface</t>
  </si>
  <si>
    <r>
      <t>f(G</t>
    </r>
    <r>
      <rPr>
        <vertAlign val="subscript"/>
        <sz val="11"/>
        <rFont val="Calibri"/>
        <family val="2"/>
      </rPr>
      <t>H2S,atm</t>
    </r>
    <r>
      <rPr>
        <sz val="11"/>
        <rFont val="Calibri"/>
        <family val="2"/>
      </rPr>
      <t>)</t>
    </r>
  </si>
  <si>
    <r>
      <t>S</t>
    </r>
    <r>
      <rPr>
        <vertAlign val="subscript"/>
        <sz val="11"/>
        <rFont val="Calibri"/>
        <family val="2"/>
        <charset val="238"/>
      </rPr>
      <t>G</t>
    </r>
    <r>
      <rPr>
        <vertAlign val="subscript"/>
        <sz val="11"/>
        <rFont val="Calibri"/>
        <family val="2"/>
      </rPr>
      <t>O2,sur,sat</t>
    </r>
  </si>
  <si>
    <t>O2 saturation concentration at atmospheric interface</t>
  </si>
  <si>
    <r>
      <t>f(G</t>
    </r>
    <r>
      <rPr>
        <vertAlign val="subscript"/>
        <sz val="11"/>
        <rFont val="Calibri"/>
        <family val="2"/>
      </rPr>
      <t>O2,atm</t>
    </r>
    <r>
      <rPr>
        <sz val="11"/>
        <rFont val="Calibri"/>
        <family val="2"/>
      </rPr>
      <t>)</t>
    </r>
  </si>
  <si>
    <r>
      <t>S</t>
    </r>
    <r>
      <rPr>
        <vertAlign val="subscript"/>
        <sz val="11"/>
        <rFont val="Calibri"/>
        <family val="2"/>
        <charset val="238"/>
      </rPr>
      <t>G</t>
    </r>
    <r>
      <rPr>
        <vertAlign val="subscript"/>
        <sz val="11"/>
        <rFont val="Calibri"/>
        <family val="2"/>
      </rPr>
      <t>CO2,sur,sat</t>
    </r>
  </si>
  <si>
    <t>CO2 saturation concentration at atmospheric interface</t>
  </si>
  <si>
    <r>
      <t>f(G</t>
    </r>
    <r>
      <rPr>
        <vertAlign val="subscript"/>
        <sz val="11"/>
        <rFont val="Calibri"/>
        <family val="2"/>
      </rPr>
      <t>CO2,atm</t>
    </r>
    <r>
      <rPr>
        <sz val="11"/>
        <rFont val="Calibri"/>
        <family val="2"/>
      </rPr>
      <t>)</t>
    </r>
  </si>
  <si>
    <r>
      <t>S</t>
    </r>
    <r>
      <rPr>
        <vertAlign val="subscript"/>
        <sz val="11"/>
        <rFont val="Calibri"/>
        <family val="2"/>
        <charset val="238"/>
      </rPr>
      <t>G</t>
    </r>
    <r>
      <rPr>
        <vertAlign val="subscript"/>
        <sz val="11"/>
        <rFont val="Calibri"/>
        <family val="2"/>
      </rPr>
      <t>CH4,sur,sat</t>
    </r>
  </si>
  <si>
    <t>CH4 saturation concentration at atmospheric interface</t>
  </si>
  <si>
    <r>
      <t>f(G</t>
    </r>
    <r>
      <rPr>
        <vertAlign val="subscript"/>
        <sz val="11"/>
        <rFont val="Calibri"/>
        <family val="2"/>
      </rPr>
      <t>CH4,atm</t>
    </r>
    <r>
      <rPr>
        <sz val="11"/>
        <rFont val="Calibri"/>
        <family val="2"/>
      </rPr>
      <t>)</t>
    </r>
  </si>
  <si>
    <r>
      <t>S</t>
    </r>
    <r>
      <rPr>
        <vertAlign val="subscript"/>
        <sz val="11"/>
        <rFont val="Calibri"/>
        <family val="2"/>
        <charset val="238"/>
      </rPr>
      <t>G</t>
    </r>
    <r>
      <rPr>
        <vertAlign val="subscript"/>
        <sz val="11"/>
        <rFont val="Calibri"/>
        <family val="2"/>
      </rPr>
      <t>H2,sur,sat</t>
    </r>
  </si>
  <si>
    <t>H2 saturation concentration at atmospheric interface</t>
  </si>
  <si>
    <r>
      <t>f(G</t>
    </r>
    <r>
      <rPr>
        <vertAlign val="subscript"/>
        <sz val="11"/>
        <rFont val="Calibri"/>
        <family val="2"/>
      </rPr>
      <t>H2,atm</t>
    </r>
    <r>
      <rPr>
        <sz val="11"/>
        <rFont val="Calibri"/>
        <family val="2"/>
      </rPr>
      <t>)</t>
    </r>
  </si>
  <si>
    <r>
      <t>S</t>
    </r>
    <r>
      <rPr>
        <vertAlign val="subscript"/>
        <sz val="11"/>
        <rFont val="Calibri"/>
        <family val="2"/>
        <charset val="238"/>
      </rPr>
      <t>G</t>
    </r>
    <r>
      <rPr>
        <vertAlign val="subscript"/>
        <sz val="11"/>
        <rFont val="Calibri"/>
        <family val="2"/>
      </rPr>
      <t>NH3,sur,sat</t>
    </r>
  </si>
  <si>
    <t>NH3 saturation concentration at atmospheric interface</t>
  </si>
  <si>
    <r>
      <t>f(G</t>
    </r>
    <r>
      <rPr>
        <vertAlign val="subscript"/>
        <sz val="11"/>
        <rFont val="Calibri"/>
        <family val="2"/>
      </rPr>
      <t>NH3,atm</t>
    </r>
    <r>
      <rPr>
        <sz val="11"/>
        <rFont val="Calibri"/>
        <family val="2"/>
      </rPr>
      <t>)</t>
    </r>
  </si>
  <si>
    <r>
      <t>S</t>
    </r>
    <r>
      <rPr>
        <vertAlign val="subscript"/>
        <sz val="11"/>
        <rFont val="Calibri"/>
        <family val="2"/>
        <charset val="238"/>
      </rPr>
      <t>G</t>
    </r>
    <r>
      <rPr>
        <vertAlign val="subscript"/>
        <sz val="11"/>
        <rFont val="Calibri"/>
        <family val="2"/>
      </rPr>
      <t>N2,sur,sat</t>
    </r>
  </si>
  <si>
    <t>N2 saturation concentration at atmospheric interface</t>
  </si>
  <si>
    <r>
      <t>f(G</t>
    </r>
    <r>
      <rPr>
        <vertAlign val="subscript"/>
        <sz val="11"/>
        <rFont val="Calibri"/>
        <family val="2"/>
      </rPr>
      <t>N2,atm</t>
    </r>
    <r>
      <rPr>
        <sz val="11"/>
        <rFont val="Calibri"/>
        <family val="2"/>
      </rPr>
      <t>)</t>
    </r>
  </si>
  <si>
    <r>
      <t>f</t>
    </r>
    <r>
      <rPr>
        <vertAlign val="subscript"/>
        <sz val="11"/>
        <rFont val="Calibri"/>
        <family val="2"/>
        <scheme val="minor"/>
      </rPr>
      <t>kL,GN2</t>
    </r>
  </si>
  <si>
    <r>
      <t>f</t>
    </r>
    <r>
      <rPr>
        <vertAlign val="subscript"/>
        <sz val="11"/>
        <rFont val="Calibri"/>
        <family val="2"/>
        <scheme val="minor"/>
      </rPr>
      <t>kL,GCO2</t>
    </r>
  </si>
  <si>
    <r>
      <t>f</t>
    </r>
    <r>
      <rPr>
        <vertAlign val="subscript"/>
        <sz val="11"/>
        <rFont val="Calibri"/>
        <family val="2"/>
        <scheme val="minor"/>
      </rPr>
      <t>kL,GCH4</t>
    </r>
  </si>
  <si>
    <r>
      <t>f</t>
    </r>
    <r>
      <rPr>
        <vertAlign val="subscript"/>
        <sz val="11"/>
        <rFont val="Calibri"/>
        <family val="2"/>
        <scheme val="minor"/>
      </rPr>
      <t>kL,GH2</t>
    </r>
  </si>
  <si>
    <r>
      <t>f</t>
    </r>
    <r>
      <rPr>
        <vertAlign val="subscript"/>
        <sz val="11"/>
        <rFont val="Calibri"/>
        <family val="2"/>
        <scheme val="minor"/>
      </rPr>
      <t>kL,GNH3</t>
    </r>
  </si>
  <si>
    <t>Used to compensate for the high solubility of NH3 gas</t>
  </si>
  <si>
    <t>1</t>
  </si>
  <si>
    <r>
      <t>-EEQ</t>
    </r>
    <r>
      <rPr>
        <vertAlign val="subscript"/>
        <sz val="11"/>
        <rFont val="Calibri"/>
        <family val="2"/>
      </rPr>
      <t>N2</t>
    </r>
  </si>
  <si>
    <r>
      <t>y</t>
    </r>
    <r>
      <rPr>
        <vertAlign val="subscript"/>
        <sz val="11"/>
        <rFont val="Calibri"/>
        <family val="2"/>
        <scheme val="minor"/>
      </rPr>
      <t>fmono</t>
    </r>
  </si>
  <si>
    <r>
      <t>Intercept of f</t>
    </r>
    <r>
      <rPr>
        <vertAlign val="subscript"/>
        <sz val="11"/>
        <color rgb="FF000000"/>
        <rFont val="Calibri"/>
        <family val="2"/>
        <scheme val="minor"/>
      </rPr>
      <t>mono</t>
    </r>
    <r>
      <rPr>
        <sz val="11"/>
        <color rgb="FF000000"/>
        <rFont val="Calibri"/>
        <family val="2"/>
        <charset val="238"/>
        <scheme val="minor"/>
      </rPr>
      <t xml:space="preserve"> correction</t>
    </r>
  </si>
  <si>
    <r>
      <t>f</t>
    </r>
    <r>
      <rPr>
        <vertAlign val="subscript"/>
        <sz val="11"/>
        <rFont val="Calibri"/>
        <family val="2"/>
        <scheme val="minor"/>
      </rPr>
      <t>mono,ISlim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</si>
  <si>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fdi</t>
    </r>
  </si>
  <si>
    <r>
      <t>Intercept of f</t>
    </r>
    <r>
      <rPr>
        <vertAlign val="subscript"/>
        <sz val="11"/>
        <color rgb="FF000000"/>
        <rFont val="Calibri"/>
        <family val="2"/>
        <scheme val="minor"/>
      </rPr>
      <t>di</t>
    </r>
    <r>
      <rPr>
        <sz val="11"/>
        <color rgb="FF000000"/>
        <rFont val="Calibri"/>
        <family val="2"/>
        <charset val="238"/>
        <scheme val="minor"/>
      </rPr>
      <t xml:space="preserve"> correction</t>
    </r>
  </si>
  <si>
    <r>
      <t>f</t>
    </r>
    <r>
      <rPr>
        <vertAlign val="subscript"/>
        <sz val="11"/>
        <rFont val="Calibri"/>
        <family val="2"/>
        <scheme val="minor"/>
      </rPr>
      <t>di,ISlim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</si>
  <si>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ftri</t>
    </r>
  </si>
  <si>
    <r>
      <t>Intercept of f</t>
    </r>
    <r>
      <rPr>
        <vertAlign val="subscript"/>
        <sz val="11"/>
        <color rgb="FF000000"/>
        <rFont val="Calibri"/>
        <family val="2"/>
        <scheme val="minor"/>
      </rPr>
      <t>tri</t>
    </r>
    <r>
      <rPr>
        <sz val="11"/>
        <color rgb="FF000000"/>
        <rFont val="Calibri"/>
        <family val="2"/>
        <charset val="238"/>
        <scheme val="minor"/>
      </rPr>
      <t xml:space="preserve"> correction</t>
    </r>
  </si>
  <si>
    <r>
      <t>f</t>
    </r>
    <r>
      <rPr>
        <vertAlign val="subscript"/>
        <sz val="11"/>
        <rFont val="Calibri"/>
        <family val="2"/>
        <scheme val="minor"/>
      </rPr>
      <t>tri,ISlim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</si>
  <si>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f</t>
    </r>
    <r>
      <rPr>
        <vertAlign val="subscript"/>
        <sz val="11"/>
        <rFont val="Calibri"/>
        <family val="2"/>
        <scheme val="minor"/>
      </rPr>
      <t>mono,ISlim</t>
    </r>
  </si>
  <si>
    <r>
      <t>Monovalent activity coefficient at IS</t>
    </r>
    <r>
      <rPr>
        <vertAlign val="subscript"/>
        <sz val="11"/>
        <rFont val="Calibri"/>
        <family val="2"/>
        <scheme val="minor"/>
      </rPr>
      <t>lim</t>
    </r>
  </si>
  <si>
    <r>
      <t>f</t>
    </r>
    <r>
      <rPr>
        <vertAlign val="subscript"/>
        <sz val="11"/>
        <rFont val="Calibri"/>
        <family val="2"/>
        <scheme val="minor"/>
      </rPr>
      <t>di,ISlim</t>
    </r>
  </si>
  <si>
    <r>
      <t>Divalent activity coefficient at IS</t>
    </r>
    <r>
      <rPr>
        <vertAlign val="subscript"/>
        <sz val="11"/>
        <rFont val="Calibri"/>
        <family val="2"/>
        <scheme val="minor"/>
      </rPr>
      <t>lim</t>
    </r>
  </si>
  <si>
    <r>
      <t>f</t>
    </r>
    <r>
      <rPr>
        <vertAlign val="subscript"/>
        <sz val="11"/>
        <rFont val="Calibri"/>
        <family val="2"/>
        <scheme val="minor"/>
      </rPr>
      <t>tri,ISlim</t>
    </r>
  </si>
  <si>
    <r>
      <t>Trivalent activity coefficient at IS</t>
    </r>
    <r>
      <rPr>
        <vertAlign val="subscript"/>
        <sz val="11"/>
        <rFont val="Calibri"/>
        <family val="2"/>
        <scheme val="minor"/>
      </rPr>
      <t>lim</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</si>
  <si>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*1^(2)*(IS^(0.5)/(1+1.5*IS^(0.5))-0.3*IS));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fmono</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</si>
  <si>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*2^(2)*(IS^(0.5)/(1+1.5*IS^(0.5))-0.3*IS));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fdi</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</si>
  <si>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*3^(2)*(IS^(0.5)/(1+1.5*IS^(0.5))-0.3*IS));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ftri</t>
    </r>
    <r>
      <rPr>
        <sz val="11"/>
        <rFont val="Calibri"/>
        <family val="2"/>
        <scheme val="minor"/>
      </rPr>
      <t>)</t>
    </r>
  </si>
  <si>
    <r>
      <t>Slope</t>
    </r>
    <r>
      <rPr>
        <vertAlign val="subscript"/>
        <sz val="11"/>
        <rFont val="Calibri"/>
        <family val="2"/>
        <scheme val="minor"/>
      </rPr>
      <t>IS,corr</t>
    </r>
  </si>
  <si>
    <t>Slope of correction</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</si>
  <si>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</si>
  <si>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MJ.m</t>
    </r>
    <r>
      <rPr>
        <vertAlign val="superscript"/>
        <sz val="11"/>
        <rFont val="Calibri"/>
        <family val="2"/>
      </rPr>
      <t>-3</t>
    </r>
  </si>
  <si>
    <t>COD removal including 2-step denitrification</t>
  </si>
  <si>
    <t>2-step nitrification</t>
  </si>
  <si>
    <t>r92</t>
  </si>
  <si>
    <t>r93</t>
  </si>
  <si>
    <t>Flocculation of colloidal biodegradable substrate with polymers</t>
  </si>
  <si>
    <t>Flocculation of colloidal unbiodegradable organics with polymers</t>
  </si>
  <si>
    <r>
      <t>rate</t>
    </r>
    <r>
      <rPr>
        <vertAlign val="subscript"/>
        <sz val="11"/>
        <rFont val="Calibri"/>
        <family val="2"/>
      </rPr>
      <t>FLOC,CB,polymer</t>
    </r>
  </si>
  <si>
    <r>
      <t>rate</t>
    </r>
    <r>
      <rPr>
        <vertAlign val="subscript"/>
        <sz val="11"/>
        <rFont val="Calibri"/>
        <family val="2"/>
      </rPr>
      <t>FLOC,CU,polymer</t>
    </r>
  </si>
  <si>
    <t>Rate of flocculation of colloidal biodegradable substrate with polymers</t>
  </si>
  <si>
    <r>
      <t>f(C</t>
    </r>
    <r>
      <rPr>
        <vertAlign val="subscript"/>
        <sz val="11"/>
        <rFont val="Calibri"/>
        <family val="2"/>
      </rPr>
      <t>B</t>
    </r>
    <r>
      <rPr>
        <sz val="11"/>
        <rFont val="Calibri"/>
        <family val="2"/>
      </rPr>
      <t>)</t>
    </r>
  </si>
  <si>
    <t>only if polymers are added, calculated in three compartments clarifier and primary</t>
  </si>
  <si>
    <t>Rate of flocculation of colloidal unbiodegradable substrate with polymers</t>
  </si>
  <si>
    <r>
      <t>f(C</t>
    </r>
    <r>
      <rPr>
        <vertAlign val="subscript"/>
        <sz val="11"/>
        <rFont val="Calibri"/>
        <family val="2"/>
      </rPr>
      <t>U</t>
    </r>
    <r>
      <rPr>
        <sz val="11"/>
        <rFont val="Calibri"/>
        <family val="2"/>
      </rPr>
      <t>)</t>
    </r>
  </si>
  <si>
    <t>Polymer</t>
  </si>
  <si>
    <r>
      <t>q</t>
    </r>
    <r>
      <rPr>
        <vertAlign val="subscript"/>
        <sz val="11"/>
        <rFont val="Calibri"/>
        <family val="2"/>
        <scheme val="minor"/>
      </rPr>
      <t>HFOH,DESORP</t>
    </r>
  </si>
  <si>
    <r>
      <t>Rate of X</t>
    </r>
    <r>
      <rPr>
        <vertAlign val="subscript"/>
        <sz val="11"/>
        <color rgb="FF000000"/>
        <rFont val="Calibri"/>
        <family val="2"/>
        <scheme val="minor"/>
      </rPr>
      <t>HFO,H,P</t>
    </r>
    <r>
      <rPr>
        <sz val="11"/>
        <color rgb="FF000000"/>
        <rFont val="Calibri"/>
        <family val="2"/>
        <charset val="238"/>
        <scheme val="minor"/>
      </rPr>
      <t xml:space="preserve"> desorption</t>
    </r>
  </si>
  <si>
    <r>
      <t>q</t>
    </r>
    <r>
      <rPr>
        <vertAlign val="subscript"/>
        <sz val="11"/>
        <rFont val="Calibri"/>
        <family val="2"/>
        <scheme val="minor"/>
      </rPr>
      <t>HFOL,DESORP</t>
    </r>
  </si>
  <si>
    <r>
      <t>Rate of X</t>
    </r>
    <r>
      <rPr>
        <vertAlign val="subscript"/>
        <sz val="11"/>
        <color rgb="FF000000"/>
        <rFont val="Calibri"/>
        <family val="2"/>
        <scheme val="minor"/>
      </rPr>
      <t>HFO,L,P</t>
    </r>
    <r>
      <rPr>
        <sz val="11"/>
        <color rgb="FF000000"/>
        <rFont val="Calibri"/>
        <family val="2"/>
        <charset val="238"/>
        <scheme val="minor"/>
      </rPr>
      <t xml:space="preserve"> desorption</t>
    </r>
  </si>
  <si>
    <r>
      <t>q</t>
    </r>
    <r>
      <rPr>
        <vertAlign val="subscript"/>
        <sz val="11"/>
        <rFont val="Calibri"/>
        <family val="2"/>
        <scheme val="minor"/>
      </rPr>
      <t>HFO,DISS</t>
    </r>
  </si>
  <si>
    <r>
      <t>Rate of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r>
      <rPr>
        <sz val="11"/>
        <color rgb="FF000000"/>
        <rFont val="Calibri"/>
        <family val="2"/>
        <charset val="238"/>
        <scheme val="minor"/>
      </rPr>
      <t xml:space="preserve"> redissolution</t>
    </r>
  </si>
  <si>
    <r>
      <t>Half-inhibition of PO</t>
    </r>
    <r>
      <rPr>
        <vertAlign val="subscript"/>
        <sz val="11"/>
        <color rgb="FF000000"/>
        <rFont val="Calibri"/>
        <family val="2"/>
        <scheme val="minor"/>
      </rPr>
      <t>4</t>
    </r>
    <r>
      <rPr>
        <sz val="11"/>
        <color rgb="FF000000"/>
        <rFont val="Calibri"/>
        <family val="2"/>
        <charset val="238"/>
        <scheme val="minor"/>
      </rPr>
      <t xml:space="preserve"> in HFO desorption</t>
    </r>
  </si>
  <si>
    <r>
      <t>Desorption of P from X</t>
    </r>
    <r>
      <rPr>
        <vertAlign val="subscript"/>
        <sz val="11"/>
        <color rgb="FF000000"/>
        <rFont val="Calibri"/>
        <family val="2"/>
        <scheme val="minor"/>
      </rPr>
      <t>HFO,H,P</t>
    </r>
  </si>
  <si>
    <r>
      <t>Desorption of P from X</t>
    </r>
    <r>
      <rPr>
        <vertAlign val="subscript"/>
        <sz val="11"/>
        <color rgb="FF000000"/>
        <rFont val="Calibri"/>
        <family val="2"/>
        <scheme val="minor"/>
      </rPr>
      <t>HFO,L,P</t>
    </r>
  </si>
  <si>
    <r>
      <t>Dissolution of P from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</si>
  <si>
    <t>r94</t>
  </si>
  <si>
    <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</si>
  <si>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</si>
  <si>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HFO</t>
    </r>
  </si>
  <si>
    <r>
      <t>q</t>
    </r>
    <r>
      <rPr>
        <vertAlign val="subscript"/>
        <sz val="11"/>
        <rFont val="Calibri"/>
        <family val="2"/>
      </rPr>
      <t>Fe2,OX,T</t>
    </r>
    <r>
      <rPr>
        <sz val="11"/>
        <rFont val="Calibri"/>
        <family val="2"/>
      </rPr>
      <t>*S</t>
    </r>
    <r>
      <rPr>
        <vertAlign val="subscript"/>
        <sz val="11"/>
        <rFont val="Calibri"/>
        <family val="2"/>
      </rPr>
      <t>Fe2</t>
    </r>
    <r>
      <rPr>
        <sz val="11"/>
        <rFont val="Calibri"/>
        <family val="2"/>
      </rPr>
      <t>*Msat</t>
    </r>
    <r>
      <rPr>
        <vertAlign val="subscript"/>
        <sz val="11"/>
        <rFont val="Calibri"/>
        <family val="2"/>
      </rPr>
      <t>SO2,KO2,OHO</t>
    </r>
  </si>
  <si>
    <r>
      <t>CO</t>
    </r>
    <r>
      <rPr>
        <vertAlign val="subscript"/>
        <sz val="11"/>
        <color indexed="8"/>
        <rFont val="Calibri"/>
        <family val="2"/>
        <scheme val="minor"/>
      </rPr>
      <t>2</t>
    </r>
    <r>
      <rPr>
        <sz val="11"/>
        <color indexed="8"/>
        <rFont val="Calibri"/>
        <family val="2"/>
        <scheme val="minor"/>
      </rPr>
      <t xml:space="preserve"> and NH</t>
    </r>
    <r>
      <rPr>
        <vertAlign val="subscript"/>
        <sz val="11"/>
        <color indexed="8"/>
        <rFont val="Calibri"/>
        <family val="2"/>
        <scheme val="minor"/>
      </rPr>
      <t>3</t>
    </r>
    <r>
      <rPr>
        <sz val="11"/>
        <color indexed="8"/>
        <rFont val="Calibri"/>
        <family val="2"/>
        <scheme val="minor"/>
      </rPr>
      <t xml:space="preserve"> gas transfer depends on pH one equilibrium species: H2CO3 and NH3 for CO2 and NH3, respectively. </t>
    </r>
  </si>
  <si>
    <t>These components are calculated for a pH of 7 when pH is disabled,</t>
  </si>
  <si>
    <t>Carbonic acid and free ammonia calculation when pH is off</t>
  </si>
  <si>
    <r>
      <t>pH</t>
    </r>
    <r>
      <rPr>
        <vertAlign val="subscript"/>
        <sz val="11"/>
        <rFont val="Calibri"/>
        <family val="2"/>
        <scheme val="minor"/>
      </rPr>
      <t>field</t>
    </r>
  </si>
  <si>
    <t>pH in process unit</t>
  </si>
  <si>
    <r>
      <t>IS</t>
    </r>
    <r>
      <rPr>
        <vertAlign val="subscript"/>
        <sz val="11"/>
        <rFont val="Calibri"/>
        <family val="2"/>
        <scheme val="minor"/>
      </rPr>
      <t>field</t>
    </r>
  </si>
  <si>
    <t>IS in process unit (pH off)</t>
  </si>
  <si>
    <t>Non-pH; Digester</t>
  </si>
  <si>
    <r>
      <t>f</t>
    </r>
    <r>
      <rPr>
        <vertAlign val="subscript"/>
        <sz val="11"/>
        <rFont val="Calibri"/>
        <family val="2"/>
        <scheme val="minor"/>
      </rPr>
      <t>mono,field</t>
    </r>
  </si>
  <si>
    <r>
      <t>10^(-A</t>
    </r>
    <r>
      <rPr>
        <vertAlign val="subscript"/>
        <sz val="11"/>
        <rFont val="Calibri"/>
        <family val="2"/>
        <scheme val="minor"/>
      </rPr>
      <t>Davies</t>
    </r>
    <r>
      <rPr>
        <sz val="11"/>
        <rFont val="Calibri"/>
        <family val="2"/>
        <scheme val="minor"/>
      </rPr>
      <t>*1^(2)*(IS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</si>
  <si>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f</t>
    </r>
    <r>
      <rPr>
        <vertAlign val="subscript"/>
        <sz val="11"/>
        <rFont val="Calibri"/>
        <family val="2"/>
        <scheme val="minor"/>
      </rPr>
      <t>di,field</t>
    </r>
  </si>
  <si>
    <r>
      <t>10^(-A</t>
    </r>
    <r>
      <rPr>
        <vertAlign val="subscript"/>
        <sz val="11"/>
        <rFont val="Calibri"/>
        <family val="2"/>
        <scheme val="minor"/>
      </rPr>
      <t>Davies</t>
    </r>
    <r>
      <rPr>
        <sz val="11"/>
        <rFont val="Calibri"/>
        <family val="2"/>
        <scheme val="minor"/>
      </rPr>
      <t>*2^(2)*(IS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</si>
  <si>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C1,T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</si>
  <si>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di,field</t>
    </r>
  </si>
  <si>
    <t>pH calculation - pH specified, for other process units (pHSet, NonInput)</t>
  </si>
  <si>
    <t>Non-Input; pHSet; pH</t>
  </si>
  <si>
    <t>Error calculation</t>
  </si>
  <si>
    <t>Input; pHSet; pH</t>
  </si>
  <si>
    <t>pH calculation - pH specified, for influents (pHSet, Input)</t>
  </si>
  <si>
    <t>Key(1190)</t>
  </si>
  <si>
    <t>BOD stoichiometry</t>
  </si>
  <si>
    <t>Cations and anions calculation revised, for other process units (NonInput)</t>
  </si>
  <si>
    <r>
      <t>S</t>
    </r>
    <r>
      <rPr>
        <vertAlign val="subscript"/>
        <sz val="11"/>
        <rFont val="Calibri"/>
        <family val="2"/>
        <scheme val="minor"/>
      </rPr>
      <t>CAT,add</t>
    </r>
  </si>
  <si>
    <r>
      <t>If(SIC&gt; 0;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*1000);0)</t>
    </r>
  </si>
  <si>
    <t>pHSet; pH; Non-Input</t>
  </si>
  <si>
    <r>
      <t>S</t>
    </r>
    <r>
      <rPr>
        <vertAlign val="subscript"/>
        <sz val="11"/>
        <rFont val="Calibri"/>
        <family val="2"/>
        <scheme val="minor"/>
      </rPr>
      <t>AN,add</t>
    </r>
  </si>
  <si>
    <r>
      <t>If(SIC&lt; 0;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*1000);0)</t>
    </r>
  </si>
  <si>
    <r>
      <t>S</t>
    </r>
    <r>
      <rPr>
        <vertAlign val="subscript"/>
        <sz val="11"/>
        <color theme="1"/>
        <rFont val="Calibri"/>
        <family val="2"/>
        <scheme val="minor"/>
      </rPr>
      <t>CAT,ini</t>
    </r>
    <r>
      <rPr>
        <sz val="11"/>
        <color theme="1"/>
        <rFont val="Calibri"/>
        <family val="2"/>
        <scheme val="minor"/>
      </rPr>
      <t>+S</t>
    </r>
    <r>
      <rPr>
        <vertAlign val="subscript"/>
        <sz val="11"/>
        <color theme="1"/>
        <rFont val="Calibri"/>
        <family val="2"/>
        <scheme val="minor"/>
      </rPr>
      <t>CAT,add</t>
    </r>
  </si>
  <si>
    <r>
      <t>S</t>
    </r>
    <r>
      <rPr>
        <vertAlign val="subscript"/>
        <sz val="11"/>
        <color theme="1"/>
        <rFont val="Calibri"/>
        <family val="2"/>
        <scheme val="minor"/>
      </rPr>
      <t>AN,ini</t>
    </r>
    <r>
      <rPr>
        <sz val="11"/>
        <color theme="1"/>
        <rFont val="Calibri"/>
        <family val="2"/>
        <scheme val="minor"/>
      </rPr>
      <t>+S</t>
    </r>
    <r>
      <rPr>
        <vertAlign val="subscript"/>
        <sz val="11"/>
        <color theme="1"/>
        <rFont val="Calibri"/>
        <family val="2"/>
        <scheme val="minor"/>
      </rPr>
      <t>AN,add</t>
    </r>
  </si>
  <si>
    <t>Cations and anions calculation revised for influents (Input)</t>
  </si>
  <si>
    <t>pHSet; pH; Input</t>
  </si>
  <si>
    <t>if pH is calculated</t>
  </si>
  <si>
    <r>
      <t>S</t>
    </r>
    <r>
      <rPr>
        <vertAlign val="subscript"/>
        <sz val="11"/>
        <rFont val="Calibri"/>
        <family val="2"/>
      </rPr>
      <t>NO3</t>
    </r>
    <r>
      <rPr>
        <sz val="11"/>
        <rFont val="Calibri"/>
        <family val="2"/>
      </rPr>
      <t>/(AM</t>
    </r>
    <r>
      <rPr>
        <vertAlign val="subscript"/>
        <sz val="11"/>
        <rFont val="Calibri"/>
        <family val="2"/>
      </rPr>
      <t>N</t>
    </r>
    <r>
      <rPr>
        <sz val="11"/>
        <rFont val="Calibri"/>
        <family val="2"/>
      </rPr>
      <t>*1000)</t>
    </r>
  </si>
  <si>
    <t>Diffusion coefficients for gas phase state variables</t>
  </si>
  <si>
    <t>heat capacity ratio</t>
  </si>
  <si>
    <t>Molar mass of ammonium ion</t>
  </si>
  <si>
    <t>Molar mass of nitrite ion</t>
  </si>
  <si>
    <t>Molar mass of nitrate ion</t>
  </si>
  <si>
    <t>Solubility  constant of CaCO3</t>
  </si>
  <si>
    <t>Solubility  constant of struvite</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</si>
  <si>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</si>
  <si>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</si>
  <si>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</si>
  <si>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</si>
  <si>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</si>
  <si>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</si>
  <si>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</si>
  <si>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</si>
  <si>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</si>
  <si>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</si>
  <si>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</si>
  <si>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</si>
  <si>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r>
      <t>c</t>
    </r>
    <r>
      <rPr>
        <vertAlign val="subscript"/>
        <sz val="11"/>
        <rFont val="Calibri"/>
        <family val="2"/>
        <scheme val="minor"/>
      </rPr>
      <t>cm,m</t>
    </r>
  </si>
  <si>
    <t>Conversion coefficient between centimeters and meters</t>
  </si>
  <si>
    <t>Standard enthalpy of Magnesium ion</t>
  </si>
  <si>
    <t>Diffusion coefficients for liquid phase state variables</t>
  </si>
  <si>
    <r>
      <rPr>
        <sz val="11"/>
        <rFont val="Calibri"/>
        <family val="2"/>
        <scheme val="minor"/>
      </rPr>
      <t>f</t>
    </r>
    <r>
      <rPr>
        <vertAlign val="subscript"/>
        <sz val="11"/>
        <rFont val="Calibri"/>
        <family val="2"/>
        <scheme val="minor"/>
      </rPr>
      <t>KS</t>
    </r>
  </si>
  <si>
    <r>
      <t>K</t>
    </r>
    <r>
      <rPr>
        <vertAlign val="subscript"/>
        <sz val="11"/>
        <rFont val="Calibri"/>
        <family val="2"/>
      </rPr>
      <t>NHx,AOB,AS</t>
    </r>
    <r>
      <rPr>
        <sz val="11"/>
        <rFont val="Calibri"/>
        <family val="2"/>
      </rPr>
      <t>*f</t>
    </r>
    <r>
      <rPr>
        <vertAlign val="subscript"/>
        <sz val="11"/>
        <rFont val="Calibri"/>
        <family val="2"/>
      </rPr>
      <t>KS</t>
    </r>
  </si>
  <si>
    <r>
      <t>K</t>
    </r>
    <r>
      <rPr>
        <vertAlign val="subscript"/>
        <sz val="11"/>
        <rFont val="Calibri"/>
        <family val="2"/>
      </rPr>
      <t>O2,AOB,AS</t>
    </r>
    <r>
      <rPr>
        <sz val="11"/>
        <rFont val="Calibri"/>
        <family val="2"/>
      </rPr>
      <t>*f</t>
    </r>
    <r>
      <rPr>
        <vertAlign val="subscript"/>
        <sz val="11"/>
        <rFont val="Calibri"/>
        <family val="2"/>
      </rPr>
      <t>KS</t>
    </r>
  </si>
  <si>
    <r>
      <t>K</t>
    </r>
    <r>
      <rPr>
        <vertAlign val="subscript"/>
        <sz val="11"/>
        <rFont val="Calibri"/>
        <family val="2"/>
      </rPr>
      <t>NOx,AOB,AS</t>
    </r>
    <r>
      <rPr>
        <sz val="11"/>
        <rFont val="Calibri"/>
        <family val="2"/>
      </rPr>
      <t>*f</t>
    </r>
    <r>
      <rPr>
        <vertAlign val="subscript"/>
        <sz val="11"/>
        <rFont val="Calibri"/>
        <family val="2"/>
      </rPr>
      <t>KS</t>
    </r>
  </si>
  <si>
    <r>
      <t>Ki</t>
    </r>
    <r>
      <rPr>
        <vertAlign val="subscript"/>
        <sz val="11"/>
        <rFont val="Calibri"/>
        <family val="2"/>
      </rPr>
      <t>HNO2,AOB,pH,AS</t>
    </r>
    <r>
      <rPr>
        <sz val="11"/>
        <rFont val="Calibri"/>
        <family val="2"/>
      </rPr>
      <t>*f</t>
    </r>
    <r>
      <rPr>
        <vertAlign val="subscript"/>
        <sz val="11"/>
        <rFont val="Calibri"/>
        <family val="2"/>
      </rPr>
      <t>KS</t>
    </r>
  </si>
  <si>
    <r>
      <t>K</t>
    </r>
    <r>
      <rPr>
        <vertAlign val="subscript"/>
        <sz val="11"/>
        <rFont val="Calibri"/>
        <family val="2"/>
      </rPr>
      <t>NO2,NOB,AS</t>
    </r>
    <r>
      <rPr>
        <sz val="11"/>
        <rFont val="Calibri"/>
        <family val="2"/>
      </rPr>
      <t>*f</t>
    </r>
    <r>
      <rPr>
        <vertAlign val="subscript"/>
        <sz val="11"/>
        <rFont val="Calibri"/>
        <family val="2"/>
      </rPr>
      <t>KS</t>
    </r>
  </si>
  <si>
    <r>
      <t>K</t>
    </r>
    <r>
      <rPr>
        <vertAlign val="subscript"/>
        <sz val="11"/>
        <rFont val="Calibri"/>
        <family val="2"/>
      </rPr>
      <t>O2,NOB,AS</t>
    </r>
    <r>
      <rPr>
        <sz val="11"/>
        <rFont val="Calibri"/>
        <family val="2"/>
      </rPr>
      <t>*f</t>
    </r>
    <r>
      <rPr>
        <vertAlign val="subscript"/>
        <sz val="11"/>
        <rFont val="Calibri"/>
        <family val="2"/>
      </rPr>
      <t>KS</t>
    </r>
  </si>
  <si>
    <r>
      <t>K</t>
    </r>
    <r>
      <rPr>
        <vertAlign val="subscript"/>
        <sz val="11"/>
        <rFont val="Calibri"/>
        <family val="2"/>
      </rPr>
      <t>NOx,NOB,AS</t>
    </r>
    <r>
      <rPr>
        <sz val="11"/>
        <rFont val="Calibri"/>
        <family val="2"/>
      </rPr>
      <t>*f</t>
    </r>
    <r>
      <rPr>
        <vertAlign val="subscript"/>
        <sz val="11"/>
        <rFont val="Calibri"/>
        <family val="2"/>
      </rPr>
      <t>KS</t>
    </r>
  </si>
  <si>
    <r>
      <t>Ki</t>
    </r>
    <r>
      <rPr>
        <vertAlign val="subscript"/>
        <sz val="11"/>
        <rFont val="Calibri"/>
        <family val="2"/>
      </rPr>
      <t>NH3,NOB,pH,AS</t>
    </r>
    <r>
      <rPr>
        <sz val="11"/>
        <rFont val="Calibri"/>
        <family val="2"/>
      </rPr>
      <t>*f</t>
    </r>
    <r>
      <rPr>
        <vertAlign val="subscript"/>
        <sz val="11"/>
        <rFont val="Calibri"/>
        <family val="2"/>
      </rPr>
      <t>KS</t>
    </r>
  </si>
  <si>
    <r>
      <t>K</t>
    </r>
    <r>
      <rPr>
        <vertAlign val="subscript"/>
        <sz val="11"/>
        <rFont val="Calibri"/>
        <family val="2"/>
      </rPr>
      <t>NHx,AMX,AS</t>
    </r>
    <r>
      <rPr>
        <sz val="11"/>
        <rFont val="Calibri"/>
        <family val="2"/>
      </rPr>
      <t>*f</t>
    </r>
    <r>
      <rPr>
        <vertAlign val="subscript"/>
        <sz val="11"/>
        <rFont val="Calibri"/>
        <family val="2"/>
      </rPr>
      <t>KS</t>
    </r>
  </si>
  <si>
    <r>
      <t>K</t>
    </r>
    <r>
      <rPr>
        <vertAlign val="subscript"/>
        <sz val="11"/>
        <rFont val="Calibri"/>
        <family val="2"/>
      </rPr>
      <t>NO2,AMX,AS</t>
    </r>
    <r>
      <rPr>
        <sz val="11"/>
        <rFont val="Calibri"/>
        <family val="2"/>
      </rPr>
      <t>*f</t>
    </r>
    <r>
      <rPr>
        <vertAlign val="subscript"/>
        <sz val="11"/>
        <rFont val="Calibri"/>
        <family val="2"/>
      </rPr>
      <t>KS</t>
    </r>
  </si>
  <si>
    <r>
      <t>K</t>
    </r>
    <r>
      <rPr>
        <vertAlign val="subscript"/>
        <sz val="11"/>
        <rFont val="Calibri"/>
        <family val="2"/>
      </rPr>
      <t>NOx,AMX,AS</t>
    </r>
    <r>
      <rPr>
        <sz val="11"/>
        <rFont val="Calibri"/>
        <family val="2"/>
      </rPr>
      <t>*f</t>
    </r>
    <r>
      <rPr>
        <vertAlign val="subscript"/>
        <sz val="11"/>
        <rFont val="Calibri"/>
        <family val="2"/>
      </rPr>
      <t>KS</t>
    </r>
  </si>
  <si>
    <r>
      <t>Ki</t>
    </r>
    <r>
      <rPr>
        <vertAlign val="subscript"/>
        <sz val="11"/>
        <rFont val="Calibri"/>
        <family val="2"/>
      </rPr>
      <t>HNO2,AMX,pH,AS</t>
    </r>
    <r>
      <rPr>
        <sz val="11"/>
        <rFont val="Calibri"/>
        <family val="2"/>
      </rPr>
      <t>*f</t>
    </r>
    <r>
      <rPr>
        <vertAlign val="subscript"/>
        <sz val="11"/>
        <rFont val="Calibri"/>
        <family val="2"/>
      </rPr>
      <t>KS</t>
    </r>
  </si>
  <si>
    <r>
      <t>K</t>
    </r>
    <r>
      <rPr>
        <vertAlign val="subscript"/>
        <sz val="11"/>
        <rFont val="Calibri"/>
        <family val="2"/>
        <scheme val="minor"/>
      </rPr>
      <t>SB,AS</t>
    </r>
    <r>
      <rPr>
        <sz val="11"/>
        <rFont val="Calibri"/>
        <family val="2"/>
        <scheme val="minor"/>
      </rPr>
      <t>*f</t>
    </r>
    <r>
      <rPr>
        <vertAlign val="subscript"/>
        <sz val="11"/>
        <rFont val="Calibri"/>
        <family val="2"/>
        <scheme val="minor"/>
      </rPr>
      <t>KS</t>
    </r>
  </si>
  <si>
    <r>
      <t>K</t>
    </r>
    <r>
      <rPr>
        <vertAlign val="subscript"/>
        <sz val="11"/>
        <rFont val="Calibri"/>
        <family val="2"/>
        <scheme val="minor"/>
      </rPr>
      <t>VFA,AS</t>
    </r>
    <r>
      <rPr>
        <sz val="11"/>
        <rFont val="Calibri"/>
        <family val="2"/>
        <scheme val="minor"/>
      </rPr>
      <t>*f</t>
    </r>
    <r>
      <rPr>
        <vertAlign val="subscript"/>
        <sz val="11"/>
        <rFont val="Calibri"/>
        <family val="2"/>
        <scheme val="minor"/>
      </rPr>
      <t>KS</t>
    </r>
  </si>
  <si>
    <r>
      <t>K</t>
    </r>
    <r>
      <rPr>
        <vertAlign val="subscript"/>
        <sz val="11"/>
        <rFont val="Calibri"/>
        <family val="2"/>
        <scheme val="minor"/>
      </rPr>
      <t>O2,OHO,AS</t>
    </r>
    <r>
      <rPr>
        <sz val="11"/>
        <rFont val="Calibri"/>
        <family val="2"/>
        <scheme val="minor"/>
      </rPr>
      <t>*f</t>
    </r>
    <r>
      <rPr>
        <vertAlign val="subscript"/>
        <sz val="11"/>
        <rFont val="Calibri"/>
        <family val="2"/>
        <scheme val="minor"/>
      </rPr>
      <t>KS</t>
    </r>
  </si>
  <si>
    <r>
      <t>K</t>
    </r>
    <r>
      <rPr>
        <vertAlign val="subscript"/>
        <sz val="11"/>
        <rFont val="Calibri"/>
        <family val="2"/>
        <scheme val="minor"/>
      </rPr>
      <t>MEOL,OHO,AS</t>
    </r>
    <r>
      <rPr>
        <sz val="11"/>
        <rFont val="Calibri"/>
        <family val="2"/>
        <scheme val="minor"/>
      </rPr>
      <t>*f</t>
    </r>
    <r>
      <rPr>
        <vertAlign val="subscript"/>
        <sz val="11"/>
        <rFont val="Calibri"/>
        <family val="2"/>
        <scheme val="minor"/>
      </rPr>
      <t>KS</t>
    </r>
  </si>
  <si>
    <r>
      <t>K</t>
    </r>
    <r>
      <rPr>
        <vertAlign val="subscript"/>
        <sz val="11"/>
        <rFont val="Calibri"/>
        <family val="2"/>
      </rPr>
      <t>NO2,OHO,AS</t>
    </r>
    <r>
      <rPr>
        <sz val="11"/>
        <rFont val="Calibri"/>
        <family val="2"/>
      </rPr>
      <t>*f</t>
    </r>
    <r>
      <rPr>
        <vertAlign val="subscript"/>
        <sz val="11"/>
        <rFont val="Calibri"/>
        <family val="2"/>
      </rPr>
      <t>KS</t>
    </r>
  </si>
  <si>
    <r>
      <t>K</t>
    </r>
    <r>
      <rPr>
        <vertAlign val="subscript"/>
        <sz val="11"/>
        <rFont val="Calibri"/>
        <family val="2"/>
        <scheme val="minor"/>
      </rPr>
      <t>NO3,OHO,AS</t>
    </r>
    <r>
      <rPr>
        <sz val="11"/>
        <rFont val="Calibri"/>
        <family val="2"/>
        <scheme val="minor"/>
      </rPr>
      <t>*f</t>
    </r>
    <r>
      <rPr>
        <vertAlign val="subscript"/>
        <sz val="11"/>
        <rFont val="Calibri"/>
        <family val="2"/>
        <scheme val="minor"/>
      </rPr>
      <t>KS</t>
    </r>
  </si>
  <si>
    <r>
      <t>K</t>
    </r>
    <r>
      <rPr>
        <vertAlign val="subscript"/>
        <sz val="11"/>
        <rFont val="Calibri"/>
        <family val="2"/>
        <scheme val="minor"/>
      </rPr>
      <t>VFA,FERM,AS</t>
    </r>
    <r>
      <rPr>
        <sz val="11"/>
        <rFont val="Calibri"/>
        <family val="2"/>
        <scheme val="minor"/>
      </rPr>
      <t>*f</t>
    </r>
    <r>
      <rPr>
        <vertAlign val="subscript"/>
        <sz val="11"/>
        <rFont val="Calibri"/>
        <family val="2"/>
        <scheme val="minor"/>
      </rPr>
      <t>KS</t>
    </r>
  </si>
  <si>
    <r>
      <t>K</t>
    </r>
    <r>
      <rPr>
        <vertAlign val="subscript"/>
        <sz val="11"/>
        <rFont val="Calibri"/>
        <family val="2"/>
        <scheme val="minor"/>
      </rPr>
      <t>SB,ana,AS</t>
    </r>
    <r>
      <rPr>
        <sz val="11"/>
        <rFont val="Calibri"/>
        <family val="2"/>
        <scheme val="minor"/>
      </rPr>
      <t>*f</t>
    </r>
    <r>
      <rPr>
        <vertAlign val="subscript"/>
        <sz val="11"/>
        <rFont val="Calibri"/>
        <family val="2"/>
        <scheme val="minor"/>
      </rPr>
      <t>KS</t>
    </r>
  </si>
  <si>
    <r>
      <t>K</t>
    </r>
    <r>
      <rPr>
        <vertAlign val="subscript"/>
        <sz val="11"/>
        <rFont val="Calibri"/>
        <family val="2"/>
        <scheme val="minor"/>
      </rPr>
      <t>MEOL,AS</t>
    </r>
    <r>
      <rPr>
        <sz val="11"/>
        <rFont val="Calibri"/>
        <family val="2"/>
        <scheme val="minor"/>
      </rPr>
      <t>*f</t>
    </r>
    <r>
      <rPr>
        <vertAlign val="subscript"/>
        <sz val="11"/>
        <rFont val="Calibri"/>
        <family val="2"/>
        <scheme val="minor"/>
      </rPr>
      <t>KS</t>
    </r>
  </si>
  <si>
    <r>
      <t>K</t>
    </r>
    <r>
      <rPr>
        <vertAlign val="subscript"/>
        <sz val="11"/>
        <rFont val="Calibri"/>
        <family val="2"/>
      </rPr>
      <t>NO2,MEOLO,AS</t>
    </r>
    <r>
      <rPr>
        <sz val="11"/>
        <rFont val="Calibri"/>
        <family val="2"/>
      </rPr>
      <t>*f</t>
    </r>
    <r>
      <rPr>
        <vertAlign val="subscript"/>
        <sz val="11"/>
        <rFont val="Calibri"/>
        <family val="2"/>
      </rPr>
      <t>KS</t>
    </r>
  </si>
  <si>
    <r>
      <t>K</t>
    </r>
    <r>
      <rPr>
        <vertAlign val="subscript"/>
        <sz val="11"/>
        <rFont val="Calibri"/>
        <family val="2"/>
        <scheme val="minor"/>
      </rPr>
      <t>NO3,MEOLO,AS</t>
    </r>
    <r>
      <rPr>
        <sz val="11"/>
        <rFont val="Calibri"/>
        <family val="2"/>
        <scheme val="minor"/>
      </rPr>
      <t>*f</t>
    </r>
    <r>
      <rPr>
        <vertAlign val="subscript"/>
        <sz val="11"/>
        <rFont val="Calibri"/>
        <family val="2"/>
        <scheme val="minor"/>
      </rPr>
      <t>KS</t>
    </r>
  </si>
  <si>
    <r>
      <t>K</t>
    </r>
    <r>
      <rPr>
        <vertAlign val="subscript"/>
        <sz val="11"/>
        <rFont val="Calibri"/>
        <family val="2"/>
        <scheme val="minor"/>
      </rPr>
      <t>PO4,PAO,AS</t>
    </r>
    <r>
      <rPr>
        <sz val="11"/>
        <rFont val="Calibri"/>
        <family val="2"/>
        <scheme val="minor"/>
      </rPr>
      <t>*f</t>
    </r>
    <r>
      <rPr>
        <vertAlign val="subscript"/>
        <sz val="11"/>
        <rFont val="Calibri"/>
        <family val="2"/>
        <scheme val="minor"/>
      </rPr>
      <t>KS</t>
    </r>
  </si>
  <si>
    <r>
      <t>K</t>
    </r>
    <r>
      <rPr>
        <vertAlign val="subscript"/>
        <sz val="11"/>
        <rFont val="Calibri"/>
        <family val="2"/>
        <scheme val="minor"/>
      </rPr>
      <t>Mg,PAO,AS</t>
    </r>
    <r>
      <rPr>
        <sz val="11"/>
        <rFont val="Calibri"/>
        <family val="2"/>
        <scheme val="minor"/>
      </rPr>
      <t>*f</t>
    </r>
    <r>
      <rPr>
        <vertAlign val="subscript"/>
        <sz val="11"/>
        <rFont val="Calibri"/>
        <family val="2"/>
        <scheme val="minor"/>
      </rPr>
      <t>KS</t>
    </r>
  </si>
  <si>
    <r>
      <t>K</t>
    </r>
    <r>
      <rPr>
        <vertAlign val="subscript"/>
        <sz val="11"/>
        <rFont val="Calibri"/>
        <family val="2"/>
        <scheme val="minor"/>
      </rPr>
      <t>K,PAO,AS</t>
    </r>
    <r>
      <rPr>
        <sz val="11"/>
        <rFont val="Calibri"/>
        <family val="2"/>
        <scheme val="minor"/>
      </rPr>
      <t>*f</t>
    </r>
    <r>
      <rPr>
        <vertAlign val="subscript"/>
        <sz val="11"/>
        <rFont val="Calibri"/>
        <family val="2"/>
        <scheme val="minor"/>
      </rPr>
      <t>KS</t>
    </r>
  </si>
  <si>
    <r>
      <t>K</t>
    </r>
    <r>
      <rPr>
        <vertAlign val="subscript"/>
        <sz val="11"/>
        <rFont val="Calibri"/>
        <family val="2"/>
        <scheme val="minor"/>
      </rPr>
      <t>Ca,PAO,AS</t>
    </r>
    <r>
      <rPr>
        <sz val="11"/>
        <rFont val="Calibri"/>
        <family val="2"/>
        <scheme val="minor"/>
      </rPr>
      <t>*f</t>
    </r>
    <r>
      <rPr>
        <vertAlign val="subscript"/>
        <sz val="11"/>
        <rFont val="Calibri"/>
        <family val="2"/>
        <scheme val="minor"/>
      </rPr>
      <t>KS</t>
    </r>
  </si>
  <si>
    <r>
      <t>Ki</t>
    </r>
    <r>
      <rPr>
        <vertAlign val="subscript"/>
        <sz val="11"/>
        <rFont val="Calibri"/>
        <family val="2"/>
        <scheme val="minor"/>
      </rPr>
      <t>PO4,lim,AS</t>
    </r>
    <r>
      <rPr>
        <sz val="11"/>
        <rFont val="Calibri"/>
        <family val="2"/>
        <scheme val="minor"/>
      </rPr>
      <t>*f</t>
    </r>
    <r>
      <rPr>
        <vertAlign val="subscript"/>
        <sz val="11"/>
        <rFont val="Calibri"/>
        <family val="2"/>
        <scheme val="minor"/>
      </rPr>
      <t>KS</t>
    </r>
  </si>
  <si>
    <r>
      <t>K</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</si>
  <si>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Ki</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</si>
  <si>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t>
    </r>
    <r>
      <rPr>
        <vertAlign val="subscript"/>
        <sz val="11"/>
        <rFont val="Calibri"/>
        <family val="2"/>
        <scheme val="minor"/>
      </rPr>
      <t>NOx,AMETO,AS</t>
    </r>
    <r>
      <rPr>
        <sz val="11"/>
        <rFont val="Calibri"/>
        <family val="2"/>
        <scheme val="minor"/>
      </rPr>
      <t>*f</t>
    </r>
    <r>
      <rPr>
        <vertAlign val="subscript"/>
        <sz val="11"/>
        <rFont val="Calibri"/>
        <family val="2"/>
        <scheme val="minor"/>
      </rPr>
      <t>KS</t>
    </r>
  </si>
  <si>
    <r>
      <t>K</t>
    </r>
    <r>
      <rPr>
        <vertAlign val="subscript"/>
        <sz val="11"/>
        <rFont val="Calibri"/>
        <family val="2"/>
        <scheme val="minor"/>
      </rPr>
      <t>H2,HMETO,AS</t>
    </r>
    <r>
      <rPr>
        <sz val="11"/>
        <rFont val="Calibri"/>
        <family val="2"/>
        <scheme val="minor"/>
      </rPr>
      <t>*f</t>
    </r>
    <r>
      <rPr>
        <vertAlign val="subscript"/>
        <sz val="11"/>
        <rFont val="Calibri"/>
        <family val="2"/>
        <scheme val="minor"/>
      </rPr>
      <t>KS</t>
    </r>
  </si>
  <si>
    <r>
      <t>K</t>
    </r>
    <r>
      <rPr>
        <vertAlign val="subscript"/>
        <sz val="11"/>
        <rFont val="Calibri"/>
        <family val="2"/>
        <scheme val="minor"/>
      </rPr>
      <t>NOx,HMETO,AS</t>
    </r>
    <r>
      <rPr>
        <sz val="11"/>
        <rFont val="Calibri"/>
        <family val="2"/>
        <scheme val="minor"/>
      </rPr>
      <t>*f</t>
    </r>
    <r>
      <rPr>
        <vertAlign val="subscript"/>
        <sz val="11"/>
        <rFont val="Calibri"/>
        <family val="2"/>
        <scheme val="minor"/>
      </rPr>
      <t>KS</t>
    </r>
  </si>
  <si>
    <r>
      <t>K</t>
    </r>
    <r>
      <rPr>
        <vertAlign val="subscript"/>
        <sz val="11"/>
        <rFont val="Calibri"/>
        <family val="2"/>
        <scheme val="minor"/>
      </rPr>
      <t>NHx,BIO,AS</t>
    </r>
    <r>
      <rPr>
        <sz val="11"/>
        <rFont val="Calibri"/>
        <family val="2"/>
        <scheme val="minor"/>
      </rPr>
      <t>*f</t>
    </r>
    <r>
      <rPr>
        <vertAlign val="subscript"/>
        <sz val="11"/>
        <rFont val="Calibri"/>
        <family val="2"/>
        <scheme val="minor"/>
      </rPr>
      <t>KS</t>
    </r>
  </si>
  <si>
    <r>
      <t>K</t>
    </r>
    <r>
      <rPr>
        <vertAlign val="subscript"/>
        <sz val="11"/>
        <rFont val="Calibri"/>
        <family val="2"/>
        <scheme val="minor"/>
      </rPr>
      <t>PO4,BIO,AS</t>
    </r>
    <r>
      <rPr>
        <sz val="11"/>
        <rFont val="Calibri"/>
        <family val="2"/>
        <scheme val="minor"/>
      </rPr>
      <t>*f</t>
    </r>
    <r>
      <rPr>
        <vertAlign val="subscript"/>
        <sz val="11"/>
        <rFont val="Calibri"/>
        <family val="2"/>
        <scheme val="minor"/>
      </rPr>
      <t>KS</t>
    </r>
  </si>
  <si>
    <r>
      <t>K</t>
    </r>
    <r>
      <rPr>
        <vertAlign val="subscript"/>
        <sz val="11"/>
        <rFont val="Calibri"/>
        <family val="2"/>
        <scheme val="minor"/>
      </rPr>
      <t>CO2,BIO,AS</t>
    </r>
    <r>
      <rPr>
        <sz val="11"/>
        <rFont val="Calibri"/>
        <family val="2"/>
        <scheme val="minor"/>
      </rPr>
      <t>*f</t>
    </r>
    <r>
      <rPr>
        <vertAlign val="subscript"/>
        <sz val="11"/>
        <rFont val="Calibri"/>
        <family val="2"/>
        <scheme val="minor"/>
      </rPr>
      <t>KS</t>
    </r>
  </si>
  <si>
    <r>
      <t>K</t>
    </r>
    <r>
      <rPr>
        <vertAlign val="subscript"/>
        <sz val="11"/>
        <rFont val="Calibri"/>
        <family val="2"/>
        <scheme val="minor"/>
      </rPr>
      <t>CAT,AS</t>
    </r>
    <r>
      <rPr>
        <sz val="11"/>
        <rFont val="Calibri"/>
        <family val="2"/>
        <scheme val="minor"/>
      </rPr>
      <t>*f</t>
    </r>
    <r>
      <rPr>
        <vertAlign val="subscript"/>
        <sz val="11"/>
        <rFont val="Calibri"/>
        <family val="2"/>
        <scheme val="minor"/>
      </rPr>
      <t>KS</t>
    </r>
  </si>
  <si>
    <r>
      <t>K</t>
    </r>
    <r>
      <rPr>
        <vertAlign val="subscript"/>
        <sz val="11"/>
        <rFont val="Calibri"/>
        <family val="2"/>
        <scheme val="minor"/>
      </rPr>
      <t>AN,AS</t>
    </r>
    <r>
      <rPr>
        <sz val="11"/>
        <rFont val="Calibri"/>
        <family val="2"/>
        <scheme val="minor"/>
      </rPr>
      <t>*f</t>
    </r>
    <r>
      <rPr>
        <vertAlign val="subscript"/>
        <sz val="11"/>
        <rFont val="Calibri"/>
        <family val="2"/>
        <scheme val="minor"/>
      </rPr>
      <t>KS</t>
    </r>
  </si>
  <si>
    <r>
      <t>K</t>
    </r>
    <r>
      <rPr>
        <vertAlign val="subscript"/>
        <sz val="11"/>
        <rFont val="Calibri"/>
        <family val="2"/>
        <scheme val="minor"/>
      </rPr>
      <t>HYD,AS</t>
    </r>
    <r>
      <rPr>
        <sz val="11"/>
        <rFont val="Calibri"/>
        <family val="2"/>
        <scheme val="minor"/>
      </rPr>
      <t>*f</t>
    </r>
    <r>
      <rPr>
        <vertAlign val="subscript"/>
        <sz val="11"/>
        <rFont val="Calibri"/>
        <family val="2"/>
        <scheme val="minor"/>
      </rPr>
      <t>KS</t>
    </r>
  </si>
  <si>
    <r>
      <t>Ki</t>
    </r>
    <r>
      <rPr>
        <vertAlign val="subscript"/>
        <sz val="11"/>
        <rFont val="Calibri"/>
        <family val="2"/>
        <scheme val="minor"/>
      </rPr>
      <t>NHx,ASSIM,AS</t>
    </r>
    <r>
      <rPr>
        <sz val="11"/>
        <rFont val="Calibri"/>
        <family val="2"/>
        <scheme val="minor"/>
      </rPr>
      <t>*f</t>
    </r>
    <r>
      <rPr>
        <vertAlign val="subscript"/>
        <sz val="11"/>
        <rFont val="Calibri"/>
        <family val="2"/>
        <scheme val="minor"/>
      </rPr>
      <t>KS</t>
    </r>
  </si>
  <si>
    <r>
      <t>K</t>
    </r>
    <r>
      <rPr>
        <vertAlign val="subscript"/>
        <sz val="11"/>
        <rFont val="Calibri"/>
        <family val="2"/>
        <scheme val="minor"/>
      </rPr>
      <t>NO2,ASSIM,AS</t>
    </r>
    <r>
      <rPr>
        <sz val="11"/>
        <rFont val="Calibri"/>
        <family val="2"/>
        <scheme val="minor"/>
      </rPr>
      <t>*f</t>
    </r>
    <r>
      <rPr>
        <vertAlign val="subscript"/>
        <sz val="11"/>
        <rFont val="Calibri"/>
        <family val="2"/>
        <scheme val="minor"/>
      </rPr>
      <t>KS</t>
    </r>
  </si>
  <si>
    <r>
      <t>K</t>
    </r>
    <r>
      <rPr>
        <vertAlign val="subscript"/>
        <sz val="11"/>
        <rFont val="Calibri"/>
        <family val="2"/>
        <scheme val="minor"/>
      </rPr>
      <t>NO3,ASSIM,AS</t>
    </r>
    <r>
      <rPr>
        <sz val="11"/>
        <rFont val="Calibri"/>
        <family val="2"/>
        <scheme val="minor"/>
      </rPr>
      <t>*f</t>
    </r>
    <r>
      <rPr>
        <vertAlign val="subscript"/>
        <sz val="11"/>
        <rFont val="Calibri"/>
        <family val="2"/>
        <scheme val="minor"/>
      </rPr>
      <t>KS</t>
    </r>
  </si>
  <si>
    <t>fKS=1 in bulk and fKS,biofilm in biofilm</t>
  </si>
  <si>
    <r>
      <t>S</t>
    </r>
    <r>
      <rPr>
        <vertAlign val="subscript"/>
        <sz val="11"/>
        <rFont val="Calibri"/>
        <family val="2"/>
        <scheme val="minor"/>
      </rPr>
      <t>KN</t>
    </r>
  </si>
  <si>
    <t>Soluble Kjeldahl nitrogen (SKN)</t>
  </si>
  <si>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</si>
  <si>
    <r>
      <t>S</t>
    </r>
    <r>
      <rPr>
        <vertAlign val="subscript"/>
        <sz val="11"/>
        <rFont val="Calibri"/>
        <family val="2"/>
        <scheme val="minor"/>
      </rPr>
      <t>P</t>
    </r>
  </si>
  <si>
    <t>Soluble phosphorus</t>
  </si>
  <si>
    <r>
      <t>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</si>
  <si>
    <r>
      <t>Ki</t>
    </r>
    <r>
      <rPr>
        <vertAlign val="subscript"/>
        <sz val="11"/>
        <rFont val="Calibri"/>
        <family val="2"/>
        <scheme val="minor"/>
      </rPr>
      <t>O2,MEOLO,AS</t>
    </r>
  </si>
  <si>
    <r>
      <t>Half-inhibition of O</t>
    </r>
    <r>
      <rPr>
        <vertAlign val="subscript"/>
        <sz val="11"/>
        <color rgb="FF000000"/>
        <rFont val="Calibri"/>
        <family val="2"/>
        <scheme val="minor"/>
      </rPr>
      <t>2</t>
    </r>
    <r>
      <rPr>
        <sz val="11"/>
        <color rgb="FF000000"/>
        <rFont val="Calibri"/>
        <family val="2"/>
        <charset val="238"/>
        <scheme val="minor"/>
      </rPr>
      <t xml:space="preserve"> for MEOLOs (AS)</t>
    </r>
  </si>
  <si>
    <r>
      <t>Ki</t>
    </r>
    <r>
      <rPr>
        <vertAlign val="subscript"/>
        <sz val="11"/>
        <rFont val="Calibri"/>
        <family val="2"/>
        <scheme val="minor"/>
      </rPr>
      <t>O2,AMETO,AS</t>
    </r>
  </si>
  <si>
    <r>
      <t>Half-inhibition of O</t>
    </r>
    <r>
      <rPr>
        <vertAlign val="subscript"/>
        <sz val="11"/>
        <color rgb="FF000000"/>
        <rFont val="Calibri"/>
        <family val="2"/>
        <scheme val="minor"/>
      </rPr>
      <t>2</t>
    </r>
    <r>
      <rPr>
        <sz val="11"/>
        <color rgb="FF000000"/>
        <rFont val="Calibri"/>
        <family val="2"/>
        <charset val="238"/>
        <scheme val="minor"/>
      </rPr>
      <t xml:space="preserve"> for AMETOs (AS)</t>
    </r>
  </si>
  <si>
    <r>
      <t>Ki</t>
    </r>
    <r>
      <rPr>
        <vertAlign val="subscript"/>
        <sz val="11"/>
        <color indexed="8"/>
        <rFont val="Calibri"/>
        <family val="2"/>
        <scheme val="minor"/>
      </rPr>
      <t>O2,HMETO,AS</t>
    </r>
  </si>
  <si>
    <r>
      <t>Half-inhibition of O</t>
    </r>
    <r>
      <rPr>
        <vertAlign val="subscript"/>
        <sz val="11"/>
        <color rgb="FF000000"/>
        <rFont val="Calibri"/>
        <family val="2"/>
        <scheme val="minor"/>
      </rPr>
      <t>2</t>
    </r>
    <r>
      <rPr>
        <sz val="11"/>
        <color rgb="FF000000"/>
        <rFont val="Calibri"/>
        <family val="2"/>
        <charset val="238"/>
        <scheme val="minor"/>
      </rPr>
      <t xml:space="preserve"> for HMETOs (AS)</t>
    </r>
  </si>
  <si>
    <r>
      <t>mV</t>
    </r>
    <r>
      <rPr>
        <vertAlign val="superscript"/>
        <sz val="11"/>
        <rFont val="Calibri"/>
        <family val="2"/>
        <scheme val="minor"/>
      </rPr>
      <t>-1</t>
    </r>
  </si>
  <si>
    <r>
      <t>Ki</t>
    </r>
    <r>
      <rPr>
        <vertAlign val="subscript"/>
        <sz val="11"/>
        <rFont val="Calibri"/>
        <family val="2"/>
        <scheme val="minor"/>
      </rPr>
      <t>O2,MEOLO</t>
    </r>
  </si>
  <si>
    <r>
      <t>Half-inhibition of O</t>
    </r>
    <r>
      <rPr>
        <vertAlign val="subscript"/>
        <sz val="11"/>
        <color rgb="FF000000"/>
        <rFont val="Calibri"/>
        <family val="2"/>
        <scheme val="minor"/>
      </rPr>
      <t>2</t>
    </r>
    <r>
      <rPr>
        <sz val="11"/>
        <color rgb="FF000000"/>
        <rFont val="Calibri"/>
        <family val="2"/>
        <charset val="238"/>
        <scheme val="minor"/>
      </rPr>
      <t xml:space="preserve"> for MEOLOs</t>
    </r>
  </si>
  <si>
    <r>
      <t>Ki</t>
    </r>
    <r>
      <rPr>
        <vertAlign val="subscript"/>
        <sz val="11"/>
        <rFont val="Calibri"/>
        <family val="2"/>
        <scheme val="minor"/>
      </rPr>
      <t>O2,MEOLO,AS</t>
    </r>
    <r>
      <rPr>
        <sz val="11"/>
        <rFont val="Calibri"/>
        <family val="2"/>
        <scheme val="minor"/>
      </rPr>
      <t>*f</t>
    </r>
    <r>
      <rPr>
        <vertAlign val="subscript"/>
        <sz val="11"/>
        <rFont val="Calibri"/>
        <family val="2"/>
        <scheme val="minor"/>
      </rPr>
      <t>KS</t>
    </r>
  </si>
  <si>
    <r>
      <t>Ki</t>
    </r>
    <r>
      <rPr>
        <vertAlign val="subscript"/>
        <sz val="11"/>
        <rFont val="Calibri"/>
        <family val="2"/>
        <scheme val="minor"/>
      </rPr>
      <t>O2,AMETO</t>
    </r>
  </si>
  <si>
    <r>
      <t>Half-inhibition of O</t>
    </r>
    <r>
      <rPr>
        <vertAlign val="subscript"/>
        <sz val="11"/>
        <color rgb="FF000000"/>
        <rFont val="Calibri"/>
        <family val="2"/>
        <scheme val="minor"/>
      </rPr>
      <t>2</t>
    </r>
    <r>
      <rPr>
        <sz val="11"/>
        <color rgb="FF000000"/>
        <rFont val="Calibri"/>
        <family val="2"/>
        <charset val="238"/>
        <scheme val="minor"/>
      </rPr>
      <t xml:space="preserve"> for AMETOs</t>
    </r>
  </si>
  <si>
    <r>
      <t>Ki</t>
    </r>
    <r>
      <rPr>
        <vertAlign val="subscript"/>
        <sz val="11"/>
        <rFont val="Calibri"/>
        <family val="2"/>
        <scheme val="minor"/>
      </rPr>
      <t>O2,AMETO,AS</t>
    </r>
    <r>
      <rPr>
        <sz val="11"/>
        <rFont val="Calibri"/>
        <family val="2"/>
        <scheme val="minor"/>
      </rPr>
      <t>*f</t>
    </r>
    <r>
      <rPr>
        <vertAlign val="subscript"/>
        <sz val="11"/>
        <rFont val="Calibri"/>
        <family val="2"/>
        <scheme val="minor"/>
      </rPr>
      <t>KS</t>
    </r>
  </si>
  <si>
    <r>
      <t>Ki</t>
    </r>
    <r>
      <rPr>
        <vertAlign val="subscript"/>
        <sz val="11"/>
        <rFont val="Calibri"/>
        <family val="2"/>
        <scheme val="minor"/>
      </rPr>
      <t>O2,HMETO</t>
    </r>
  </si>
  <si>
    <r>
      <t>Half-inhibition of O</t>
    </r>
    <r>
      <rPr>
        <vertAlign val="subscript"/>
        <sz val="11"/>
        <color rgb="FF000000"/>
        <rFont val="Calibri"/>
        <family val="2"/>
        <scheme val="minor"/>
      </rPr>
      <t>2</t>
    </r>
    <r>
      <rPr>
        <sz val="11"/>
        <color rgb="FF000000"/>
        <rFont val="Calibri"/>
        <family val="2"/>
        <charset val="238"/>
        <scheme val="minor"/>
      </rPr>
      <t xml:space="preserve"> for HMETOs</t>
    </r>
  </si>
  <si>
    <r>
      <t>Ki</t>
    </r>
    <r>
      <rPr>
        <vertAlign val="subscript"/>
        <sz val="11"/>
        <rFont val="Calibri"/>
        <family val="2"/>
        <scheme val="minor"/>
      </rPr>
      <t>O2,HMETO,AS</t>
    </r>
  </si>
  <si>
    <r>
      <t>Ki</t>
    </r>
    <r>
      <rPr>
        <vertAlign val="subscript"/>
        <sz val="11"/>
        <rFont val="Calibri"/>
        <family val="2"/>
        <scheme val="minor"/>
      </rPr>
      <t>O2,HMETO,AS</t>
    </r>
    <r>
      <rPr>
        <sz val="11"/>
        <rFont val="Calibri"/>
        <family val="2"/>
        <scheme val="minor"/>
      </rPr>
      <t>*f</t>
    </r>
    <r>
      <rPr>
        <vertAlign val="subscript"/>
        <sz val="11"/>
        <rFont val="Calibri"/>
        <family val="2"/>
        <scheme val="minor"/>
      </rPr>
      <t>KS</t>
    </r>
  </si>
  <si>
    <r>
      <t>Minh</t>
    </r>
    <r>
      <rPr>
        <vertAlign val="subscript"/>
        <sz val="11"/>
        <rFont val="Calibri"/>
        <family val="2"/>
        <scheme val="minor"/>
      </rPr>
      <t>SO2,KiO2,MEOLO</t>
    </r>
  </si>
  <si>
    <r>
      <t>Minh(S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</si>
  <si>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Msat</t>
    </r>
    <r>
      <rPr>
        <vertAlign val="subscript"/>
        <sz val="11"/>
        <rFont val="Calibri"/>
        <family val="2"/>
        <scheme val="minor"/>
      </rPr>
      <t>SO2,KiO2,MEOLO</t>
    </r>
  </si>
  <si>
    <r>
      <t>Msat(S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</si>
  <si>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Minh</t>
    </r>
    <r>
      <rPr>
        <vertAlign val="subscript"/>
        <sz val="11"/>
        <rFont val="Calibri"/>
        <family val="2"/>
        <scheme val="minor"/>
      </rPr>
      <t>SO2,KiO2,AMETO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</si>
  <si>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</si>
  <si>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Msat</t>
    </r>
    <r>
      <rPr>
        <vertAlign val="subscript"/>
        <sz val="11"/>
        <rFont val="Calibri"/>
        <family val="2"/>
        <scheme val="minor"/>
      </rPr>
      <t>SO2,KiO2,AMETO</t>
    </r>
  </si>
  <si>
    <r>
      <t>Msat(S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</si>
  <si>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Minh</t>
    </r>
    <r>
      <rPr>
        <vertAlign val="subscript"/>
        <sz val="11"/>
        <rFont val="Calibri"/>
        <family val="2"/>
        <scheme val="minor"/>
      </rPr>
      <t>SO2,KiO2,HMETO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</si>
  <si>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</si>
  <si>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</si>
  <si>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t>
    </r>
    <r>
      <rPr>
        <vertAlign val="subscript"/>
        <sz val="11"/>
        <rFont val="Calibri"/>
        <family val="2"/>
        <scheme val="minor"/>
      </rPr>
      <t>SO2,KiO2,HMETO</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</si>
  <si>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SO2,KiO2,MEOLO</t>
    </r>
    <r>
      <rPr>
        <sz val="11"/>
        <rFont val="Calibri"/>
        <family val="2"/>
      </rPr>
      <t>+η</t>
    </r>
    <r>
      <rPr>
        <vertAlign val="subscript"/>
        <sz val="11"/>
        <rFont val="Calibri"/>
        <family val="2"/>
      </rPr>
      <t>b,anox</t>
    </r>
    <r>
      <rPr>
        <sz val="11"/>
        <rFont val="Calibri"/>
        <family val="2"/>
      </rPr>
      <t>*Msat</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tox,anox</t>
    </r>
    <r>
      <rPr>
        <sz val="11"/>
        <rFont val="Calibri"/>
        <family val="2"/>
      </rPr>
      <t>*Msat</t>
    </r>
    <r>
      <rPr>
        <vertAlign val="subscript"/>
        <sz val="11"/>
        <rFont val="Calibri"/>
        <family val="2"/>
      </rPr>
      <t>SNO3,KNO3,MEOLO</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</si>
  <si>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*(η</t>
    </r>
    <r>
      <rPr>
        <vertAlign val="subscript"/>
        <sz val="11"/>
        <rFont val="Calibri"/>
        <family val="2"/>
      </rPr>
      <t>b,ana</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SNO3,KNO3,MEOLO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tox,ana</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</si>
  <si>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t>
    </r>
    <r>
      <rPr>
        <i/>
        <vertAlign val="subscript"/>
        <sz val="11"/>
        <rFont val="Calibri"/>
        <family val="2"/>
      </rPr>
      <t>tox,aer</t>
    </r>
    <r>
      <rPr>
        <sz val="11"/>
        <rFont val="Calibri"/>
        <family val="2"/>
      </rPr>
      <t>*Msat</t>
    </r>
    <r>
      <rPr>
        <vertAlign val="subscript"/>
        <sz val="11"/>
        <rFont val="Calibri"/>
        <family val="2"/>
      </rPr>
      <t>SO2,KiO2,AMETO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SNOx,KNO3,AMETO</t>
    </r>
    <r>
      <rPr>
        <sz val="11"/>
        <rFont val="Calibri"/>
        <family val="2"/>
      </rPr>
      <t>*Minh</t>
    </r>
    <r>
      <rPr>
        <vertAlign val="subscript"/>
        <sz val="11"/>
        <rFont val="Calibri"/>
        <family val="2"/>
      </rPr>
      <t>SO2,KiO2,AMETO</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</si>
  <si>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*Minh</t>
    </r>
    <r>
      <rPr>
        <vertAlign val="subscript"/>
        <sz val="11"/>
        <rFont val="Calibri"/>
        <family val="2"/>
      </rPr>
      <t>SNOx,KNO3,AMETO</t>
    </r>
    <r>
      <rPr>
        <sz val="11"/>
        <rFont val="Calibri"/>
        <family val="2"/>
      </rPr>
      <t>*Minh</t>
    </r>
    <r>
      <rPr>
        <vertAlign val="subscript"/>
        <sz val="11"/>
        <rFont val="Calibri"/>
        <family val="2"/>
      </rPr>
      <t>SO2,KiO2,AMETO</t>
    </r>
  </si>
  <si>
    <t>unused</t>
  </si>
  <si>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t>
    </r>
    <r>
      <rPr>
        <vertAlign val="subscript"/>
        <sz val="11"/>
        <rFont val="Calibri"/>
        <family val="2"/>
      </rPr>
      <t>tox,aer</t>
    </r>
    <r>
      <rPr>
        <sz val="11"/>
        <rFont val="Calibri"/>
        <family val="2"/>
      </rPr>
      <t>*Msat</t>
    </r>
    <r>
      <rPr>
        <vertAlign val="subscript"/>
        <sz val="11"/>
        <rFont val="Calibri"/>
        <family val="2"/>
      </rPr>
      <t>SO2,KiO2,HMETO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</si>
  <si>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*(Minh</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</si>
  <si>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Ki</t>
    </r>
    <r>
      <rPr>
        <vertAlign val="subscript"/>
        <sz val="11"/>
        <rFont val="Calibri"/>
        <family val="2"/>
        <scheme val="minor"/>
      </rPr>
      <t>O2,AMX</t>
    </r>
  </si>
  <si>
    <r>
      <t>Half-inhibition of O</t>
    </r>
    <r>
      <rPr>
        <vertAlign val="subscript"/>
        <sz val="11"/>
        <color rgb="FF000000"/>
        <rFont val="Calibri"/>
        <family val="2"/>
        <scheme val="minor"/>
      </rPr>
      <t>2</t>
    </r>
    <r>
      <rPr>
        <sz val="11"/>
        <color rgb="FF000000"/>
        <rFont val="Calibri"/>
        <family val="2"/>
        <charset val="238"/>
        <scheme val="minor"/>
      </rPr>
      <t xml:space="preserve"> for AMX</t>
    </r>
  </si>
  <si>
    <r>
      <t>Ki</t>
    </r>
    <r>
      <rPr>
        <vertAlign val="subscript"/>
        <sz val="11"/>
        <rFont val="Calibri"/>
        <family val="2"/>
      </rPr>
      <t>O2,AMX,AS</t>
    </r>
  </si>
  <si>
    <r>
      <t>Ki</t>
    </r>
    <r>
      <rPr>
        <vertAlign val="subscript"/>
        <sz val="11"/>
        <rFont val="Calibri"/>
        <family val="2"/>
      </rPr>
      <t>O2,AMX,AS</t>
    </r>
    <r>
      <rPr>
        <sz val="11"/>
        <rFont val="Calibri"/>
        <family val="2"/>
      </rPr>
      <t>*f</t>
    </r>
    <r>
      <rPr>
        <vertAlign val="subscript"/>
        <sz val="11"/>
        <rFont val="Calibri"/>
        <family val="2"/>
      </rPr>
      <t>KS</t>
    </r>
  </si>
  <si>
    <r>
      <t>Minh</t>
    </r>
    <r>
      <rPr>
        <vertAlign val="subscript"/>
        <sz val="11"/>
        <rFont val="Calibri"/>
        <family val="2"/>
      </rPr>
      <t>SO2,KiO2,AMX</t>
    </r>
  </si>
  <si>
    <r>
      <t>Minh(S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</si>
  <si>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Msat</t>
    </r>
    <r>
      <rPr>
        <vertAlign val="subscript"/>
        <sz val="11"/>
        <rFont val="Calibri"/>
        <family val="2"/>
      </rPr>
      <t>SO2,KiO2,AMX</t>
    </r>
  </si>
  <si>
    <r>
      <t>Msat(S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</si>
  <si>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Ki</t>
    </r>
    <r>
      <rPr>
        <vertAlign val="subscript"/>
        <sz val="11"/>
        <color indexed="8"/>
        <rFont val="Calibri"/>
        <family val="2"/>
        <scheme val="minor"/>
      </rPr>
      <t>O2,AMX,AS</t>
    </r>
  </si>
  <si>
    <t>Half-inhibition of O2 for AMX (AS)</t>
  </si>
  <si>
    <r>
      <t>Liquid-side mass transfer coefficient of O</t>
    </r>
    <r>
      <rPr>
        <vertAlign val="subscript"/>
        <sz val="11"/>
        <color rgb="FF000000"/>
        <rFont val="Calibri"/>
        <family val="2"/>
        <scheme val="minor"/>
      </rPr>
      <t>2</t>
    </r>
    <r>
      <rPr>
        <sz val="11"/>
        <rFont val="Calibri"/>
        <family val="2"/>
        <scheme val="minor"/>
      </rPr>
      <t xml:space="preserve"> for gas bubbles</t>
    </r>
  </si>
  <si>
    <r>
      <t>Liquid-side mass transfer coefficient of O</t>
    </r>
    <r>
      <rPr>
        <vertAlign val="subscript"/>
        <sz val="11"/>
        <color rgb="FF000000"/>
        <rFont val="Calibri"/>
        <family val="2"/>
        <scheme val="minor"/>
      </rPr>
      <t>2</t>
    </r>
    <r>
      <rPr>
        <sz val="11"/>
        <rFont val="Calibri"/>
        <family val="2"/>
        <scheme val="minor"/>
      </rPr>
      <t xml:space="preserve"> at liquid surface</t>
    </r>
  </si>
  <si>
    <r>
      <t>k</t>
    </r>
    <r>
      <rPr>
        <vertAlign val="subscript"/>
        <sz val="11"/>
        <rFont val="Calibri"/>
        <family val="2"/>
      </rPr>
      <t>L,GO2,bub</t>
    </r>
  </si>
  <si>
    <r>
      <t>k</t>
    </r>
    <r>
      <rPr>
        <vertAlign val="subscript"/>
        <sz val="11"/>
        <rFont val="Calibri"/>
        <family val="2"/>
      </rPr>
      <t>L,GO2,sur</t>
    </r>
  </si>
  <si>
    <r>
      <t>k</t>
    </r>
    <r>
      <rPr>
        <vertAlign val="subscript"/>
        <sz val="11"/>
        <rFont val="Calibri"/>
        <family val="2"/>
        <scheme val="minor"/>
      </rPr>
      <t>L,GN2,bub</t>
    </r>
  </si>
  <si>
    <r>
      <t>k</t>
    </r>
    <r>
      <rPr>
        <vertAlign val="subscript"/>
        <sz val="11"/>
        <rFont val="Calibri"/>
        <family val="2"/>
        <scheme val="minor"/>
      </rPr>
      <t>L,GCO2,bub</t>
    </r>
  </si>
  <si>
    <r>
      <t>k</t>
    </r>
    <r>
      <rPr>
        <vertAlign val="subscript"/>
        <sz val="11"/>
        <rFont val="Calibri"/>
        <family val="2"/>
        <scheme val="minor"/>
      </rPr>
      <t>L,GCH4,bub</t>
    </r>
  </si>
  <si>
    <r>
      <t>k</t>
    </r>
    <r>
      <rPr>
        <vertAlign val="subscript"/>
        <sz val="11"/>
        <rFont val="Calibri"/>
        <family val="2"/>
        <scheme val="minor"/>
      </rPr>
      <t>L,GH2,bub</t>
    </r>
  </si>
  <si>
    <r>
      <t>k</t>
    </r>
    <r>
      <rPr>
        <vertAlign val="subscript"/>
        <sz val="11"/>
        <rFont val="Calibri"/>
        <family val="2"/>
        <scheme val="minor"/>
      </rPr>
      <t>L,GNH3,bub</t>
    </r>
  </si>
  <si>
    <r>
      <t>Liquid-side mass transfer coefficient of N</t>
    </r>
    <r>
      <rPr>
        <vertAlign val="subscript"/>
        <sz val="11"/>
        <color rgb="FF000000"/>
        <rFont val="Calibri"/>
        <family val="2"/>
        <scheme val="minor"/>
      </rPr>
      <t>2</t>
    </r>
    <r>
      <rPr>
        <sz val="11"/>
        <rFont val="Calibri"/>
        <family val="2"/>
        <scheme val="minor"/>
      </rPr>
      <t xml:space="preserve"> for gas bubbles</t>
    </r>
  </si>
  <si>
    <r>
      <t>Liquid-side mass transfer coefficient of CO</t>
    </r>
    <r>
      <rPr>
        <vertAlign val="subscript"/>
        <sz val="11"/>
        <color rgb="FF000000"/>
        <rFont val="Calibri"/>
        <family val="2"/>
        <scheme val="minor"/>
      </rPr>
      <t>2</t>
    </r>
    <r>
      <rPr>
        <sz val="11"/>
        <rFont val="Calibri"/>
        <family val="2"/>
        <scheme val="minor"/>
      </rPr>
      <t xml:space="preserve"> for gas bubbles</t>
    </r>
  </si>
  <si>
    <r>
      <t>Liquid-side mass transfer coefficient of CH</t>
    </r>
    <r>
      <rPr>
        <vertAlign val="subscript"/>
        <sz val="11"/>
        <color rgb="FF000000"/>
        <rFont val="Calibri"/>
        <family val="2"/>
        <scheme val="minor"/>
      </rPr>
      <t>4</t>
    </r>
    <r>
      <rPr>
        <sz val="11"/>
        <rFont val="Calibri"/>
        <family val="2"/>
        <scheme val="minor"/>
      </rPr>
      <t xml:space="preserve"> for gas bubbles</t>
    </r>
  </si>
  <si>
    <r>
      <t>Liquid-side mass transfer coefficient of H</t>
    </r>
    <r>
      <rPr>
        <vertAlign val="subscript"/>
        <sz val="11"/>
        <color rgb="FF000000"/>
        <rFont val="Calibri"/>
        <family val="2"/>
        <scheme val="minor"/>
      </rPr>
      <t>2</t>
    </r>
    <r>
      <rPr>
        <sz val="11"/>
        <rFont val="Calibri"/>
        <family val="2"/>
        <scheme val="minor"/>
      </rPr>
      <t xml:space="preserve"> for gas bubbles</t>
    </r>
  </si>
  <si>
    <r>
      <t>Liquid-side mass transfer coefficient of NH</t>
    </r>
    <r>
      <rPr>
        <vertAlign val="subscript"/>
        <sz val="11"/>
        <color rgb="FF000000"/>
        <rFont val="Calibri"/>
        <family val="2"/>
        <scheme val="minor"/>
      </rPr>
      <t>3</t>
    </r>
    <r>
      <rPr>
        <sz val="11"/>
        <rFont val="Calibri"/>
        <family val="2"/>
        <scheme val="minor"/>
      </rPr>
      <t xml:space="preserve"> for gas bubbles</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</si>
  <si>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</si>
  <si>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</si>
  <si>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</si>
  <si>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</si>
  <si>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</si>
  <si>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L,GN2,sur</t>
    </r>
  </si>
  <si>
    <r>
      <t>k</t>
    </r>
    <r>
      <rPr>
        <vertAlign val="subscript"/>
        <sz val="11"/>
        <rFont val="Calibri"/>
        <family val="2"/>
        <scheme val="minor"/>
      </rPr>
      <t>L,GCO2,sur</t>
    </r>
  </si>
  <si>
    <r>
      <t>k</t>
    </r>
    <r>
      <rPr>
        <vertAlign val="subscript"/>
        <sz val="11"/>
        <rFont val="Calibri"/>
        <family val="2"/>
        <scheme val="minor"/>
      </rPr>
      <t>L,GCH4,sur</t>
    </r>
  </si>
  <si>
    <r>
      <t>k</t>
    </r>
    <r>
      <rPr>
        <vertAlign val="subscript"/>
        <sz val="11"/>
        <rFont val="Calibri"/>
        <family val="2"/>
        <scheme val="minor"/>
      </rPr>
      <t>L,GH2,sur</t>
    </r>
  </si>
  <si>
    <r>
      <t>k</t>
    </r>
    <r>
      <rPr>
        <vertAlign val="subscript"/>
        <sz val="11"/>
        <rFont val="Calibri"/>
        <family val="2"/>
        <scheme val="minor"/>
      </rPr>
      <t>L,GNH3,sur</t>
    </r>
  </si>
  <si>
    <r>
      <t>Liquid-side mass transfer coefficient of N</t>
    </r>
    <r>
      <rPr>
        <vertAlign val="subscript"/>
        <sz val="11"/>
        <color rgb="FF000000"/>
        <rFont val="Calibri"/>
        <family val="2"/>
        <scheme val="minor"/>
      </rPr>
      <t>2</t>
    </r>
    <r>
      <rPr>
        <sz val="11"/>
        <rFont val="Calibri"/>
        <family val="2"/>
        <scheme val="minor"/>
      </rPr>
      <t xml:space="preserve"> at liquid surface</t>
    </r>
  </si>
  <si>
    <r>
      <t>Liquid-side mass transfer coefficient of CO</t>
    </r>
    <r>
      <rPr>
        <vertAlign val="subscript"/>
        <sz val="11"/>
        <color rgb="FF000000"/>
        <rFont val="Calibri"/>
        <family val="2"/>
        <scheme val="minor"/>
      </rPr>
      <t>2</t>
    </r>
    <r>
      <rPr>
        <sz val="11"/>
        <rFont val="Calibri"/>
        <family val="2"/>
        <scheme val="minor"/>
      </rPr>
      <t xml:space="preserve"> at liquid surface</t>
    </r>
  </si>
  <si>
    <r>
      <t>Liquid-side mass transfer coefficient of CH</t>
    </r>
    <r>
      <rPr>
        <vertAlign val="subscript"/>
        <sz val="11"/>
        <color rgb="FF000000"/>
        <rFont val="Calibri"/>
        <family val="2"/>
        <scheme val="minor"/>
      </rPr>
      <t>4</t>
    </r>
    <r>
      <rPr>
        <sz val="11"/>
        <rFont val="Calibri"/>
        <family val="2"/>
        <scheme val="minor"/>
      </rPr>
      <t xml:space="preserve"> at liquid surface</t>
    </r>
  </si>
  <si>
    <r>
      <t>Liquid-side mass transfer coefficient of H</t>
    </r>
    <r>
      <rPr>
        <vertAlign val="subscript"/>
        <sz val="11"/>
        <color rgb="FF000000"/>
        <rFont val="Calibri"/>
        <family val="2"/>
        <scheme val="minor"/>
      </rPr>
      <t>2</t>
    </r>
    <r>
      <rPr>
        <sz val="11"/>
        <rFont val="Calibri"/>
        <family val="2"/>
        <scheme val="minor"/>
      </rPr>
      <t xml:space="preserve"> at liquid surface</t>
    </r>
  </si>
  <si>
    <r>
      <t>Liquid-side mass transfer coefficient of NH</t>
    </r>
    <r>
      <rPr>
        <vertAlign val="subscript"/>
        <sz val="11"/>
        <color rgb="FF000000"/>
        <rFont val="Calibri"/>
        <family val="2"/>
        <scheme val="minor"/>
      </rPr>
      <t>3</t>
    </r>
    <r>
      <rPr>
        <sz val="11"/>
        <rFont val="Calibri"/>
        <family val="2"/>
        <scheme val="minor"/>
      </rPr>
      <t xml:space="preserve"> at liquid surface</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</si>
  <si>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</si>
  <si>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</si>
  <si>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</si>
  <si>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</si>
  <si>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</si>
  <si>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t>Saturation term for colloidal unbiodegradable organics (floculation)</t>
  </si>
  <si>
    <t>Press "Global Check" button</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</si>
  <si>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</si>
  <si>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</si>
  <si>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</si>
  <si>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</si>
  <si>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</si>
  <si>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</si>
  <si>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</si>
  <si>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</si>
  <si>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</si>
  <si>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</si>
  <si>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IS cut-off threshold for Davies activity coefficient correction</t>
  </si>
  <si>
    <t>SNHx, SMEOL considered to be volatilized</t>
  </si>
  <si>
    <r>
      <t>X</t>
    </r>
    <r>
      <rPr>
        <vertAlign val="subscript"/>
        <sz val="11"/>
        <rFont val="Calibri"/>
        <family val="2"/>
        <scheme val="minor"/>
      </rPr>
      <t>TSS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r>
      <rPr>
        <sz val="11"/>
        <rFont val="Calibri"/>
        <family val="2"/>
        <scheme val="minor"/>
      </rPr>
      <t>+S</t>
    </r>
    <r>
      <rPr>
        <vertAlign val="subscript"/>
        <sz val="11"/>
        <rFont val="Calibri"/>
        <family val="2"/>
        <scheme val="minor"/>
      </rPr>
      <t>NO3</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NO2</t>
    </r>
    <r>
      <rPr>
        <sz val="11"/>
        <rFont val="Calibri"/>
        <family val="2"/>
        <scheme val="minor"/>
      </rPr>
      <t>*MM</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+S</t>
    </r>
    <r>
      <rPr>
        <vertAlign val="subscript"/>
        <sz val="11"/>
        <rFont val="Calibri"/>
        <family val="2"/>
        <scheme val="minor"/>
      </rPr>
      <t>CAT</t>
    </r>
    <r>
      <rPr>
        <sz val="11"/>
        <rFont val="Calibri"/>
        <family val="2"/>
        <scheme val="minor"/>
      </rPr>
      <t>+S</t>
    </r>
    <r>
      <rPr>
        <vertAlign val="subscript"/>
        <sz val="11"/>
        <rFont val="Calibri"/>
        <family val="2"/>
        <scheme val="minor"/>
      </rPr>
      <t>AN</t>
    </r>
    <r>
      <rPr>
        <sz val="11"/>
        <rFont val="Calibri"/>
        <family val="2"/>
        <scheme val="minor"/>
      </rPr>
      <t>+S</t>
    </r>
    <r>
      <rPr>
        <vertAlign val="subscript"/>
        <sz val="11"/>
        <rFont val="Calibri"/>
        <family val="2"/>
        <scheme val="minor"/>
      </rPr>
      <t>Ca</t>
    </r>
    <r>
      <rPr>
        <sz val="11"/>
        <rFont val="Calibri"/>
        <family val="2"/>
        <scheme val="minor"/>
      </rPr>
      <t>+S</t>
    </r>
    <r>
      <rPr>
        <vertAlign val="subscript"/>
        <sz val="11"/>
        <rFont val="Calibri"/>
        <family val="2"/>
        <scheme val="minor"/>
      </rPr>
      <t>Mg</t>
    </r>
    <r>
      <rPr>
        <sz val="11"/>
        <rFont val="Calibri"/>
        <family val="2"/>
        <scheme val="minor"/>
      </rPr>
      <t>+S</t>
    </r>
    <r>
      <rPr>
        <vertAlign val="subscript"/>
        <sz val="11"/>
        <rFont val="Calibri"/>
        <family val="2"/>
        <scheme val="minor"/>
      </rPr>
      <t>K</t>
    </r>
    <r>
      <rPr>
        <sz val="11"/>
        <rFont val="Calibri"/>
        <family val="2"/>
        <scheme val="minor"/>
      </rPr>
      <t>+S</t>
    </r>
    <r>
      <rPr>
        <vertAlign val="subscript"/>
        <sz val="11"/>
        <rFont val="Calibri"/>
        <family val="2"/>
        <scheme val="minor"/>
      </rPr>
      <t>Fe2</t>
    </r>
  </si>
  <si>
    <r>
      <t>i</t>
    </r>
    <r>
      <rPr>
        <vertAlign val="subscript"/>
        <sz val="11"/>
        <rFont val="Calibri"/>
        <family val="2"/>
        <scheme val="minor"/>
      </rPr>
      <t>Ca,INORG</t>
    </r>
  </si>
  <si>
    <r>
      <t>Ca content of X</t>
    </r>
    <r>
      <rPr>
        <vertAlign val="subscript"/>
        <sz val="11"/>
        <rFont val="Calibri"/>
        <family val="2"/>
        <scheme val="minor"/>
      </rPr>
      <t>INORG</t>
    </r>
  </si>
  <si>
    <r>
      <t>g Ca.g TSS</t>
    </r>
    <r>
      <rPr>
        <vertAlign val="superscript"/>
        <sz val="11"/>
        <rFont val="Calibri"/>
        <family val="2"/>
        <scheme val="minor"/>
      </rPr>
      <t>-1</t>
    </r>
  </si>
  <si>
    <r>
      <t>i</t>
    </r>
    <r>
      <rPr>
        <vertAlign val="subscript"/>
        <sz val="11"/>
        <rFont val="Calibri"/>
        <family val="2"/>
        <scheme val="minor"/>
      </rPr>
      <t>Mg,INORG</t>
    </r>
  </si>
  <si>
    <r>
      <t>Mg content of X</t>
    </r>
    <r>
      <rPr>
        <vertAlign val="subscript"/>
        <sz val="11"/>
        <rFont val="Calibri"/>
        <family val="2"/>
        <scheme val="minor"/>
      </rPr>
      <t>INORG</t>
    </r>
  </si>
  <si>
    <r>
      <t>g Mg.g TSS</t>
    </r>
    <r>
      <rPr>
        <vertAlign val="superscript"/>
        <sz val="11"/>
        <rFont val="Calibri"/>
        <family val="2"/>
        <scheme val="minor"/>
      </rPr>
      <t>-1</t>
    </r>
  </si>
  <si>
    <r>
      <t>f</t>
    </r>
    <r>
      <rPr>
        <vertAlign val="subscript"/>
        <sz val="11"/>
        <rFont val="Calibri"/>
        <family val="2"/>
        <scheme val="minor"/>
      </rPr>
      <t>VFA,DM</t>
    </r>
  </si>
  <si>
    <r>
      <t>fraction of S</t>
    </r>
    <r>
      <rPr>
        <vertAlign val="subscript"/>
        <sz val="11"/>
        <rFont val="Calibri"/>
        <family val="2"/>
        <scheme val="minor"/>
      </rPr>
      <t>VFA</t>
    </r>
    <r>
      <rPr>
        <sz val="11"/>
        <rFont val="Calibri"/>
        <family val="2"/>
        <scheme val="minor"/>
      </rPr>
      <t xml:space="preserve"> not volatilized in Dry Matter analysis</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</si>
  <si>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</si>
  <si>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</si>
  <si>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</si>
  <si>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</si>
  <si>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</si>
  <si>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</si>
  <si>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</si>
  <si>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</si>
  <si>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P,BIO</t>
    </r>
  </si>
  <si>
    <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P,BIO</t>
    </r>
  </si>
  <si>
    <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</si>
  <si>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</si>
  <si>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K</t>
    </r>
    <r>
      <rPr>
        <vertAlign val="subscript"/>
        <sz val="11"/>
        <rFont val="Calibri"/>
        <family val="2"/>
        <scheme val="minor"/>
      </rPr>
      <t>Mg,BIO,AS</t>
    </r>
  </si>
  <si>
    <t>Half-saturation of Mg for biomasses (AS)</t>
  </si>
  <si>
    <r>
      <t>K</t>
    </r>
    <r>
      <rPr>
        <vertAlign val="subscript"/>
        <sz val="11"/>
        <rFont val="Calibri"/>
        <family val="2"/>
        <scheme val="minor"/>
      </rPr>
      <t>Ca,BIO,AS</t>
    </r>
  </si>
  <si>
    <t>Half-saturation of Ca for biomasses (AS)</t>
  </si>
  <si>
    <r>
      <t>K</t>
    </r>
    <r>
      <rPr>
        <vertAlign val="subscript"/>
        <sz val="11"/>
        <rFont val="Calibri"/>
        <family val="2"/>
        <scheme val="minor"/>
      </rPr>
      <t>Mg,BIO</t>
    </r>
  </si>
  <si>
    <t>Half-saturation of Mg for biomasses</t>
  </si>
  <si>
    <r>
      <t>K</t>
    </r>
    <r>
      <rPr>
        <vertAlign val="subscript"/>
        <sz val="11"/>
        <rFont val="Calibri"/>
        <family val="2"/>
        <scheme val="minor"/>
      </rPr>
      <t>Mg,BIO,AS</t>
    </r>
    <r>
      <rPr>
        <sz val="11"/>
        <rFont val="Calibri"/>
        <family val="2"/>
        <scheme val="minor"/>
      </rPr>
      <t>*f</t>
    </r>
    <r>
      <rPr>
        <vertAlign val="subscript"/>
        <sz val="11"/>
        <rFont val="Calibri"/>
        <family val="2"/>
        <scheme val="minor"/>
      </rPr>
      <t>KS</t>
    </r>
  </si>
  <si>
    <r>
      <t>K</t>
    </r>
    <r>
      <rPr>
        <vertAlign val="subscript"/>
        <sz val="11"/>
        <rFont val="Calibri"/>
        <family val="2"/>
        <scheme val="minor"/>
      </rPr>
      <t>Ca,BIO</t>
    </r>
  </si>
  <si>
    <t>Half-saturation of Ca for biomasses</t>
  </si>
  <si>
    <r>
      <t>K</t>
    </r>
    <r>
      <rPr>
        <vertAlign val="subscript"/>
        <sz val="11"/>
        <rFont val="Calibri"/>
        <family val="2"/>
        <scheme val="minor"/>
      </rPr>
      <t>Ca,BIO,AS</t>
    </r>
    <r>
      <rPr>
        <sz val="11"/>
        <rFont val="Calibri"/>
        <family val="2"/>
        <scheme val="minor"/>
      </rPr>
      <t>*f</t>
    </r>
    <r>
      <rPr>
        <vertAlign val="subscript"/>
        <sz val="11"/>
        <rFont val="Calibri"/>
        <family val="2"/>
        <scheme val="minor"/>
      </rPr>
      <t>KS</t>
    </r>
  </si>
  <si>
    <r>
      <t>Msat</t>
    </r>
    <r>
      <rPr>
        <vertAlign val="subscript"/>
        <sz val="11"/>
        <rFont val="Calibri"/>
        <family val="2"/>
        <scheme val="minor"/>
      </rPr>
      <t>SCa,KCa</t>
    </r>
  </si>
  <si>
    <t>Saturation term for Ca for BIO</t>
  </si>
  <si>
    <r>
      <t>Msat(S</t>
    </r>
    <r>
      <rPr>
        <vertAlign val="subscript"/>
        <sz val="11"/>
        <rFont val="Calibri"/>
        <family val="2"/>
        <scheme val="minor"/>
      </rPr>
      <t>Ca</t>
    </r>
    <r>
      <rPr>
        <sz val="11"/>
        <rFont val="Calibri"/>
        <family val="2"/>
        <scheme val="minor"/>
      </rPr>
      <t>;K</t>
    </r>
    <r>
      <rPr>
        <vertAlign val="subscript"/>
        <sz val="11"/>
        <rFont val="Calibri"/>
        <family val="2"/>
        <scheme val="minor"/>
      </rPr>
      <t>Ca,BIO</t>
    </r>
    <r>
      <rPr>
        <sz val="11"/>
        <rFont val="Calibri"/>
        <family val="2"/>
        <scheme val="minor"/>
      </rPr>
      <t>)</t>
    </r>
  </si>
  <si>
    <r>
      <t>Msat</t>
    </r>
    <r>
      <rPr>
        <vertAlign val="subscript"/>
        <sz val="11"/>
        <rFont val="Calibri"/>
        <family val="2"/>
        <scheme val="minor"/>
      </rPr>
      <t>SMg,KMg</t>
    </r>
  </si>
  <si>
    <t>Saturation term for Mg for BIO</t>
  </si>
  <si>
    <r>
      <t>Msat(S</t>
    </r>
    <r>
      <rPr>
        <vertAlign val="subscript"/>
        <sz val="11"/>
        <rFont val="Calibri"/>
        <family val="2"/>
        <scheme val="minor"/>
      </rPr>
      <t>Mg</t>
    </r>
    <r>
      <rPr>
        <sz val="11"/>
        <rFont val="Calibri"/>
        <family val="2"/>
        <scheme val="minor"/>
      </rPr>
      <t>;K</t>
    </r>
    <r>
      <rPr>
        <vertAlign val="subscript"/>
        <sz val="11"/>
        <rFont val="Calibri"/>
        <family val="2"/>
        <scheme val="minor"/>
      </rPr>
      <t>Mg,BIO</t>
    </r>
    <r>
      <rPr>
        <sz val="11"/>
        <rFont val="Calibri"/>
        <family val="2"/>
        <scheme val="minor"/>
      </rPr>
      <t>)</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</si>
  <si>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</si>
  <si>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</si>
  <si>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</si>
  <si>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</si>
  <si>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*Logsat</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</si>
  <si>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*Loginh</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SCO2,KCO2,BIO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</si>
  <si>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SMEOL,KMEOL,OHO</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</si>
  <si>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SNHx,KNHx,AMX</t>
    </r>
    <r>
      <rPr>
        <sz val="11"/>
        <color indexed="8"/>
        <rFont val="Calibri"/>
        <family val="2"/>
      </rPr>
      <t>*Msat</t>
    </r>
    <r>
      <rPr>
        <vertAlign val="subscript"/>
        <sz val="11"/>
        <color indexed="8"/>
        <rFont val="Calibri"/>
        <family val="2"/>
        <charset val="238"/>
      </rPr>
      <t>SNO2,KNO2,AMX</t>
    </r>
    <r>
      <rPr>
        <sz val="11"/>
        <color indexed="8"/>
        <rFont val="Calibri"/>
        <family val="2"/>
      </rPr>
      <t>*Minh</t>
    </r>
    <r>
      <rPr>
        <vertAlign val="subscript"/>
        <sz val="11"/>
        <color indexed="8"/>
        <rFont val="Calibri"/>
        <family val="2"/>
        <charset val="238"/>
      </rPr>
      <t>SO2,KiO2,AMX</t>
    </r>
    <r>
      <rPr>
        <sz val="11"/>
        <color indexed="8"/>
        <rFont val="Calibri"/>
        <family val="2"/>
      </rPr>
      <t>*LogsatpH</t>
    </r>
    <r>
      <rPr>
        <vertAlign val="subscript"/>
        <sz val="11"/>
        <color indexed="8"/>
        <rFont val="Calibri"/>
        <family val="2"/>
        <charset val="238"/>
      </rPr>
      <t>CO2,AMX</t>
    </r>
    <r>
      <rPr>
        <sz val="11"/>
        <color indexed="8"/>
        <rFont val="Calibri"/>
        <family val="2"/>
      </rPr>
      <t>*Msat</t>
    </r>
    <r>
      <rPr>
        <vertAlign val="subscript"/>
        <sz val="11"/>
        <color indexed="8"/>
        <rFont val="Calibri"/>
        <family val="2"/>
        <charset val="238"/>
      </rPr>
      <t>SPO4,KPO4,BIO</t>
    </r>
    <r>
      <rPr>
        <sz val="11"/>
        <color indexed="8"/>
        <rFont val="Calibri"/>
        <family val="2"/>
      </rPr>
      <t>*Msat</t>
    </r>
    <r>
      <rPr>
        <vertAlign val="subscript"/>
        <sz val="11"/>
        <color indexed="8"/>
        <rFont val="Calibri"/>
        <family val="2"/>
        <charset val="238"/>
      </rPr>
      <t>SCAT,KCAT</t>
    </r>
    <r>
      <rPr>
        <sz val="11"/>
        <color indexed="8"/>
        <rFont val="Calibri"/>
        <family val="2"/>
      </rPr>
      <t>*Msat</t>
    </r>
    <r>
      <rPr>
        <vertAlign val="subscript"/>
        <sz val="11"/>
        <color indexed="8"/>
        <rFont val="Calibri"/>
        <family val="2"/>
        <charset val="238"/>
      </rPr>
      <t>SAN,KAN</t>
    </r>
    <r>
      <rPr>
        <sz val="11"/>
        <color rgb="FF000000"/>
        <rFont val="Calibri"/>
        <family val="2"/>
      </rPr>
      <t>*Msat</t>
    </r>
    <r>
      <rPr>
        <vertAlign val="subscript"/>
        <sz val="11"/>
        <color indexed="8"/>
        <rFont val="Calibri"/>
        <family val="2"/>
        <charset val="238"/>
      </rPr>
      <t>SCa,KCa</t>
    </r>
    <r>
      <rPr>
        <sz val="11"/>
        <color rgb="FF000000"/>
        <rFont val="Calibri"/>
        <family val="2"/>
      </rPr>
      <t>*Msat</t>
    </r>
    <r>
      <rPr>
        <vertAlign val="subscript"/>
        <sz val="11"/>
        <color indexed="8"/>
        <rFont val="Calibri"/>
        <family val="2"/>
        <charset val="238"/>
      </rPr>
      <t>SMg,KMg</t>
    </r>
    <r>
      <rPr>
        <sz val="11"/>
        <color indexed="8"/>
        <rFont val="Calibri"/>
        <family val="2"/>
      </rPr>
      <t>*Bellinh</t>
    </r>
    <r>
      <rPr>
        <vertAlign val="subscript"/>
        <sz val="11"/>
        <color indexed="8"/>
        <rFont val="Calibri"/>
        <family val="2"/>
        <charset val="238"/>
      </rPr>
      <t>pH</t>
    </r>
    <r>
      <rPr>
        <sz val="11"/>
        <color indexed="8"/>
        <rFont val="Calibri"/>
        <family val="2"/>
      </rPr>
      <t>*MinhpH</t>
    </r>
    <r>
      <rPr>
        <vertAlign val="subscript"/>
        <sz val="11"/>
        <color indexed="8"/>
        <rFont val="Calibri"/>
        <family val="2"/>
        <charset val="238"/>
      </rPr>
      <t>HNO2,AMX</t>
    </r>
  </si>
  <si>
    <r>
      <t>µ</t>
    </r>
    <r>
      <rPr>
        <vertAlign val="subscript"/>
        <sz val="11"/>
        <rFont val="Calibri"/>
        <family val="2"/>
      </rPr>
      <t>HMETO,T</t>
    </r>
    <r>
      <rPr>
        <sz val="11"/>
        <rFont val="Calibri"/>
        <family val="2"/>
      </rPr>
      <t>*X</t>
    </r>
    <r>
      <rPr>
        <vertAlign val="subscript"/>
        <sz val="11"/>
        <rFont val="Calibri"/>
        <family val="2"/>
      </rPr>
      <t>HMETO</t>
    </r>
    <r>
      <rPr>
        <sz val="11"/>
        <rFont val="Calibri"/>
        <family val="2"/>
      </rPr>
      <t>*Msat</t>
    </r>
    <r>
      <rPr>
        <vertAlign val="subscript"/>
        <sz val="11"/>
        <rFont val="Calibri"/>
        <family val="2"/>
      </rPr>
      <t>SCO2,KCO2,BIO</t>
    </r>
    <r>
      <rPr>
        <sz val="11"/>
        <rFont val="Calibri"/>
        <family val="2"/>
      </rPr>
      <t>*Msat</t>
    </r>
    <r>
      <rPr>
        <vertAlign val="subscript"/>
        <sz val="11"/>
        <rFont val="Calibri"/>
        <family val="2"/>
      </rPr>
      <t>SH2,KH2,HMETO</t>
    </r>
    <r>
      <rPr>
        <sz val="11"/>
        <rFont val="Calibri"/>
        <family val="2"/>
      </rPr>
      <t>*Minh</t>
    </r>
    <r>
      <rPr>
        <vertAlign val="subscript"/>
        <sz val="11"/>
        <rFont val="Calibri"/>
        <family val="2"/>
      </rPr>
      <t>SO2,KiO2,HMETO</t>
    </r>
    <r>
      <rPr>
        <sz val="11"/>
        <rFont val="Calibri"/>
        <family val="2"/>
      </rPr>
      <t>*Minh</t>
    </r>
    <r>
      <rPr>
        <vertAlign val="subscript"/>
        <sz val="11"/>
        <rFont val="Calibri"/>
        <family val="2"/>
      </rPr>
      <t>SNOx,KNO3,HMETO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pH,HMETO</t>
    </r>
  </si>
  <si>
    <r>
      <t>error</t>
    </r>
    <r>
      <rPr>
        <vertAlign val="subscript"/>
        <sz val="11"/>
        <rFont val="Calibri"/>
        <family val="2"/>
        <charset val="238"/>
        <scheme val="minor"/>
      </rPr>
      <t>NHx,NOx</t>
    </r>
  </si>
  <si>
    <r>
      <t>N</t>
    </r>
    <r>
      <rPr>
        <sz val="11"/>
        <rFont val="Calibri"/>
        <family val="2"/>
        <charset val="238"/>
        <scheme val="minor"/>
      </rPr>
      <t>H</t>
    </r>
    <r>
      <rPr>
        <vertAlign val="subscript"/>
        <sz val="11"/>
        <rFont val="Calibri"/>
        <family val="2"/>
        <charset val="238"/>
        <scheme val="minor"/>
      </rPr>
      <t>x</t>
    </r>
    <r>
      <rPr>
        <sz val="11"/>
        <rFont val="Calibri"/>
        <family val="2"/>
        <charset val="238"/>
        <scheme val="minor"/>
      </rPr>
      <t>-NO</t>
    </r>
    <r>
      <rPr>
        <vertAlign val="subscript"/>
        <sz val="11"/>
        <rFont val="Calibri"/>
        <family val="2"/>
        <charset val="238"/>
        <scheme val="minor"/>
      </rPr>
      <t>x</t>
    </r>
    <r>
      <rPr>
        <sz val="11"/>
        <rFont val="Calibri"/>
        <family val="2"/>
        <scheme val="minor"/>
      </rPr>
      <t xml:space="preserve"> error</t>
    </r>
  </si>
  <si>
    <r>
      <t>S</t>
    </r>
    <r>
      <rPr>
        <vertAlign val="subscript"/>
        <sz val="11"/>
        <rFont val="Calibri"/>
        <family val="2"/>
        <charset val="238"/>
        <scheme val="minor"/>
      </rPr>
      <t>NHx</t>
    </r>
    <r>
      <rPr>
        <sz val="11"/>
        <rFont val="Calibri"/>
        <family val="2"/>
        <scheme val="minor"/>
      </rPr>
      <t xml:space="preserve"> - S</t>
    </r>
    <r>
      <rPr>
        <vertAlign val="subscript"/>
        <sz val="11"/>
        <rFont val="Calibri"/>
        <family val="2"/>
        <charset val="238"/>
        <scheme val="minor"/>
      </rPr>
      <t>NOx</t>
    </r>
  </si>
  <si>
    <r>
      <t>g TS.m</t>
    </r>
    <r>
      <rPr>
        <vertAlign val="superscript"/>
        <sz val="11"/>
        <rFont val="Calibri"/>
        <family val="2"/>
        <scheme val="minor"/>
      </rPr>
      <t>-3</t>
    </r>
  </si>
  <si>
    <t>sum of the charges of Ca, Mg and K content of PP…</t>
  </si>
  <si>
    <t>...should be equal to 1…</t>
  </si>
  <si>
    <t>...e.g.: 2*0.1 + 2*0.35 + 1*0.1=1</t>
  </si>
  <si>
    <r>
      <t>g VSS.g TSS</t>
    </r>
    <r>
      <rPr>
        <vertAlign val="superscript"/>
        <sz val="11"/>
        <rFont val="Calibri"/>
        <family val="2"/>
        <charset val="238"/>
        <scheme val="minor"/>
      </rPr>
      <t>-1</t>
    </r>
  </si>
  <si>
    <r>
      <t>S</t>
    </r>
    <r>
      <rPr>
        <vertAlign val="subscript"/>
        <sz val="11"/>
        <rFont val="Calibri"/>
        <family val="2"/>
        <scheme val="minor"/>
      </rPr>
      <t>ALK,calc</t>
    </r>
  </si>
  <si>
    <t>Reference gas composition percentages</t>
  </si>
  <si>
    <t>Input gas</t>
  </si>
  <si>
    <t>Offgas with aeration</t>
  </si>
  <si>
    <t>Offgas without aeration</t>
  </si>
  <si>
    <t>Biogas</t>
  </si>
  <si>
    <r>
      <t>G</t>
    </r>
    <r>
      <rPr>
        <vertAlign val="subscript"/>
        <sz val="11"/>
        <rFont val="Calibri"/>
        <family val="2"/>
      </rPr>
      <t>CO2</t>
    </r>
  </si>
  <si>
    <r>
      <t>Carbon dioxide gas (CO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</si>
  <si>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CH4</t>
    </r>
  </si>
  <si>
    <r>
      <t>Methane gas (CH</t>
    </r>
    <r>
      <rPr>
        <vertAlign val="subscript"/>
        <sz val="11"/>
        <rFont val="Calibri"/>
        <family val="2"/>
      </rPr>
      <t>4</t>
    </r>
    <r>
      <rPr>
        <sz val="11"/>
        <rFont val="Calibri"/>
        <family val="2"/>
      </rPr>
      <t>)</t>
    </r>
    <r>
      <rPr>
        <sz val="11"/>
        <rFont val="Calibri"/>
        <family val="2"/>
        <scheme val="minor"/>
      </rPr>
      <t xml:space="preserve"> reference percentage</t>
    </r>
  </si>
  <si>
    <r>
      <t>G</t>
    </r>
    <r>
      <rPr>
        <vertAlign val="subscript"/>
        <sz val="11"/>
        <rFont val="Calibri"/>
        <family val="2"/>
      </rPr>
      <t>H2</t>
    </r>
  </si>
  <si>
    <r>
      <t>Hydrogen gas (H</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</si>
  <si>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O2</t>
    </r>
  </si>
  <si>
    <r>
      <t>Oxygen gas (O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</si>
  <si>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NH3</t>
    </r>
  </si>
  <si>
    <r>
      <t>Ammonia gas (NH</t>
    </r>
    <r>
      <rPr>
        <vertAlign val="subscript"/>
        <sz val="11"/>
        <rFont val="Calibri"/>
        <family val="2"/>
      </rPr>
      <t>3</t>
    </r>
    <r>
      <rPr>
        <sz val="11"/>
        <rFont val="Calibri"/>
        <family val="2"/>
      </rPr>
      <t>)</t>
    </r>
    <r>
      <rPr>
        <sz val="11"/>
        <rFont val="Calibri"/>
        <family val="2"/>
        <scheme val="minor"/>
      </rPr>
      <t xml:space="preserve"> reference percentage</t>
    </r>
  </si>
  <si>
    <r>
      <t>G</t>
    </r>
    <r>
      <rPr>
        <vertAlign val="subscript"/>
        <sz val="11"/>
        <rFont val="Calibri"/>
        <family val="2"/>
      </rPr>
      <t>N2</t>
    </r>
  </si>
  <si>
    <r>
      <t>Nitrogen gas (N</t>
    </r>
    <r>
      <rPr>
        <vertAlign val="subscript"/>
        <sz val="11"/>
        <rFont val="Calibri"/>
        <family val="2"/>
      </rPr>
      <t>2</t>
    </r>
    <r>
      <rPr>
        <sz val="11"/>
        <rFont val="Calibri"/>
        <family val="2"/>
      </rPr>
      <t>)</t>
    </r>
    <r>
      <rPr>
        <sz val="11"/>
        <rFont val="Calibri"/>
        <family val="2"/>
        <scheme val="minor"/>
      </rPr>
      <t xml:space="preserve"> reference percentage</t>
    </r>
  </si>
  <si>
    <t>High purity oxygen</t>
  </si>
  <si>
    <t>Interstitial water content</t>
  </si>
  <si>
    <r>
      <t>i</t>
    </r>
    <r>
      <rPr>
        <vertAlign val="subscript"/>
        <sz val="11"/>
        <rFont val="Calibri"/>
        <family val="2"/>
        <scheme val="minor"/>
      </rPr>
      <t>iw,BIO</t>
    </r>
  </si>
  <si>
    <r>
      <t>g H2O.g VS</t>
    </r>
    <r>
      <rPr>
        <vertAlign val="superscript"/>
        <sz val="11"/>
        <rFont val="Calibri"/>
        <family val="2"/>
        <scheme val="minor"/>
      </rPr>
      <t>-1</t>
    </r>
  </si>
  <si>
    <t>Vicinal water content</t>
  </si>
  <si>
    <r>
      <t>i</t>
    </r>
    <r>
      <rPr>
        <vertAlign val="subscript"/>
        <sz val="11"/>
        <rFont val="Calibri"/>
        <family val="2"/>
        <scheme val="minor"/>
      </rPr>
      <t>vw,XB</t>
    </r>
  </si>
  <si>
    <t>Vicinal water of biodegradable substrate in volatile solids</t>
  </si>
  <si>
    <t>Assuming 5% of H2O is associated with vicinal water for these organics</t>
  </si>
  <si>
    <r>
      <t>i</t>
    </r>
    <r>
      <rPr>
        <vertAlign val="subscript"/>
        <sz val="11"/>
        <rFont val="Calibri"/>
        <family val="2"/>
        <scheme val="minor"/>
      </rPr>
      <t>vw,XU</t>
    </r>
  </si>
  <si>
    <t>Vicinal water of particulate unbiodegradable organics in volatile solids</t>
  </si>
  <si>
    <r>
      <t>i</t>
    </r>
    <r>
      <rPr>
        <vertAlign val="subscript"/>
        <sz val="11"/>
        <rFont val="Calibri"/>
        <family val="2"/>
        <scheme val="minor"/>
      </rPr>
      <t>vw,BIO</t>
    </r>
  </si>
  <si>
    <t>Vicinal water of biomass in volatile solids</t>
  </si>
  <si>
    <r>
      <t>i</t>
    </r>
    <r>
      <rPr>
        <vertAlign val="subscript"/>
        <sz val="11"/>
        <rFont val="Calibri"/>
        <family val="2"/>
        <scheme val="minor"/>
      </rPr>
      <t>vw,XE</t>
    </r>
  </si>
  <si>
    <t>Vicinal water of endogenous products in volatile solids</t>
  </si>
  <si>
    <r>
      <t>i</t>
    </r>
    <r>
      <rPr>
        <vertAlign val="subscript"/>
        <sz val="11"/>
        <rFont val="Calibri"/>
        <family val="2"/>
        <scheme val="minor"/>
      </rPr>
      <t>vw,CB</t>
    </r>
  </si>
  <si>
    <t>Vicinal water of colloidal biodegradable substrate in volatile solids</t>
  </si>
  <si>
    <r>
      <t>i</t>
    </r>
    <r>
      <rPr>
        <vertAlign val="subscript"/>
        <sz val="11"/>
        <rFont val="Calibri"/>
        <family val="2"/>
        <scheme val="minor"/>
      </rPr>
      <t>vw,CU</t>
    </r>
  </si>
  <si>
    <t>Vicinal water of colloidal unbiodegradable organics in volatile solids</t>
  </si>
  <si>
    <r>
      <t>i</t>
    </r>
    <r>
      <rPr>
        <vertAlign val="subscript"/>
        <sz val="11"/>
        <rFont val="Calibri"/>
        <family val="2"/>
        <scheme val="minor"/>
      </rPr>
      <t>vw,PHA</t>
    </r>
  </si>
  <si>
    <t>Vicinal water of PHA in volatile solids</t>
  </si>
  <si>
    <r>
      <t>i</t>
    </r>
    <r>
      <rPr>
        <vertAlign val="subscript"/>
        <sz val="11"/>
        <rFont val="Calibri"/>
        <family val="2"/>
        <scheme val="minor"/>
      </rPr>
      <t>vw,EPS</t>
    </r>
  </si>
  <si>
    <t>Vicinal water correction of EPS in volatile solids</t>
  </si>
  <si>
    <t>Water of Hydration content</t>
  </si>
  <si>
    <r>
      <t>i</t>
    </r>
    <r>
      <rPr>
        <vertAlign val="subscript"/>
        <sz val="11"/>
        <rFont val="Calibri"/>
        <family val="2"/>
        <scheme val="minor"/>
      </rPr>
      <t>wh,XB</t>
    </r>
  </si>
  <si>
    <t>Water of hydration of biodegradable substrate in volatile solids</t>
  </si>
  <si>
    <t>Assuming 10% of H2O is associated with water of hydration</t>
  </si>
  <si>
    <r>
      <t>i</t>
    </r>
    <r>
      <rPr>
        <vertAlign val="subscript"/>
        <sz val="11"/>
        <rFont val="Calibri"/>
        <family val="2"/>
        <scheme val="minor"/>
      </rPr>
      <t>wh,XU</t>
    </r>
  </si>
  <si>
    <t>Water of hydration of particulate unbiodegradable organics in volatile solids</t>
  </si>
  <si>
    <r>
      <t>i</t>
    </r>
    <r>
      <rPr>
        <vertAlign val="subscript"/>
        <sz val="11"/>
        <rFont val="Calibri"/>
        <family val="2"/>
        <scheme val="minor"/>
      </rPr>
      <t>wh,BIO</t>
    </r>
  </si>
  <si>
    <t>Water of hydration of biomass in volatile solids</t>
  </si>
  <si>
    <r>
      <t>i</t>
    </r>
    <r>
      <rPr>
        <vertAlign val="subscript"/>
        <sz val="11"/>
        <rFont val="Calibri"/>
        <family val="2"/>
        <scheme val="minor"/>
      </rPr>
      <t>wh,XE</t>
    </r>
  </si>
  <si>
    <t>Water of hydration of endogenous products in volatile solids</t>
  </si>
  <si>
    <r>
      <t>i</t>
    </r>
    <r>
      <rPr>
        <vertAlign val="subscript"/>
        <sz val="11"/>
        <rFont val="Calibri"/>
        <family val="2"/>
        <scheme val="minor"/>
      </rPr>
      <t>wh,PHA</t>
    </r>
  </si>
  <si>
    <t>Water of hydration of PHA in volatile solids</t>
  </si>
  <si>
    <t>Assuming 15% of H2O is associated with water of hydration</t>
  </si>
  <si>
    <r>
      <t>i</t>
    </r>
    <r>
      <rPr>
        <vertAlign val="subscript"/>
        <sz val="11"/>
        <rFont val="Calibri"/>
        <family val="2"/>
        <scheme val="minor"/>
      </rPr>
      <t>wh,EPS</t>
    </r>
  </si>
  <si>
    <t>Water of hydration correction of EPS in volatile solids</t>
  </si>
  <si>
    <t>Assuming 25% of H2O is associated with water of hydration</t>
  </si>
  <si>
    <r>
      <t>f</t>
    </r>
    <r>
      <rPr>
        <vertAlign val="subscript"/>
        <sz val="11"/>
        <rFont val="Calibri"/>
        <family val="2"/>
        <scheme val="minor"/>
      </rPr>
      <t>bw,floc</t>
    </r>
  </si>
  <si>
    <t>Fraction of bound water</t>
  </si>
  <si>
    <t>-Damp(chargebalance)</t>
  </si>
  <si>
    <t>MABR offgas</t>
  </si>
  <si>
    <r>
      <t>K</t>
    </r>
    <r>
      <rPr>
        <vertAlign val="subscript"/>
        <sz val="11"/>
        <rFont val="Calibri"/>
        <family val="2"/>
        <scheme val="minor"/>
      </rPr>
      <t>SB,ana,DIG</t>
    </r>
  </si>
  <si>
    <t>Half-saturation of readily biodegradable substrate in fermentation by OHOs in mainstream (AS)</t>
  </si>
  <si>
    <r>
      <t>q</t>
    </r>
    <r>
      <rPr>
        <vertAlign val="subscript"/>
        <sz val="11"/>
        <rFont val="Calibri"/>
        <family val="2"/>
        <scheme val="minor"/>
      </rPr>
      <t>PAO,PP</t>
    </r>
  </si>
  <si>
    <r>
      <t>q</t>
    </r>
    <r>
      <rPr>
        <vertAlign val="subscript"/>
        <sz val="11"/>
        <rFont val="Calibri"/>
        <family val="2"/>
        <scheme val="minor"/>
      </rPr>
      <t>BSH,PREC</t>
    </r>
  </si>
  <si>
    <t>Rate of brushite precipitation</t>
  </si>
  <si>
    <r>
      <t>q</t>
    </r>
    <r>
      <rPr>
        <vertAlign val="subscript"/>
        <sz val="11"/>
        <rFont val="Calibri"/>
        <family val="2"/>
        <scheme val="minor"/>
      </rPr>
      <t>BSH,DISS</t>
    </r>
  </si>
  <si>
    <t>Rate of brushite dissolution</t>
  </si>
  <si>
    <t>HAO kinetics</t>
  </si>
  <si>
    <r>
      <t>q</t>
    </r>
    <r>
      <rPr>
        <vertAlign val="subscript"/>
        <sz val="11"/>
        <rFont val="Calibri"/>
        <family val="2"/>
        <scheme val="minor"/>
      </rPr>
      <t>HAOH,AGING</t>
    </r>
  </si>
  <si>
    <r>
      <t>Rate of X</t>
    </r>
    <r>
      <rPr>
        <vertAlign val="subscript"/>
        <sz val="11"/>
        <color rgb="FF000000"/>
        <rFont val="Calibri"/>
        <family val="2"/>
        <scheme val="minor"/>
      </rPr>
      <t>HAO,H</t>
    </r>
    <r>
      <rPr>
        <sz val="11"/>
        <color rgb="FF000000"/>
        <rFont val="Calibri"/>
        <family val="2"/>
        <charset val="238"/>
        <scheme val="minor"/>
      </rPr>
      <t xml:space="preserve"> aging</t>
    </r>
  </si>
  <si>
    <r>
      <t>q</t>
    </r>
    <r>
      <rPr>
        <vertAlign val="subscript"/>
        <sz val="11"/>
        <rFont val="Calibri"/>
        <family val="2"/>
        <scheme val="minor"/>
      </rPr>
      <t>HAOL,AGING</t>
    </r>
  </si>
  <si>
    <r>
      <t>Rate of X</t>
    </r>
    <r>
      <rPr>
        <vertAlign val="subscript"/>
        <sz val="11"/>
        <color rgb="FF000000"/>
        <rFont val="Calibri"/>
        <family val="2"/>
        <scheme val="minor"/>
      </rPr>
      <t>HAO,L</t>
    </r>
    <r>
      <rPr>
        <sz val="11"/>
        <color rgb="FF000000"/>
        <rFont val="Calibri"/>
        <family val="2"/>
        <charset val="238"/>
        <scheme val="minor"/>
      </rPr>
      <t xml:space="preserve"> aging</t>
    </r>
  </si>
  <si>
    <r>
      <t>q</t>
    </r>
    <r>
      <rPr>
        <vertAlign val="subscript"/>
        <sz val="11"/>
        <rFont val="Calibri"/>
        <family val="2"/>
        <scheme val="minor"/>
      </rPr>
      <t>P,HAO,COPREC</t>
    </r>
  </si>
  <si>
    <r>
      <t>Rate of P binding and coprecipitation on X</t>
    </r>
    <r>
      <rPr>
        <vertAlign val="subscript"/>
        <sz val="11"/>
        <rFont val="Calibri"/>
        <family val="2"/>
        <scheme val="minor"/>
      </rPr>
      <t>HAO,H</t>
    </r>
  </si>
  <si>
    <r>
      <t>q</t>
    </r>
    <r>
      <rPr>
        <vertAlign val="subscript"/>
        <sz val="11"/>
        <rFont val="Calibri"/>
        <family val="2"/>
        <scheme val="minor"/>
      </rPr>
      <t>P,HAO,BIND</t>
    </r>
  </si>
  <si>
    <r>
      <t>Rate of P binding on X</t>
    </r>
    <r>
      <rPr>
        <vertAlign val="subscript"/>
        <sz val="11"/>
        <rFont val="Calibri"/>
        <family val="2"/>
        <scheme val="minor"/>
      </rPr>
      <t>HAO,L</t>
    </r>
  </si>
  <si>
    <r>
      <t>q</t>
    </r>
    <r>
      <rPr>
        <vertAlign val="subscript"/>
        <sz val="11"/>
        <rFont val="Calibri"/>
        <family val="2"/>
        <scheme val="minor"/>
      </rPr>
      <t>HAOH,DESORP</t>
    </r>
  </si>
  <si>
    <r>
      <t>Rate of X</t>
    </r>
    <r>
      <rPr>
        <vertAlign val="subscript"/>
        <sz val="11"/>
        <color rgb="FF000000"/>
        <rFont val="Calibri"/>
        <family val="2"/>
        <scheme val="minor"/>
      </rPr>
      <t>HAO,H,P</t>
    </r>
    <r>
      <rPr>
        <sz val="11"/>
        <color rgb="FF000000"/>
        <rFont val="Calibri"/>
        <family val="2"/>
        <charset val="238"/>
        <scheme val="minor"/>
      </rPr>
      <t xml:space="preserve"> desorption</t>
    </r>
  </si>
  <si>
    <r>
      <t>q</t>
    </r>
    <r>
      <rPr>
        <vertAlign val="subscript"/>
        <sz val="11"/>
        <rFont val="Calibri"/>
        <family val="2"/>
        <scheme val="minor"/>
      </rPr>
      <t>HAOL,DESORP</t>
    </r>
  </si>
  <si>
    <r>
      <t>Rate of X</t>
    </r>
    <r>
      <rPr>
        <vertAlign val="subscript"/>
        <sz val="11"/>
        <color rgb="FF000000"/>
        <rFont val="Calibri"/>
        <family val="2"/>
        <scheme val="minor"/>
      </rPr>
      <t>HAO,L,P</t>
    </r>
    <r>
      <rPr>
        <sz val="11"/>
        <color rgb="FF000000"/>
        <rFont val="Calibri"/>
        <family val="2"/>
        <charset val="238"/>
        <scheme val="minor"/>
      </rPr>
      <t xml:space="preserve"> desorption</t>
    </r>
  </si>
  <si>
    <r>
      <t>q</t>
    </r>
    <r>
      <rPr>
        <vertAlign val="subscript"/>
        <sz val="11"/>
        <rFont val="Calibri"/>
        <family val="2"/>
        <scheme val="minor"/>
      </rPr>
      <t>HAO,DISS</t>
    </r>
  </si>
  <si>
    <r>
      <t>Rate of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r>
      <rPr>
        <sz val="11"/>
        <color rgb="FF000000"/>
        <rFont val="Calibri"/>
        <family val="2"/>
        <charset val="238"/>
        <scheme val="minor"/>
      </rPr>
      <t xml:space="preserve"> redissolution</t>
    </r>
  </si>
  <si>
    <r>
      <t>K</t>
    </r>
    <r>
      <rPr>
        <vertAlign val="subscript"/>
        <sz val="11"/>
        <rFont val="Calibri"/>
        <family val="2"/>
        <scheme val="minor"/>
      </rPr>
      <t>P,HAO,BIND</t>
    </r>
  </si>
  <si>
    <r>
      <t>Half-saturation of PO</t>
    </r>
    <r>
      <rPr>
        <vertAlign val="subscript"/>
        <sz val="11"/>
        <color rgb="FF000000"/>
        <rFont val="Calibri"/>
        <family val="2"/>
        <scheme val="minor"/>
      </rPr>
      <t>4</t>
    </r>
    <r>
      <rPr>
        <sz val="11"/>
        <color rgb="FF000000"/>
        <rFont val="Calibri"/>
        <family val="2"/>
        <charset val="238"/>
        <scheme val="minor"/>
      </rPr>
      <t xml:space="preserve"> for binding on HAO</t>
    </r>
  </si>
  <si>
    <r>
      <t>Ki</t>
    </r>
    <r>
      <rPr>
        <vertAlign val="subscript"/>
        <sz val="11"/>
        <rFont val="Calibri"/>
        <family val="2"/>
        <scheme val="minor"/>
      </rPr>
      <t>P,HAO,DISS</t>
    </r>
  </si>
  <si>
    <r>
      <t>Half-inhibition of PO</t>
    </r>
    <r>
      <rPr>
        <vertAlign val="subscript"/>
        <sz val="11"/>
        <color rgb="FF000000"/>
        <rFont val="Calibri"/>
        <family val="2"/>
        <scheme val="minor"/>
      </rPr>
      <t>4</t>
    </r>
    <r>
      <rPr>
        <sz val="11"/>
        <color rgb="FF000000"/>
        <rFont val="Calibri"/>
        <family val="2"/>
        <charset val="238"/>
        <scheme val="minor"/>
      </rPr>
      <t xml:space="preserve"> in HAO redissolution</t>
    </r>
  </si>
  <si>
    <r>
      <t>Ki</t>
    </r>
    <r>
      <rPr>
        <vertAlign val="subscript"/>
        <sz val="11"/>
        <rFont val="Calibri"/>
        <family val="2"/>
        <scheme val="minor"/>
      </rPr>
      <t>P,HAO,DESORP</t>
    </r>
  </si>
  <si>
    <r>
      <t>Half-inhibition of PO</t>
    </r>
    <r>
      <rPr>
        <vertAlign val="subscript"/>
        <sz val="11"/>
        <color rgb="FF000000"/>
        <rFont val="Calibri"/>
        <family val="2"/>
        <scheme val="minor"/>
      </rPr>
      <t>4</t>
    </r>
    <r>
      <rPr>
        <sz val="11"/>
        <color rgb="FF000000"/>
        <rFont val="Calibri"/>
        <family val="2"/>
        <charset val="238"/>
        <scheme val="minor"/>
      </rPr>
      <t xml:space="preserve"> in HAO desorption</t>
    </r>
  </si>
  <si>
    <r>
      <t>θ</t>
    </r>
    <r>
      <rPr>
        <vertAlign val="subscript"/>
        <sz val="11"/>
        <color indexed="8"/>
        <rFont val="Calibri"/>
        <family val="2"/>
        <scheme val="minor"/>
      </rPr>
      <t>q,PAO,PP</t>
    </r>
  </si>
  <si>
    <t>Arrhenius coefficient for PP storage</t>
  </si>
  <si>
    <r>
      <t>i</t>
    </r>
    <r>
      <rPr>
        <vertAlign val="subscript"/>
        <sz val="11"/>
        <rFont val="Calibri"/>
        <family val="2"/>
        <scheme val="minor"/>
      </rPr>
      <t>P,XBSH</t>
    </r>
  </si>
  <si>
    <t>P content of BSH</t>
  </si>
  <si>
    <t>HAO stoichiometry</t>
  </si>
  <si>
    <r>
      <t>ASF</t>
    </r>
    <r>
      <rPr>
        <vertAlign val="subscript"/>
        <sz val="11"/>
        <rFont val="Calibri"/>
        <family val="2"/>
        <scheme val="minor"/>
      </rPr>
      <t>HAO,H</t>
    </r>
  </si>
  <si>
    <t>Active site factor for HAO,H</t>
  </si>
  <si>
    <r>
      <t>mol P.mol Al</t>
    </r>
    <r>
      <rPr>
        <vertAlign val="superscript"/>
        <sz val="11"/>
        <rFont val="Calibri"/>
        <family val="2"/>
        <scheme val="minor"/>
      </rPr>
      <t>-1</t>
    </r>
  </si>
  <si>
    <t>g P / g Me</t>
  </si>
  <si>
    <r>
      <t>ASF</t>
    </r>
    <r>
      <rPr>
        <vertAlign val="subscript"/>
        <sz val="11"/>
        <rFont val="Calibri"/>
        <family val="2"/>
        <scheme val="minor"/>
      </rPr>
      <t>HAO,L</t>
    </r>
  </si>
  <si>
    <t>Active site factor for HAO,L</t>
  </si>
  <si>
    <t>g MeOH / g Me</t>
  </si>
  <si>
    <r>
      <t>f</t>
    </r>
    <r>
      <rPr>
        <vertAlign val="subscript"/>
        <sz val="11"/>
        <rFont val="Calibri"/>
        <family val="2"/>
        <scheme val="minor"/>
      </rPr>
      <t>H2O,HAO,TSS</t>
    </r>
  </si>
  <si>
    <r>
      <t>Fraction of H</t>
    </r>
    <r>
      <rPr>
        <vertAlign val="subscript"/>
        <sz val="11"/>
        <color rgb="FF000000"/>
        <rFont val="Calibri"/>
        <family val="2"/>
        <scheme val="minor"/>
      </rPr>
      <t>2</t>
    </r>
    <r>
      <rPr>
        <sz val="11"/>
        <color rgb="FF000000"/>
        <rFont val="Calibri"/>
        <family val="2"/>
        <charset val="238"/>
        <scheme val="minor"/>
      </rPr>
      <t>O loss in TSS test for HAO</t>
    </r>
  </si>
  <si>
    <r>
      <t>g H2O.g AlOH3</t>
    </r>
    <r>
      <rPr>
        <vertAlign val="superscript"/>
        <sz val="11"/>
        <rFont val="Calibri"/>
        <family val="2"/>
        <scheme val="minor"/>
      </rPr>
      <t>-1</t>
    </r>
  </si>
  <si>
    <t>g MeP / g Me</t>
  </si>
  <si>
    <r>
      <t>f</t>
    </r>
    <r>
      <rPr>
        <vertAlign val="subscript"/>
        <sz val="11"/>
        <rFont val="Calibri"/>
        <family val="2"/>
        <scheme val="minor"/>
      </rPr>
      <t>H2O,HAO,VSS</t>
    </r>
  </si>
  <si>
    <t xml:space="preserve">Fraction of H2O loss in VSS test for HAO </t>
  </si>
  <si>
    <t>2Al(OH)3 -&gt; Al2O3 + 3H2O</t>
  </si>
  <si>
    <t>TOC calculation coefficients</t>
  </si>
  <si>
    <r>
      <t>f</t>
    </r>
    <r>
      <rPr>
        <vertAlign val="subscript"/>
        <sz val="11"/>
        <rFont val="Calibri"/>
        <family val="2"/>
        <scheme val="minor"/>
      </rPr>
      <t>TOC,1</t>
    </r>
  </si>
  <si>
    <r>
      <t>g C.g COD</t>
    </r>
    <r>
      <rPr>
        <vertAlign val="superscript"/>
        <sz val="11"/>
        <rFont val="Calibri"/>
        <family val="2"/>
        <scheme val="minor"/>
      </rPr>
      <t>-1</t>
    </r>
  </si>
  <si>
    <r>
      <t>f</t>
    </r>
    <r>
      <rPr>
        <vertAlign val="subscript"/>
        <sz val="11"/>
        <rFont val="Calibri"/>
        <family val="2"/>
        <scheme val="minor"/>
      </rPr>
      <t>TOC,2</t>
    </r>
  </si>
  <si>
    <r>
      <t>g C.m</t>
    </r>
    <r>
      <rPr>
        <vertAlign val="superscript"/>
        <sz val="11"/>
        <rFont val="Calibri"/>
        <family val="2"/>
        <scheme val="minor"/>
      </rPr>
      <t>-3</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</si>
  <si>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</si>
  <si>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</si>
  <si>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t>X</t>
    </r>
    <r>
      <rPr>
        <vertAlign val="subscript"/>
        <sz val="11"/>
        <rFont val="Calibri"/>
        <family val="2"/>
        <scheme val="minor"/>
      </rPr>
      <t>HAO,H</t>
    </r>
  </si>
  <si>
    <t>Active hydrous aluminium oxide, high surface (HAO,H)</t>
  </si>
  <si>
    <r>
      <t>g Al.m</t>
    </r>
    <r>
      <rPr>
        <vertAlign val="superscript"/>
        <sz val="11"/>
        <rFont val="Calibri"/>
        <family val="2"/>
      </rPr>
      <t>-3</t>
    </r>
  </si>
  <si>
    <r>
      <t>X</t>
    </r>
    <r>
      <rPr>
        <vertAlign val="subscript"/>
        <sz val="11"/>
        <rFont val="Calibri"/>
        <family val="2"/>
        <scheme val="minor"/>
      </rPr>
      <t>HAO,L</t>
    </r>
  </si>
  <si>
    <t>Active hydrous aluminium oxide, low surface (HAO,L)</t>
  </si>
  <si>
    <r>
      <t>X</t>
    </r>
    <r>
      <rPr>
        <vertAlign val="subscript"/>
        <sz val="11"/>
        <rFont val="Calibri"/>
        <family val="2"/>
        <scheme val="minor"/>
      </rPr>
      <t>HAO,old</t>
    </r>
  </si>
  <si>
    <t>Aged unused hydrous aluminium oxide (HAO,old)</t>
  </si>
  <si>
    <r>
      <t>X</t>
    </r>
    <r>
      <rPr>
        <vertAlign val="subscript"/>
        <sz val="11"/>
        <rFont val="Calibri"/>
        <family val="2"/>
        <scheme val="minor"/>
      </rPr>
      <t>HAO,H,P</t>
    </r>
  </si>
  <si>
    <t>P-bound hydrous aluminium oxide, high surface (HAO,H,P)</t>
  </si>
  <si>
    <r>
      <t>X</t>
    </r>
    <r>
      <rPr>
        <vertAlign val="subscript"/>
        <sz val="11"/>
        <rFont val="Calibri"/>
        <family val="2"/>
        <scheme val="minor"/>
      </rPr>
      <t>HAO,L,P</t>
    </r>
  </si>
  <si>
    <t>P-bound hydrous aluminium oxide, low surface (HAO,L,P)</t>
  </si>
  <si>
    <r>
      <t>X</t>
    </r>
    <r>
      <rPr>
        <vertAlign val="subscript"/>
        <sz val="11"/>
        <rFont val="Calibri"/>
        <family val="2"/>
      </rPr>
      <t>HAO,H,P,old</t>
    </r>
  </si>
  <si>
    <t>Aged P-bound hydrous aluminium oxide, high surface (HAO,H,P,old)</t>
  </si>
  <si>
    <r>
      <t>X</t>
    </r>
    <r>
      <rPr>
        <vertAlign val="subscript"/>
        <sz val="11"/>
        <rFont val="Calibri"/>
        <family val="2"/>
      </rPr>
      <t>HAO,L,P,old</t>
    </r>
  </si>
  <si>
    <t>Aged P-bound hydrous aluminium oxide, low surface (HAO,L,P,old)</t>
  </si>
  <si>
    <r>
      <t>X</t>
    </r>
    <r>
      <rPr>
        <vertAlign val="subscript"/>
        <sz val="11"/>
        <rFont val="Calibri"/>
        <family val="2"/>
        <scheme val="minor"/>
      </rPr>
      <t>BSH</t>
    </r>
  </si>
  <si>
    <t>Brushite (BSH)</t>
  </si>
  <si>
    <r>
      <t>X</t>
    </r>
    <r>
      <rPr>
        <b/>
        <vertAlign val="subscript"/>
        <sz val="11"/>
        <rFont val="Calibri"/>
        <family val="2"/>
        <scheme val="minor"/>
      </rPr>
      <t>HAO,H</t>
    </r>
  </si>
  <si>
    <r>
      <t>X</t>
    </r>
    <r>
      <rPr>
        <b/>
        <vertAlign val="subscript"/>
        <sz val="11"/>
        <rFont val="Calibri"/>
        <family val="2"/>
        <scheme val="minor"/>
      </rPr>
      <t>HAO,L</t>
    </r>
  </si>
  <si>
    <r>
      <t>X</t>
    </r>
    <r>
      <rPr>
        <b/>
        <vertAlign val="subscript"/>
        <sz val="11"/>
        <rFont val="Calibri"/>
        <family val="2"/>
        <scheme val="minor"/>
      </rPr>
      <t>HAO,old</t>
    </r>
  </si>
  <si>
    <r>
      <t>X</t>
    </r>
    <r>
      <rPr>
        <b/>
        <vertAlign val="subscript"/>
        <sz val="11"/>
        <rFont val="Calibri"/>
        <family val="2"/>
        <scheme val="minor"/>
      </rPr>
      <t>HAO,H,P</t>
    </r>
  </si>
  <si>
    <r>
      <t>X</t>
    </r>
    <r>
      <rPr>
        <b/>
        <vertAlign val="subscript"/>
        <sz val="11"/>
        <rFont val="Calibri"/>
        <family val="2"/>
        <scheme val="minor"/>
      </rPr>
      <t>HAO,L,P</t>
    </r>
  </si>
  <si>
    <r>
      <t>X</t>
    </r>
    <r>
      <rPr>
        <b/>
        <vertAlign val="subscript"/>
        <sz val="11"/>
        <rFont val="Calibri"/>
        <family val="2"/>
      </rPr>
      <t>HAO,H,P,old</t>
    </r>
  </si>
  <si>
    <r>
      <t>X</t>
    </r>
    <r>
      <rPr>
        <b/>
        <vertAlign val="subscript"/>
        <sz val="11"/>
        <rFont val="Calibri"/>
        <family val="2"/>
      </rPr>
      <t>HAO,L,P,old</t>
    </r>
  </si>
  <si>
    <r>
      <t>X</t>
    </r>
    <r>
      <rPr>
        <b/>
        <vertAlign val="subscript"/>
        <sz val="12"/>
        <rFont val="Calibri"/>
        <family val="2"/>
        <scheme val="minor"/>
      </rPr>
      <t>BSH</t>
    </r>
  </si>
  <si>
    <r>
      <t>AM</t>
    </r>
    <r>
      <rPr>
        <vertAlign val="subscript"/>
        <sz val="11"/>
        <rFont val="Calibri"/>
        <family val="2"/>
        <scheme val="minor"/>
      </rPr>
      <t>P</t>
    </r>
    <r>
      <rPr>
        <sz val="11"/>
        <rFont val="Calibri"/>
        <family val="2"/>
        <scheme val="minor"/>
      </rPr>
      <t>/MM</t>
    </r>
    <r>
      <rPr>
        <vertAlign val="subscript"/>
        <sz val="11"/>
        <rFont val="Calibri"/>
        <family val="2"/>
        <scheme val="minor"/>
      </rPr>
      <t>BSH</t>
    </r>
  </si>
  <si>
    <r>
      <t>AM</t>
    </r>
    <r>
      <rPr>
        <vertAlign val="subscript"/>
        <sz val="11"/>
        <rFont val="Calibri"/>
        <family val="2"/>
        <scheme val="minor"/>
      </rPr>
      <t>Ca</t>
    </r>
    <r>
      <rPr>
        <sz val="11"/>
        <rFont val="Calibri"/>
        <family val="2"/>
        <scheme val="minor"/>
      </rPr>
      <t>/MM</t>
    </r>
    <r>
      <rPr>
        <vertAlign val="subscript"/>
        <sz val="11"/>
        <rFont val="Calibri"/>
        <family val="2"/>
        <scheme val="minor"/>
      </rPr>
      <t>BSH</t>
    </r>
  </si>
  <si>
    <t>Aging of active HAO,H</t>
  </si>
  <si>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</si>
  <si>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</si>
  <si>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</si>
  <si>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</si>
  <si>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q</t>
    </r>
    <r>
      <rPr>
        <vertAlign val="subscript"/>
        <sz val="11"/>
        <rFont val="Calibri"/>
        <family val="2"/>
      </rPr>
      <t>HAOH,AGING</t>
    </r>
    <r>
      <rPr>
        <sz val="11"/>
        <rFont val="Calibri"/>
        <family val="2"/>
      </rPr>
      <t xml:space="preserve"> *(X</t>
    </r>
    <r>
      <rPr>
        <vertAlign val="subscript"/>
        <sz val="11"/>
        <rFont val="Calibri"/>
        <family val="2"/>
      </rPr>
      <t>HAO,H</t>
    </r>
    <r>
      <rPr>
        <sz val="11"/>
        <rFont val="Calibri"/>
        <family val="2"/>
      </rPr>
      <t>+X</t>
    </r>
    <r>
      <rPr>
        <vertAlign val="subscript"/>
        <sz val="11"/>
        <rFont val="Calibri"/>
        <family val="2"/>
      </rPr>
      <t>HAO,H,P</t>
    </r>
    <r>
      <rPr>
        <sz val="11"/>
        <rFont val="Calibri"/>
        <family val="2"/>
      </rPr>
      <t>)</t>
    </r>
  </si>
  <si>
    <t>Aging of active HAO,L</t>
  </si>
  <si>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</si>
  <si>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</si>
  <si>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</si>
  <si>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</si>
  <si>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q</t>
    </r>
    <r>
      <rPr>
        <vertAlign val="subscript"/>
        <sz val="11"/>
        <rFont val="Calibri"/>
        <family val="2"/>
      </rPr>
      <t>HAOL,AGING</t>
    </r>
    <r>
      <rPr>
        <sz val="11"/>
        <rFont val="Calibri"/>
        <family val="2"/>
      </rPr>
      <t xml:space="preserve"> *(X</t>
    </r>
    <r>
      <rPr>
        <vertAlign val="subscript"/>
        <sz val="11"/>
        <rFont val="Calibri"/>
        <family val="2"/>
      </rPr>
      <t>HAO,L</t>
    </r>
    <r>
      <rPr>
        <sz val="11"/>
        <rFont val="Calibri"/>
        <family val="2"/>
      </rPr>
      <t>+X</t>
    </r>
    <r>
      <rPr>
        <vertAlign val="subscript"/>
        <sz val="11"/>
        <rFont val="Calibri"/>
        <family val="2"/>
      </rPr>
      <t>HAO,L,P</t>
    </r>
    <r>
      <rPr>
        <sz val="11"/>
        <rFont val="Calibri"/>
        <family val="2"/>
      </rPr>
      <t>)</t>
    </r>
  </si>
  <si>
    <t>Fast binding of P on active HAO,H</t>
  </si>
  <si>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</si>
  <si>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</si>
  <si>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P,HAO,COPREC</t>
    </r>
    <r>
      <rPr>
        <sz val="11"/>
        <rFont val="Calibri"/>
        <family val="2"/>
      </rPr>
      <t>*X</t>
    </r>
    <r>
      <rPr>
        <vertAlign val="subscript"/>
        <sz val="11"/>
        <rFont val="Calibri"/>
        <family val="2"/>
      </rPr>
      <t>HAO,H</t>
    </r>
    <r>
      <rPr>
        <sz val="11"/>
        <rFont val="Calibri"/>
        <family val="2"/>
      </rPr>
      <t>*Msat</t>
    </r>
    <r>
      <rPr>
        <vertAlign val="subscript"/>
        <sz val="11"/>
        <rFont val="Calibri"/>
        <family val="2"/>
      </rPr>
      <t>SPO4,KP,HAO,BIND</t>
    </r>
  </si>
  <si>
    <t>Slow binding of P on active HAO,L</t>
  </si>
  <si>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</si>
  <si>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</si>
  <si>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P,HAO,BIND</t>
    </r>
    <r>
      <rPr>
        <sz val="11"/>
        <rFont val="Calibri"/>
        <family val="2"/>
      </rPr>
      <t>*X</t>
    </r>
    <r>
      <rPr>
        <vertAlign val="subscript"/>
        <sz val="11"/>
        <rFont val="Calibri"/>
        <family val="2"/>
      </rPr>
      <t>HAO,L</t>
    </r>
    <r>
      <rPr>
        <sz val="11"/>
        <rFont val="Calibri"/>
        <family val="2"/>
      </rPr>
      <t>*Msat</t>
    </r>
    <r>
      <rPr>
        <vertAlign val="subscript"/>
        <sz val="11"/>
        <rFont val="Calibri"/>
        <family val="2"/>
      </rPr>
      <t>SPO4,KP,HAO,BIND</t>
    </r>
  </si>
  <si>
    <r>
      <t>Desorption of P from X</t>
    </r>
    <r>
      <rPr>
        <vertAlign val="subscript"/>
        <sz val="11"/>
        <color rgb="FF000000"/>
        <rFont val="Calibri"/>
        <family val="2"/>
        <scheme val="minor"/>
      </rPr>
      <t>HAO,H,P</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</si>
  <si>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</si>
  <si>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HAOH,DESORP</t>
    </r>
    <r>
      <rPr>
        <sz val="11"/>
        <rFont val="Calibri"/>
        <family val="2"/>
      </rPr>
      <t>*X</t>
    </r>
    <r>
      <rPr>
        <vertAlign val="subscript"/>
        <sz val="11"/>
        <rFont val="Calibri"/>
        <family val="2"/>
      </rPr>
      <t>HAO,H,P</t>
    </r>
    <r>
      <rPr>
        <sz val="11"/>
        <rFont val="Calibri"/>
        <family val="2"/>
      </rPr>
      <t>*Minh</t>
    </r>
    <r>
      <rPr>
        <vertAlign val="subscript"/>
        <sz val="11"/>
        <rFont val="Calibri"/>
        <family val="2"/>
      </rPr>
      <t>SPO4,KiP,HAO,DESORP</t>
    </r>
  </si>
  <si>
    <r>
      <t>Desorption of P from X</t>
    </r>
    <r>
      <rPr>
        <vertAlign val="subscript"/>
        <sz val="11"/>
        <color rgb="FF000000"/>
        <rFont val="Calibri"/>
        <family val="2"/>
        <scheme val="minor"/>
      </rPr>
      <t>HAO,L,P</t>
    </r>
  </si>
  <si>
    <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</si>
  <si>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HAOL,DESORP</t>
    </r>
    <r>
      <rPr>
        <sz val="11"/>
        <rFont val="Calibri"/>
        <family val="2"/>
      </rPr>
      <t>*X</t>
    </r>
    <r>
      <rPr>
        <vertAlign val="subscript"/>
        <sz val="11"/>
        <rFont val="Calibri"/>
        <family val="2"/>
      </rPr>
      <t>HAO,L,P</t>
    </r>
    <r>
      <rPr>
        <sz val="11"/>
        <rFont val="Calibri"/>
        <family val="2"/>
      </rPr>
      <t>*Minh</t>
    </r>
    <r>
      <rPr>
        <vertAlign val="subscript"/>
        <sz val="11"/>
        <rFont val="Calibri"/>
        <family val="2"/>
      </rPr>
      <t>SPO4,KiP,HAO,DESORP</t>
    </r>
  </si>
  <si>
    <r>
      <t>Dissolution of P from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</si>
  <si>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</si>
  <si>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</si>
  <si>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</si>
  <si>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q</t>
    </r>
    <r>
      <rPr>
        <vertAlign val="subscript"/>
        <sz val="11"/>
        <rFont val="Calibri"/>
        <family val="2"/>
      </rPr>
      <t>HAO,DISS</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)*Loginh</t>
    </r>
    <r>
      <rPr>
        <vertAlign val="subscript"/>
        <sz val="11"/>
        <rFont val="Calibri"/>
        <family val="2"/>
      </rPr>
      <t>SPO4,KiP,HAO,DISS</t>
    </r>
  </si>
  <si>
    <t>Brushite precipitation</t>
  </si>
  <si>
    <r>
      <t>-AM</t>
    </r>
    <r>
      <rPr>
        <vertAlign val="subscript"/>
        <sz val="11"/>
        <rFont val="Calibri"/>
        <family val="2"/>
      </rPr>
      <t>P</t>
    </r>
    <r>
      <rPr>
        <sz val="11"/>
        <rFont val="Calibri"/>
        <family val="2"/>
      </rPr>
      <t>/MM</t>
    </r>
    <r>
      <rPr>
        <vertAlign val="subscript"/>
        <sz val="11"/>
        <rFont val="Calibri"/>
        <family val="2"/>
      </rPr>
      <t>BSH</t>
    </r>
  </si>
  <si>
    <r>
      <t>-AM</t>
    </r>
    <r>
      <rPr>
        <vertAlign val="subscript"/>
        <sz val="11"/>
        <rFont val="Calibri"/>
        <family val="2"/>
      </rPr>
      <t>Ca</t>
    </r>
    <r>
      <rPr>
        <sz val="11"/>
        <rFont val="Calibri"/>
        <family val="2"/>
      </rPr>
      <t>/MM</t>
    </r>
    <r>
      <rPr>
        <vertAlign val="subscript"/>
        <sz val="11"/>
        <rFont val="Calibri"/>
        <family val="2"/>
      </rPr>
      <t>BSH</t>
    </r>
  </si>
  <si>
    <r>
      <t>q</t>
    </r>
    <r>
      <rPr>
        <vertAlign val="subscript"/>
        <sz val="11"/>
        <rFont val="Calibri"/>
        <family val="2"/>
      </rPr>
      <t>BSH</t>
    </r>
    <r>
      <rPr>
        <sz val="11"/>
        <rFont val="Calibri"/>
        <family val="2"/>
      </rPr>
      <t>*PrecipDrivingForce</t>
    </r>
    <r>
      <rPr>
        <vertAlign val="subscript"/>
        <sz val="11"/>
        <rFont val="Calibri"/>
        <family val="2"/>
      </rPr>
      <t>BSH</t>
    </r>
    <r>
      <rPr>
        <vertAlign val="superscript"/>
        <sz val="11"/>
        <rFont val="Calibri"/>
        <family val="2"/>
      </rPr>
      <t>^2</t>
    </r>
  </si>
  <si>
    <r>
      <t>X</t>
    </r>
    <r>
      <rPr>
        <vertAlign val="subscript"/>
        <sz val="11"/>
        <rFont val="Calibri"/>
        <family val="2"/>
        <scheme val="minor"/>
      </rPr>
      <t>CaCO3</t>
    </r>
    <r>
      <rPr>
        <sz val="11"/>
        <rFont val="Calibri"/>
        <family val="2"/>
        <scheme val="minor"/>
      </rPr>
      <t>+X</t>
    </r>
    <r>
      <rPr>
        <vertAlign val="subscript"/>
        <sz val="11"/>
        <rFont val="Calibri"/>
        <family val="2"/>
        <scheme val="minor"/>
      </rPr>
      <t>ACP</t>
    </r>
    <r>
      <rPr>
        <sz val="11"/>
        <rFont val="Calibri"/>
        <family val="2"/>
        <scheme val="minor"/>
      </rPr>
      <t>+X</t>
    </r>
    <r>
      <rPr>
        <vertAlign val="subscript"/>
        <sz val="11"/>
        <rFont val="Calibri"/>
        <family val="2"/>
        <scheme val="minor"/>
      </rPr>
      <t>STR</t>
    </r>
    <r>
      <rPr>
        <sz val="11"/>
        <rFont val="Calibri"/>
        <family val="2"/>
        <scheme val="minor"/>
      </rPr>
      <t>+X</t>
    </r>
    <r>
      <rPr>
        <vertAlign val="subscript"/>
        <sz val="11"/>
        <rFont val="Calibri"/>
        <family val="2"/>
        <scheme val="minor"/>
      </rPr>
      <t>Vivi</t>
    </r>
    <r>
      <rPr>
        <sz val="11"/>
        <rFont val="Calibri"/>
        <family val="2"/>
        <scheme val="minor"/>
      </rPr>
      <t>+X</t>
    </r>
    <r>
      <rPr>
        <vertAlign val="subscript"/>
        <sz val="11"/>
        <rFont val="Calibri"/>
        <family val="2"/>
        <scheme val="minor"/>
      </rPr>
      <t>BSH</t>
    </r>
  </si>
  <si>
    <r>
      <t>X</t>
    </r>
    <r>
      <rPr>
        <vertAlign val="subscript"/>
        <sz val="11"/>
        <rFont val="Calibri"/>
        <family val="2"/>
        <scheme val="minor"/>
      </rPr>
      <t>HAO,TSS</t>
    </r>
  </si>
  <si>
    <t>Total HAOs in TSS unit</t>
  </si>
  <si>
    <r>
      <t>(1-f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</si>
  <si>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(1-f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</si>
  <si>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HAO</t>
    </r>
  </si>
  <si>
    <t>Total HAOs</t>
  </si>
  <si>
    <r>
      <t>X</t>
    </r>
    <r>
      <rPr>
        <vertAlign val="subscript"/>
        <sz val="11"/>
        <rFont val="Calibri"/>
        <family val="2"/>
        <scheme val="minor"/>
      </rPr>
      <t>HAO,H</t>
    </r>
    <r>
      <rPr>
        <sz val="11"/>
        <rFont val="Calibri"/>
        <family val="2"/>
        <scheme val="minor"/>
      </rPr>
      <t>+X</t>
    </r>
    <r>
      <rPr>
        <vertAlign val="subscript"/>
        <sz val="11"/>
        <rFont val="Calibri"/>
        <family val="2"/>
        <scheme val="minor"/>
      </rPr>
      <t>HAO,L</t>
    </r>
    <r>
      <rPr>
        <sz val="11"/>
        <rFont val="Calibri"/>
        <family val="2"/>
        <scheme val="minor"/>
      </rPr>
      <t>+X</t>
    </r>
    <r>
      <rPr>
        <vertAlign val="subscript"/>
        <sz val="11"/>
        <rFont val="Calibri"/>
        <family val="2"/>
        <scheme val="minor"/>
      </rPr>
      <t>HAO,L,P</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HAO,old</t>
    </r>
    <r>
      <rPr>
        <sz val="11"/>
        <rFont val="Calibri"/>
        <family val="2"/>
        <scheme val="minor"/>
      </rPr>
      <t>+X</t>
    </r>
    <r>
      <rPr>
        <vertAlign val="subscript"/>
        <sz val="11"/>
        <rFont val="Calibri"/>
        <family val="2"/>
        <scheme val="minor"/>
      </rPr>
      <t>HAO,L,P,old</t>
    </r>
    <r>
      <rPr>
        <sz val="11"/>
        <rFont val="Calibri"/>
        <family val="2"/>
        <scheme val="minor"/>
      </rPr>
      <t>+X</t>
    </r>
    <r>
      <rPr>
        <vertAlign val="subscript"/>
        <sz val="11"/>
        <rFont val="Calibri"/>
        <family val="2"/>
        <scheme val="minor"/>
      </rPr>
      <t>HAO,H,P,old</t>
    </r>
  </si>
  <si>
    <r>
      <t>g Al.m</t>
    </r>
    <r>
      <rPr>
        <vertAlign val="superscript"/>
        <sz val="11"/>
        <rFont val="Calibri"/>
        <family val="2"/>
        <scheme val="minor"/>
      </rPr>
      <t>-3</t>
    </r>
  </si>
  <si>
    <r>
      <t>T</t>
    </r>
    <r>
      <rPr>
        <vertAlign val="subscript"/>
        <sz val="11"/>
        <rFont val="Calibri"/>
        <family val="2"/>
        <scheme val="minor"/>
      </rPr>
      <t>Al</t>
    </r>
  </si>
  <si>
    <t>Total aluminium</t>
  </si>
  <si>
    <r>
      <t>X</t>
    </r>
    <r>
      <rPr>
        <vertAlign val="subscript"/>
        <sz val="11"/>
        <rFont val="Calibri"/>
        <family val="2"/>
        <scheme val="minor"/>
      </rPr>
      <t xml:space="preserve">HAO </t>
    </r>
  </si>
  <si>
    <r>
      <t>T</t>
    </r>
    <r>
      <rPr>
        <vertAlign val="subscript"/>
        <sz val="11"/>
        <rFont val="Calibri"/>
        <family val="2"/>
        <scheme val="minor"/>
      </rPr>
      <t>Ca</t>
    </r>
  </si>
  <si>
    <t>Total calcium</t>
  </si>
  <si>
    <r>
      <t>S</t>
    </r>
    <r>
      <rPr>
        <vertAlign val="subscript"/>
        <sz val="11"/>
        <rFont val="Calibri"/>
        <family val="2"/>
        <scheme val="minor"/>
      </rPr>
      <t>Ca</t>
    </r>
    <r>
      <rPr>
        <sz val="11"/>
        <rFont val="Calibri"/>
        <family val="2"/>
        <scheme val="minor"/>
      </rP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Ca,INORG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ACP</t>
    </r>
    <r>
      <rPr>
        <sz val="11"/>
        <rFont val="Calibri"/>
        <family val="2"/>
        <scheme val="minor"/>
      </rPr>
      <t>*3*AM</t>
    </r>
    <r>
      <rPr>
        <vertAlign val="subscript"/>
        <sz val="11"/>
        <rFont val="Calibri"/>
        <family val="2"/>
        <scheme val="minor"/>
      </rPr>
      <t>Ca</t>
    </r>
    <r>
      <rPr>
        <sz val="11"/>
        <rFont val="Calibri"/>
        <family val="2"/>
        <scheme val="minor"/>
      </rPr>
      <t>/MM</t>
    </r>
    <r>
      <rPr>
        <vertAlign val="subscript"/>
        <sz val="11"/>
        <rFont val="Calibri"/>
        <family val="2"/>
        <scheme val="minor"/>
      </rPr>
      <t>ACP</t>
    </r>
    <r>
      <rPr>
        <sz val="11"/>
        <rFont val="Calibri"/>
        <family val="2"/>
        <scheme val="minor"/>
      </rPr>
      <t>+X</t>
    </r>
    <r>
      <rPr>
        <vertAlign val="subscript"/>
        <sz val="11"/>
        <rFont val="Calibri"/>
        <family val="2"/>
        <scheme val="minor"/>
      </rPr>
      <t>CaCO3</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CaCO3</t>
    </r>
    <r>
      <rPr>
        <sz val="11"/>
        <rFont val="Calibri"/>
        <family val="2"/>
        <scheme val="minor"/>
      </rPr>
      <t>+X</t>
    </r>
    <r>
      <rPr>
        <vertAlign val="subscript"/>
        <sz val="11"/>
        <rFont val="Calibri"/>
        <family val="2"/>
        <scheme val="minor"/>
      </rPr>
      <t>BSH</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BSH</t>
    </r>
  </si>
  <si>
    <r>
      <t>T</t>
    </r>
    <r>
      <rPr>
        <vertAlign val="subscript"/>
        <sz val="11"/>
        <rFont val="Calibri"/>
        <family val="2"/>
        <scheme val="minor"/>
      </rPr>
      <t>Mg</t>
    </r>
  </si>
  <si>
    <t>Total magnesium</t>
  </si>
  <si>
    <r>
      <t>S</t>
    </r>
    <r>
      <rPr>
        <vertAlign val="subscript"/>
        <sz val="11"/>
        <rFont val="Calibri"/>
        <family val="2"/>
        <scheme val="minor"/>
      </rPr>
      <t>Mg</t>
    </r>
    <r>
      <rPr>
        <sz val="11"/>
        <rFont val="Calibri"/>
        <family val="2"/>
        <scheme val="minor"/>
      </rP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Mg,INORG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STR</t>
    </r>
    <r>
      <rPr>
        <sz val="11"/>
        <rFont val="Calibri"/>
        <family val="2"/>
        <scheme val="minor"/>
      </rPr>
      <t>*AM</t>
    </r>
    <r>
      <rPr>
        <vertAlign val="subscript"/>
        <sz val="11"/>
        <rFont val="Calibri"/>
        <family val="2"/>
        <scheme val="minor"/>
      </rPr>
      <t>Mg</t>
    </r>
    <r>
      <rPr>
        <sz val="11"/>
        <rFont val="Calibri"/>
        <family val="2"/>
        <scheme val="minor"/>
      </rPr>
      <t>/MM</t>
    </r>
    <r>
      <rPr>
        <vertAlign val="subscript"/>
        <sz val="11"/>
        <rFont val="Calibri"/>
        <family val="2"/>
        <scheme val="minor"/>
      </rPr>
      <t>STR</t>
    </r>
  </si>
  <si>
    <r>
      <t>X</t>
    </r>
    <r>
      <rPr>
        <vertAlign val="subscript"/>
        <sz val="11"/>
        <rFont val="Calibri"/>
        <family val="2"/>
        <scheme val="minor"/>
      </rPr>
      <t>HAO,P</t>
    </r>
  </si>
  <si>
    <t>Total phosphorus in HAOs</t>
  </si>
  <si>
    <r>
      <t>(X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</si>
  <si>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</si>
  <si>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T</t>
    </r>
    <r>
      <rPr>
        <vertAlign val="subscript"/>
        <sz val="11"/>
        <rFont val="Calibri"/>
        <family val="2"/>
        <charset val="238"/>
        <scheme val="minor"/>
      </rPr>
      <t>OC</t>
    </r>
  </si>
  <si>
    <t>Total organic carbon</t>
  </si>
  <si>
    <r>
      <t>Max(0;f</t>
    </r>
    <r>
      <rPr>
        <vertAlign val="subscript"/>
        <sz val="11"/>
        <rFont val="Calibri"/>
        <family val="2"/>
        <scheme val="minor"/>
      </rPr>
      <t>TOC,1</t>
    </r>
    <r>
      <rPr>
        <sz val="11"/>
        <rFont val="Calibri"/>
        <family val="2"/>
        <scheme val="minor"/>
      </rPr>
      <t>*T</t>
    </r>
    <r>
      <rPr>
        <vertAlign val="subscript"/>
        <sz val="11"/>
        <rFont val="Calibri"/>
        <family val="2"/>
        <charset val="238"/>
        <scheme val="minor"/>
      </rPr>
      <t>COD</t>
    </r>
    <r>
      <rPr>
        <sz val="11"/>
        <rFont val="Calibri"/>
        <family val="2"/>
        <scheme val="minor"/>
      </rPr>
      <t>-f</t>
    </r>
    <r>
      <rPr>
        <vertAlign val="subscript"/>
        <sz val="11"/>
        <rFont val="Calibri"/>
        <family val="2"/>
        <scheme val="minor"/>
      </rPr>
      <t>TOC,2</t>
    </r>
    <r>
      <rPr>
        <sz val="11"/>
        <rFont val="Calibri"/>
        <family val="2"/>
        <scheme val="minor"/>
      </rPr>
      <t>)</t>
    </r>
  </si>
  <si>
    <r>
      <t>g C.m</t>
    </r>
    <r>
      <rPr>
        <vertAlign val="superscript"/>
        <sz val="11"/>
        <rFont val="Calibri"/>
        <family val="2"/>
        <charset val="238"/>
        <scheme val="minor"/>
      </rPr>
      <t>-3</t>
    </r>
  </si>
  <si>
    <t>Effluent</t>
  </si>
  <si>
    <r>
      <t>q</t>
    </r>
    <r>
      <rPr>
        <vertAlign val="subscript"/>
        <sz val="11"/>
        <color theme="1"/>
        <rFont val="Calibri"/>
        <family val="2"/>
        <scheme val="minor"/>
      </rPr>
      <t>BSH</t>
    </r>
  </si>
  <si>
    <r>
      <t>If(PrecipDrivingForce</t>
    </r>
    <r>
      <rPr>
        <vertAlign val="subscript"/>
        <sz val="11"/>
        <color theme="1"/>
        <rFont val="Calibri"/>
        <family val="2"/>
        <scheme val="minor"/>
      </rPr>
      <t>BSH</t>
    </r>
    <r>
      <rPr>
        <sz val="11"/>
        <color theme="1"/>
        <rFont val="Calibri"/>
        <family val="2"/>
        <scheme val="minor"/>
      </rPr>
      <t>&gt;0;q</t>
    </r>
    <r>
      <rPr>
        <vertAlign val="subscript"/>
        <sz val="11"/>
        <color theme="1"/>
        <rFont val="Calibri"/>
        <family val="2"/>
        <scheme val="minor"/>
      </rPr>
      <t>BSH,PREC</t>
    </r>
    <r>
      <rPr>
        <sz val="11"/>
        <color theme="1"/>
        <rFont val="Calibri"/>
        <family val="2"/>
        <scheme val="minor"/>
      </rPr>
      <t>;-q</t>
    </r>
    <r>
      <rPr>
        <vertAlign val="subscript"/>
        <sz val="11"/>
        <color theme="1"/>
        <rFont val="Calibri"/>
        <family val="2"/>
        <scheme val="minor"/>
      </rPr>
      <t>BSH,DISS</t>
    </r>
    <r>
      <rPr>
        <sz val="11"/>
        <color theme="1"/>
        <rFont val="Calibri"/>
        <family val="2"/>
        <scheme val="minor"/>
      </rPr>
      <t>*Msat</t>
    </r>
    <r>
      <rPr>
        <vertAlign val="subscript"/>
        <sz val="11"/>
        <color theme="1"/>
        <rFont val="Calibri"/>
        <family val="2"/>
        <scheme val="minor"/>
      </rPr>
      <t>XBSH,KBSH,DISS</t>
    </r>
    <r>
      <rPr>
        <sz val="11"/>
        <color theme="1"/>
        <rFont val="Calibri"/>
        <family val="2"/>
        <scheme val="minor"/>
      </rPr>
      <t>)</t>
    </r>
  </si>
  <si>
    <r>
      <t>d</t>
    </r>
    <r>
      <rPr>
        <vertAlign val="superscript"/>
        <sz val="11"/>
        <color theme="1"/>
        <rFont val="Calibri"/>
        <family val="2"/>
        <charset val="238"/>
        <scheme val="minor"/>
      </rPr>
      <t>-1</t>
    </r>
  </si>
  <si>
    <t>Non-Digester; Non-Biofilm</t>
  </si>
  <si>
    <t>Non-Digester; Biofilm</t>
  </si>
  <si>
    <r>
      <t>Msat</t>
    </r>
    <r>
      <rPr>
        <vertAlign val="subscript"/>
        <sz val="11"/>
        <rFont val="Calibri"/>
        <family val="2"/>
        <scheme val="minor"/>
      </rPr>
      <t>XBSH,KBSH,DISS</t>
    </r>
  </si>
  <si>
    <t>Saturation term for brushite dissolution</t>
  </si>
  <si>
    <r>
      <t>Msat(X</t>
    </r>
    <r>
      <rPr>
        <vertAlign val="subscript"/>
        <sz val="11"/>
        <rFont val="Calibri"/>
        <family val="2"/>
        <scheme val="minor"/>
      </rPr>
      <t>BSH</t>
    </r>
    <r>
      <rPr>
        <sz val="11"/>
        <rFont val="Calibri"/>
        <family val="2"/>
        <scheme val="minor"/>
      </rPr>
      <t>;K</t>
    </r>
    <r>
      <rPr>
        <vertAlign val="subscript"/>
        <sz val="11"/>
        <rFont val="Calibri"/>
        <family val="2"/>
        <scheme val="minor"/>
      </rPr>
      <t>BSH,DISS</t>
    </r>
    <r>
      <rPr>
        <sz val="11"/>
        <rFont val="Calibri"/>
        <family val="2"/>
        <scheme val="minor"/>
      </rPr>
      <t>)</t>
    </r>
  </si>
  <si>
    <r>
      <t>K</t>
    </r>
    <r>
      <rPr>
        <vertAlign val="subscript"/>
        <sz val="11"/>
        <rFont val="Calibri"/>
        <family val="2"/>
        <scheme val="minor"/>
      </rPr>
      <t>sp,BSH</t>
    </r>
  </si>
  <si>
    <t>Solubility constant of brushite (activity corrected)</t>
  </si>
  <si>
    <r>
      <t>K</t>
    </r>
    <r>
      <rPr>
        <vertAlign val="subscript"/>
        <sz val="11"/>
        <rFont val="Calibri"/>
        <family val="2"/>
        <scheme val="minor"/>
      </rPr>
      <t>sp,BSH,param</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</si>
  <si>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SO2,KO2,AOB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KNOx,AOB</t>
    </r>
    <r>
      <rPr>
        <sz val="11"/>
        <rFont val="Calibri"/>
        <family val="2"/>
      </rPr>
      <t>*Minh</t>
    </r>
    <r>
      <rPr>
        <vertAlign val="subscript"/>
        <sz val="11"/>
        <rFont val="Calibri"/>
        <family val="2"/>
      </rPr>
      <t>SO2,KO2,AOB</t>
    </r>
    <r>
      <rPr>
        <sz val="11"/>
        <rFont val="Calibri"/>
        <family val="2"/>
      </rPr>
      <t>)</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</si>
  <si>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*(η</t>
    </r>
    <r>
      <rPr>
        <vertAlign val="subscript"/>
        <sz val="11"/>
        <rFont val="Calibri"/>
        <family val="2"/>
      </rPr>
      <t>b,ana</t>
    </r>
    <r>
      <rPr>
        <sz val="11"/>
        <rFont val="Calibri"/>
        <family val="2"/>
      </rPr>
      <t>*Minh</t>
    </r>
    <r>
      <rPr>
        <vertAlign val="subscript"/>
        <sz val="11"/>
        <rFont val="Calibri"/>
        <family val="2"/>
      </rPr>
      <t>SNOx,KNOx,AOB</t>
    </r>
    <r>
      <rPr>
        <sz val="11"/>
        <rFont val="Calibri"/>
        <family val="2"/>
      </rPr>
      <t>*Minh</t>
    </r>
    <r>
      <rPr>
        <vertAlign val="subscript"/>
        <sz val="11"/>
        <rFont val="Calibri"/>
        <family val="2"/>
      </rPr>
      <t>SO2,KO2,AOB</t>
    </r>
    <r>
      <rPr>
        <sz val="11"/>
        <rFont val="Calibri"/>
        <family val="2"/>
      </rPr>
      <t>+m</t>
    </r>
    <r>
      <rPr>
        <vertAlign val="subscript"/>
        <sz val="11"/>
        <rFont val="Calibri"/>
        <family val="2"/>
      </rPr>
      <t>tox,ana</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</si>
  <si>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SO2,KO2,NOB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KNOx,NOB</t>
    </r>
    <r>
      <rPr>
        <sz val="11"/>
        <rFont val="Calibri"/>
        <family val="2"/>
      </rPr>
      <t>*Minh</t>
    </r>
    <r>
      <rPr>
        <vertAlign val="subscript"/>
        <sz val="11"/>
        <rFont val="Calibri"/>
        <family val="2"/>
      </rPr>
      <t>SO2,KO2,NOB</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</si>
  <si>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*(η</t>
    </r>
    <r>
      <rPr>
        <vertAlign val="subscript"/>
        <sz val="11"/>
        <rFont val="Calibri"/>
        <family val="2"/>
      </rPr>
      <t>b,ana</t>
    </r>
    <r>
      <rPr>
        <sz val="11"/>
        <rFont val="Calibri"/>
        <family val="2"/>
      </rPr>
      <t>*Minh</t>
    </r>
    <r>
      <rPr>
        <vertAlign val="subscript"/>
        <sz val="11"/>
        <rFont val="Calibri"/>
        <family val="2"/>
      </rPr>
      <t>SNOx,KNOx,NOB</t>
    </r>
    <r>
      <rPr>
        <sz val="11"/>
        <rFont val="Calibri"/>
        <family val="2"/>
      </rPr>
      <t>*Minh</t>
    </r>
    <r>
      <rPr>
        <vertAlign val="subscript"/>
        <sz val="11"/>
        <rFont val="Calibri"/>
        <family val="2"/>
      </rPr>
      <t>SO2,KO2,NOB</t>
    </r>
    <r>
      <rPr>
        <sz val="11"/>
        <rFont val="Calibri"/>
        <family val="2"/>
      </rPr>
      <t>+m</t>
    </r>
    <r>
      <rPr>
        <vertAlign val="subscript"/>
        <sz val="11"/>
        <rFont val="Calibri"/>
        <family val="2"/>
      </rPr>
      <t>tox,ana</t>
    </r>
    <r>
      <rPr>
        <sz val="11"/>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</si>
  <si>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SO2,KiO2,AMX</t>
    </r>
    <r>
      <rPr>
        <sz val="11"/>
        <color indexed="8"/>
        <rFont val="Calibri"/>
        <family val="2"/>
      </rPr>
      <t>+η</t>
    </r>
    <r>
      <rPr>
        <vertAlign val="subscript"/>
        <sz val="11"/>
        <color indexed="8"/>
        <rFont val="Calibri"/>
        <family val="2"/>
        <charset val="238"/>
      </rPr>
      <t>b,anox</t>
    </r>
    <r>
      <rPr>
        <sz val="11"/>
        <color indexed="8"/>
        <rFont val="Calibri"/>
        <family val="2"/>
      </rPr>
      <t>*Msat</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</si>
  <si>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*(η</t>
    </r>
    <r>
      <rPr>
        <vertAlign val="subscript"/>
        <sz val="11"/>
        <color indexed="8"/>
        <rFont val="Calibri"/>
        <family val="2"/>
        <charset val="238"/>
      </rPr>
      <t>b,ana</t>
    </r>
    <r>
      <rPr>
        <sz val="11"/>
        <color indexed="8"/>
        <rFont val="Calibri"/>
        <family val="2"/>
      </rPr>
      <t>*Minh</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</si>
  <si>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X</t>
    </r>
    <r>
      <rPr>
        <vertAlign val="subscript"/>
        <sz val="11"/>
        <rFont val="Calibri"/>
        <family val="2"/>
      </rPr>
      <t>HFO,P</t>
    </r>
    <r>
      <rPr>
        <sz val="11"/>
        <rFont val="Calibri"/>
        <family val="2"/>
      </rPr>
      <t>/X</t>
    </r>
    <r>
      <rPr>
        <vertAlign val="subscript"/>
        <sz val="11"/>
        <rFont val="Calibri"/>
        <family val="2"/>
      </rPr>
      <t>HFO</t>
    </r>
  </si>
  <si>
    <r>
      <t>-X</t>
    </r>
    <r>
      <rPr>
        <vertAlign val="subscript"/>
        <sz val="11"/>
        <rFont val="Calibri"/>
        <family val="2"/>
      </rPr>
      <t>HFO,H</t>
    </r>
    <r>
      <rPr>
        <sz val="11"/>
        <rFont val="Calibri"/>
        <family val="2"/>
      </rPr>
      <t>/X</t>
    </r>
    <r>
      <rPr>
        <vertAlign val="subscript"/>
        <sz val="11"/>
        <rFont val="Calibri"/>
        <family val="2"/>
      </rPr>
      <t>HFO</t>
    </r>
  </si>
  <si>
    <r>
      <t>-X</t>
    </r>
    <r>
      <rPr>
        <vertAlign val="subscript"/>
        <sz val="11"/>
        <rFont val="Calibri"/>
        <family val="2"/>
      </rPr>
      <t>HFO,L</t>
    </r>
    <r>
      <rPr>
        <sz val="11"/>
        <rFont val="Calibri"/>
        <family val="2"/>
      </rPr>
      <t>/X</t>
    </r>
    <r>
      <rPr>
        <vertAlign val="subscript"/>
        <sz val="11"/>
        <rFont val="Calibri"/>
        <family val="2"/>
      </rPr>
      <t>HFO</t>
    </r>
  </si>
  <si>
    <r>
      <t>-X</t>
    </r>
    <r>
      <rPr>
        <vertAlign val="subscript"/>
        <sz val="11"/>
        <rFont val="Calibri"/>
        <family val="2"/>
      </rPr>
      <t>HFO,old</t>
    </r>
    <r>
      <rPr>
        <sz val="11"/>
        <rFont val="Calibri"/>
        <family val="2"/>
      </rPr>
      <t>/X</t>
    </r>
    <r>
      <rPr>
        <vertAlign val="subscript"/>
        <sz val="11"/>
        <rFont val="Calibri"/>
        <family val="2"/>
      </rPr>
      <t>HFO</t>
    </r>
  </si>
  <si>
    <r>
      <t>-X</t>
    </r>
    <r>
      <rPr>
        <vertAlign val="subscript"/>
        <sz val="11"/>
        <rFont val="Calibri"/>
        <family val="2"/>
      </rPr>
      <t>HFO,H,P</t>
    </r>
    <r>
      <rPr>
        <sz val="11"/>
        <rFont val="Calibri"/>
        <family val="2"/>
      </rPr>
      <t>/X</t>
    </r>
    <r>
      <rPr>
        <vertAlign val="subscript"/>
        <sz val="11"/>
        <rFont val="Calibri"/>
        <family val="2"/>
      </rPr>
      <t>HFO</t>
    </r>
  </si>
  <si>
    <r>
      <t>-X</t>
    </r>
    <r>
      <rPr>
        <vertAlign val="subscript"/>
        <sz val="11"/>
        <rFont val="Calibri"/>
        <family val="2"/>
      </rPr>
      <t>HFO,L,P</t>
    </r>
    <r>
      <rPr>
        <sz val="11"/>
        <rFont val="Calibri"/>
        <family val="2"/>
      </rPr>
      <t>/X</t>
    </r>
    <r>
      <rPr>
        <vertAlign val="subscript"/>
        <sz val="11"/>
        <rFont val="Calibri"/>
        <family val="2"/>
      </rPr>
      <t>HFO</t>
    </r>
  </si>
  <si>
    <r>
      <t>-X</t>
    </r>
    <r>
      <rPr>
        <vertAlign val="subscript"/>
        <sz val="11"/>
        <rFont val="Calibri"/>
        <family val="2"/>
      </rPr>
      <t>HFO,H,P,old</t>
    </r>
    <r>
      <rPr>
        <sz val="11"/>
        <rFont val="Calibri"/>
        <family val="2"/>
      </rPr>
      <t>/X</t>
    </r>
    <r>
      <rPr>
        <vertAlign val="subscript"/>
        <sz val="11"/>
        <rFont val="Calibri"/>
        <family val="2"/>
      </rPr>
      <t>HFO</t>
    </r>
  </si>
  <si>
    <r>
      <t>-X</t>
    </r>
    <r>
      <rPr>
        <vertAlign val="subscript"/>
        <sz val="11"/>
        <rFont val="Calibri"/>
        <family val="2"/>
      </rPr>
      <t>HFO,L,P,old</t>
    </r>
    <r>
      <rPr>
        <sz val="11"/>
        <rFont val="Calibri"/>
        <family val="2"/>
      </rPr>
      <t>/X</t>
    </r>
    <r>
      <rPr>
        <vertAlign val="subscript"/>
        <sz val="11"/>
        <rFont val="Calibri"/>
        <family val="2"/>
      </rPr>
      <t>HFO</t>
    </r>
  </si>
  <si>
    <r>
      <t>q</t>
    </r>
    <r>
      <rPr>
        <vertAlign val="subscript"/>
        <sz val="11"/>
        <rFont val="Calibri"/>
        <family val="2"/>
      </rPr>
      <t>HFO,RED,T</t>
    </r>
    <r>
      <rPr>
        <sz val="11"/>
        <rFont val="Calibri"/>
        <family val="2"/>
      </rPr>
      <t xml:space="preserve"> * X</t>
    </r>
    <r>
      <rPr>
        <vertAlign val="subscript"/>
        <sz val="11"/>
        <rFont val="Calibri"/>
        <family val="2"/>
      </rPr>
      <t>HFO</t>
    </r>
    <r>
      <rPr>
        <sz val="11"/>
        <rFont val="Calibri"/>
        <family val="2"/>
      </rPr>
      <t>*Loginh</t>
    </r>
    <r>
      <rPr>
        <vertAlign val="subscript"/>
        <sz val="11"/>
        <rFont val="Calibri"/>
        <family val="2"/>
      </rPr>
      <t>ORP,HFO</t>
    </r>
    <r>
      <rPr>
        <sz val="11"/>
        <rFont val="Calibri"/>
        <family val="2"/>
      </rPr>
      <t>*(Msat</t>
    </r>
    <r>
      <rPr>
        <vertAlign val="subscript"/>
        <sz val="11"/>
        <rFont val="Calibri"/>
        <family val="2"/>
      </rPr>
      <t>SB,KSB</t>
    </r>
    <r>
      <rPr>
        <sz val="11"/>
        <rFont val="Calibri"/>
        <family val="2"/>
      </rPr>
      <t>+Msat</t>
    </r>
    <r>
      <rPr>
        <vertAlign val="subscript"/>
        <sz val="11"/>
        <rFont val="Calibri"/>
        <family val="2"/>
      </rPr>
      <t>SVFA,KVFA</t>
    </r>
    <r>
      <rPr>
        <sz val="11"/>
        <rFont val="Calibri"/>
        <family val="2"/>
      </rPr>
      <t>)</t>
    </r>
  </si>
  <si>
    <r>
      <t>Minh</t>
    </r>
    <r>
      <rPr>
        <vertAlign val="subscript"/>
        <sz val="11"/>
        <rFont val="Calibri"/>
        <family val="2"/>
      </rPr>
      <t>SNOx,KNOx,AOB</t>
    </r>
  </si>
  <si>
    <r>
      <t>Minh(S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</si>
  <si>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Msat</t>
    </r>
    <r>
      <rPr>
        <vertAlign val="subscript"/>
        <sz val="11"/>
        <rFont val="Calibri"/>
        <family val="2"/>
      </rPr>
      <t>SNOx,KNOx,AOB</t>
    </r>
  </si>
  <si>
    <r>
      <t>Msat(S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</si>
  <si>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Minh</t>
    </r>
    <r>
      <rPr>
        <vertAlign val="subscript"/>
        <sz val="11"/>
        <rFont val="Calibri"/>
        <family val="2"/>
      </rPr>
      <t>SNOx,KNOx,NOB</t>
    </r>
  </si>
  <si>
    <r>
      <t>Minh(S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</si>
  <si>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Msat</t>
    </r>
    <r>
      <rPr>
        <vertAlign val="subscript"/>
        <sz val="11"/>
        <rFont val="Calibri"/>
        <family val="2"/>
      </rPr>
      <t>SNOx,KNOx,NOB</t>
    </r>
  </si>
  <si>
    <r>
      <t>Msat(S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</si>
  <si>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Minh</t>
    </r>
    <r>
      <rPr>
        <vertAlign val="subscript"/>
        <sz val="11"/>
        <rFont val="Calibri"/>
        <family val="2"/>
      </rPr>
      <t>SNOx,KNOx,AMX</t>
    </r>
  </si>
  <si>
    <r>
      <t>Minh(S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</si>
  <si>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Msat</t>
    </r>
    <r>
      <rPr>
        <vertAlign val="subscript"/>
        <sz val="11"/>
        <rFont val="Calibri"/>
        <family val="2"/>
      </rPr>
      <t>SNOx,KNOx,AMX</t>
    </r>
  </si>
  <si>
    <r>
      <t>Msat(S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</si>
  <si>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NOx,AMETO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</si>
  <si>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NOx,AMETO</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</si>
  <si>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NOx,HMETO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</si>
  <si>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NOx,HMETO</t>
    </r>
    <r>
      <rPr>
        <sz val="11"/>
        <rFont val="Calibri"/>
        <family val="2"/>
      </rPr>
      <t>)</t>
    </r>
  </si>
  <si>
    <t>r95</t>
  </si>
  <si>
    <t>r96</t>
  </si>
  <si>
    <r>
      <t>q</t>
    </r>
    <r>
      <rPr>
        <vertAlign val="subscript"/>
        <sz val="11"/>
        <color indexed="8"/>
        <rFont val="Calibri"/>
        <family val="2"/>
        <scheme val="minor"/>
      </rPr>
      <t>PAO,PP,T</t>
    </r>
  </si>
  <si>
    <t>Rate of polyphosphate storage for PAOs (temperature corrected)</t>
  </si>
  <si>
    <r>
      <t>q</t>
    </r>
    <r>
      <rPr>
        <vertAlign val="subscript"/>
        <sz val="11"/>
        <color indexed="8"/>
        <rFont val="Calibri"/>
        <family val="2"/>
        <scheme val="minor"/>
      </rPr>
      <t>PAO,PP</t>
    </r>
    <r>
      <rPr>
        <sz val="11"/>
        <color indexed="8"/>
        <rFont val="Calibri"/>
        <family val="2"/>
        <scheme val="minor"/>
      </rPr>
      <t>*Arrh(θ</t>
    </r>
    <r>
      <rPr>
        <vertAlign val="subscript"/>
        <sz val="11"/>
        <color indexed="8"/>
        <rFont val="Calibri"/>
        <family val="2"/>
        <scheme val="minor"/>
      </rPr>
      <t>q,PAO,PP</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</si>
  <si>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Loginh</t>
    </r>
    <r>
      <rPr>
        <vertAlign val="subscript"/>
        <sz val="11"/>
        <rFont val="Calibri"/>
        <family val="2"/>
        <scheme val="minor"/>
      </rPr>
      <t>SPO4,KiP,HAO,DISS</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</si>
  <si>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HAO</t>
    </r>
  </si>
  <si>
    <r>
      <t>Minh</t>
    </r>
    <r>
      <rPr>
        <vertAlign val="subscript"/>
        <sz val="11"/>
        <rFont val="Calibri"/>
        <family val="2"/>
        <scheme val="minor"/>
      </rPr>
      <t>SPO4,KiP,HAO,DESORP</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</si>
  <si>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HAO</t>
    </r>
  </si>
  <si>
    <r>
      <t>Minh(S</t>
    </r>
    <r>
      <rPr>
        <vertAlign val="subscript"/>
        <sz val="11"/>
        <rFont val="Calibri"/>
        <family val="2"/>
        <scheme val="minor"/>
      </rPr>
      <t>PO4</t>
    </r>
    <r>
      <rPr>
        <sz val="11"/>
        <rFont val="Calibri"/>
        <family val="2"/>
        <scheme val="minor"/>
      </rPr>
      <t>;Ki</t>
    </r>
    <r>
      <rPr>
        <vertAlign val="subscript"/>
        <sz val="11"/>
        <rFont val="Calibri"/>
        <family val="2"/>
        <scheme val="minor"/>
      </rPr>
      <t>P,HAO,DESORP</t>
    </r>
    <r>
      <rPr>
        <sz val="11"/>
        <rFont val="Calibri"/>
        <family val="2"/>
        <scheme val="minor"/>
      </rPr>
      <t>)</t>
    </r>
  </si>
  <si>
    <r>
      <t>Msat</t>
    </r>
    <r>
      <rPr>
        <vertAlign val="subscript"/>
        <sz val="11"/>
        <rFont val="Calibri"/>
        <family val="2"/>
        <scheme val="minor"/>
      </rPr>
      <t>SPO4,KP,HAO,BIND</t>
    </r>
  </si>
  <si>
    <r>
      <t>Saturation term for PO</t>
    </r>
    <r>
      <rPr>
        <vertAlign val="subscript"/>
        <sz val="11"/>
        <color rgb="FF000000"/>
        <rFont val="Calibri"/>
        <family val="2"/>
        <scheme val="minor"/>
      </rPr>
      <t>4</t>
    </r>
    <r>
      <rPr>
        <sz val="11"/>
        <color rgb="FF000000"/>
        <rFont val="Calibri"/>
        <family val="2"/>
        <charset val="238"/>
        <scheme val="minor"/>
      </rPr>
      <t xml:space="preserve"> binding on HAO</t>
    </r>
  </si>
  <si>
    <r>
      <t>Msat(S</t>
    </r>
    <r>
      <rPr>
        <vertAlign val="subscript"/>
        <sz val="11"/>
        <rFont val="Calibri"/>
        <family val="2"/>
        <scheme val="minor"/>
      </rPr>
      <t>PO4</t>
    </r>
    <r>
      <rPr>
        <sz val="11"/>
        <rFont val="Calibri"/>
        <family val="2"/>
        <scheme val="minor"/>
      </rPr>
      <t>;K</t>
    </r>
    <r>
      <rPr>
        <vertAlign val="subscript"/>
        <sz val="11"/>
        <rFont val="Calibri"/>
        <family val="2"/>
        <scheme val="minor"/>
      </rPr>
      <t>P,HAO,BIND</t>
    </r>
    <r>
      <rPr>
        <sz val="11"/>
        <rFont val="Calibri"/>
        <family val="2"/>
        <scheme val="minor"/>
      </rPr>
      <t>)</t>
    </r>
  </si>
  <si>
    <r>
      <t>ASF</t>
    </r>
    <r>
      <rPr>
        <vertAlign val="subscript"/>
        <sz val="11"/>
        <rFont val="Calibri"/>
        <family val="2"/>
        <scheme val="minor"/>
      </rPr>
      <t>HFO,H</t>
    </r>
  </si>
  <si>
    <r>
      <t>ASF</t>
    </r>
    <r>
      <rPr>
        <vertAlign val="subscript"/>
        <sz val="11"/>
        <rFont val="Calibri"/>
        <family val="2"/>
        <scheme val="minor"/>
      </rPr>
      <t>HFO,L</t>
    </r>
  </si>
  <si>
    <r>
      <t>q</t>
    </r>
    <r>
      <rPr>
        <vertAlign val="subscript"/>
        <sz val="11"/>
        <rFont val="Calibri"/>
        <family val="2"/>
        <scheme val="minor"/>
      </rPr>
      <t>P,HFO,COPREC</t>
    </r>
  </si>
  <si>
    <r>
      <t>q</t>
    </r>
    <r>
      <rPr>
        <vertAlign val="subscript"/>
        <sz val="11"/>
        <rFont val="Calibri"/>
        <family val="2"/>
        <scheme val="minor"/>
      </rPr>
      <t>P,HFO,BIND</t>
    </r>
  </si>
  <si>
    <r>
      <t>Ki</t>
    </r>
    <r>
      <rPr>
        <vertAlign val="subscript"/>
        <sz val="11"/>
        <rFont val="Calibri"/>
        <family val="2"/>
        <scheme val="minor"/>
      </rPr>
      <t>P,HFO,DISS</t>
    </r>
  </si>
  <si>
    <r>
      <t>Ki</t>
    </r>
    <r>
      <rPr>
        <vertAlign val="subscript"/>
        <sz val="11"/>
        <rFont val="Calibri"/>
        <family val="2"/>
        <scheme val="minor"/>
      </rPr>
      <t>P,HFO,DESORP</t>
    </r>
  </si>
  <si>
    <r>
      <t>K</t>
    </r>
    <r>
      <rPr>
        <vertAlign val="subscript"/>
        <sz val="11"/>
        <rFont val="Calibri"/>
        <family val="2"/>
        <scheme val="minor"/>
      </rPr>
      <t>P,HFO,BIND</t>
    </r>
  </si>
  <si>
    <r>
      <t>Loginh</t>
    </r>
    <r>
      <rPr>
        <vertAlign val="subscript"/>
        <sz val="11"/>
        <rFont val="Calibri"/>
        <family val="2"/>
        <scheme val="minor"/>
      </rPr>
      <t>SPO4,KiP,HFO,DISS</t>
    </r>
  </si>
  <si>
    <r>
      <t>Minh</t>
    </r>
    <r>
      <rPr>
        <vertAlign val="subscript"/>
        <sz val="11"/>
        <rFont val="Calibri"/>
        <family val="2"/>
        <scheme val="minor"/>
      </rPr>
      <t>SPO4,KiP,HFO,DESORP</t>
    </r>
  </si>
  <si>
    <r>
      <t>Minh(S</t>
    </r>
    <r>
      <rPr>
        <vertAlign val="subscript"/>
        <sz val="11"/>
        <rFont val="Calibri"/>
        <family val="2"/>
        <scheme val="minor"/>
      </rPr>
      <t>PO4</t>
    </r>
    <r>
      <rPr>
        <sz val="11"/>
        <rFont val="Calibri"/>
        <family val="2"/>
        <scheme val="minor"/>
      </rPr>
      <t>;Ki</t>
    </r>
    <r>
      <rPr>
        <vertAlign val="subscript"/>
        <sz val="11"/>
        <rFont val="Calibri"/>
        <family val="2"/>
        <scheme val="minor"/>
      </rPr>
      <t>P,HFO,DESORP</t>
    </r>
    <r>
      <rPr>
        <sz val="11"/>
        <rFont val="Calibri"/>
        <family val="2"/>
        <scheme val="minor"/>
      </rPr>
      <t>)</t>
    </r>
  </si>
  <si>
    <r>
      <t>Msat</t>
    </r>
    <r>
      <rPr>
        <vertAlign val="subscript"/>
        <sz val="11"/>
        <rFont val="Calibri"/>
        <family val="2"/>
        <scheme val="minor"/>
      </rPr>
      <t>SPO4,KP,HFO,BIND</t>
    </r>
  </si>
  <si>
    <r>
      <t>Msat(S</t>
    </r>
    <r>
      <rPr>
        <vertAlign val="subscript"/>
        <sz val="11"/>
        <rFont val="Calibri"/>
        <family val="2"/>
        <scheme val="minor"/>
      </rPr>
      <t>PO4</t>
    </r>
    <r>
      <rPr>
        <sz val="11"/>
        <rFont val="Calibri"/>
        <family val="2"/>
        <scheme val="minor"/>
      </rPr>
      <t>;K</t>
    </r>
    <r>
      <rPr>
        <vertAlign val="subscript"/>
        <sz val="11"/>
        <rFont val="Calibri"/>
        <family val="2"/>
        <scheme val="minor"/>
      </rPr>
      <t>P,HFO,BIND</t>
    </r>
    <r>
      <rPr>
        <sz val="11"/>
        <rFont val="Calibri"/>
        <family val="2"/>
        <scheme val="minor"/>
      </rPr>
      <t>)</t>
    </r>
  </si>
  <si>
    <r>
      <t>q</t>
    </r>
    <r>
      <rPr>
        <vertAlign val="subscript"/>
        <sz val="11"/>
        <rFont val="Calibri"/>
        <family val="2"/>
      </rPr>
      <t>HFOH,AGING</t>
    </r>
    <r>
      <rPr>
        <sz val="11"/>
        <rFont val="Calibri"/>
        <family val="2"/>
      </rPr>
      <t xml:space="preserve"> *(X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</si>
  <si>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q</t>
    </r>
    <r>
      <rPr>
        <vertAlign val="subscript"/>
        <sz val="11"/>
        <rFont val="Calibri"/>
        <family val="2"/>
      </rPr>
      <t>HFOL,AGING</t>
    </r>
    <r>
      <rPr>
        <sz val="11"/>
        <rFont val="Calibri"/>
        <family val="2"/>
      </rPr>
      <t xml:space="preserve"> *(X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</si>
  <si>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q</t>
    </r>
    <r>
      <rPr>
        <vertAlign val="subscript"/>
        <sz val="11"/>
        <rFont val="Calibri"/>
        <family val="2"/>
      </rPr>
      <t>P,HFO,COPREC</t>
    </r>
    <r>
      <rPr>
        <sz val="11"/>
        <rFont val="Calibri"/>
        <family val="2"/>
      </rPr>
      <t>*X</t>
    </r>
    <r>
      <rPr>
        <vertAlign val="subscript"/>
        <sz val="11"/>
        <rFont val="Calibri"/>
        <family val="2"/>
      </rPr>
      <t>HFO,H</t>
    </r>
    <r>
      <rPr>
        <sz val="11"/>
        <rFont val="Calibri"/>
        <family val="2"/>
      </rPr>
      <t>*Msat</t>
    </r>
    <r>
      <rPr>
        <vertAlign val="subscript"/>
        <sz val="11"/>
        <rFont val="Calibri"/>
        <family val="2"/>
      </rPr>
      <t>SPO4,KP,HFO,BIND</t>
    </r>
  </si>
  <si>
    <r>
      <t>q</t>
    </r>
    <r>
      <rPr>
        <vertAlign val="subscript"/>
        <sz val="11"/>
        <rFont val="Calibri"/>
        <family val="2"/>
      </rPr>
      <t>P,HFO,BIND</t>
    </r>
    <r>
      <rPr>
        <sz val="11"/>
        <rFont val="Calibri"/>
        <family val="2"/>
      </rPr>
      <t>*X</t>
    </r>
    <r>
      <rPr>
        <vertAlign val="subscript"/>
        <sz val="11"/>
        <rFont val="Calibri"/>
        <family val="2"/>
      </rPr>
      <t>HFO,L</t>
    </r>
    <r>
      <rPr>
        <sz val="11"/>
        <rFont val="Calibri"/>
        <family val="2"/>
      </rPr>
      <t>*Msat</t>
    </r>
    <r>
      <rPr>
        <vertAlign val="subscript"/>
        <sz val="11"/>
        <rFont val="Calibri"/>
        <family val="2"/>
      </rPr>
      <t>SPO4,KP,HFO,BIND</t>
    </r>
  </si>
  <si>
    <r>
      <t>q</t>
    </r>
    <r>
      <rPr>
        <vertAlign val="subscript"/>
        <sz val="11"/>
        <rFont val="Calibri"/>
        <family val="2"/>
      </rPr>
      <t>HFOH,DESORP</t>
    </r>
    <r>
      <rPr>
        <sz val="11"/>
        <rFont val="Calibri"/>
        <family val="2"/>
      </rPr>
      <t>*X</t>
    </r>
    <r>
      <rPr>
        <vertAlign val="subscript"/>
        <sz val="11"/>
        <rFont val="Calibri"/>
        <family val="2"/>
      </rPr>
      <t>HFO,H,P</t>
    </r>
    <r>
      <rPr>
        <sz val="11"/>
        <rFont val="Calibri"/>
        <family val="2"/>
      </rPr>
      <t>*Minh</t>
    </r>
    <r>
      <rPr>
        <vertAlign val="subscript"/>
        <sz val="11"/>
        <rFont val="Calibri"/>
        <family val="2"/>
      </rPr>
      <t>SPO4,KiP,HFO,DESORP</t>
    </r>
  </si>
  <si>
    <r>
      <t>q</t>
    </r>
    <r>
      <rPr>
        <vertAlign val="subscript"/>
        <sz val="11"/>
        <rFont val="Calibri"/>
        <family val="2"/>
      </rPr>
      <t>HFOL,DESORP</t>
    </r>
    <r>
      <rPr>
        <sz val="11"/>
        <rFont val="Calibri"/>
        <family val="2"/>
      </rPr>
      <t>*X</t>
    </r>
    <r>
      <rPr>
        <vertAlign val="subscript"/>
        <sz val="11"/>
        <rFont val="Calibri"/>
        <family val="2"/>
      </rPr>
      <t>HFO,L,P</t>
    </r>
    <r>
      <rPr>
        <sz val="11"/>
        <rFont val="Calibri"/>
        <family val="2"/>
      </rPr>
      <t>*Minh</t>
    </r>
    <r>
      <rPr>
        <vertAlign val="subscript"/>
        <sz val="11"/>
        <rFont val="Calibri"/>
        <family val="2"/>
      </rPr>
      <t>SPO4,KiP,HFO,DESORP</t>
    </r>
  </si>
  <si>
    <r>
      <t>q</t>
    </r>
    <r>
      <rPr>
        <vertAlign val="subscript"/>
        <sz val="11"/>
        <rFont val="Calibri"/>
        <family val="2"/>
      </rPr>
      <t>HFO,DISS</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)*Loginh</t>
    </r>
    <r>
      <rPr>
        <vertAlign val="subscript"/>
        <sz val="11"/>
        <rFont val="Calibri"/>
        <family val="2"/>
      </rPr>
      <t>SPO4,KiP,HFO,DISS</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</si>
  <si>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</si>
  <si>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</si>
  <si>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</si>
  <si>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</si>
  <si>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</si>
  <si>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</si>
  <si>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MM</t>
    </r>
    <r>
      <rPr>
        <vertAlign val="subscript"/>
        <sz val="11"/>
        <rFont val="Calibri"/>
        <family val="2"/>
        <scheme val="minor"/>
      </rPr>
      <t>BSH</t>
    </r>
  </si>
  <si>
    <t>Molecular mass of Brushite</t>
  </si>
  <si>
    <r>
      <t>K</t>
    </r>
    <r>
      <rPr>
        <vertAlign val="subscript"/>
        <sz val="11"/>
        <rFont val="Calibri"/>
        <family val="2"/>
        <scheme val="minor"/>
      </rPr>
      <t>sp,BSH,param</t>
    </r>
  </si>
  <si>
    <t>Solubility constant of Brushite</t>
  </si>
  <si>
    <t xml:space="preserve">Musvoto et al. (2000) =10^(-6.6) </t>
  </si>
  <si>
    <r>
      <t>PrecipDrivingForce</t>
    </r>
    <r>
      <rPr>
        <vertAlign val="subscript"/>
        <sz val="11"/>
        <color theme="1"/>
        <rFont val="Calibri"/>
        <family val="2"/>
        <scheme val="minor"/>
      </rPr>
      <t>BSH</t>
    </r>
  </si>
  <si>
    <t>Rate expression of brushite precipitation (driving force)</t>
  </si>
  <si>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*[HPO</t>
    </r>
    <r>
      <rPr>
        <vertAlign val="subscript"/>
        <sz val="11"/>
        <color theme="1"/>
        <rFont val="Calibri"/>
        <family val="2"/>
        <scheme val="minor"/>
      </rPr>
      <t>4</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</si>
  <si>
    <r>
      <t>K</t>
    </r>
    <r>
      <rPr>
        <vertAlign val="subscript"/>
        <sz val="11"/>
        <color indexed="8"/>
        <rFont val="Calibri"/>
        <family val="2"/>
        <scheme val="minor"/>
      </rPr>
      <t>BSH,DISS</t>
    </r>
  </si>
  <si>
    <t>Half-saturation of brushite redissolution</t>
  </si>
  <si>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</si>
  <si>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</si>
  <si>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</si>
  <si>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</si>
  <si>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</si>
  <si>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t>Cooments</t>
  </si>
  <si>
    <t>If(x&lt;0;-Log10(-x+1);Log10(x+1))</t>
  </si>
  <si>
    <r>
      <t>Henry</t>
    </r>
    <r>
      <rPr>
        <vertAlign val="subscript"/>
        <sz val="11"/>
        <color theme="1"/>
        <rFont val="Calibri"/>
        <family val="2"/>
        <scheme val="minor"/>
      </rPr>
      <t>GNH3</t>
    </r>
    <r>
      <rPr>
        <sz val="11"/>
        <color indexed="8"/>
        <rFont val="Calibri"/>
        <family val="2"/>
      </rPr>
      <t>(T)</t>
    </r>
  </si>
  <si>
    <r>
      <t>Temperature dependent Henry coefficient for NH</t>
    </r>
    <r>
      <rPr>
        <vertAlign val="subscript"/>
        <sz val="11"/>
        <color theme="1"/>
        <rFont val="Calibri"/>
        <family val="2"/>
        <scheme val="minor"/>
      </rPr>
      <t>3</t>
    </r>
  </si>
  <si>
    <r>
      <t>Henry</t>
    </r>
    <r>
      <rPr>
        <vertAlign val="subscript"/>
        <sz val="11"/>
        <color theme="1"/>
        <rFont val="Calibri"/>
        <family val="2"/>
        <scheme val="minor"/>
      </rPr>
      <t>GNH3_25</t>
    </r>
    <r>
      <rPr>
        <sz val="11"/>
        <color indexed="8"/>
        <rFont val="Calibri"/>
        <family val="2"/>
      </rPr>
      <t>*Exp(Henry</t>
    </r>
    <r>
      <rPr>
        <vertAlign val="subscript"/>
        <sz val="11"/>
        <color theme="1"/>
        <rFont val="Calibri"/>
        <family val="2"/>
        <scheme val="minor"/>
      </rPr>
      <t>GNH3_dt</t>
    </r>
    <r>
      <rPr>
        <sz val="11"/>
        <color indexed="8"/>
        <rFont val="Calibri"/>
        <family val="2"/>
      </rPr>
      <t>*((1/T)-(1/298.15)))</t>
    </r>
  </si>
  <si>
    <r>
      <t>Henry</t>
    </r>
    <r>
      <rPr>
        <vertAlign val="subscript"/>
        <sz val="11"/>
        <color theme="1"/>
        <rFont val="Calibri"/>
        <family val="2"/>
        <scheme val="minor"/>
      </rPr>
      <t>GH2S</t>
    </r>
    <r>
      <rPr>
        <sz val="11"/>
        <color indexed="8"/>
        <rFont val="Calibri"/>
        <family val="2"/>
      </rPr>
      <t>(T)</t>
    </r>
  </si>
  <si>
    <r>
      <t>Temperature dependent Henry coefficient for H</t>
    </r>
    <r>
      <rPr>
        <vertAlign val="subscript"/>
        <sz val="11"/>
        <rFont val="Calibri"/>
        <family val="2"/>
        <scheme val="minor"/>
      </rPr>
      <t>2</t>
    </r>
    <r>
      <rPr>
        <sz val="11"/>
        <rFont val="Calibri"/>
        <family val="2"/>
        <scheme val="minor"/>
      </rPr>
      <t>S</t>
    </r>
  </si>
  <si>
    <r>
      <t>Henry</t>
    </r>
    <r>
      <rPr>
        <vertAlign val="subscript"/>
        <sz val="11"/>
        <color theme="1"/>
        <rFont val="Calibri"/>
        <family val="2"/>
        <scheme val="minor"/>
      </rPr>
      <t>GH2S_25</t>
    </r>
    <r>
      <rPr>
        <sz val="11"/>
        <color indexed="8"/>
        <rFont val="Calibri"/>
        <family val="2"/>
      </rPr>
      <t>*Exp(Henry</t>
    </r>
    <r>
      <rPr>
        <vertAlign val="subscript"/>
        <sz val="11"/>
        <color theme="1"/>
        <rFont val="Calibri"/>
        <family val="2"/>
        <scheme val="minor"/>
      </rPr>
      <t>GH2S_dt</t>
    </r>
    <r>
      <rPr>
        <sz val="11"/>
        <color indexed="8"/>
        <rFont val="Calibri"/>
        <family val="2"/>
      </rPr>
      <t>*((1/T)-(1/298.15)))</t>
    </r>
  </si>
  <si>
    <t>if (x &lt; Sumo__DampingLimit &amp;&amp; dx &lt; 0.0 &amp;&amp; fabs(dx/x) &gt; Sumo__DerivToStateRatioLimit)
{
     Real x_d = 1/((1+exp(-Sumo__DampingStrength/(Sumo__DampingLimit)*
                      (x - Sumo__DampingLimit/2.0))));
    return x_d*dx;
}
else return dx;</t>
  </si>
  <si>
    <t>MinElemIndex([] x)</t>
  </si>
  <si>
    <t>Index of element with minimum value in 'x'</t>
    <phoneticPr fontId="0"/>
  </si>
  <si>
    <t>return std::distance(x.data, std::min_element(x.data, x.data+x.size))+1;</t>
    <phoneticPr fontId="0"/>
  </si>
  <si>
    <t>Real sum = 0.0;
for( int i = 0; i &lt; y.size; ++i )
{
  if( y(i) == z ) sum += x(i);
}
return sum;</t>
  </si>
  <si>
    <t>STRING If(BOOL a; STRING b; STRING c)</t>
  </si>
  <si>
    <t>STRING</t>
  </si>
  <si>
    <t>Real sum = 0.0;
for( int i = 0; i &lt; x.size; ++i )
{
  sum += x(i);
}
return sum/x.size;</t>
  </si>
  <si>
    <t>Average([] x; INT start; INT end)</t>
  </si>
  <si>
    <t>Average of array elements between indices 'start' and 'end'</t>
  </si>
  <si>
    <t>Real sum = 0.0;
if (end &gt; x.size)
{
    return -9999.9;
}
if (start &gt; end)
{
    return -9999.9;
}
if (start == end &amp;&amp; start &lt; x.size)
{
    return x(start);
}
for(int i = start; i &lt; end; ++i)
{
  sum += x(i);
}
return sum/(end - start);</t>
  </si>
  <si>
    <t>Real m = x(0);
for( int i = 1; i &lt; x.size; ++i )
{
    m = max( m, x(i) );
}
return m;</t>
  </si>
  <si>
    <t>Real m = x(0);
for( int i = 1; i &lt; x.size; ++i )
{
    m = min( m, x(i) );
}
return m;</t>
  </si>
  <si>
    <t>Real sum = 0.0;
for( int i = 0; i &lt;= x.size; ++i )
{
  sum += x(i);
}
return sum;</t>
  </si>
  <si>
    <t>MoveAndPrepend([] x; y)</t>
  </si>
  <si>
    <t>Move the array content 'to the right' and insert a new value to array beginning</t>
  </si>
  <si>
    <t>for( int i = x.size-1; i &gt;= 1; --i )
{
  x(i) = x(i-1);
}
static int j = 0;
x(0) = y;
return j++;</t>
  </si>
  <si>
    <t>MoveAndAppend([] x; y)</t>
  </si>
  <si>
    <t>Move the array content 'to the left' and insert a new value to array end</t>
  </si>
  <si>
    <t>for( int i = 0; i &lt;= x.size-1; ++i )
{
  x(i) = x(i+1);
}
x(x.size-1) = y;
return 0;</t>
  </si>
  <si>
    <t>Estimated to fit saturation concentrations for 0-30 °C from Metcalf &amp; Eddy Inc.: Wastewater Engineering: Treatment and Reuse</t>
  </si>
  <si>
    <r>
      <t>Temperature dependency factor for CO</t>
    </r>
    <r>
      <rPr>
        <vertAlign val="subscript"/>
        <sz val="11"/>
        <rFont val="Calibri"/>
        <family val="2"/>
        <scheme val="minor"/>
      </rPr>
      <t>2</t>
    </r>
    <r>
      <rPr>
        <sz val="11"/>
        <rFont val="Calibri"/>
        <family val="2"/>
        <scheme val="minor"/>
      </rPr>
      <t xml:space="preserve"> Henry coefficient</t>
    </r>
  </si>
  <si>
    <t>original values in Sumo:</t>
  </si>
  <si>
    <t>Sabba et al</t>
  </si>
  <si>
    <r>
      <t>p</t>
    </r>
    <r>
      <rPr>
        <vertAlign val="subscript"/>
        <sz val="11"/>
        <rFont val="Calibri"/>
        <family val="2"/>
      </rPr>
      <t>NTP</t>
    </r>
  </si>
  <si>
    <r>
      <t>Ca</t>
    </r>
    <r>
      <rPr>
        <vertAlign val="subscript"/>
        <sz val="11"/>
        <rFont val="Calibri"/>
        <family val="2"/>
        <scheme val="minor"/>
      </rPr>
      <t>3</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2</t>
    </r>
    <r>
      <rPr>
        <sz val="11"/>
        <rFont val="Calibri"/>
        <family val="2"/>
        <scheme val="minor"/>
      </rPr>
      <t>x·4 H</t>
    </r>
    <r>
      <rPr>
        <vertAlign val="subscript"/>
        <sz val="11"/>
        <rFont val="Calibri"/>
        <family val="2"/>
        <scheme val="minor"/>
      </rPr>
      <t>2</t>
    </r>
    <r>
      <rPr>
        <sz val="11"/>
        <rFont val="Calibri"/>
        <family val="2"/>
        <scheme val="minor"/>
      </rPr>
      <t>O</t>
    </r>
  </si>
  <si>
    <r>
      <t>MM</t>
    </r>
    <r>
      <rPr>
        <vertAlign val="subscript"/>
        <sz val="11"/>
        <rFont val="Calibri"/>
        <family val="2"/>
        <scheme val="minor"/>
      </rPr>
      <t>Al2SO43</t>
    </r>
  </si>
  <si>
    <t>Molecular mass of aluminium sulfate</t>
  </si>
  <si>
    <r>
      <t>MM</t>
    </r>
    <r>
      <rPr>
        <vertAlign val="subscript"/>
        <sz val="11"/>
        <rFont val="Calibri"/>
        <family val="2"/>
        <scheme val="minor"/>
      </rPr>
      <t>AlCl3</t>
    </r>
  </si>
  <si>
    <t>Molecular mass of aluminium chloride</t>
  </si>
  <si>
    <r>
      <t>MM</t>
    </r>
    <r>
      <rPr>
        <vertAlign val="subscript"/>
        <sz val="11"/>
        <rFont val="Calibri"/>
        <family val="2"/>
        <scheme val="minor"/>
      </rPr>
      <t>CaCl</t>
    </r>
    <r>
      <rPr>
        <vertAlign val="subscript"/>
        <sz val="11"/>
        <rFont val="Calibri"/>
        <family val="2"/>
      </rPr>
      <t>2</t>
    </r>
  </si>
  <si>
    <t>Molecular mass of CaCl2</t>
  </si>
  <si>
    <r>
      <t>MM</t>
    </r>
    <r>
      <rPr>
        <vertAlign val="subscript"/>
        <sz val="11"/>
        <rFont val="Calibri"/>
        <family val="2"/>
        <scheme val="minor"/>
      </rPr>
      <t>CaOH</t>
    </r>
    <r>
      <rPr>
        <vertAlign val="subscript"/>
        <sz val="11"/>
        <rFont val="Calibri"/>
        <family val="2"/>
      </rPr>
      <t>2</t>
    </r>
  </si>
  <si>
    <t>Molecular mass of CaOH2</t>
  </si>
  <si>
    <r>
      <t>MM</t>
    </r>
    <r>
      <rPr>
        <vertAlign val="subscript"/>
        <sz val="11"/>
        <rFont val="Calibri"/>
        <family val="2"/>
        <scheme val="minor"/>
      </rPr>
      <t>Fe2SO43</t>
    </r>
  </si>
  <si>
    <t>Molecular mass of iron sulfate</t>
  </si>
  <si>
    <r>
      <t>MM</t>
    </r>
    <r>
      <rPr>
        <vertAlign val="subscript"/>
        <sz val="11"/>
        <rFont val="Calibri"/>
        <family val="2"/>
        <scheme val="minor"/>
      </rPr>
      <t>H3PO4</t>
    </r>
  </si>
  <si>
    <t>Molecular mass of phosphoric acid</t>
  </si>
  <si>
    <r>
      <t>Ca</t>
    </r>
    <r>
      <rPr>
        <vertAlign val="subscript"/>
        <sz val="11"/>
        <rFont val="Calibri"/>
        <family val="2"/>
        <scheme val="minor"/>
      </rPr>
      <t>5</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3</t>
    </r>
    <r>
      <rPr>
        <sz val="11"/>
        <rFont val="Calibri"/>
        <family val="2"/>
        <scheme val="minor"/>
      </rPr>
      <t>(OH)</t>
    </r>
  </si>
  <si>
    <r>
      <t>Ca</t>
    </r>
    <r>
      <rPr>
        <vertAlign val="subscript"/>
        <sz val="11"/>
        <rFont val="Calibri"/>
        <family val="2"/>
        <scheme val="minor"/>
      </rPr>
      <t>2</t>
    </r>
    <r>
      <rPr>
        <sz val="11"/>
        <rFont val="Calibri"/>
        <family val="2"/>
        <scheme val="minor"/>
      </rPr>
      <t>(PO</t>
    </r>
    <r>
      <rPr>
        <vertAlign val="subscript"/>
        <sz val="11"/>
        <rFont val="Calibri"/>
        <family val="2"/>
        <scheme val="minor"/>
      </rPr>
      <t>4</t>
    </r>
    <r>
      <rPr>
        <sz val="11"/>
        <rFont val="Calibri"/>
        <family val="2"/>
        <scheme val="minor"/>
      </rPr>
      <t>)(OH)</t>
    </r>
    <r>
      <rPr>
        <vertAlign val="subscript"/>
        <sz val="11"/>
        <rFont val="Calibri"/>
        <family val="2"/>
        <scheme val="minor"/>
      </rPr>
      <t>2</t>
    </r>
    <r>
      <rPr>
        <vertAlign val="superscript"/>
        <sz val="11"/>
        <rFont val="Calibri"/>
        <family val="2"/>
        <scheme val="minor"/>
      </rPr>
      <t>-</t>
    </r>
  </si>
  <si>
    <r>
      <t>MM</t>
    </r>
    <r>
      <rPr>
        <vertAlign val="subscript"/>
        <sz val="11"/>
        <rFont val="Calibri"/>
        <family val="2"/>
        <scheme val="minor"/>
      </rPr>
      <t>HNO3</t>
    </r>
  </si>
  <si>
    <t>Molecular mass of nitric acid</t>
  </si>
  <si>
    <r>
      <t>CH</t>
    </r>
    <r>
      <rPr>
        <vertAlign val="subscript"/>
        <sz val="11"/>
        <rFont val="Calibri"/>
        <family val="2"/>
        <scheme val="minor"/>
      </rPr>
      <t>4</t>
    </r>
    <r>
      <rPr>
        <sz val="11"/>
        <rFont val="Calibri"/>
        <family val="2"/>
        <scheme val="minor"/>
      </rPr>
      <t>S</t>
    </r>
  </si>
  <si>
    <r>
      <t>MM</t>
    </r>
    <r>
      <rPr>
        <vertAlign val="subscript"/>
        <sz val="11"/>
        <rFont val="Calibri"/>
        <family val="2"/>
        <scheme val="minor"/>
      </rPr>
      <t>N2O</t>
    </r>
  </si>
  <si>
    <t>Molar mass of nitrous oxide ion</t>
  </si>
  <si>
    <r>
      <t>MM</t>
    </r>
    <r>
      <rPr>
        <vertAlign val="subscript"/>
        <sz val="11"/>
        <rFont val="Calibri"/>
        <family val="2"/>
        <scheme val="minor"/>
      </rPr>
      <t>KNO2</t>
    </r>
  </si>
  <si>
    <t>Molecular mass of KNO2</t>
  </si>
  <si>
    <r>
      <t>MM</t>
    </r>
    <r>
      <rPr>
        <vertAlign val="subscript"/>
        <sz val="11"/>
        <rFont val="Calibri"/>
        <family val="2"/>
        <scheme val="minor"/>
      </rPr>
      <t>KNO3</t>
    </r>
  </si>
  <si>
    <t>Molecular mass of KNO3</t>
  </si>
  <si>
    <r>
      <t>MM</t>
    </r>
    <r>
      <rPr>
        <vertAlign val="subscript"/>
        <sz val="11"/>
        <rFont val="Calibri"/>
        <family val="2"/>
        <scheme val="minor"/>
      </rPr>
      <t>NH4HCO3</t>
    </r>
  </si>
  <si>
    <t>Molecular mass of NH4HCO3</t>
  </si>
  <si>
    <r>
      <t>MM</t>
    </r>
    <r>
      <rPr>
        <vertAlign val="subscript"/>
        <sz val="11"/>
        <rFont val="Calibri"/>
        <family val="2"/>
        <scheme val="minor"/>
      </rPr>
      <t>NO</t>
    </r>
  </si>
  <si>
    <t>Molar mass of nitric oxide ion</t>
  </si>
  <si>
    <r>
      <t>MgNH</t>
    </r>
    <r>
      <rPr>
        <vertAlign val="subscript"/>
        <sz val="11"/>
        <rFont val="Calibri"/>
        <family val="2"/>
        <scheme val="minor"/>
      </rPr>
      <t>4</t>
    </r>
    <r>
      <rPr>
        <sz val="11"/>
        <rFont val="Calibri"/>
        <family val="2"/>
        <scheme val="minor"/>
      </rPr>
      <t>PO</t>
    </r>
    <r>
      <rPr>
        <vertAlign val="subscript"/>
        <sz val="11"/>
        <rFont val="Calibri"/>
        <family val="2"/>
        <scheme val="minor"/>
      </rPr>
      <t>4</t>
    </r>
    <r>
      <rPr>
        <sz val="11"/>
        <rFont val="Calibri"/>
        <family val="2"/>
        <scheme val="minor"/>
      </rPr>
      <t>x·6 H</t>
    </r>
    <r>
      <rPr>
        <vertAlign val="subscript"/>
        <sz val="11"/>
        <rFont val="Calibri"/>
        <family val="2"/>
        <scheme val="minor"/>
      </rPr>
      <t>2</t>
    </r>
    <r>
      <rPr>
        <sz val="11"/>
        <rFont val="Calibri"/>
        <family val="2"/>
        <scheme val="minor"/>
      </rPr>
      <t>O</t>
    </r>
  </si>
  <si>
    <r>
      <t>Fe</t>
    </r>
    <r>
      <rPr>
        <vertAlign val="subscript"/>
        <sz val="11"/>
        <rFont val="Calibri"/>
        <family val="2"/>
        <scheme val="minor"/>
      </rPr>
      <t>2</t>
    </r>
    <r>
      <rPr>
        <vertAlign val="superscript"/>
        <sz val="11"/>
        <rFont val="Calibri"/>
        <family val="2"/>
        <scheme val="minor"/>
      </rPr>
      <t>+3</t>
    </r>
    <r>
      <rPr>
        <sz val="11"/>
        <rFont val="Calibri"/>
        <family val="2"/>
        <scheme val="minor"/>
      </rPr>
      <t>(PO</t>
    </r>
    <r>
      <rPr>
        <vertAlign val="subscript"/>
        <sz val="11"/>
        <rFont val="Calibri"/>
        <family val="2"/>
        <scheme val="minor"/>
      </rPr>
      <t>4</t>
    </r>
    <r>
      <rPr>
        <vertAlign val="superscript"/>
        <sz val="11"/>
        <rFont val="Calibri"/>
        <family val="2"/>
        <scheme val="minor"/>
      </rPr>
      <t>3-</t>
    </r>
    <r>
      <rPr>
        <sz val="11"/>
        <rFont val="Calibri"/>
        <family val="2"/>
        <scheme val="minor"/>
      </rPr>
      <t>)</t>
    </r>
    <r>
      <rPr>
        <vertAlign val="subscript"/>
        <sz val="11"/>
        <rFont val="Calibri"/>
        <family val="2"/>
        <scheme val="minor"/>
      </rPr>
      <t xml:space="preserve">2 </t>
    </r>
    <r>
      <rPr>
        <sz val="11"/>
        <rFont val="Calibri"/>
        <family val="2"/>
        <scheme val="minor"/>
      </rPr>
      <t>x 8 H</t>
    </r>
    <r>
      <rPr>
        <vertAlign val="subscript"/>
        <sz val="11"/>
        <rFont val="Calibri"/>
        <family val="2"/>
        <scheme val="minor"/>
      </rPr>
      <t>2</t>
    </r>
    <r>
      <rPr>
        <sz val="11"/>
        <rFont val="Calibri"/>
        <family val="2"/>
        <scheme val="minor"/>
      </rPr>
      <t>O</t>
    </r>
  </si>
  <si>
    <t>Dissociation constant of propionate</t>
  </si>
  <si>
    <r>
      <t>K</t>
    </r>
    <r>
      <rPr>
        <vertAlign val="subscript"/>
        <sz val="11"/>
        <rFont val="Calibri"/>
        <family val="2"/>
        <scheme val="minor"/>
      </rPr>
      <t>But,param</t>
    </r>
  </si>
  <si>
    <t>Dissociation constant of butyrate</t>
  </si>
  <si>
    <t>?</t>
  </si>
  <si>
    <r>
      <t>K</t>
    </r>
    <r>
      <rPr>
        <vertAlign val="subscript"/>
        <sz val="11"/>
        <rFont val="Calibri"/>
        <family val="2"/>
        <scheme val="minor"/>
      </rPr>
      <t>Val,param</t>
    </r>
  </si>
  <si>
    <t>Dissociation constant of valerate</t>
  </si>
  <si>
    <t>Musvoto et al. (2000) =10^(-25.46) (NIST 1e-29 is too high)</t>
  </si>
  <si>
    <r>
      <t>EEQ</t>
    </r>
    <r>
      <rPr>
        <vertAlign val="subscript"/>
        <sz val="11"/>
        <rFont val="Calibri"/>
        <family val="2"/>
      </rPr>
      <t>NH2OH</t>
    </r>
  </si>
  <si>
    <t>Electron equivalence of NH2OH</t>
  </si>
  <si>
    <r>
      <t>EEQ</t>
    </r>
    <r>
      <rPr>
        <vertAlign val="subscript"/>
        <sz val="11"/>
        <rFont val="Calibri"/>
        <family val="2"/>
      </rPr>
      <t>NH2OH,NO</t>
    </r>
  </si>
  <si>
    <t>Electron equivalence of NH2OH to NO</t>
  </si>
  <si>
    <r>
      <t>c</t>
    </r>
    <r>
      <rPr>
        <vertAlign val="subscript"/>
        <sz val="11"/>
        <rFont val="Calibri"/>
        <family val="2"/>
        <scheme val="minor"/>
      </rPr>
      <t>mmol,mol</t>
    </r>
  </si>
  <si>
    <t>Conversion coefficient between milimols and mol</t>
  </si>
  <si>
    <r>
      <t>mmol.mol</t>
    </r>
    <r>
      <rPr>
        <vertAlign val="superscript"/>
        <sz val="11"/>
        <rFont val="Calibri"/>
        <family val="2"/>
        <scheme val="minor"/>
      </rPr>
      <t>-1</t>
    </r>
  </si>
  <si>
    <r>
      <t>c</t>
    </r>
    <r>
      <rPr>
        <vertAlign val="subscript"/>
        <sz val="11"/>
        <rFont val="Calibri"/>
        <family val="2"/>
        <scheme val="minor"/>
      </rPr>
      <t>s,min</t>
    </r>
  </si>
  <si>
    <t>Conversion coefficient between seconds and minutes</t>
  </si>
  <si>
    <r>
      <t>s.min</t>
    </r>
    <r>
      <rPr>
        <vertAlign val="superscript"/>
        <sz val="11"/>
        <rFont val="Calibri"/>
        <family val="2"/>
        <scheme val="minor"/>
      </rPr>
      <t>-1</t>
    </r>
  </si>
  <si>
    <r>
      <t>c</t>
    </r>
    <r>
      <rPr>
        <vertAlign val="subscript"/>
        <sz val="11"/>
        <rFont val="Calibri"/>
        <family val="2"/>
        <scheme val="minor"/>
      </rPr>
      <t>min,d</t>
    </r>
  </si>
  <si>
    <t>Conversion coefficient between minutes and days</t>
  </si>
  <si>
    <r>
      <t>min.d</t>
    </r>
    <r>
      <rPr>
        <vertAlign val="superscript"/>
        <sz val="11"/>
        <rFont val="Calibri"/>
        <family val="2"/>
        <scheme val="minor"/>
      </rPr>
      <t>-1</t>
    </r>
  </si>
  <si>
    <r>
      <t>c</t>
    </r>
    <r>
      <rPr>
        <vertAlign val="subscript"/>
        <sz val="11"/>
        <rFont val="Calibri"/>
        <family val="2"/>
        <scheme val="minor"/>
      </rPr>
      <t>d,w</t>
    </r>
  </si>
  <si>
    <t>Conversion coefficient between days and weeks</t>
  </si>
  <si>
    <r>
      <t>d.w</t>
    </r>
    <r>
      <rPr>
        <vertAlign val="superscript"/>
        <sz val="11"/>
        <rFont val="Calibri"/>
        <family val="2"/>
        <scheme val="minor"/>
      </rPr>
      <t>-1</t>
    </r>
  </si>
  <si>
    <r>
      <t>c</t>
    </r>
    <r>
      <rPr>
        <vertAlign val="subscript"/>
        <sz val="11"/>
        <rFont val="Calibri"/>
        <family val="2"/>
        <scheme val="minor"/>
      </rPr>
      <t>d,mon</t>
    </r>
  </si>
  <si>
    <t>Conversion coefficient between days and month</t>
  </si>
  <si>
    <r>
      <t>d.mon</t>
    </r>
    <r>
      <rPr>
        <vertAlign val="superscript"/>
        <sz val="11"/>
        <rFont val="Calibri"/>
        <family val="2"/>
        <scheme val="minor"/>
      </rPr>
      <t>-1</t>
    </r>
  </si>
  <si>
    <r>
      <t>c</t>
    </r>
    <r>
      <rPr>
        <vertAlign val="subscript"/>
        <sz val="11"/>
        <rFont val="Calibri"/>
        <family val="2"/>
        <scheme val="minor"/>
      </rPr>
      <t>d,y</t>
    </r>
  </si>
  <si>
    <t>Conversion coefficient between days and years</t>
  </si>
  <si>
    <r>
      <t>d.y</t>
    </r>
    <r>
      <rPr>
        <vertAlign val="superscript"/>
        <sz val="11"/>
        <rFont val="Calibri"/>
        <family val="2"/>
        <scheme val="minor"/>
      </rPr>
      <t>-1</t>
    </r>
  </si>
  <si>
    <r>
      <t>c</t>
    </r>
    <r>
      <rPr>
        <vertAlign val="subscript"/>
        <sz val="11"/>
        <rFont val="Calibri"/>
        <family val="2"/>
        <scheme val="minor"/>
      </rPr>
      <t>g,ton</t>
    </r>
  </si>
  <si>
    <t>Conversion coefficient between grams and ton</t>
  </si>
  <si>
    <r>
      <t>g.ton</t>
    </r>
    <r>
      <rPr>
        <vertAlign val="superscript"/>
        <sz val="11"/>
        <rFont val="Calibri"/>
        <family val="2"/>
        <scheme val="minor"/>
      </rPr>
      <t>-1</t>
    </r>
  </si>
  <si>
    <r>
      <t>c</t>
    </r>
    <r>
      <rPr>
        <vertAlign val="subscript"/>
        <sz val="11"/>
        <rFont val="Calibri"/>
        <family val="2"/>
        <scheme val="minor"/>
      </rPr>
      <t>W,kW</t>
    </r>
  </si>
  <si>
    <r>
      <t>kW.MW</t>
    </r>
    <r>
      <rPr>
        <vertAlign val="superscript"/>
        <sz val="11"/>
        <rFont val="Calibri"/>
        <family val="2"/>
        <scheme val="minor"/>
      </rPr>
      <t>-1</t>
    </r>
  </si>
  <si>
    <r>
      <t>c</t>
    </r>
    <r>
      <rPr>
        <vertAlign val="subscript"/>
        <sz val="11"/>
        <rFont val="Calibri"/>
        <family val="2"/>
        <scheme val="minor"/>
      </rPr>
      <t>Pa,MPa</t>
    </r>
  </si>
  <si>
    <t>Conversion coefficient between pascal and megapascal</t>
  </si>
  <si>
    <r>
      <t>Pa.MPa</t>
    </r>
    <r>
      <rPr>
        <vertAlign val="superscript"/>
        <sz val="11"/>
        <rFont val="Calibri"/>
        <family val="2"/>
        <scheme val="minor"/>
      </rPr>
      <t>-1</t>
    </r>
  </si>
  <si>
    <r>
      <t>c</t>
    </r>
    <r>
      <rPr>
        <vertAlign val="subscript"/>
        <sz val="11"/>
        <rFont val="Calibri"/>
        <family val="2"/>
        <scheme val="minor"/>
      </rPr>
      <t>Pa,mbar</t>
    </r>
  </si>
  <si>
    <t>Conversion coefficient between pascal and milibar</t>
  </si>
  <si>
    <r>
      <t>Pa.mbar</t>
    </r>
    <r>
      <rPr>
        <vertAlign val="superscript"/>
        <sz val="11"/>
        <rFont val="Calibri"/>
        <family val="2"/>
        <scheme val="minor"/>
      </rPr>
      <t>-1</t>
    </r>
  </si>
  <si>
    <r>
      <t>c</t>
    </r>
    <r>
      <rPr>
        <vertAlign val="subscript"/>
        <sz val="11"/>
        <rFont val="Calibri"/>
        <family val="2"/>
        <scheme val="minor"/>
      </rPr>
      <t>micron,m</t>
    </r>
  </si>
  <si>
    <t>Conversion coefficient between microns and meters</t>
  </si>
  <si>
    <r>
      <t>micron.m</t>
    </r>
    <r>
      <rPr>
        <vertAlign val="superscript"/>
        <sz val="11"/>
        <rFont val="Calibri"/>
        <family val="2"/>
        <scheme val="minor"/>
      </rPr>
      <t>-1</t>
    </r>
  </si>
  <si>
    <r>
      <t>c</t>
    </r>
    <r>
      <rPr>
        <vertAlign val="subscript"/>
        <sz val="11"/>
        <rFont val="Calibri"/>
        <family val="2"/>
        <scheme val="minor"/>
      </rPr>
      <t>mm,m</t>
    </r>
  </si>
  <si>
    <t>Conversion coefficient between milimeters and meters</t>
  </si>
  <si>
    <r>
      <t>mm.m</t>
    </r>
    <r>
      <rPr>
        <vertAlign val="superscript"/>
        <sz val="11"/>
        <rFont val="Calibri"/>
        <family val="2"/>
        <scheme val="minor"/>
      </rPr>
      <t>-1</t>
    </r>
  </si>
  <si>
    <r>
      <t>cm.m</t>
    </r>
    <r>
      <rPr>
        <vertAlign val="superscript"/>
        <sz val="11"/>
        <rFont val="Calibri"/>
        <family val="2"/>
        <scheme val="minor"/>
      </rPr>
      <t>-1</t>
    </r>
  </si>
  <si>
    <r>
      <t>c</t>
    </r>
    <r>
      <rPr>
        <vertAlign val="subscript"/>
        <sz val="11"/>
        <rFont val="Calibri"/>
        <family val="2"/>
        <scheme val="minor"/>
      </rPr>
      <t>MG,m3</t>
    </r>
  </si>
  <si>
    <t>Conversion coefficient between million gallons and cubic meters</t>
  </si>
  <si>
    <r>
      <t>MG.m</t>
    </r>
    <r>
      <rPr>
        <vertAlign val="superscript"/>
        <sz val="11"/>
        <rFont val="Calibri"/>
        <family val="2"/>
        <scheme val="minor"/>
      </rPr>
      <t>-3</t>
    </r>
  </si>
  <si>
    <r>
      <t>c</t>
    </r>
    <r>
      <rPr>
        <vertAlign val="subscript"/>
        <sz val="11"/>
        <rFont val="Calibri"/>
        <family val="2"/>
        <scheme val="minor"/>
      </rPr>
      <t>G,m3</t>
    </r>
  </si>
  <si>
    <t>Conversion coefficient between gallons and cubic meters</t>
  </si>
  <si>
    <r>
      <t>G.m</t>
    </r>
    <r>
      <rPr>
        <vertAlign val="superscript"/>
        <sz val="11"/>
        <rFont val="Calibri"/>
        <family val="2"/>
        <scheme val="minor"/>
      </rPr>
      <t>-3</t>
    </r>
  </si>
  <si>
    <r>
      <t>c</t>
    </r>
    <r>
      <rPr>
        <vertAlign val="subscript"/>
        <sz val="11"/>
        <rFont val="Calibri"/>
        <family val="2"/>
        <scheme val="minor"/>
      </rPr>
      <t>lbs,g</t>
    </r>
  </si>
  <si>
    <t>Conversion coefficient between lbs and g</t>
  </si>
  <si>
    <r>
      <t>lbs.g</t>
    </r>
    <r>
      <rPr>
        <vertAlign val="superscript"/>
        <sz val="11"/>
        <rFont val="Calibri"/>
        <family val="2"/>
        <scheme val="minor"/>
      </rPr>
      <t>-1</t>
    </r>
  </si>
  <si>
    <r>
      <t>c</t>
    </r>
    <r>
      <rPr>
        <vertAlign val="subscript"/>
        <sz val="11"/>
        <rFont val="Calibri"/>
        <family val="2"/>
        <scheme val="minor"/>
      </rPr>
      <t>ft3,m3</t>
    </r>
  </si>
  <si>
    <t>Conversion coefficient between cubic feet and cubic meters</t>
  </si>
  <si>
    <r>
      <t>ft</t>
    </r>
    <r>
      <rPr>
        <vertAlign val="superscript"/>
        <sz val="11"/>
        <rFont val="Calibri"/>
        <family val="2"/>
        <scheme val="minor"/>
      </rPr>
      <t>3</t>
    </r>
    <r>
      <rPr>
        <sz val="11"/>
        <rFont val="Calibri"/>
        <family val="2"/>
        <scheme val="minor"/>
      </rPr>
      <t>.m</t>
    </r>
    <r>
      <rPr>
        <vertAlign val="superscript"/>
        <sz val="11"/>
        <rFont val="Calibri"/>
        <family val="2"/>
        <scheme val="minor"/>
      </rPr>
      <t>-3</t>
    </r>
  </si>
  <si>
    <r>
      <t>c</t>
    </r>
    <r>
      <rPr>
        <vertAlign val="subscript"/>
        <sz val="11"/>
        <rFont val="Calibri"/>
        <family val="2"/>
        <scheme val="minor"/>
      </rPr>
      <t>ft2,m2</t>
    </r>
  </si>
  <si>
    <t>Conversion coefficient between square feet and square meters</t>
  </si>
  <si>
    <r>
      <t>ft</t>
    </r>
    <r>
      <rPr>
        <vertAlign val="superscript"/>
        <sz val="11"/>
        <rFont val="Calibri"/>
        <family val="2"/>
        <scheme val="minor"/>
      </rPr>
      <t>2</t>
    </r>
    <r>
      <rPr>
        <sz val="11"/>
        <rFont val="Calibri"/>
        <family val="2"/>
        <scheme val="minor"/>
      </rPr>
      <t>.m</t>
    </r>
    <r>
      <rPr>
        <vertAlign val="superscript"/>
        <sz val="11"/>
        <rFont val="Calibri"/>
        <family val="2"/>
        <scheme val="minor"/>
      </rPr>
      <t>-2</t>
    </r>
  </si>
  <si>
    <r>
      <t>c</t>
    </r>
    <r>
      <rPr>
        <vertAlign val="subscript"/>
        <sz val="11"/>
        <rFont val="Calibri"/>
        <family val="2"/>
        <scheme val="minor"/>
      </rPr>
      <t>ft,m</t>
    </r>
  </si>
  <si>
    <t>Conversion coefficient between foot and meters</t>
  </si>
  <si>
    <r>
      <t>ft.m</t>
    </r>
    <r>
      <rPr>
        <vertAlign val="superscript"/>
        <sz val="11"/>
        <rFont val="Calibri"/>
        <family val="2"/>
        <scheme val="minor"/>
      </rPr>
      <t>-1</t>
    </r>
  </si>
  <si>
    <t>Standard enthalpy of phosphoric acid</t>
  </si>
  <si>
    <r>
      <t>dH</t>
    </r>
    <r>
      <rPr>
        <vertAlign val="subscript"/>
        <sz val="11"/>
        <rFont val="Calibri"/>
        <family val="2"/>
        <scheme val="minor"/>
      </rPr>
      <t>diss,Prop</t>
    </r>
  </si>
  <si>
    <t>Standard enthalpy change of propionate dissociation</t>
  </si>
  <si>
    <t>NIST</t>
  </si>
  <si>
    <r>
      <t>dH</t>
    </r>
    <r>
      <rPr>
        <vertAlign val="subscript"/>
        <sz val="11"/>
        <rFont val="Calibri"/>
        <family val="2"/>
        <scheme val="minor"/>
      </rPr>
      <t>diss,But</t>
    </r>
  </si>
  <si>
    <t>Standard enthalpy change of butyrate dissociation</t>
  </si>
  <si>
    <r>
      <t>dH</t>
    </r>
    <r>
      <rPr>
        <vertAlign val="subscript"/>
        <sz val="11"/>
        <rFont val="Calibri"/>
        <family val="2"/>
        <scheme val="minor"/>
      </rPr>
      <t>diss,Val</t>
    </r>
  </si>
  <si>
    <t>Standard enthalpy change of valerate dissociation</t>
  </si>
  <si>
    <r>
      <t>D</t>
    </r>
    <r>
      <rPr>
        <vertAlign val="subscript"/>
        <sz val="11"/>
        <rFont val="Calibri"/>
        <family val="2"/>
        <charset val="238"/>
        <scheme val="minor"/>
      </rPr>
      <t>SNH2OH</t>
    </r>
  </si>
  <si>
    <t>Diffusion coefficient of NH2OH</t>
  </si>
  <si>
    <r>
      <t>D</t>
    </r>
    <r>
      <rPr>
        <vertAlign val="subscript"/>
        <sz val="11"/>
        <rFont val="Calibri"/>
        <family val="2"/>
        <charset val="238"/>
        <scheme val="minor"/>
      </rPr>
      <t>SNO</t>
    </r>
  </si>
  <si>
    <r>
      <t>D</t>
    </r>
    <r>
      <rPr>
        <vertAlign val="subscript"/>
        <sz val="11"/>
        <rFont val="Calibri"/>
        <family val="2"/>
        <charset val="238"/>
        <scheme val="minor"/>
      </rPr>
      <t>SN2O</t>
    </r>
  </si>
  <si>
    <t>Diffusion coefficient of N2O</t>
  </si>
  <si>
    <r>
      <t>D</t>
    </r>
    <r>
      <rPr>
        <vertAlign val="subscript"/>
        <sz val="11"/>
        <rFont val="Calibri"/>
        <family val="2"/>
        <charset val="238"/>
        <scheme val="minor"/>
      </rPr>
      <t>SO</t>
    </r>
  </si>
  <si>
    <r>
      <t>D</t>
    </r>
    <r>
      <rPr>
        <vertAlign val="subscript"/>
        <sz val="11"/>
        <rFont val="Calibri"/>
        <family val="2"/>
        <charset val="238"/>
        <scheme val="minor"/>
      </rPr>
      <t>SHCO</t>
    </r>
  </si>
  <si>
    <r>
      <t>Ca</t>
    </r>
    <r>
      <rPr>
        <sz val="11"/>
        <color indexed="8"/>
        <rFont val="Calibri"/>
        <family val="2"/>
      </rPr>
      <t>H</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2H</t>
    </r>
    <r>
      <rPr>
        <vertAlign val="subscript"/>
        <sz val="11"/>
        <color indexed="8"/>
        <rFont val="Calibri"/>
        <family val="2"/>
        <scheme val="minor"/>
      </rPr>
      <t>2</t>
    </r>
    <r>
      <rPr>
        <sz val="11"/>
        <color indexed="8"/>
        <rFont val="Calibri"/>
        <family val="2"/>
        <scheme val="minor"/>
      </rPr>
      <t>O</t>
    </r>
  </si>
  <si>
    <t>Balances per processes</t>
  </si>
  <si>
    <r>
      <t>Logsat</t>
    </r>
    <r>
      <rPr>
        <vertAlign val="subscript"/>
        <sz val="11"/>
        <rFont val="Calibri"/>
        <family val="2"/>
        <scheme val="minor"/>
      </rPr>
      <t>SPO4,KPO4,PAO</t>
    </r>
  </si>
  <si>
    <r>
      <t>q</t>
    </r>
    <r>
      <rPr>
        <vertAlign val="subscript"/>
        <sz val="11"/>
        <rFont val="Calibri"/>
        <family val="2"/>
        <scheme val="minor"/>
      </rPr>
      <t>ALPHA</t>
    </r>
  </si>
  <si>
    <r>
      <t>m</t>
    </r>
    <r>
      <rPr>
        <vertAlign val="superscript"/>
        <sz val="11"/>
        <rFont val="Calibri"/>
        <family val="2"/>
        <charset val="238"/>
        <scheme val="minor"/>
      </rPr>
      <t>3</t>
    </r>
    <r>
      <rPr>
        <sz val="11"/>
        <rFont val="Calibri"/>
        <family val="2"/>
        <scheme val="minor"/>
      </rPr>
      <t>.g</t>
    </r>
    <r>
      <rPr>
        <vertAlign val="superscript"/>
        <sz val="11"/>
        <rFont val="Calibri"/>
        <family val="2"/>
        <charset val="238"/>
        <scheme val="minor"/>
      </rPr>
      <t>-1</t>
    </r>
    <r>
      <rPr>
        <sz val="11"/>
        <rFont val="Calibri"/>
        <family val="2"/>
        <charset val="238"/>
        <scheme val="minor"/>
      </rPr>
      <t>.</t>
    </r>
    <r>
      <rPr>
        <sz val="11"/>
        <rFont val="Calibri"/>
        <family val="2"/>
        <scheme val="minor"/>
      </rPr>
      <t>d</t>
    </r>
    <r>
      <rPr>
        <vertAlign val="superscript"/>
        <sz val="11"/>
        <rFont val="Calibri"/>
        <family val="2"/>
        <scheme val="minor"/>
      </rPr>
      <t>-1</t>
    </r>
  </si>
  <si>
    <r>
      <t>S</t>
    </r>
    <r>
      <rPr>
        <vertAlign val="subscript"/>
        <sz val="11"/>
        <rFont val="Calibri"/>
        <family val="2"/>
        <charset val="238"/>
        <scheme val="minor"/>
      </rPr>
      <t>ALPHA,sat</t>
    </r>
  </si>
  <si>
    <r>
      <t>coeff</t>
    </r>
    <r>
      <rPr>
        <vertAlign val="subscript"/>
        <sz val="11"/>
        <rFont val="Calibri"/>
        <family val="2"/>
        <charset val="238"/>
        <scheme val="minor"/>
      </rPr>
      <t>damp,ALPHA</t>
    </r>
  </si>
  <si>
    <r>
      <t>pow</t>
    </r>
    <r>
      <rPr>
        <vertAlign val="subscript"/>
        <sz val="11"/>
        <rFont val="Calibri"/>
        <family val="2"/>
        <charset val="238"/>
        <scheme val="minor"/>
      </rPr>
      <t>damp,ALPHA</t>
    </r>
  </si>
  <si>
    <r>
      <t>sl</t>
    </r>
    <r>
      <rPr>
        <vertAlign val="subscript"/>
        <sz val="11"/>
        <rFont val="Calibri"/>
        <family val="2"/>
        <charset val="238"/>
        <scheme val="minor"/>
      </rPr>
      <t>TSS,</t>
    </r>
    <r>
      <rPr>
        <vertAlign val="subscript"/>
        <sz val="11"/>
        <rFont val="Calibri"/>
        <family val="2"/>
        <charset val="238"/>
      </rPr>
      <t>α</t>
    </r>
    <r>
      <rPr>
        <vertAlign val="subscript"/>
        <sz val="11"/>
        <rFont val="Calibri"/>
        <family val="2"/>
        <charset val="238"/>
        <scheme val="minor"/>
      </rPr>
      <t>,def</t>
    </r>
  </si>
  <si>
    <r>
      <t>sl</t>
    </r>
    <r>
      <rPr>
        <vertAlign val="subscript"/>
        <sz val="11"/>
        <rFont val="Calibri"/>
        <family val="2"/>
        <charset val="238"/>
        <scheme val="minor"/>
      </rPr>
      <t>TSS,α,coarse</t>
    </r>
  </si>
  <si>
    <r>
      <t>coeff</t>
    </r>
    <r>
      <rPr>
        <vertAlign val="subscript"/>
        <sz val="11"/>
        <rFont val="Calibri"/>
        <family val="2"/>
        <charset val="238"/>
        <scheme val="minor"/>
      </rPr>
      <t>lead,TSS,α,mech</t>
    </r>
  </si>
  <si>
    <r>
      <t>coeff</t>
    </r>
    <r>
      <rPr>
        <vertAlign val="subscript"/>
        <sz val="11"/>
        <rFont val="Calibri"/>
        <family val="2"/>
        <charset val="238"/>
        <scheme val="minor"/>
      </rPr>
      <t>lin,TSS,α,mech</t>
    </r>
  </si>
  <si>
    <r>
      <t>const</t>
    </r>
    <r>
      <rPr>
        <vertAlign val="subscript"/>
        <sz val="11"/>
        <color rgb="FF000000"/>
        <rFont val="Calibri"/>
        <family val="2"/>
        <charset val="238"/>
        <scheme val="minor"/>
      </rPr>
      <t>TSS,α,mech</t>
    </r>
  </si>
  <si>
    <t>Alpha factor influencing expressions</t>
  </si>
  <si>
    <r>
      <t>damp</t>
    </r>
    <r>
      <rPr>
        <vertAlign val="subscript"/>
        <sz val="11"/>
        <rFont val="Calibri"/>
        <family val="2"/>
        <charset val="238"/>
        <scheme val="minor"/>
      </rPr>
      <t>ALPHA</t>
    </r>
  </si>
  <si>
    <r>
      <t>1+coeff</t>
    </r>
    <r>
      <rPr>
        <vertAlign val="subscript"/>
        <sz val="11"/>
        <rFont val="Calibri"/>
        <family val="2"/>
        <charset val="238"/>
        <scheme val="minor"/>
      </rPr>
      <t>damp,ALPHA</t>
    </r>
    <r>
      <rPr>
        <sz val="11"/>
        <rFont val="Calibri"/>
        <family val="2"/>
        <charset val="238"/>
        <scheme val="minor"/>
      </rPr>
      <t>*(</t>
    </r>
    <r>
      <rPr>
        <sz val="11"/>
        <rFont val="Calibri"/>
        <family val="2"/>
        <scheme val="minor"/>
      </rPr>
      <t>S</t>
    </r>
    <r>
      <rPr>
        <vertAlign val="subscript"/>
        <sz val="11"/>
        <rFont val="Calibri"/>
        <family val="2"/>
        <charset val="238"/>
        <scheme val="minor"/>
      </rPr>
      <t>ALPHA</t>
    </r>
    <r>
      <rPr>
        <sz val="11"/>
        <rFont val="Calibri"/>
        <family val="2"/>
        <scheme val="minor"/>
      </rPr>
      <t>/S</t>
    </r>
    <r>
      <rPr>
        <vertAlign val="subscript"/>
        <sz val="11"/>
        <rFont val="Calibri"/>
        <family val="2"/>
        <charset val="238"/>
        <scheme val="minor"/>
      </rPr>
      <t>ALPHA,sat</t>
    </r>
    <r>
      <rPr>
        <sz val="11"/>
        <rFont val="Calibri"/>
        <family val="2"/>
        <charset val="238"/>
        <scheme val="minor"/>
      </rPr>
      <t>)^pow</t>
    </r>
    <r>
      <rPr>
        <vertAlign val="subscript"/>
        <sz val="11"/>
        <rFont val="Calibri"/>
        <family val="2"/>
        <charset val="238"/>
        <scheme val="minor"/>
      </rPr>
      <t>damp,ALPHA</t>
    </r>
  </si>
  <si>
    <r>
      <t>corr</t>
    </r>
    <r>
      <rPr>
        <vertAlign val="subscript"/>
        <sz val="11"/>
        <rFont val="Calibri"/>
        <family val="2"/>
        <charset val="238"/>
        <scheme val="minor"/>
      </rPr>
      <t>TSS,</t>
    </r>
    <r>
      <rPr>
        <vertAlign val="subscript"/>
        <sz val="11"/>
        <rFont val="Calibri"/>
        <family val="2"/>
        <charset val="238"/>
      </rPr>
      <t>α</t>
    </r>
  </si>
  <si>
    <r>
      <t>Exp(</t>
    </r>
    <r>
      <rPr>
        <sz val="11"/>
        <color indexed="8"/>
        <rFont val="Calibri"/>
        <family val="2"/>
      </rPr>
      <t>sl</t>
    </r>
    <r>
      <rPr>
        <vertAlign val="subscript"/>
        <sz val="11"/>
        <color rgb="FF000000"/>
        <rFont val="Calibri"/>
        <family val="2"/>
        <charset val="238"/>
      </rPr>
      <t>TSS,α,def</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</si>
  <si>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r>
      <t>Exp(</t>
    </r>
    <r>
      <rPr>
        <sz val="11"/>
        <color indexed="8"/>
        <rFont val="Calibri"/>
        <family val="2"/>
      </rPr>
      <t>sl</t>
    </r>
    <r>
      <rPr>
        <vertAlign val="subscript"/>
        <sz val="11"/>
        <color rgb="FF000000"/>
        <rFont val="Calibri"/>
        <family val="2"/>
        <charset val="238"/>
      </rPr>
      <t>TSS,α,coarse</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</si>
  <si>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t>SOTECorr_cap</t>
  </si>
  <si>
    <t>SOTEFixed_coarse</t>
  </si>
  <si>
    <r>
      <t>coeff</t>
    </r>
    <r>
      <rPr>
        <vertAlign val="subscript"/>
        <sz val="11"/>
        <rFont val="Calibri"/>
        <family val="2"/>
        <charset val="238"/>
        <scheme val="minor"/>
      </rPr>
      <t>lead,TSS,</t>
    </r>
    <r>
      <rPr>
        <vertAlign val="subscript"/>
        <sz val="11"/>
        <rFont val="Calibri"/>
        <family val="2"/>
        <charset val="238"/>
      </rPr>
      <t>α,mech</t>
    </r>
    <r>
      <rPr>
        <sz val="11"/>
        <rFont val="Calibri"/>
        <family val="2"/>
        <scheme val="minor"/>
      </rPr>
      <t>*(X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charset val="238"/>
        <scheme val="minor"/>
      </rPr>
      <t>)^</t>
    </r>
    <r>
      <rPr>
        <sz val="11"/>
        <rFont val="Calibri"/>
        <family val="2"/>
        <scheme val="minor"/>
      </rPr>
      <t>2 + coeff</t>
    </r>
    <r>
      <rPr>
        <vertAlign val="subscript"/>
        <sz val="11"/>
        <rFont val="Calibri"/>
        <family val="2"/>
        <charset val="238"/>
        <scheme val="minor"/>
      </rPr>
      <t>lin,TSS,α,mech</t>
    </r>
    <r>
      <rPr>
        <sz val="11"/>
        <rFont val="Calibri"/>
        <family val="2"/>
        <scheme val="minor"/>
      </rPr>
      <t xml:space="preserve"> * 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scheme val="minor"/>
      </rPr>
      <t xml:space="preserve"> + const</t>
    </r>
    <r>
      <rPr>
        <vertAlign val="subscript"/>
        <sz val="11"/>
        <rFont val="Calibri"/>
        <family val="2"/>
        <charset val="238"/>
        <scheme val="minor"/>
      </rPr>
      <t>TSS,α,mech</t>
    </r>
  </si>
  <si>
    <t>Mechanical</t>
  </si>
  <si>
    <r>
      <t>α</t>
    </r>
    <r>
      <rPr>
        <vertAlign val="subscript"/>
        <sz val="9.35"/>
        <rFont val="Calibri"/>
        <family val="2"/>
        <charset val="238"/>
      </rPr>
      <t>pred</t>
    </r>
  </si>
  <si>
    <t>Alpha factor predicted</t>
  </si>
  <si>
    <t>Alpha indicator</t>
  </si>
  <si>
    <r>
      <t>S</t>
    </r>
    <r>
      <rPr>
        <b/>
        <vertAlign val="subscript"/>
        <sz val="11"/>
        <rFont val="Calibri"/>
        <family val="2"/>
        <charset val="238"/>
        <scheme val="minor"/>
      </rPr>
      <t>ALPHA</t>
    </r>
  </si>
  <si>
    <r>
      <t>S</t>
    </r>
    <r>
      <rPr>
        <b/>
        <vertAlign val="subscript"/>
        <sz val="12"/>
        <rFont val="Calibri"/>
        <family val="2"/>
        <charset val="238"/>
        <scheme val="minor"/>
      </rPr>
      <t>ALPHA</t>
    </r>
  </si>
  <si>
    <t>Elimination of surfactants</t>
  </si>
  <si>
    <r>
      <rPr>
        <sz val="11"/>
        <rFont val="Calibri"/>
        <family val="2"/>
      </rPr>
      <t>d</t>
    </r>
    <r>
      <rPr>
        <vertAlign val="superscript"/>
        <sz val="11"/>
        <rFont val="Calibri"/>
        <family val="2"/>
      </rPr>
      <t>-1</t>
    </r>
  </si>
  <si>
    <t>Carbon storing organisms (CASTO)</t>
  </si>
  <si>
    <r>
      <t>X</t>
    </r>
    <r>
      <rPr>
        <b/>
        <vertAlign val="subscript"/>
        <sz val="11"/>
        <rFont val="Calibri"/>
        <family val="2"/>
        <charset val="238"/>
        <scheme val="minor"/>
      </rPr>
      <t>CASTO</t>
    </r>
  </si>
  <si>
    <r>
      <t>X</t>
    </r>
    <r>
      <rPr>
        <b/>
        <vertAlign val="subscript"/>
        <sz val="11"/>
        <rFont val="Calibri"/>
        <family val="2"/>
        <scheme val="minor"/>
      </rPr>
      <t>CASTO</t>
    </r>
  </si>
  <si>
    <t>Maximum specific growth rate of CASTOs</t>
  </si>
  <si>
    <r>
      <t>µ</t>
    </r>
    <r>
      <rPr>
        <vertAlign val="subscript"/>
        <sz val="11"/>
        <rFont val="Calibri"/>
        <family val="2"/>
        <scheme val="minor"/>
      </rPr>
      <t>CASTO</t>
    </r>
  </si>
  <si>
    <t>Maximum polyphosphate uptake rate of PAOs</t>
  </si>
  <si>
    <t>Decay rate of CASTOs</t>
  </si>
  <si>
    <r>
      <t>b</t>
    </r>
    <r>
      <rPr>
        <vertAlign val="subscript"/>
        <sz val="11"/>
        <rFont val="Calibri"/>
        <family val="2"/>
        <scheme val="minor"/>
      </rPr>
      <t>CASTO</t>
    </r>
  </si>
  <si>
    <t>previously 0.05 (0.15 for Lopez et al. 2006; Hao et al., 2010)</t>
  </si>
  <si>
    <r>
      <t>b</t>
    </r>
    <r>
      <rPr>
        <vertAlign val="subscript"/>
        <sz val="11"/>
        <rFont val="Calibri"/>
        <family val="2"/>
        <scheme val="minor"/>
      </rPr>
      <t>STC</t>
    </r>
  </si>
  <si>
    <r>
      <t>η</t>
    </r>
    <r>
      <rPr>
        <vertAlign val="subscript"/>
        <sz val="11"/>
        <rFont val="Calibri"/>
        <family val="2"/>
        <scheme val="minor"/>
      </rPr>
      <t>CASTO,anox</t>
    </r>
  </si>
  <si>
    <t>Reduction factor for anoxic growth of CASTOs</t>
  </si>
  <si>
    <t>Reduction factor for anoxic decay of CASTOs</t>
  </si>
  <si>
    <r>
      <t>η</t>
    </r>
    <r>
      <rPr>
        <vertAlign val="subscript"/>
        <sz val="11"/>
        <rFont val="Calibri"/>
        <family val="2"/>
        <scheme val="minor"/>
      </rPr>
      <t>bCASTO,anox</t>
    </r>
  </si>
  <si>
    <t>Reduction factor for anaerobic decay of CASTOs</t>
  </si>
  <si>
    <r>
      <t>η</t>
    </r>
    <r>
      <rPr>
        <vertAlign val="subscript"/>
        <sz val="11"/>
        <rFont val="Calibri"/>
        <family val="2"/>
        <scheme val="minor"/>
      </rPr>
      <t>bCASTO,ana</t>
    </r>
  </si>
  <si>
    <r>
      <t>η</t>
    </r>
    <r>
      <rPr>
        <vertAlign val="subscript"/>
        <sz val="11"/>
        <rFont val="Calibri"/>
        <family val="2"/>
        <scheme val="minor"/>
      </rPr>
      <t>bSTC,anox</t>
    </r>
  </si>
  <si>
    <r>
      <t>K</t>
    </r>
    <r>
      <rPr>
        <vertAlign val="subscript"/>
        <sz val="11"/>
        <rFont val="Calibri"/>
        <family val="2"/>
        <scheme val="minor"/>
      </rPr>
      <t>PHA,cle</t>
    </r>
  </si>
  <si>
    <t>Half-saturation of PHA for PAOs at PP cleavage</t>
  </si>
  <si>
    <r>
      <t>K</t>
    </r>
    <r>
      <rPr>
        <vertAlign val="subscript"/>
        <sz val="11"/>
        <rFont val="Calibri"/>
        <family val="2"/>
        <scheme val="minor"/>
      </rPr>
      <t>STC</t>
    </r>
  </si>
  <si>
    <r>
      <t>Half-saturation of O</t>
    </r>
    <r>
      <rPr>
        <vertAlign val="subscript"/>
        <sz val="11"/>
        <color rgb="FF000000"/>
        <rFont val="Calibri"/>
        <family val="2"/>
        <scheme val="minor"/>
      </rPr>
      <t>2</t>
    </r>
    <r>
      <rPr>
        <sz val="11"/>
        <color rgb="FF000000"/>
        <rFont val="Calibri"/>
        <family val="2"/>
        <charset val="238"/>
        <scheme val="minor"/>
      </rPr>
      <t xml:space="preserve"> for CASTOs (AS)</t>
    </r>
  </si>
  <si>
    <r>
      <t>K</t>
    </r>
    <r>
      <rPr>
        <vertAlign val="subscript"/>
        <sz val="11"/>
        <rFont val="Calibri"/>
        <family val="2"/>
        <scheme val="minor"/>
      </rPr>
      <t>O2,CASTO,AS</t>
    </r>
  </si>
  <si>
    <r>
      <t>Half-saturation of NO</t>
    </r>
    <r>
      <rPr>
        <vertAlign val="subscript"/>
        <sz val="11"/>
        <color rgb="FF000000"/>
        <rFont val="Calibri"/>
        <family val="2"/>
        <scheme val="minor"/>
      </rPr>
      <t>3</t>
    </r>
    <r>
      <rPr>
        <sz val="11"/>
        <color rgb="FF000000"/>
        <rFont val="Calibri"/>
        <family val="2"/>
        <charset val="238"/>
        <scheme val="minor"/>
      </rPr>
      <t xml:space="preserve"> for CASTOs (AS)</t>
    </r>
  </si>
  <si>
    <r>
      <t>Half-saturation of NO</t>
    </r>
    <r>
      <rPr>
        <vertAlign val="subscript"/>
        <sz val="11"/>
        <color rgb="FF000000"/>
        <rFont val="Calibri"/>
        <family val="2"/>
        <scheme val="minor"/>
      </rPr>
      <t>2</t>
    </r>
    <r>
      <rPr>
        <sz val="11"/>
        <color rgb="FF000000"/>
        <rFont val="Calibri"/>
        <family val="2"/>
        <charset val="238"/>
        <scheme val="minor"/>
      </rPr>
      <t xml:space="preserve"> for CASTOs (AS)</t>
    </r>
  </si>
  <si>
    <r>
      <t>K</t>
    </r>
    <r>
      <rPr>
        <vertAlign val="subscript"/>
        <sz val="11"/>
        <rFont val="Calibri"/>
        <family val="2"/>
        <scheme val="minor"/>
      </rPr>
      <t>NO3,CASTO,AS</t>
    </r>
  </si>
  <si>
    <r>
      <t>K</t>
    </r>
    <r>
      <rPr>
        <vertAlign val="subscript"/>
        <sz val="11"/>
        <rFont val="Calibri"/>
        <family val="2"/>
        <scheme val="minor"/>
      </rPr>
      <t>NO2,CASTO,AS</t>
    </r>
  </si>
  <si>
    <t>Half-saturation of VFA storage for CASTOs (AS)</t>
  </si>
  <si>
    <r>
      <t>K</t>
    </r>
    <r>
      <rPr>
        <vertAlign val="subscript"/>
        <sz val="11"/>
        <rFont val="Calibri"/>
        <family val="2"/>
        <scheme val="minor"/>
      </rPr>
      <t>VFA,CASTO,AS</t>
    </r>
  </si>
  <si>
    <r>
      <t>Logsat</t>
    </r>
    <r>
      <rPr>
        <vertAlign val="subscript"/>
        <sz val="11"/>
        <rFont val="Calibri"/>
        <family val="2"/>
        <scheme val="minor"/>
      </rPr>
      <t>ORP,GAO,Half,15</t>
    </r>
  </si>
  <si>
    <r>
      <t>Logsat</t>
    </r>
    <r>
      <rPr>
        <vertAlign val="subscript"/>
        <sz val="11"/>
        <rFont val="Calibri"/>
        <family val="2"/>
        <scheme val="minor"/>
      </rPr>
      <t>ORP,GAO,Half,25</t>
    </r>
  </si>
  <si>
    <r>
      <t>Logsat</t>
    </r>
    <r>
      <rPr>
        <vertAlign val="subscript"/>
        <sz val="11"/>
        <rFont val="Calibri"/>
        <family val="2"/>
        <scheme val="minor"/>
      </rPr>
      <t>ORP,GAO,Slope</t>
    </r>
  </si>
  <si>
    <t>Carbon storing organism kinetics (CASTO)</t>
  </si>
  <si>
    <t>Arrhenius coefficient for CASTO growth</t>
  </si>
  <si>
    <r>
      <t>θ</t>
    </r>
    <r>
      <rPr>
        <vertAlign val="subscript"/>
        <sz val="11"/>
        <color indexed="8"/>
        <rFont val="Calibri"/>
        <family val="2"/>
        <scheme val="minor"/>
      </rPr>
      <t>µ,CASTO</t>
    </r>
  </si>
  <si>
    <t>Arrhenius coefficient for CASTO decay</t>
  </si>
  <si>
    <r>
      <t>θ</t>
    </r>
    <r>
      <rPr>
        <vertAlign val="subscript"/>
        <sz val="11"/>
        <color indexed="8"/>
        <rFont val="Calibri"/>
        <family val="2"/>
        <scheme val="minor"/>
      </rPr>
      <t>b,CASTO</t>
    </r>
  </si>
  <si>
    <r>
      <t>θ</t>
    </r>
    <r>
      <rPr>
        <vertAlign val="subscript"/>
        <sz val="11"/>
        <color indexed="8"/>
        <rFont val="Calibri"/>
        <family val="2"/>
        <scheme val="minor"/>
      </rPr>
      <t>b,STC</t>
    </r>
  </si>
  <si>
    <t>Yield of CASTOs on readily biodegradable substrate under anaerobic conditions</t>
  </si>
  <si>
    <t>Yield of H2 production in fermentation with high VFA concentration (CASTO)</t>
  </si>
  <si>
    <t>Yield of H2 production in fermentation with low VFA concentration (CASTO)</t>
  </si>
  <si>
    <t>Yield of CASTOs consumed per PP uptake under aerobic conditions</t>
  </si>
  <si>
    <t>Yield of CASTOs consumed per PP uptake under anoxic conditions</t>
  </si>
  <si>
    <r>
      <t>Y</t>
    </r>
    <r>
      <rPr>
        <vertAlign val="subscript"/>
        <sz val="11"/>
        <rFont val="Calibri"/>
        <family val="2"/>
        <scheme val="minor"/>
      </rPr>
      <t>PP,CASTO,ox</t>
    </r>
  </si>
  <si>
    <r>
      <t>Y</t>
    </r>
    <r>
      <rPr>
        <vertAlign val="subscript"/>
        <sz val="11"/>
        <rFont val="Calibri"/>
        <family val="2"/>
        <scheme val="minor"/>
      </rPr>
      <t>PP,CASTO,anox</t>
    </r>
  </si>
  <si>
    <r>
      <t>Y</t>
    </r>
    <r>
      <rPr>
        <vertAlign val="subscript"/>
        <sz val="11"/>
        <rFont val="Calibri"/>
        <family val="2"/>
        <scheme val="minor"/>
      </rPr>
      <t>CASTO,SB,ana</t>
    </r>
  </si>
  <si>
    <r>
      <t>Y</t>
    </r>
    <r>
      <rPr>
        <vertAlign val="subscript"/>
        <sz val="11"/>
        <rFont val="Calibri"/>
        <family val="2"/>
        <scheme val="minor"/>
      </rPr>
      <t>CASTO,H2,ana,high</t>
    </r>
  </si>
  <si>
    <r>
      <t>Y</t>
    </r>
    <r>
      <rPr>
        <vertAlign val="subscript"/>
        <sz val="11"/>
        <rFont val="Calibri"/>
        <family val="2"/>
        <scheme val="minor"/>
      </rPr>
      <t>CASTO,H2,ana,low</t>
    </r>
  </si>
  <si>
    <t>CASTO related calculations</t>
  </si>
  <si>
    <r>
      <t>X</t>
    </r>
    <r>
      <rPr>
        <vertAlign val="subscript"/>
        <sz val="11"/>
        <rFont val="Calibri"/>
        <family val="2"/>
        <scheme val="minor"/>
      </rPr>
      <t>STC</t>
    </r>
  </si>
  <si>
    <r>
      <t>act</t>
    </r>
    <r>
      <rPr>
        <vertAlign val="subscript"/>
        <sz val="11"/>
        <rFont val="Calibri"/>
        <family val="2"/>
        <scheme val="minor"/>
      </rPr>
      <t>PAO</t>
    </r>
  </si>
  <si>
    <t>PAO activity of CASTOs</t>
  </si>
  <si>
    <r>
      <t>act</t>
    </r>
    <r>
      <rPr>
        <vertAlign val="subscript"/>
        <sz val="11"/>
        <rFont val="Calibri"/>
        <family val="2"/>
        <scheme val="minor"/>
      </rPr>
      <t>GAO</t>
    </r>
  </si>
  <si>
    <t>GAO activity of CASTOs</t>
  </si>
  <si>
    <r>
      <t>X</t>
    </r>
    <r>
      <rPr>
        <vertAlign val="subscript"/>
        <sz val="11"/>
        <rFont val="Calibri"/>
        <family val="2"/>
        <scheme val="minor"/>
      </rPr>
      <t>PAO</t>
    </r>
  </si>
  <si>
    <r>
      <t>act</t>
    </r>
    <r>
      <rPr>
        <vertAlign val="subscript"/>
        <sz val="11"/>
        <rFont val="Calibri"/>
        <family val="2"/>
        <scheme val="minor"/>
      </rPr>
      <t>PAO</t>
    </r>
    <r>
      <rPr>
        <sz val="11"/>
        <rFont val="Calibri"/>
        <family val="2"/>
        <scheme val="minor"/>
      </rPr>
      <t xml:space="preserve"> * X</t>
    </r>
    <r>
      <rPr>
        <vertAlign val="subscript"/>
        <sz val="11"/>
        <rFont val="Calibri"/>
        <family val="2"/>
        <scheme val="minor"/>
      </rPr>
      <t>CASTO</t>
    </r>
  </si>
  <si>
    <r>
      <t>X</t>
    </r>
    <r>
      <rPr>
        <vertAlign val="subscript"/>
        <sz val="11"/>
        <rFont val="Calibri"/>
        <family val="2"/>
        <scheme val="minor"/>
      </rPr>
      <t>GAO</t>
    </r>
  </si>
  <si>
    <r>
      <t>act</t>
    </r>
    <r>
      <rPr>
        <vertAlign val="subscript"/>
        <sz val="11"/>
        <rFont val="Calibri"/>
        <family val="2"/>
        <scheme val="minor"/>
      </rPr>
      <t>GAO</t>
    </r>
    <r>
      <rPr>
        <sz val="11"/>
        <rFont val="Calibri"/>
        <family val="2"/>
        <scheme val="minor"/>
      </rPr>
      <t xml:space="preserve"> * X</t>
    </r>
    <r>
      <rPr>
        <vertAlign val="subscript"/>
        <sz val="11"/>
        <rFont val="Calibri"/>
        <family val="2"/>
        <scheme val="minor"/>
      </rPr>
      <t>CASTO</t>
    </r>
  </si>
  <si>
    <r>
      <t>act</t>
    </r>
    <r>
      <rPr>
        <vertAlign val="subscript"/>
        <sz val="11"/>
        <rFont val="Calibri"/>
        <family val="2"/>
        <scheme val="minor"/>
      </rPr>
      <t>sto,GAO,ORP</t>
    </r>
  </si>
  <si>
    <t>ORP dependent VFA storage activity of GAOs</t>
  </si>
  <si>
    <r>
      <t>Logsat</t>
    </r>
    <r>
      <rPr>
        <vertAlign val="subscript"/>
        <sz val="11"/>
        <rFont val="Calibri"/>
        <family val="2"/>
        <scheme val="minor"/>
      </rPr>
      <t>ORP,GAO,T</t>
    </r>
  </si>
  <si>
    <r>
      <t>act</t>
    </r>
    <r>
      <rPr>
        <vertAlign val="subscript"/>
        <sz val="11"/>
        <rFont val="Calibri"/>
        <family val="2"/>
        <scheme val="minor"/>
      </rPr>
      <t>sto,PAO,ORP</t>
    </r>
  </si>
  <si>
    <t>ORP dependent VFA storage activity of PAOs</t>
  </si>
  <si>
    <r>
      <t>(1 - Logsat</t>
    </r>
    <r>
      <rPr>
        <vertAlign val="subscript"/>
        <sz val="11"/>
        <color indexed="8"/>
        <rFont val="Calibri"/>
        <family val="2"/>
        <charset val="238"/>
      </rPr>
      <t>ORP,GAO,T</t>
    </r>
    <r>
      <rPr>
        <sz val="11"/>
        <color indexed="8"/>
        <rFont val="Calibri"/>
        <family val="2"/>
        <charset val="238"/>
      </rPr>
      <t xml:space="preserve">) </t>
    </r>
  </si>
  <si>
    <r>
      <t>act</t>
    </r>
    <r>
      <rPr>
        <vertAlign val="subscript"/>
        <sz val="11"/>
        <rFont val="Calibri"/>
        <family val="2"/>
        <scheme val="minor"/>
      </rPr>
      <t>ferm,PAO,ORP</t>
    </r>
  </si>
  <si>
    <t>ORP dependent fermentation activity of PAOs</t>
  </si>
  <si>
    <r>
      <t>(1 - Logsat</t>
    </r>
    <r>
      <rPr>
        <vertAlign val="subscript"/>
        <sz val="11"/>
        <rFont val="Calibri"/>
        <family val="2"/>
        <charset val="238"/>
        <scheme val="minor"/>
      </rPr>
      <t>ORP,GAO,T</t>
    </r>
    <r>
      <rPr>
        <sz val="11"/>
        <rFont val="Calibri"/>
        <family val="2"/>
        <scheme val="minor"/>
      </rPr>
      <t>) * Loginh</t>
    </r>
    <r>
      <rPr>
        <vertAlign val="subscript"/>
        <sz val="11"/>
        <color rgb="FF000000"/>
        <rFont val="Calibri"/>
        <family val="2"/>
      </rPr>
      <t>ORP,PAO</t>
    </r>
    <r>
      <rPr>
        <sz val="11"/>
        <color indexed="8"/>
        <rFont val="Calibri"/>
        <family val="2"/>
      </rPr>
      <t/>
    </r>
  </si>
  <si>
    <t>Rate of VFA storage into PHA for PAOs</t>
  </si>
  <si>
    <r>
      <t>Y</t>
    </r>
    <r>
      <rPr>
        <vertAlign val="subscript"/>
        <sz val="11"/>
        <rFont val="Calibri"/>
        <family val="2"/>
        <scheme val="minor"/>
      </rPr>
      <t>CASTO,STC,ox</t>
    </r>
  </si>
  <si>
    <r>
      <t>g X</t>
    </r>
    <r>
      <rPr>
        <vertAlign val="subscript"/>
        <sz val="11"/>
        <rFont val="Calibri"/>
        <family val="2"/>
        <scheme val="minor"/>
      </rPr>
      <t>CASTO</t>
    </r>
    <r>
      <rPr>
        <sz val="11"/>
        <rFont val="Calibri"/>
        <family val="2"/>
        <scheme val="minor"/>
      </rPr>
      <t>.g X</t>
    </r>
    <r>
      <rPr>
        <vertAlign val="subscript"/>
        <sz val="11"/>
        <rFont val="Calibri"/>
        <family val="2"/>
        <scheme val="minor"/>
      </rPr>
      <t>STC</t>
    </r>
    <r>
      <rPr>
        <vertAlign val="superscript"/>
        <sz val="11"/>
        <rFont val="Calibri"/>
        <family val="2"/>
        <scheme val="minor"/>
      </rPr>
      <t>-1</t>
    </r>
  </si>
  <si>
    <r>
      <t>Y</t>
    </r>
    <r>
      <rPr>
        <vertAlign val="subscript"/>
        <sz val="11"/>
        <rFont val="Calibri"/>
        <family val="2"/>
        <scheme val="minor"/>
      </rPr>
      <t>CASTO,STC,anox</t>
    </r>
  </si>
  <si>
    <r>
      <t>i</t>
    </r>
    <r>
      <rPr>
        <vertAlign val="subscript"/>
        <sz val="11"/>
        <rFont val="Calibri"/>
        <family val="2"/>
        <scheme val="minor"/>
      </rPr>
      <t>CIT,STC</t>
    </r>
  </si>
  <si>
    <t>Observed inorganic carbon content of STC</t>
  </si>
  <si>
    <t>Oxidation-reduction potential due to dissolved nitrate (anoxic)</t>
  </si>
  <si>
    <t>ORP related inhibiton functions</t>
  </si>
  <si>
    <r>
      <t>sl</t>
    </r>
    <r>
      <rPr>
        <vertAlign val="subscript"/>
        <sz val="11"/>
        <rFont val="Calibri"/>
        <family val="2"/>
        <charset val="238"/>
        <scheme val="minor"/>
      </rPr>
      <t>ORP,GAO,Half,T</t>
    </r>
  </si>
  <si>
    <t>Slope of logistic half-saturation of ORP switching of GAOs temperature correction</t>
  </si>
  <si>
    <r>
      <t>(Logsat</t>
    </r>
    <r>
      <rPr>
        <vertAlign val="subscript"/>
        <sz val="11"/>
        <rFont val="Calibri"/>
        <family val="2"/>
        <charset val="238"/>
        <scheme val="minor"/>
      </rPr>
      <t>ORP,GAO,Half,25</t>
    </r>
    <r>
      <rPr>
        <sz val="11"/>
        <rFont val="Calibri"/>
        <family val="2"/>
        <scheme val="minor"/>
      </rPr>
      <t xml:space="preserve"> - Logsat</t>
    </r>
    <r>
      <rPr>
        <vertAlign val="subscript"/>
        <sz val="11"/>
        <rFont val="Calibri"/>
        <family val="2"/>
        <charset val="238"/>
        <scheme val="minor"/>
      </rPr>
      <t>ORP,GAO,Half,15</t>
    </r>
    <r>
      <rPr>
        <sz val="11"/>
        <rFont val="Calibri"/>
        <family val="2"/>
        <scheme val="minor"/>
      </rPr>
      <t>) / (25 - 15)</t>
    </r>
  </si>
  <si>
    <t>mV.°C-1</t>
  </si>
  <si>
    <r>
      <t>Logsat</t>
    </r>
    <r>
      <rPr>
        <vertAlign val="subscript"/>
        <sz val="11"/>
        <rFont val="Calibri"/>
        <family val="2"/>
        <charset val="238"/>
        <scheme val="minor"/>
      </rPr>
      <t>ORP,GAO,Half,25</t>
    </r>
    <r>
      <rPr>
        <sz val="11"/>
        <rFont val="Calibri"/>
        <family val="2"/>
        <scheme val="minor"/>
      </rPr>
      <t xml:space="preserve"> - sl</t>
    </r>
    <r>
      <rPr>
        <vertAlign val="subscript"/>
        <sz val="11"/>
        <rFont val="Calibri"/>
        <family val="2"/>
        <charset val="238"/>
        <scheme val="minor"/>
      </rPr>
      <t>ORP,GAO,Half,T</t>
    </r>
    <r>
      <rPr>
        <sz val="11"/>
        <rFont val="Calibri"/>
        <family val="2"/>
        <scheme val="minor"/>
      </rPr>
      <t xml:space="preserve"> * 25</t>
    </r>
  </si>
  <si>
    <r>
      <t>Logsat</t>
    </r>
    <r>
      <rPr>
        <vertAlign val="subscript"/>
        <sz val="11"/>
        <rFont val="Calibri"/>
        <family val="2"/>
      </rPr>
      <t>ORP,GAO,Half,T</t>
    </r>
  </si>
  <si>
    <r>
      <t>Logsat</t>
    </r>
    <r>
      <rPr>
        <vertAlign val="subscript"/>
        <sz val="11"/>
        <rFont val="Calibri"/>
        <family val="2"/>
      </rPr>
      <t>ORP,GAO,T</t>
    </r>
  </si>
  <si>
    <r>
      <t>ORP</t>
    </r>
    <r>
      <rPr>
        <vertAlign val="subscript"/>
        <sz val="11"/>
        <rFont val="Calibri"/>
        <family val="2"/>
        <scheme val="minor"/>
      </rPr>
      <t>base</t>
    </r>
    <r>
      <rPr>
        <sz val="11"/>
        <rFont val="Calibri"/>
        <family val="2"/>
        <scheme val="minor"/>
      </rPr>
      <t>+(ORP</t>
    </r>
    <r>
      <rPr>
        <vertAlign val="subscript"/>
        <sz val="11"/>
        <rFont val="Calibri"/>
        <family val="2"/>
        <scheme val="minor"/>
      </rPr>
      <t>max,SO2</t>
    </r>
    <r>
      <rPr>
        <sz val="11"/>
        <rFont val="Calibri"/>
        <family val="2"/>
        <scheme val="minor"/>
      </rPr>
      <t>-ORP</t>
    </r>
    <r>
      <rPr>
        <vertAlign val="subscript"/>
        <sz val="11"/>
        <rFont val="Calibri"/>
        <family val="2"/>
        <scheme val="minor"/>
      </rPr>
      <t>base</t>
    </r>
    <r>
      <rPr>
        <sz val="11"/>
        <rFont val="Calibri"/>
        <family val="2"/>
        <charset val="238"/>
        <scheme val="minor"/>
      </rPr>
      <t>)</t>
    </r>
    <r>
      <rPr>
        <sz val="11"/>
        <rFont val="Calibri"/>
        <family val="2"/>
        <scheme val="minor"/>
      </rPr>
      <t>*S</t>
    </r>
    <r>
      <rPr>
        <vertAlign val="subscript"/>
        <sz val="11"/>
        <rFont val="Calibri"/>
        <family val="2"/>
        <scheme val="minor"/>
      </rPr>
      <t>O2</t>
    </r>
    <r>
      <rPr>
        <sz val="11"/>
        <rFont val="Calibri"/>
        <family val="2"/>
        <scheme val="minor"/>
      </rPr>
      <t>/(K</t>
    </r>
    <r>
      <rPr>
        <vertAlign val="subscript"/>
        <sz val="11"/>
        <rFont val="Calibri"/>
        <family val="2"/>
        <scheme val="minor"/>
      </rPr>
      <t>ORP,SO2</t>
    </r>
    <r>
      <rPr>
        <sz val="11"/>
        <rFont val="Calibri"/>
        <family val="2"/>
        <scheme val="minor"/>
      </rPr>
      <t>+S</t>
    </r>
    <r>
      <rPr>
        <vertAlign val="subscript"/>
        <sz val="11"/>
        <rFont val="Calibri"/>
        <family val="2"/>
        <scheme val="minor"/>
      </rPr>
      <t>O2</t>
    </r>
    <r>
      <rPr>
        <sz val="11"/>
        <rFont val="Calibri"/>
        <family val="2"/>
        <scheme val="minor"/>
      </rPr>
      <t>)</t>
    </r>
  </si>
  <si>
    <r>
      <t>ORP</t>
    </r>
    <r>
      <rPr>
        <vertAlign val="subscript"/>
        <sz val="11"/>
        <rFont val="Calibri"/>
        <family val="2"/>
        <scheme val="minor"/>
      </rPr>
      <t>base</t>
    </r>
    <r>
      <rPr>
        <sz val="11"/>
        <rFont val="Calibri"/>
        <family val="2"/>
        <scheme val="minor"/>
      </rPr>
      <t>+(ORP</t>
    </r>
    <r>
      <rPr>
        <vertAlign val="subscript"/>
        <sz val="11"/>
        <rFont val="Calibri"/>
        <family val="2"/>
        <scheme val="minor"/>
      </rPr>
      <t>max,SNOx</t>
    </r>
    <r>
      <rPr>
        <sz val="11"/>
        <rFont val="Calibri"/>
        <family val="2"/>
        <scheme val="minor"/>
      </rPr>
      <t>-ORP</t>
    </r>
    <r>
      <rPr>
        <vertAlign val="subscript"/>
        <sz val="11"/>
        <rFont val="Calibri"/>
        <family val="2"/>
        <scheme val="minor"/>
      </rPr>
      <t>base</t>
    </r>
    <r>
      <rPr>
        <sz val="11"/>
        <rFont val="Calibri"/>
        <family val="2"/>
        <charset val="238"/>
        <scheme val="minor"/>
      </rPr>
      <t>)</t>
    </r>
    <r>
      <rPr>
        <sz val="11"/>
        <rFont val="Calibri"/>
        <family val="2"/>
        <scheme val="minor"/>
      </rPr>
      <t>*S</t>
    </r>
    <r>
      <rPr>
        <vertAlign val="subscript"/>
        <sz val="11"/>
        <rFont val="Calibri"/>
        <family val="2"/>
        <scheme val="minor"/>
      </rPr>
      <t>NOx</t>
    </r>
    <r>
      <rPr>
        <sz val="11"/>
        <rFont val="Calibri"/>
        <family val="2"/>
        <scheme val="minor"/>
      </rPr>
      <t>/(K</t>
    </r>
    <r>
      <rPr>
        <vertAlign val="subscript"/>
        <sz val="11"/>
        <rFont val="Calibri"/>
        <family val="2"/>
        <scheme val="minor"/>
      </rPr>
      <t>ORP,SNOx</t>
    </r>
    <r>
      <rPr>
        <sz val="11"/>
        <rFont val="Calibri"/>
        <family val="2"/>
        <scheme val="minor"/>
      </rPr>
      <t>+S</t>
    </r>
    <r>
      <rPr>
        <vertAlign val="subscript"/>
        <sz val="11"/>
        <rFont val="Calibri"/>
        <family val="2"/>
        <scheme val="minor"/>
      </rPr>
      <t>NOx</t>
    </r>
    <r>
      <rPr>
        <sz val="11"/>
        <rFont val="Calibri"/>
        <family val="2"/>
        <scheme val="minor"/>
      </rPr>
      <t>)</t>
    </r>
  </si>
  <si>
    <r>
      <t>K</t>
    </r>
    <r>
      <rPr>
        <vertAlign val="subscript"/>
        <sz val="11"/>
        <rFont val="Calibri"/>
        <family val="2"/>
        <scheme val="minor"/>
      </rPr>
      <t>O2,CASTO</t>
    </r>
  </si>
  <si>
    <r>
      <t>Half-saturation of 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</si>
  <si>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rPr>
      <t>NO2,CASTO</t>
    </r>
  </si>
  <si>
    <r>
      <t>Half-saturation of NO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</si>
  <si>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scheme val="minor"/>
      </rPr>
      <t>NO3,CASTO</t>
    </r>
  </si>
  <si>
    <r>
      <t>Half-saturation of NO</t>
    </r>
    <r>
      <rPr>
        <vertAlign val="subscript"/>
        <sz val="11"/>
        <color rgb="FF000000"/>
        <rFont val="Calibri"/>
        <family val="2"/>
        <scheme val="minor"/>
      </rPr>
      <t>3</t>
    </r>
    <r>
      <rPr>
        <sz val="11"/>
        <color rgb="FF000000"/>
        <rFont val="Calibri"/>
        <family val="2"/>
        <charset val="238"/>
        <scheme val="minor"/>
      </rPr>
      <t xml:space="preserve"> for CASTOs</t>
    </r>
  </si>
  <si>
    <r>
      <t>K</t>
    </r>
    <r>
      <rPr>
        <vertAlign val="subscript"/>
        <sz val="11"/>
        <rFont val="Calibri"/>
        <family val="2"/>
        <scheme val="minor"/>
      </rPr>
      <t>VFA,CASTO</t>
    </r>
  </si>
  <si>
    <t>Half-saturation of VFA storage for CASTOs</t>
  </si>
  <si>
    <t>Half-saturations for carbon storing organisms (CASTO)</t>
  </si>
  <si>
    <r>
      <t>Minh</t>
    </r>
    <r>
      <rPr>
        <vertAlign val="subscript"/>
        <sz val="11"/>
        <rFont val="Calibri"/>
        <family val="2"/>
        <scheme val="minor"/>
      </rPr>
      <t>SNO2,KNO2,CASTO</t>
    </r>
  </si>
  <si>
    <r>
      <t>Inhibition term for NO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</si>
  <si>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NO2</t>
    </r>
    <r>
      <rPr>
        <sz val="11"/>
        <rFont val="Calibri"/>
        <family val="2"/>
        <scheme val="minor"/>
      </rPr>
      <t>;K</t>
    </r>
    <r>
      <rPr>
        <vertAlign val="subscript"/>
        <sz val="11"/>
        <rFont val="Calibri"/>
        <family val="2"/>
        <scheme val="minor"/>
      </rPr>
      <t>NO2,CASTO</t>
    </r>
    <r>
      <rPr>
        <sz val="11"/>
        <rFont val="Calibri"/>
        <family val="2"/>
        <scheme val="minor"/>
      </rPr>
      <t>)</t>
    </r>
  </si>
  <si>
    <r>
      <t>Minh</t>
    </r>
    <r>
      <rPr>
        <vertAlign val="subscript"/>
        <sz val="11"/>
        <rFont val="Calibri"/>
        <family val="2"/>
        <scheme val="minor"/>
      </rPr>
      <t>SNO3,KNO3,CASTO</t>
    </r>
  </si>
  <si>
    <r>
      <t>Inhibition term for NO</t>
    </r>
    <r>
      <rPr>
        <vertAlign val="subscript"/>
        <sz val="11"/>
        <color rgb="FF000000"/>
        <rFont val="Calibri"/>
        <family val="2"/>
        <scheme val="minor"/>
      </rPr>
      <t>3</t>
    </r>
    <r>
      <rPr>
        <sz val="11"/>
        <color rgb="FF000000"/>
        <rFont val="Calibri"/>
        <family val="2"/>
        <charset val="238"/>
        <scheme val="minor"/>
      </rPr>
      <t xml:space="preserve"> (CASTO)</t>
    </r>
  </si>
  <si>
    <r>
      <t>Minh(S</t>
    </r>
    <r>
      <rPr>
        <vertAlign val="subscript"/>
        <sz val="11"/>
        <rFont val="Calibri"/>
        <family val="2"/>
        <scheme val="minor"/>
      </rPr>
      <t>NO3</t>
    </r>
    <r>
      <rPr>
        <sz val="11"/>
        <rFont val="Calibri"/>
        <family val="2"/>
        <scheme val="minor"/>
      </rPr>
      <t>;K</t>
    </r>
    <r>
      <rPr>
        <vertAlign val="subscript"/>
        <sz val="11"/>
        <rFont val="Calibri"/>
        <family val="2"/>
        <scheme val="minor"/>
      </rPr>
      <t>NO3,CASTO</t>
    </r>
    <r>
      <rPr>
        <sz val="11"/>
        <rFont val="Calibri"/>
        <family val="2"/>
        <scheme val="minor"/>
      </rPr>
      <t>)</t>
    </r>
  </si>
  <si>
    <r>
      <t>Minh</t>
    </r>
    <r>
      <rPr>
        <vertAlign val="subscript"/>
        <sz val="11"/>
        <rFont val="Calibri"/>
        <family val="2"/>
        <scheme val="minor"/>
      </rPr>
      <t>SO2,KO2,CASTO</t>
    </r>
  </si>
  <si>
    <r>
      <t>Inhibition term for 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</si>
  <si>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</si>
  <si>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MRsat</t>
    </r>
    <r>
      <rPr>
        <vertAlign val="subscript"/>
        <sz val="11"/>
        <rFont val="Calibri"/>
        <family val="2"/>
        <scheme val="minor"/>
      </rPr>
      <t>XSTC,XCASTO,KSTC</t>
    </r>
  </si>
  <si>
    <r>
      <t>MRsat(X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</si>
  <si>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MRinh</t>
    </r>
    <r>
      <rPr>
        <vertAlign val="subscript"/>
        <sz val="11"/>
        <rFont val="Calibri"/>
        <family val="2"/>
        <scheme val="minor"/>
      </rPr>
      <t>XPHA,XPAO,KPHA,cle</t>
    </r>
  </si>
  <si>
    <r>
      <t>MRinh</t>
    </r>
    <r>
      <rPr>
        <vertAlign val="subscript"/>
        <sz val="11"/>
        <rFont val="Calibri"/>
        <family val="2"/>
        <scheme val="minor"/>
      </rPr>
      <t>XSTC,XCASTO,KSTC</t>
    </r>
  </si>
  <si>
    <r>
      <t>MRinh(X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</si>
  <si>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Msat</t>
    </r>
    <r>
      <rPr>
        <vertAlign val="subscript"/>
        <sz val="11"/>
        <rFont val="Calibri"/>
        <family val="2"/>
      </rPr>
      <t>SNO2,KNO2,CASTO</t>
    </r>
  </si>
  <si>
    <r>
      <t>Saturation term for NO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</si>
  <si>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rPr>
      <t>NO2</t>
    </r>
    <r>
      <rPr>
        <sz val="11"/>
        <rFont val="Calibri"/>
        <family val="2"/>
      </rPr>
      <t>;K</t>
    </r>
    <r>
      <rPr>
        <vertAlign val="subscript"/>
        <sz val="11"/>
        <rFont val="Calibri"/>
        <family val="2"/>
      </rPr>
      <t>NO2,CASTO</t>
    </r>
    <r>
      <rPr>
        <sz val="11"/>
        <rFont val="Calibri"/>
        <family val="2"/>
      </rPr>
      <t>)</t>
    </r>
  </si>
  <si>
    <r>
      <t>Msat</t>
    </r>
    <r>
      <rPr>
        <vertAlign val="subscript"/>
        <sz val="11"/>
        <rFont val="Calibri"/>
        <family val="2"/>
      </rPr>
      <t>SNO3,KNO3,CASTO</t>
    </r>
  </si>
  <si>
    <r>
      <t>Saturation term for NO</t>
    </r>
    <r>
      <rPr>
        <vertAlign val="subscript"/>
        <sz val="11"/>
        <color rgb="FF000000"/>
        <rFont val="Calibri"/>
        <family val="2"/>
        <scheme val="minor"/>
      </rPr>
      <t>3</t>
    </r>
    <r>
      <rPr>
        <sz val="11"/>
        <color rgb="FF000000"/>
        <rFont val="Calibri"/>
        <family val="2"/>
        <charset val="238"/>
        <scheme val="minor"/>
      </rPr>
      <t xml:space="preserve"> (CASTO)</t>
    </r>
  </si>
  <si>
    <r>
      <t>Msat(S</t>
    </r>
    <r>
      <rPr>
        <vertAlign val="subscript"/>
        <sz val="11"/>
        <rFont val="Calibri"/>
        <family val="2"/>
      </rPr>
      <t>NO3</t>
    </r>
    <r>
      <rPr>
        <sz val="11"/>
        <rFont val="Calibri"/>
        <family val="2"/>
      </rPr>
      <t>;K</t>
    </r>
    <r>
      <rPr>
        <vertAlign val="subscript"/>
        <sz val="11"/>
        <rFont val="Calibri"/>
        <family val="2"/>
      </rPr>
      <t>NO3,CASTO</t>
    </r>
    <r>
      <rPr>
        <sz val="11"/>
        <rFont val="Calibri"/>
        <family val="2"/>
      </rPr>
      <t>)</t>
    </r>
  </si>
  <si>
    <r>
      <t>Msat</t>
    </r>
    <r>
      <rPr>
        <vertAlign val="subscript"/>
        <sz val="11"/>
        <rFont val="Calibri"/>
        <family val="2"/>
        <scheme val="minor"/>
      </rPr>
      <t>SO2,KO2,CASTO</t>
    </r>
  </si>
  <si>
    <r>
      <t>Saturation term for 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</si>
  <si>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</si>
  <si>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Logistic saturation term for PO</t>
    </r>
    <r>
      <rPr>
        <vertAlign val="subscript"/>
        <sz val="11"/>
        <color rgb="FF000000"/>
        <rFont val="Calibri"/>
        <family val="2"/>
        <scheme val="minor"/>
      </rPr>
      <t>4</t>
    </r>
    <r>
      <rPr>
        <sz val="11"/>
        <color rgb="FF000000"/>
        <rFont val="Calibri"/>
        <family val="2"/>
        <charset val="238"/>
        <scheme val="minor"/>
      </rPr>
      <t xml:space="preserve"> (PAO)</t>
    </r>
  </si>
  <si>
    <r>
      <t>Msat</t>
    </r>
    <r>
      <rPr>
        <vertAlign val="subscript"/>
        <sz val="11"/>
        <rFont val="Calibri"/>
        <family val="2"/>
        <scheme val="minor"/>
      </rPr>
      <t>SVFA,KVFA,CASTO</t>
    </r>
  </si>
  <si>
    <t>Saturation term for VFA storage (CASTO)</t>
  </si>
  <si>
    <r>
      <t>Msat(S</t>
    </r>
    <r>
      <rPr>
        <vertAlign val="subscript"/>
        <sz val="11"/>
        <rFont val="Calibri"/>
        <family val="2"/>
        <scheme val="minor"/>
      </rPr>
      <t>VFA</t>
    </r>
    <r>
      <rPr>
        <sz val="11"/>
        <rFont val="Calibri"/>
        <family val="2"/>
        <scheme val="minor"/>
      </rPr>
      <t>;K</t>
    </r>
    <r>
      <rPr>
        <vertAlign val="subscript"/>
        <sz val="11"/>
        <rFont val="Calibri"/>
        <family val="2"/>
        <scheme val="minor"/>
      </rPr>
      <t>VFA,CASTO</t>
    </r>
    <r>
      <rPr>
        <sz val="11"/>
        <rFont val="Calibri"/>
        <family val="2"/>
        <scheme val="minor"/>
      </rPr>
      <t>)</t>
    </r>
  </si>
  <si>
    <t>Logistic inhibition term for PHA (PAO)</t>
  </si>
  <si>
    <t>Logistic inhibition term for PP (PAO)</t>
  </si>
  <si>
    <r>
      <t>µ</t>
    </r>
    <r>
      <rPr>
        <vertAlign val="subscript"/>
        <sz val="11"/>
        <color indexed="8"/>
        <rFont val="Calibri"/>
        <family val="2"/>
        <scheme val="minor"/>
      </rPr>
      <t>CASTO,T</t>
    </r>
  </si>
  <si>
    <t>Observed maximum specific growth rate of CASTOs (temperature corrected)</t>
  </si>
  <si>
    <r>
      <t>µ</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µ,CASTO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</si>
  <si>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STC,T</t>
    </r>
  </si>
  <si>
    <r>
      <t>b</t>
    </r>
    <r>
      <rPr>
        <vertAlign val="subscript"/>
        <sz val="11"/>
        <color indexed="8"/>
        <rFont val="Calibri"/>
        <family val="2"/>
        <charset val="238"/>
        <scheme val="minor"/>
      </rPr>
      <t>STC</t>
    </r>
    <r>
      <rPr>
        <sz val="11"/>
        <color indexed="8"/>
        <rFont val="Calibri"/>
        <family val="2"/>
        <scheme val="minor"/>
      </rPr>
      <t>*Arrh(θ</t>
    </r>
    <r>
      <rPr>
        <vertAlign val="subscript"/>
        <sz val="11"/>
        <color indexed="8"/>
        <rFont val="Calibri"/>
        <family val="2"/>
        <scheme val="minor"/>
      </rPr>
      <t>b,STC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</si>
  <si>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CASTO,T</t>
    </r>
  </si>
  <si>
    <t>Decay rate of CASTOs (temperature corrected)</t>
  </si>
  <si>
    <r>
      <t>b</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b,CASTO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</si>
  <si>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O2,CASTO,AS</t>
    </r>
    <r>
      <rPr>
        <sz val="11"/>
        <rFont val="Calibri"/>
        <family val="2"/>
        <scheme val="minor"/>
      </rPr>
      <t>*f</t>
    </r>
    <r>
      <rPr>
        <vertAlign val="subscript"/>
        <sz val="11"/>
        <rFont val="Calibri"/>
        <family val="2"/>
        <scheme val="minor"/>
      </rPr>
      <t>KS</t>
    </r>
  </si>
  <si>
    <r>
      <t>K</t>
    </r>
    <r>
      <rPr>
        <vertAlign val="subscript"/>
        <sz val="11"/>
        <rFont val="Calibri"/>
        <family val="2"/>
      </rPr>
      <t>NO2,CASTO,AS</t>
    </r>
  </si>
  <si>
    <r>
      <t>K</t>
    </r>
    <r>
      <rPr>
        <vertAlign val="subscript"/>
        <sz val="11"/>
        <rFont val="Calibri"/>
        <family val="2"/>
      </rPr>
      <t>NO2,CASTO,AS</t>
    </r>
    <r>
      <rPr>
        <sz val="11"/>
        <rFont val="Calibri"/>
        <family val="2"/>
      </rPr>
      <t>*f</t>
    </r>
    <r>
      <rPr>
        <vertAlign val="subscript"/>
        <sz val="11"/>
        <rFont val="Calibri"/>
        <family val="2"/>
      </rPr>
      <t>KS</t>
    </r>
  </si>
  <si>
    <r>
      <t>K</t>
    </r>
    <r>
      <rPr>
        <vertAlign val="subscript"/>
        <sz val="11"/>
        <rFont val="Calibri"/>
        <family val="2"/>
        <scheme val="minor"/>
      </rPr>
      <t>NO3,CASTO,AS</t>
    </r>
    <r>
      <rPr>
        <sz val="11"/>
        <rFont val="Calibri"/>
        <family val="2"/>
        <scheme val="minor"/>
      </rPr>
      <t>*f</t>
    </r>
    <r>
      <rPr>
        <vertAlign val="subscript"/>
        <sz val="11"/>
        <rFont val="Calibri"/>
        <family val="2"/>
        <scheme val="minor"/>
      </rPr>
      <t>KS</t>
    </r>
  </si>
  <si>
    <r>
      <t>K</t>
    </r>
    <r>
      <rPr>
        <vertAlign val="subscript"/>
        <sz val="11"/>
        <rFont val="Calibri"/>
        <family val="2"/>
        <scheme val="minor"/>
      </rPr>
      <t>VFA,CASTO,AS</t>
    </r>
    <r>
      <rPr>
        <sz val="11"/>
        <rFont val="Calibri"/>
        <family val="2"/>
        <scheme val="minor"/>
      </rPr>
      <t>*f</t>
    </r>
    <r>
      <rPr>
        <vertAlign val="subscript"/>
        <sz val="11"/>
        <rFont val="Calibri"/>
        <family val="2"/>
        <scheme val="minor"/>
      </rPr>
      <t>KS</t>
    </r>
  </si>
  <si>
    <r>
      <t>PAO polyphosphate storage, O</t>
    </r>
    <r>
      <rPr>
        <vertAlign val="subscript"/>
        <sz val="11"/>
        <rFont val="Calibri"/>
        <family val="2"/>
      </rPr>
      <t>2</t>
    </r>
  </si>
  <si>
    <r>
      <t>PAO polyphosphate storage, NO</t>
    </r>
    <r>
      <rPr>
        <vertAlign val="subscript"/>
        <sz val="11"/>
        <rFont val="Calibri"/>
        <family val="2"/>
      </rPr>
      <t>2</t>
    </r>
  </si>
  <si>
    <r>
      <t>PAO polyphosphate storage, NO</t>
    </r>
    <r>
      <rPr>
        <vertAlign val="subscript"/>
        <sz val="11"/>
        <rFont val="Calibri"/>
        <family val="2"/>
      </rPr>
      <t>3</t>
    </r>
  </si>
  <si>
    <r>
      <t>PAO's PHA storage from VFAs and PO</t>
    </r>
    <r>
      <rPr>
        <vertAlign val="subscript"/>
        <sz val="11"/>
        <rFont val="Calibri"/>
        <family val="2"/>
        <charset val="238"/>
      </rPr>
      <t>4</t>
    </r>
    <r>
      <rPr>
        <sz val="11"/>
        <rFont val="Calibri"/>
        <family val="2"/>
      </rPr>
      <t xml:space="preserve"> release</t>
    </r>
  </si>
  <si>
    <t>CASTO aerobic maintenance</t>
  </si>
  <si>
    <r>
      <t>CASTO anoxic maintenance, NO</t>
    </r>
    <r>
      <rPr>
        <vertAlign val="subscript"/>
        <sz val="11"/>
        <color rgb="FF000000"/>
        <rFont val="Calibri"/>
        <family val="2"/>
        <scheme val="minor"/>
      </rPr>
      <t>2</t>
    </r>
  </si>
  <si>
    <r>
      <t>CASTO anoxic maintenance, NO</t>
    </r>
    <r>
      <rPr>
        <vertAlign val="subscript"/>
        <sz val="11"/>
        <color rgb="FF000000"/>
        <rFont val="Calibri"/>
        <family val="2"/>
        <scheme val="minor"/>
      </rPr>
      <t>3</t>
    </r>
  </si>
  <si>
    <t>CASTO decay</t>
  </si>
  <si>
    <t>CASTO anaerobic decay</t>
  </si>
  <si>
    <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)/Y</t>
    </r>
    <r>
      <rPr>
        <vertAlign val="subscript"/>
        <sz val="11"/>
        <rFont val="Calibri"/>
        <family val="2"/>
      </rPr>
      <t>CASTO,SB,ana</t>
    </r>
  </si>
  <si>
    <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)/Y</t>
    </r>
    <r>
      <rPr>
        <vertAlign val="subscript"/>
        <sz val="11"/>
        <rFont val="Calibri"/>
        <family val="2"/>
      </rPr>
      <t>CASTO,SB,ana</t>
    </r>
  </si>
  <si>
    <r>
      <t>X</t>
    </r>
    <r>
      <rPr>
        <vertAlign val="subscript"/>
        <sz val="11"/>
        <rFont val="Calibri"/>
        <family val="2"/>
      </rPr>
      <t>STC</t>
    </r>
    <r>
      <rPr>
        <sz val="11"/>
        <rFont val="Calibri"/>
        <family val="2"/>
      </rPr>
      <t>/X</t>
    </r>
    <r>
      <rPr>
        <vertAlign val="subscript"/>
        <sz val="11"/>
        <rFont val="Calibri"/>
        <family val="2"/>
      </rPr>
      <t>CASTO</t>
    </r>
  </si>
  <si>
    <r>
      <t>-1/Y</t>
    </r>
    <r>
      <rPr>
        <vertAlign val="subscript"/>
        <sz val="11"/>
        <rFont val="Calibri"/>
        <family val="2"/>
      </rPr>
      <t>CASTO,SB,ana</t>
    </r>
  </si>
  <si>
    <r>
      <t>-Y</t>
    </r>
    <r>
      <rPr>
        <vertAlign val="subscript"/>
        <sz val="11"/>
        <rFont val="Calibri"/>
        <family val="2"/>
      </rPr>
      <t>PP,CASTO,ox</t>
    </r>
  </si>
  <si>
    <r>
      <t>-Y</t>
    </r>
    <r>
      <rPr>
        <vertAlign val="subscript"/>
        <sz val="11"/>
        <rFont val="Calibri"/>
        <family val="2"/>
      </rPr>
      <t>PP,CASTO,anox</t>
    </r>
  </si>
  <si>
    <r>
      <t>i</t>
    </r>
    <r>
      <rPr>
        <vertAlign val="subscript"/>
        <sz val="11"/>
        <rFont val="Calibri"/>
        <family val="2"/>
      </rPr>
      <t>N,BIO</t>
    </r>
    <r>
      <rPr>
        <sz val="11"/>
        <rFont val="Calibri"/>
        <family val="2"/>
      </rPr>
      <t>*Y</t>
    </r>
    <r>
      <rPr>
        <vertAlign val="subscript"/>
        <sz val="11"/>
        <rFont val="Calibri"/>
        <family val="2"/>
      </rPr>
      <t>PP,CASTO,ox</t>
    </r>
  </si>
  <si>
    <r>
      <t>i</t>
    </r>
    <r>
      <rPr>
        <vertAlign val="subscript"/>
        <sz val="11"/>
        <rFont val="Calibri"/>
        <family val="2"/>
      </rPr>
      <t>N,BIO</t>
    </r>
    <r>
      <rPr>
        <sz val="11"/>
        <rFont val="Calibri"/>
        <family val="2"/>
      </rPr>
      <t>*Y</t>
    </r>
    <r>
      <rPr>
        <vertAlign val="subscript"/>
        <sz val="11"/>
        <rFont val="Calibri"/>
        <family val="2"/>
      </rPr>
      <t>PP,CASTO,anox</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</si>
  <si>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</si>
  <si>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</si>
  <si>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-Y</t>
    </r>
    <r>
      <rPr>
        <vertAlign val="subscript"/>
        <sz val="11"/>
        <rFont val="Calibri"/>
        <family val="2"/>
      </rPr>
      <t>PP,CASTO,anox</t>
    </r>
    <r>
      <rPr>
        <sz val="11"/>
        <rFont val="Calibri"/>
        <family val="2"/>
      </rPr>
      <t>/EEQ</t>
    </r>
    <r>
      <rPr>
        <vertAlign val="subscript"/>
        <sz val="11"/>
        <rFont val="Calibri"/>
        <family val="2"/>
      </rPr>
      <t>N2,NO2</t>
    </r>
  </si>
  <si>
    <r>
      <t>Y</t>
    </r>
    <r>
      <rPr>
        <vertAlign val="subscript"/>
        <sz val="11"/>
        <rFont val="Calibri"/>
        <family val="2"/>
      </rPr>
      <t>PP,CASTO,anox</t>
    </r>
    <r>
      <rPr>
        <sz val="11"/>
        <rFont val="Calibri"/>
        <family val="2"/>
      </rPr>
      <t>/EEQ</t>
    </r>
    <r>
      <rPr>
        <vertAlign val="subscript"/>
        <sz val="11"/>
        <rFont val="Calibri"/>
        <family val="2"/>
      </rPr>
      <t>NO2,NO3</t>
    </r>
  </si>
  <si>
    <r>
      <t>-Y</t>
    </r>
    <r>
      <rPr>
        <vertAlign val="subscript"/>
        <sz val="11"/>
        <rFont val="Calibri"/>
        <family val="2"/>
      </rPr>
      <t>PP,CASTO,anox</t>
    </r>
    <r>
      <rPr>
        <sz val="11"/>
        <rFont val="Calibri"/>
        <family val="2"/>
      </rPr>
      <t>/EEQ</t>
    </r>
    <r>
      <rPr>
        <vertAlign val="subscript"/>
        <sz val="11"/>
        <rFont val="Calibri"/>
        <family val="2"/>
      </rPr>
      <t>NO2,NO3</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</si>
  <si>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</si>
  <si>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Y</t>
    </r>
    <r>
      <rPr>
        <vertAlign val="subscript"/>
        <sz val="11"/>
        <rFont val="Calibri"/>
        <family val="2"/>
      </rPr>
      <t>PP,CASTO,anox</t>
    </r>
    <r>
      <rPr>
        <sz val="11"/>
        <rFont val="Calibri"/>
        <family val="2"/>
      </rPr>
      <t>/EEQ</t>
    </r>
    <r>
      <rPr>
        <vertAlign val="subscript"/>
        <sz val="11"/>
        <rFont val="Calibri"/>
        <family val="2"/>
      </rPr>
      <t>N2,NO2</t>
    </r>
  </si>
  <si>
    <r>
      <t>i</t>
    </r>
    <r>
      <rPr>
        <vertAlign val="subscript"/>
        <sz val="11"/>
        <rFont val="Calibri"/>
        <family val="2"/>
      </rPr>
      <t>P,BIO</t>
    </r>
    <r>
      <rPr>
        <sz val="11"/>
        <rFont val="Calibri"/>
        <family val="2"/>
      </rPr>
      <t>*Y</t>
    </r>
    <r>
      <rPr>
        <vertAlign val="subscript"/>
        <sz val="11"/>
        <rFont val="Calibri"/>
        <family val="2"/>
      </rPr>
      <t>PP,CASTO,ox</t>
    </r>
    <r>
      <rPr>
        <sz val="11"/>
        <rFont val="Calibri"/>
        <family val="2"/>
      </rPr>
      <t xml:space="preserve"> -1</t>
    </r>
  </si>
  <si>
    <r>
      <t>i</t>
    </r>
    <r>
      <rPr>
        <vertAlign val="subscript"/>
        <sz val="11"/>
        <rFont val="Calibri"/>
        <family val="2"/>
      </rPr>
      <t>P,BIO</t>
    </r>
    <r>
      <rPr>
        <sz val="11"/>
        <rFont val="Calibri"/>
        <family val="2"/>
      </rPr>
      <t>*Y</t>
    </r>
    <r>
      <rPr>
        <vertAlign val="subscript"/>
        <sz val="11"/>
        <rFont val="Calibri"/>
        <family val="2"/>
      </rPr>
      <t>PP,CASTO,anox</t>
    </r>
    <r>
      <rPr>
        <sz val="11"/>
        <rFont val="Calibri"/>
        <family val="2"/>
      </rPr>
      <t xml:space="preserve"> -1</t>
    </r>
  </si>
  <si>
    <r>
      <t>X</t>
    </r>
    <r>
      <rPr>
        <vertAlign val="subscript"/>
        <sz val="11"/>
        <rFont val="Calibri"/>
        <family val="2"/>
      </rPr>
      <t>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</si>
  <si>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/X</t>
    </r>
    <r>
      <rPr>
        <vertAlign val="subscript"/>
        <sz val="11"/>
        <rFont val="Calibri"/>
        <family val="2"/>
      </rPr>
      <t>CASTO</t>
    </r>
  </si>
  <si>
    <r>
      <t>-(1-Y</t>
    </r>
    <r>
      <rPr>
        <vertAlign val="subscript"/>
        <sz val="11"/>
        <rFont val="Calibri"/>
        <family val="2"/>
      </rPr>
      <t>CASTO,STC,ox</t>
    </r>
    <r>
      <rPr>
        <sz val="11"/>
        <rFont val="Calibri"/>
        <family val="2"/>
      </rPr>
      <t>)/Y</t>
    </r>
    <r>
      <rPr>
        <vertAlign val="subscript"/>
        <sz val="11"/>
        <rFont val="Calibri"/>
        <family val="2"/>
      </rPr>
      <t>CASTO,STC,ox</t>
    </r>
  </si>
  <si>
    <r>
      <t>Y</t>
    </r>
    <r>
      <rPr>
        <vertAlign val="subscript"/>
        <sz val="11"/>
        <rFont val="Calibri"/>
        <family val="2"/>
      </rPr>
      <t>CASTO,H2,ana,high</t>
    </r>
    <r>
      <rPr>
        <sz val="11"/>
        <rFont val="Calibri"/>
        <family val="2"/>
      </rPr>
      <t>/Y</t>
    </r>
    <r>
      <rPr>
        <vertAlign val="subscript"/>
        <sz val="11"/>
        <rFont val="Calibri"/>
        <family val="2"/>
      </rPr>
      <t>CASTO,SB,ana</t>
    </r>
  </si>
  <si>
    <r>
      <t>Y</t>
    </r>
    <r>
      <rPr>
        <vertAlign val="subscript"/>
        <sz val="11"/>
        <rFont val="Calibri"/>
        <family val="2"/>
      </rPr>
      <t>CASTO,H2,ana,low</t>
    </r>
    <r>
      <rPr>
        <sz val="11"/>
        <rFont val="Calibri"/>
        <family val="2"/>
      </rPr>
      <t>/Y</t>
    </r>
    <r>
      <rPr>
        <vertAlign val="subscript"/>
        <sz val="11"/>
        <rFont val="Calibri"/>
        <family val="2"/>
      </rPr>
      <t>CASTO,SB,ana</t>
    </r>
  </si>
  <si>
    <r>
      <t>(i</t>
    </r>
    <r>
      <rPr>
        <vertAlign val="subscript"/>
        <sz val="11"/>
        <rFont val="Calibri"/>
        <family val="2"/>
      </rPr>
      <t>CIT,STC</t>
    </r>
    <r>
      <rPr>
        <sz val="11"/>
        <rFont val="Calibri"/>
        <family val="2"/>
      </rPr>
      <t>/Y</t>
    </r>
    <r>
      <rPr>
        <vertAlign val="subscript"/>
        <sz val="11"/>
        <rFont val="Calibri"/>
        <family val="2"/>
      </rPr>
      <t>CASTO,STC,ox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</si>
  <si>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CIT,STC</t>
    </r>
    <r>
      <rPr>
        <sz val="11"/>
        <rFont val="Calibri"/>
        <family val="2"/>
      </rPr>
      <t>/Y</t>
    </r>
    <r>
      <rPr>
        <vertAlign val="subscript"/>
        <sz val="11"/>
        <rFont val="Calibri"/>
        <family val="2"/>
      </rPr>
      <t>CASTO,STC,anox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</si>
  <si>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CIT,BIO</t>
    </r>
    <r>
      <rPr>
        <sz val="11"/>
        <rFont val="Calibri"/>
        <family val="2"/>
      </rPr>
      <t>*Y</t>
    </r>
    <r>
      <rPr>
        <vertAlign val="subscript"/>
        <sz val="11"/>
        <rFont val="Calibri"/>
        <family val="2"/>
      </rPr>
      <t>PP,CASTO,ox</t>
    </r>
  </si>
  <si>
    <r>
      <t>i</t>
    </r>
    <r>
      <rPr>
        <vertAlign val="subscript"/>
        <sz val="11"/>
        <rFont val="Calibri"/>
        <family val="2"/>
      </rPr>
      <t>CIT,BIO</t>
    </r>
    <r>
      <rPr>
        <sz val="11"/>
        <rFont val="Calibri"/>
        <family val="2"/>
      </rPr>
      <t>*Y</t>
    </r>
    <r>
      <rPr>
        <vertAlign val="subscript"/>
        <sz val="11"/>
        <rFont val="Calibri"/>
        <family val="2"/>
      </rPr>
      <t>PP,CASTO,anox</t>
    </r>
  </si>
  <si>
    <r>
      <t>i</t>
    </r>
    <r>
      <rPr>
        <vertAlign val="subscript"/>
        <sz val="11"/>
        <rFont val="Calibri"/>
        <family val="2"/>
      </rPr>
      <t>CIT,STC</t>
    </r>
  </si>
  <si>
    <r>
      <t>-i</t>
    </r>
    <r>
      <rPr>
        <vertAlign val="subscript"/>
        <sz val="11"/>
        <rFont val="Calibri"/>
        <family val="2"/>
      </rPr>
      <t>INORG</t>
    </r>
    <r>
      <rPr>
        <sz val="11"/>
        <rFont val="Calibri"/>
        <family val="2"/>
      </rPr>
      <t>*Y</t>
    </r>
    <r>
      <rPr>
        <vertAlign val="subscript"/>
        <sz val="11"/>
        <rFont val="Calibri"/>
        <family val="2"/>
      </rPr>
      <t>PP,CASTO,ox</t>
    </r>
  </si>
  <si>
    <r>
      <t>-i</t>
    </r>
    <r>
      <rPr>
        <vertAlign val="subscript"/>
        <sz val="11"/>
        <rFont val="Calibri"/>
        <family val="2"/>
      </rPr>
      <t>INORG</t>
    </r>
    <r>
      <rPr>
        <sz val="11"/>
        <rFont val="Calibri"/>
        <family val="2"/>
      </rPr>
      <t>*Y</t>
    </r>
    <r>
      <rPr>
        <vertAlign val="subscript"/>
        <sz val="11"/>
        <rFont val="Calibri"/>
        <family val="2"/>
      </rPr>
      <t>PP,CASTO,anox</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</si>
  <si>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</si>
  <si>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</si>
  <si>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</si>
  <si>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</si>
  <si>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</si>
  <si>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</si>
  <si>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</si>
  <si>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</si>
  <si>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X</t>
    </r>
    <r>
      <rPr>
        <vertAlign val="subscript"/>
        <sz val="11"/>
        <rFont val="Calibri"/>
        <family val="2"/>
      </rPr>
      <t>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K,PP</t>
    </r>
    <r>
      <rPr>
        <sz val="11"/>
        <rFont val="Calibri"/>
        <family val="2"/>
      </rPr>
      <t>/X</t>
    </r>
    <r>
      <rPr>
        <vertAlign val="subscript"/>
        <sz val="11"/>
        <rFont val="Calibri"/>
        <family val="2"/>
      </rPr>
      <t>CASTO</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</si>
  <si>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MRsat</t>
    </r>
    <r>
      <rPr>
        <vertAlign val="subscript"/>
        <sz val="11"/>
        <rFont val="Calibri"/>
        <family val="2"/>
      </rPr>
      <t>XPHA,XPAO,KPHA</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</si>
  <si>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XPHA,XPAO,KPHA</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</si>
  <si>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XPHA,XPAO,KPHA</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</si>
  <si>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q</t>
    </r>
    <r>
      <rPr>
        <vertAlign val="subscript"/>
        <sz val="11"/>
        <rFont val="Calibri"/>
        <family val="2"/>
      </rPr>
      <t>PAO,PHA,T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sto,PAO,ORP</t>
    </r>
    <r>
      <rPr>
        <sz val="11"/>
        <rFont val="Calibri"/>
        <family val="2"/>
      </rPr>
      <t xml:space="preserve"> * Msat</t>
    </r>
    <r>
      <rPr>
        <vertAlign val="subscript"/>
        <sz val="11"/>
        <rFont val="Calibri"/>
        <family val="2"/>
      </rPr>
      <t>SVFA,KVFA,CASTO</t>
    </r>
    <r>
      <rPr>
        <sz val="11"/>
        <rFont val="Calibri"/>
        <family val="2"/>
      </rPr>
      <t xml:space="preserve"> * MRsat</t>
    </r>
    <r>
      <rPr>
        <vertAlign val="subscript"/>
        <sz val="11"/>
        <rFont val="Calibri"/>
        <family val="2"/>
      </rPr>
      <t>XPP,XPAO,KPP</t>
    </r>
    <r>
      <rPr>
        <sz val="11"/>
        <rFont val="Calibri"/>
        <family val="2"/>
      </rPr>
      <t xml:space="preserve"> * Loginh</t>
    </r>
    <r>
      <rPr>
        <vertAlign val="subscript"/>
        <sz val="11"/>
        <rFont val="Calibri"/>
        <family val="2"/>
      </rPr>
      <t>XPHA,XPAO,max</t>
    </r>
  </si>
  <si>
    <r>
      <t>b</t>
    </r>
    <r>
      <rPr>
        <vertAlign val="subscript"/>
        <sz val="11"/>
        <rFont val="Calibri"/>
        <family val="2"/>
      </rPr>
      <t>STC,T</t>
    </r>
    <r>
      <rPr>
        <sz val="11"/>
        <rFont val="Calibri"/>
        <family val="2"/>
      </rPr>
      <t xml:space="preserve"> * X</t>
    </r>
    <r>
      <rPr>
        <vertAlign val="subscript"/>
        <sz val="11"/>
        <rFont val="Calibri"/>
        <family val="2"/>
      </rPr>
      <t>CASTO</t>
    </r>
    <r>
      <rPr>
        <sz val="11"/>
        <rFont val="Calibri"/>
        <family val="2"/>
      </rPr>
      <t xml:space="preserve"> * Msat</t>
    </r>
    <r>
      <rPr>
        <vertAlign val="subscript"/>
        <sz val="11"/>
        <rFont val="Calibri"/>
        <family val="2"/>
      </rPr>
      <t>SO2,KO2,CASTO</t>
    </r>
    <r>
      <rPr>
        <sz val="11"/>
        <rFont val="Calibri"/>
        <family val="2"/>
      </rPr>
      <t xml:space="preserve"> * MRsat</t>
    </r>
    <r>
      <rPr>
        <vertAlign val="subscript"/>
        <sz val="11"/>
        <rFont val="Calibri"/>
        <family val="2"/>
      </rPr>
      <t>XSTC,XCASTO,KSTC</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</si>
  <si>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MRsat</t>
    </r>
    <r>
      <rPr>
        <vertAlign val="subscript"/>
        <sz val="11"/>
        <rFont val="Calibri"/>
        <family val="2"/>
      </rPr>
      <t>XSTC,XCASTO,KSTC</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</si>
  <si>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Logsat</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rPr>
      <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</si>
  <si>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Loginh</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Msat</t>
    </r>
    <r>
      <rPr>
        <vertAlign val="subscript"/>
        <sz val="11"/>
        <rFont val="Calibri"/>
        <family val="2"/>
      </rPr>
      <t>SCO2,KCO2,BIO</t>
    </r>
    <r>
      <rPr>
        <sz val="11"/>
        <rFont val="Calibri"/>
        <family val="2"/>
      </rPr>
      <t xml:space="preserve"> * Bellinh</t>
    </r>
    <r>
      <rPr>
        <vertAlign val="subscript"/>
        <sz val="11"/>
        <rFont val="Calibri"/>
        <family val="2"/>
      </rPr>
      <t>pH</t>
    </r>
    <r>
      <rPr>
        <sz val="11"/>
        <rFont val="Calibri"/>
        <family val="2"/>
        <charset val="238"/>
      </rPr>
      <t/>
    </r>
  </si>
  <si>
    <r>
      <t>b</t>
    </r>
    <r>
      <rPr>
        <vertAlign val="subscript"/>
        <sz val="11"/>
        <rFont val="Calibri"/>
        <family val="2"/>
      </rPr>
      <t>CASTO,T</t>
    </r>
    <r>
      <rPr>
        <sz val="11"/>
        <rFont val="Calibri"/>
        <family val="2"/>
      </rPr>
      <t xml:space="preserve"> * MRinh</t>
    </r>
    <r>
      <rPr>
        <vertAlign val="subscript"/>
        <sz val="11"/>
        <rFont val="Calibri"/>
        <family val="2"/>
        <charset val="238"/>
      </rPr>
      <t>XSTC,XCASTO,KSTC</t>
    </r>
    <r>
      <rPr>
        <sz val="11"/>
        <rFont val="Calibri"/>
        <family val="2"/>
      </rPr>
      <t xml:space="preserve"> * (X</t>
    </r>
    <r>
      <rPr>
        <vertAlign val="subscript"/>
        <sz val="11"/>
        <rFont val="Calibri"/>
        <family val="2"/>
        <charset val="238"/>
      </rPr>
      <t>CASTO</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bCASTO,anox</t>
    </r>
    <r>
      <rPr>
        <sz val="11"/>
        <rFont val="Calibri"/>
        <family val="2"/>
      </rPr>
      <t xml:space="preserve"> * (X</t>
    </r>
    <r>
      <rPr>
        <vertAlign val="subscript"/>
        <sz val="11"/>
        <rFont val="Calibri"/>
        <family val="2"/>
        <charset val="238"/>
      </rPr>
      <t>GAO</t>
    </r>
    <r>
      <rPr>
        <sz val="11"/>
        <rFont val="Calibri"/>
        <family val="2"/>
      </rPr>
      <t xml:space="preserve"> +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 (Msat</t>
    </r>
    <r>
      <rPr>
        <vertAlign val="subscript"/>
        <sz val="11"/>
        <rFont val="Calibri"/>
        <family val="2"/>
        <charset val="238"/>
      </rPr>
      <t>SNO2,KNO2,CASTO</t>
    </r>
    <r>
      <rPr>
        <sz val="11"/>
        <rFont val="Calibri"/>
        <family val="2"/>
      </rPr>
      <t xml:space="preserve"> + Minh</t>
    </r>
    <r>
      <rPr>
        <vertAlign val="subscript"/>
        <sz val="11"/>
        <rFont val="Calibri"/>
        <family val="2"/>
        <charset val="238"/>
      </rPr>
      <t>SNO2,KNO2,CASTO</t>
    </r>
    <r>
      <rPr>
        <sz val="11"/>
        <rFont val="Calibri"/>
        <family val="2"/>
      </rPr>
      <t xml:space="preserve"> * Msat</t>
    </r>
    <r>
      <rPr>
        <vertAlign val="subscript"/>
        <sz val="11"/>
        <rFont val="Calibri"/>
        <family val="2"/>
        <charset val="238"/>
      </rPr>
      <t>SNO3,KNO3,CASTO</t>
    </r>
    <r>
      <rPr>
        <sz val="11"/>
        <rFont val="Calibri"/>
        <family val="2"/>
      </rPr>
      <t>) * Minh</t>
    </r>
    <r>
      <rPr>
        <vertAlign val="subscript"/>
        <sz val="11"/>
        <rFont val="Calibri"/>
        <family val="2"/>
      </rPr>
      <t>SO2,KO2,CASTO</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</si>
  <si>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</si>
  <si>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XSTC,XCASTO,KSTC</t>
    </r>
  </si>
  <si>
    <t>r34</t>
  </si>
  <si>
    <t>r35</t>
  </si>
  <si>
    <t>r36</t>
  </si>
  <si>
    <t>r38</t>
  </si>
  <si>
    <t>r39</t>
  </si>
  <si>
    <t>r40</t>
  </si>
  <si>
    <t>r42</t>
  </si>
  <si>
    <t>r43</t>
  </si>
  <si>
    <r>
      <t>T</t>
    </r>
    <r>
      <rPr>
        <vertAlign val="subscript"/>
        <sz val="11"/>
        <rFont val="Calibri"/>
        <family val="2"/>
        <charset val="238"/>
      </rPr>
      <t>IN</t>
    </r>
  </si>
  <si>
    <t>Total inorganic nitrogen</t>
  </si>
  <si>
    <r>
      <t>T</t>
    </r>
    <r>
      <rPr>
        <vertAlign val="subscript"/>
        <sz val="11"/>
        <rFont val="Calibri"/>
        <family val="2"/>
        <scheme val="minor"/>
      </rPr>
      <t>KN</t>
    </r>
    <r>
      <rPr>
        <sz val="11"/>
        <rFont val="Calibri"/>
        <family val="2"/>
        <scheme val="minor"/>
      </rPr>
      <t xml:space="preserve"> + S</t>
    </r>
    <r>
      <rPr>
        <vertAlign val="subscript"/>
        <sz val="11"/>
        <rFont val="Calibri"/>
        <family val="2"/>
        <scheme val="minor"/>
      </rPr>
      <t>NOx</t>
    </r>
    <r>
      <rPr>
        <sz val="11"/>
        <rFont val="Calibri"/>
        <family val="2"/>
      </rPr>
      <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</si>
  <si>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NOx</t>
    </r>
    <r>
      <rPr>
        <sz val="11"/>
        <rFont val="Calibri"/>
        <family val="2"/>
      </rPr>
      <t/>
    </r>
  </si>
  <si>
    <r>
      <t>S</t>
    </r>
    <r>
      <rPr>
        <vertAlign val="subscript"/>
        <sz val="11"/>
        <rFont val="Calibri"/>
        <family val="2"/>
      </rPr>
      <t>NO2</t>
    </r>
    <r>
      <rPr>
        <sz val="11"/>
        <rFont val="Calibri"/>
        <family val="2"/>
      </rPr>
      <t xml:space="preserve"> + S</t>
    </r>
    <r>
      <rPr>
        <vertAlign val="subscript"/>
        <sz val="11"/>
        <rFont val="Calibri"/>
        <family val="2"/>
      </rPr>
      <t>NO3</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</si>
  <si>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</si>
  <si>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SNO2,KNO2,CASTO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</si>
  <si>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SNO3,KNO3,CASTO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</si>
  <si>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q</t>
    </r>
    <r>
      <rPr>
        <vertAlign val="subscript"/>
        <sz val="11"/>
        <rFont val="Calibri"/>
        <family val="2"/>
        <charset val="238"/>
        <scheme val="minor"/>
      </rPr>
      <t>PAO,PHA</t>
    </r>
  </si>
  <si>
    <t>Enhanced biological phosphorus removal</t>
  </si>
  <si>
    <r>
      <t>y</t>
    </r>
    <r>
      <rPr>
        <vertAlign val="subscript"/>
        <sz val="11"/>
        <rFont val="Calibri"/>
        <family val="2"/>
        <charset val="238"/>
        <scheme val="minor"/>
      </rPr>
      <t>ORP,GAO,Half,T</t>
    </r>
  </si>
  <si>
    <t>Intercept of logistic half-saturation of ORP switching of GAOs temperature correction</t>
  </si>
  <si>
    <r>
      <t>sl</t>
    </r>
    <r>
      <rPr>
        <vertAlign val="subscript"/>
        <sz val="11"/>
        <rFont val="Calibri"/>
        <family val="2"/>
      </rPr>
      <t>ORP,GAO,Half,T</t>
    </r>
    <r>
      <rPr>
        <sz val="11"/>
        <rFont val="Calibri"/>
        <family val="2"/>
      </rPr>
      <t xml:space="preserve"> * T + y</t>
    </r>
    <r>
      <rPr>
        <vertAlign val="subscript"/>
        <sz val="11"/>
        <rFont val="Calibri"/>
        <family val="2"/>
      </rPr>
      <t>ORP,GAO,Half,T</t>
    </r>
  </si>
  <si>
    <r>
      <t>S</t>
    </r>
    <r>
      <rPr>
        <vertAlign val="subscript"/>
        <sz val="11"/>
        <rFont val="Calibri"/>
        <family val="2"/>
      </rPr>
      <t>B</t>
    </r>
    <r>
      <rPr>
        <sz val="11"/>
        <rFont val="Calibri"/>
        <family val="2"/>
      </rPr>
      <t xml:space="preserve"> + S</t>
    </r>
    <r>
      <rPr>
        <vertAlign val="subscript"/>
        <sz val="11"/>
        <rFont val="Calibri"/>
        <family val="2"/>
      </rPr>
      <t>VFA</t>
    </r>
    <r>
      <rPr>
        <sz val="11"/>
        <rFont val="Calibri"/>
        <family val="2"/>
        <charset val="238"/>
      </rPr>
      <t xml:space="preserve"> </t>
    </r>
    <r>
      <rPr>
        <sz val="11"/>
        <rFont val="Calibri"/>
        <family val="2"/>
      </rPr>
      <t>+ S</t>
    </r>
    <r>
      <rPr>
        <vertAlign val="subscript"/>
        <sz val="11"/>
        <rFont val="Calibri"/>
        <family val="2"/>
      </rPr>
      <t>MEOL</t>
    </r>
  </si>
  <si>
    <r>
      <t>PUR</t>
    </r>
    <r>
      <rPr>
        <vertAlign val="subscript"/>
        <sz val="11"/>
        <rFont val="Calibri"/>
        <family val="2"/>
        <scheme val="minor"/>
      </rPr>
      <t>BIO</t>
    </r>
    <r>
      <rPr>
        <sz val="11"/>
        <rFont val="Calibri"/>
        <family val="2"/>
        <scheme val="minor"/>
      </rPr>
      <t xml:space="preserve"> + PUR</t>
    </r>
    <r>
      <rPr>
        <vertAlign val="subscript"/>
        <sz val="11"/>
        <rFont val="Calibri"/>
        <family val="2"/>
        <scheme val="minor"/>
      </rPr>
      <t>CHEM</t>
    </r>
  </si>
  <si>
    <t>Use "Sumo2" for activated sludge modeling, iron addition for P removal and for plants that have digesters but no iron addition</t>
  </si>
  <si>
    <t>Phosphorus uptake rate of PAO (PURBIOP)</t>
  </si>
  <si>
    <r>
      <t>PUR</t>
    </r>
    <r>
      <rPr>
        <vertAlign val="subscript"/>
        <sz val="11"/>
        <rFont val="Calibri"/>
        <family val="2"/>
        <scheme val="minor"/>
      </rPr>
      <t>BIOP</t>
    </r>
  </si>
  <si>
    <r>
      <rPr>
        <sz val="11"/>
        <rFont val="Calibri"/>
        <family val="2"/>
        <scheme val="minor"/>
      </rPr>
      <t>-(v19_S</t>
    </r>
    <r>
      <rPr>
        <vertAlign val="subscript"/>
        <sz val="11"/>
        <rFont val="Calibri"/>
        <family val="2"/>
        <scheme val="minor"/>
      </rPr>
      <t>PO4</t>
    </r>
    <r>
      <rPr>
        <sz val="11"/>
        <rFont val="Calibri"/>
        <family val="2"/>
        <scheme val="minor"/>
      </rPr>
      <t xml:space="preserve"> * r19 + v20_S</t>
    </r>
    <r>
      <rPr>
        <vertAlign val="subscript"/>
        <sz val="11"/>
        <rFont val="Calibri"/>
        <family val="2"/>
        <scheme val="minor"/>
      </rPr>
      <t>PO4</t>
    </r>
    <r>
      <rPr>
        <sz val="11"/>
        <rFont val="Calibri"/>
        <family val="2"/>
        <scheme val="minor"/>
      </rPr>
      <t xml:space="preserve"> * r20 + v21_S</t>
    </r>
    <r>
      <rPr>
        <vertAlign val="subscript"/>
        <sz val="11"/>
        <rFont val="Calibri"/>
        <family val="2"/>
        <scheme val="minor"/>
      </rPr>
      <t>PO4</t>
    </r>
    <r>
      <rPr>
        <sz val="11"/>
        <rFont val="Calibri"/>
        <family val="2"/>
        <scheme val="minor"/>
      </rPr>
      <t xml:space="preserve"> * r21)</t>
    </r>
  </si>
  <si>
    <r>
      <t>-(v1_S</t>
    </r>
    <r>
      <rPr>
        <vertAlign val="subscript"/>
        <sz val="11"/>
        <rFont val="Calibri"/>
        <family val="2"/>
        <scheme val="minor"/>
      </rPr>
      <t>O2</t>
    </r>
    <r>
      <rPr>
        <sz val="11"/>
        <rFont val="Calibri"/>
        <family val="2"/>
        <scheme val="minor"/>
      </rPr>
      <t xml:space="preserve"> * r1 + v4_S</t>
    </r>
    <r>
      <rPr>
        <vertAlign val="subscript"/>
        <sz val="11"/>
        <rFont val="Calibri"/>
        <family val="2"/>
        <scheme val="minor"/>
      </rPr>
      <t>O2</t>
    </r>
    <r>
      <rPr>
        <sz val="11"/>
        <rFont val="Calibri"/>
        <family val="2"/>
        <scheme val="minor"/>
      </rPr>
      <t xml:space="preserve"> * r4 + v9_S</t>
    </r>
    <r>
      <rPr>
        <vertAlign val="subscript"/>
        <sz val="11"/>
        <rFont val="Calibri"/>
        <family val="2"/>
        <scheme val="minor"/>
      </rPr>
      <t>O2</t>
    </r>
    <r>
      <rPr>
        <sz val="11"/>
        <rFont val="Calibri"/>
        <family val="2"/>
        <scheme val="minor"/>
      </rPr>
      <t xml:space="preserve"> * r9 + v16_S</t>
    </r>
    <r>
      <rPr>
        <vertAlign val="subscript"/>
        <sz val="11"/>
        <rFont val="Calibri"/>
        <family val="2"/>
        <scheme val="minor"/>
      </rPr>
      <t>O2</t>
    </r>
    <r>
      <rPr>
        <sz val="11"/>
        <rFont val="Calibri"/>
        <family val="2"/>
        <scheme val="minor"/>
      </rPr>
      <t xml:space="preserve"> * r16 + v19_S</t>
    </r>
    <r>
      <rPr>
        <vertAlign val="subscript"/>
        <sz val="11"/>
        <rFont val="Calibri"/>
        <family val="2"/>
        <scheme val="minor"/>
      </rPr>
      <t>O2</t>
    </r>
    <r>
      <rPr>
        <sz val="11"/>
        <rFont val="Calibri"/>
        <family val="2"/>
        <scheme val="minor"/>
      </rPr>
      <t xml:space="preserve"> * r19 + v22_S</t>
    </r>
    <r>
      <rPr>
        <vertAlign val="subscript"/>
        <sz val="11"/>
        <rFont val="Calibri"/>
        <family val="2"/>
        <scheme val="minor"/>
      </rPr>
      <t>O2</t>
    </r>
    <r>
      <rPr>
        <sz val="11"/>
        <rFont val="Calibri"/>
        <family val="2"/>
        <scheme val="minor"/>
      </rPr>
      <t xml:space="preserve"> * r22 + v27_S</t>
    </r>
    <r>
      <rPr>
        <vertAlign val="subscript"/>
        <sz val="11"/>
        <rFont val="Calibri"/>
        <family val="2"/>
        <scheme val="minor"/>
      </rPr>
      <t>O2</t>
    </r>
    <r>
      <rPr>
        <sz val="11"/>
        <rFont val="Calibri"/>
        <family val="2"/>
        <scheme val="minor"/>
      </rPr>
      <t xml:space="preserve"> * r27)</t>
    </r>
  </si>
  <si>
    <t>Total organic Kjeldahl nitrogen</t>
  </si>
  <si>
    <r>
      <t>T</t>
    </r>
    <r>
      <rPr>
        <vertAlign val="subscript"/>
        <sz val="11"/>
        <rFont val="Calibri"/>
        <family val="2"/>
        <charset val="238"/>
        <scheme val="minor"/>
      </rPr>
      <t>KN,B</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</si>
  <si>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</si>
  <si>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</si>
  <si>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</si>
  <si>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</si>
  <si>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t>Two-step whole-plant model</t>
  </si>
  <si>
    <r>
      <t>Logsat</t>
    </r>
    <r>
      <rPr>
        <vertAlign val="subscript"/>
        <sz val="11"/>
        <rFont val="Calibri"/>
        <family val="2"/>
        <scheme val="minor"/>
      </rPr>
      <t>XPP,KPO4,PAO</t>
    </r>
  </si>
  <si>
    <t>Logistic saturation term for PP in PP cleavage (PAO)</t>
  </si>
  <si>
    <r>
      <t>b</t>
    </r>
    <r>
      <rPr>
        <vertAlign val="subscript"/>
        <sz val="11"/>
        <rFont val="Calibri"/>
        <family val="2"/>
      </rPr>
      <t>PP,ana,T</t>
    </r>
    <r>
      <rPr>
        <sz val="11"/>
        <rFont val="Calibri"/>
        <family val="2"/>
      </rPr>
      <t xml:space="preserve"> * X</t>
    </r>
    <r>
      <rPr>
        <vertAlign val="subscript"/>
        <sz val="11"/>
        <rFont val="Calibri"/>
        <family val="2"/>
      </rPr>
      <t>PAO</t>
    </r>
    <r>
      <rPr>
        <sz val="11"/>
        <rFont val="Calibri"/>
        <family val="2"/>
      </rPr>
      <t xml:space="preserve"> * Logsat</t>
    </r>
    <r>
      <rPr>
        <vertAlign val="subscript"/>
        <sz val="11"/>
        <rFont val="Calibri"/>
        <family val="2"/>
      </rPr>
      <t>XPP,KPO4,PAO</t>
    </r>
    <r>
      <rPr>
        <sz val="11"/>
        <rFont val="Calibri"/>
        <family val="2"/>
      </rPr>
      <t xml:space="preserve"> * (η</t>
    </r>
    <r>
      <rPr>
        <vertAlign val="subscript"/>
        <sz val="11"/>
        <rFont val="Calibri"/>
        <family val="2"/>
      </rPr>
      <t>bPP,aer</t>
    </r>
    <r>
      <rPr>
        <sz val="11"/>
        <rFont val="Calibri"/>
        <family val="2"/>
      </rPr>
      <t xml:space="preserve"> * MRinh</t>
    </r>
    <r>
      <rPr>
        <vertAlign val="subscript"/>
        <sz val="11"/>
        <rFont val="Calibri"/>
        <family val="2"/>
      </rPr>
      <t>XPHA,XPAO,KPHA,cle</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bPP,anox</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η</t>
    </r>
    <r>
      <rPr>
        <vertAlign val="subscript"/>
        <sz val="11"/>
        <rFont val="Calibri"/>
        <family val="2"/>
        <charset val="238"/>
      </rPr>
      <t>bPP,anox</t>
    </r>
    <r>
      <rPr>
        <sz val="11"/>
        <rFont val="Calibri"/>
        <family val="2"/>
      </rPr>
      <t xml:space="preserve"> * Minh</t>
    </r>
    <r>
      <rPr>
        <vertAlign val="subscript"/>
        <sz val="11"/>
        <rFont val="Calibri"/>
        <family val="2"/>
        <charset val="238"/>
      </rPr>
      <t>SO2,KO2,CASTO</t>
    </r>
    <r>
      <rPr>
        <sz val="11"/>
        <rFont val="Calibri"/>
        <family val="2"/>
      </rPr>
      <t xml:space="preserve"> * Msat</t>
    </r>
    <r>
      <rPr>
        <vertAlign val="subscript"/>
        <sz val="11"/>
        <rFont val="Calibri"/>
        <family val="2"/>
        <charset val="238"/>
      </rPr>
      <t>SNO3,KNO3,CASTO</t>
    </r>
    <r>
      <rPr>
        <sz val="11"/>
        <rFont val="Calibri"/>
        <family val="2"/>
      </rPr>
      <t xml:space="preserve"> * Minh</t>
    </r>
    <r>
      <rPr>
        <vertAlign val="subscript"/>
        <sz val="11"/>
        <rFont val="Calibri"/>
        <family val="2"/>
        <charset val="238"/>
      </rPr>
      <t>SNO2,KNO2,CASTO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t>
    </r>
  </si>
  <si>
    <r>
      <t>X</t>
    </r>
    <r>
      <rPr>
        <vertAlign val="subscript"/>
        <sz val="11"/>
        <rFont val="Calibri"/>
        <family val="2"/>
        <charset val="238"/>
        <scheme val="minor"/>
      </rPr>
      <t>PP,PAO,min</t>
    </r>
  </si>
  <si>
    <t>PAO PP uptake booster denominator limiting term</t>
  </si>
  <si>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Msat</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r>
      <rPr>
        <sz val="11"/>
        <rFont val="Calibri"/>
        <family val="2"/>
        <charset val="238"/>
      </rPr>
      <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</si>
  <si>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</si>
  <si>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SNO3,KNO3,CASTO </t>
    </r>
    <r>
      <rPr>
        <sz val="11"/>
        <rFont val="Calibri"/>
        <family val="2"/>
      </rPr>
      <t>* Minh</t>
    </r>
    <r>
      <rPr>
        <vertAlign val="subscript"/>
        <sz val="11"/>
        <rFont val="Calibri"/>
        <family val="2"/>
      </rPr>
      <t>SO2,KO2,CASTO</t>
    </r>
    <r>
      <rPr>
        <sz val="11"/>
        <rFont val="Calibri"/>
        <family val="2"/>
        <charset val="238"/>
      </rPr>
      <t xml:space="preserve"> * Minh</t>
    </r>
    <r>
      <rPr>
        <vertAlign val="subscript"/>
        <sz val="11"/>
        <rFont val="Calibri"/>
        <family val="2"/>
      </rPr>
      <t xml:space="preserve">SNO2,KNO2,CASTO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</si>
  <si>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t>SV group</t>
  </si>
  <si>
    <t>Biomass</t>
  </si>
  <si>
    <t>O2</t>
  </si>
  <si>
    <t>TIC</t>
  </si>
  <si>
    <t>TSS</t>
  </si>
  <si>
    <t>ALPHA</t>
  </si>
  <si>
    <t>IS input</t>
  </si>
  <si>
    <t>Non-pHSet; IS</t>
  </si>
  <si>
    <r>
      <t>IS</t>
    </r>
    <r>
      <rPr>
        <vertAlign val="subscript"/>
        <sz val="11"/>
        <rFont val="Calibri"/>
        <family val="2"/>
        <scheme val="minor"/>
      </rPr>
      <t>input,AS</t>
    </r>
  </si>
  <si>
    <r>
      <t>IS</t>
    </r>
    <r>
      <rPr>
        <vertAlign val="subscript"/>
        <sz val="11"/>
        <rFont val="Calibri"/>
        <family val="2"/>
        <scheme val="minor"/>
      </rPr>
      <t>input,DIG</t>
    </r>
  </si>
  <si>
    <r>
      <t>IS</t>
    </r>
    <r>
      <rPr>
        <vertAlign val="subscript"/>
        <sz val="11"/>
        <color theme="1"/>
        <rFont val="Calibri"/>
        <family val="2"/>
        <scheme val="minor"/>
      </rPr>
      <t>input,AS</t>
    </r>
  </si>
  <si>
    <r>
      <t>IS</t>
    </r>
    <r>
      <rPr>
        <vertAlign val="subscript"/>
        <sz val="11"/>
        <color theme="1"/>
        <rFont val="Calibri"/>
        <family val="2"/>
        <scheme val="minor"/>
      </rPr>
      <t>input,DIG</t>
    </r>
  </si>
  <si>
    <t>pH; Non-IS; Non-Input; Digester</t>
  </si>
  <si>
    <r>
      <t>IS</t>
    </r>
    <r>
      <rPr>
        <vertAlign val="subscript"/>
        <sz val="11"/>
        <rFont val="Calibri"/>
        <family val="2"/>
        <scheme val="minor"/>
      </rPr>
      <t>input,sidestream</t>
    </r>
  </si>
  <si>
    <t>pH; Non-IS; Non-Input; Sidestream</t>
  </si>
  <si>
    <t>pH; Non-IS; Non-Input; Non-Digester; Non-Sidestream</t>
  </si>
  <si>
    <t>pH; Non-IS; Input; Non-Digester; Non-Sidestream; Non-pHSet</t>
  </si>
  <si>
    <t>pH; Non-IS; Input; Digester; Non-pHSet</t>
  </si>
  <si>
    <t>pH; Non-IS; Input; Sidestream; Non-pHSet</t>
  </si>
  <si>
    <t>Ionic strength input for digesters</t>
  </si>
  <si>
    <r>
      <t>IS</t>
    </r>
    <r>
      <rPr>
        <vertAlign val="subscript"/>
        <sz val="11"/>
        <color theme="1"/>
        <rFont val="Calibri"/>
        <family val="2"/>
        <scheme val="minor"/>
      </rPr>
      <t>input,sidestream</t>
    </r>
  </si>
  <si>
    <t>Ionic strength input for sidestream</t>
  </si>
  <si>
    <t>Ionic strength input for activated sludge</t>
  </si>
  <si>
    <t>Half-saturation of readily biodegradable substrate in fermentation by OHOs in digester</t>
  </si>
  <si>
    <t>previously 0.03</t>
  </si>
  <si>
    <t>previously 0.05</t>
  </si>
  <si>
    <t>previously 0.005</t>
  </si>
  <si>
    <r>
      <t>S</t>
    </r>
    <r>
      <rPr>
        <vertAlign val="subscript"/>
        <sz val="11"/>
        <rFont val="Calibri"/>
        <family val="2"/>
        <scheme val="minor"/>
      </rPr>
      <t>U,N</t>
    </r>
  </si>
  <si>
    <t>Soluble unbiodegradable organic nitrogen</t>
  </si>
  <si>
    <r>
      <t>S</t>
    </r>
    <r>
      <rPr>
        <vertAlign val="subscript"/>
        <sz val="11"/>
        <rFont val="Calibri"/>
        <family val="2"/>
      </rPr>
      <t>U</t>
    </r>
    <r>
      <rPr>
        <sz val="11"/>
        <rFont val="Calibri"/>
        <family val="2"/>
      </rPr>
      <t xml:space="preserve"> *i</t>
    </r>
    <r>
      <rPr>
        <vertAlign val="subscript"/>
        <sz val="11"/>
        <rFont val="Calibri"/>
        <family val="2"/>
      </rPr>
      <t>N,SU</t>
    </r>
  </si>
  <si>
    <r>
      <t>Loginhswitch(ORP; Logsat</t>
    </r>
    <r>
      <rPr>
        <vertAlign val="subscript"/>
        <sz val="11"/>
        <rFont val="Calibri"/>
        <family val="2"/>
      </rPr>
      <t>ORP,HFO,Half</t>
    </r>
    <r>
      <rPr>
        <sz val="11"/>
        <rFont val="Calibri"/>
        <family val="2"/>
      </rPr>
      <t>; Logsat</t>
    </r>
    <r>
      <rPr>
        <vertAlign val="subscript"/>
        <sz val="11"/>
        <rFont val="Calibri"/>
        <family val="2"/>
      </rPr>
      <t>ORP,HFO,Slope</t>
    </r>
    <r>
      <rPr>
        <sz val="11"/>
        <rFont val="Calibri"/>
        <family val="2"/>
      </rPr>
      <t>)</t>
    </r>
  </si>
  <si>
    <t>Bellopt(var; xopt; whalf; slope)</t>
  </si>
  <si>
    <t>Bell-shaped filtering function</t>
  </si>
  <si>
    <t>1 / (1 + Pow(Abs((var-xopt)/whalf),slope))</t>
  </si>
  <si>
    <t>Logsatswitch(var; halfval; slope)</t>
  </si>
  <si>
    <t>Logistic saturation switch</t>
  </si>
  <si>
    <t>Loginhswitch(var; halfval; slope)</t>
  </si>
  <si>
    <t>Logistic inhibition switch</t>
  </si>
  <si>
    <r>
      <t>Logrange</t>
    </r>
    <r>
      <rPr>
        <vertAlign val="subscript"/>
        <sz val="11"/>
        <rFont val="Calibri"/>
        <family val="2"/>
        <charset val="238"/>
        <scheme val="minor"/>
      </rPr>
      <t>VFA,FERM,AS</t>
    </r>
  </si>
  <si>
    <t>Effective range of logistic switch for VFA fermentation by OHOs (AS)</t>
  </si>
  <si>
    <t>define range in percentage of half-saturation value</t>
  </si>
  <si>
    <r>
      <t>Logrange</t>
    </r>
    <r>
      <rPr>
        <vertAlign val="subscript"/>
        <sz val="11"/>
        <rFont val="Calibri"/>
        <family val="2"/>
        <scheme val="minor"/>
      </rPr>
      <t>PO4,PAO,AS,sat</t>
    </r>
  </si>
  <si>
    <r>
      <t>Effective range of logistic switch for PO</t>
    </r>
    <r>
      <rPr>
        <vertAlign val="subscript"/>
        <sz val="11"/>
        <rFont val="Calibri"/>
        <family val="2"/>
        <charset val="238"/>
        <scheme val="minor"/>
      </rPr>
      <t>4</t>
    </r>
    <r>
      <rPr>
        <sz val="11"/>
        <rFont val="Calibri"/>
        <family val="2"/>
        <scheme val="minor"/>
      </rPr>
      <t xml:space="preserve"> uptake by PAOs</t>
    </r>
  </si>
  <si>
    <r>
      <t>Logrange</t>
    </r>
    <r>
      <rPr>
        <vertAlign val="subscript"/>
        <sz val="11"/>
        <rFont val="Calibri"/>
        <family val="2"/>
        <charset val="238"/>
        <scheme val="minor"/>
      </rPr>
      <t>PP,PAO,AS,sat</t>
    </r>
  </si>
  <si>
    <t>Effective range of logistic switch for PP cleavage by PAOs</t>
  </si>
  <si>
    <r>
      <t>Logrange</t>
    </r>
    <r>
      <rPr>
        <vertAlign val="subscript"/>
        <sz val="11"/>
        <rFont val="Calibri"/>
        <family val="2"/>
        <charset val="238"/>
        <scheme val="minor"/>
      </rPr>
      <t>PP,PAO,inh</t>
    </r>
  </si>
  <si>
    <t>Effective range of logistic switch for PP/PAO inhibition term</t>
  </si>
  <si>
    <t>define range in percentage of half-inhibition value</t>
  </si>
  <si>
    <r>
      <t>Logrange</t>
    </r>
    <r>
      <rPr>
        <vertAlign val="subscript"/>
        <sz val="11"/>
        <rFont val="Calibri"/>
        <family val="2"/>
        <charset val="238"/>
        <scheme val="minor"/>
      </rPr>
      <t>PHA,PAO,inh</t>
    </r>
  </si>
  <si>
    <t>Effective range of logistic switch for PHA/PAO inhibition term</t>
  </si>
  <si>
    <r>
      <t>Logrange</t>
    </r>
    <r>
      <rPr>
        <vertAlign val="subscript"/>
        <sz val="11"/>
        <rFont val="Calibri"/>
        <family val="2"/>
        <charset val="238"/>
        <scheme val="minor"/>
      </rPr>
      <t>CO2,AOB,pH,AS</t>
    </r>
  </si>
  <si>
    <r>
      <t>Logrange</t>
    </r>
    <r>
      <rPr>
        <vertAlign val="subscript"/>
        <sz val="11"/>
        <rFont val="Calibri"/>
        <family val="2"/>
        <charset val="238"/>
        <scheme val="minor"/>
      </rPr>
      <t>CO2,AOB,pH,sidestream</t>
    </r>
  </si>
  <si>
    <t>Effective range of bicarbonate logistic switch for AOBs (Sidestream)</t>
  </si>
  <si>
    <t>Effective range of bicarbonate logistic switch for AOBs (AS)</t>
  </si>
  <si>
    <r>
      <t>Logrange</t>
    </r>
    <r>
      <rPr>
        <vertAlign val="subscript"/>
        <sz val="11"/>
        <rFont val="Calibri"/>
        <family val="2"/>
        <charset val="238"/>
        <scheme val="minor"/>
      </rPr>
      <t>P,HFO,DISS</t>
    </r>
  </si>
  <si>
    <t>Effective range of logistic switch for HFO redissolution</t>
  </si>
  <si>
    <r>
      <t>Logrange</t>
    </r>
    <r>
      <rPr>
        <vertAlign val="subscript"/>
        <sz val="11"/>
        <rFont val="Calibri"/>
        <family val="2"/>
        <charset val="238"/>
        <scheme val="minor"/>
      </rPr>
      <t>P,HAO,DISS</t>
    </r>
  </si>
  <si>
    <t>Effective range of logistic switch for HAO redissolution</t>
  </si>
  <si>
    <t>Slope calculations for logistic saturation/inhibition functions</t>
  </si>
  <si>
    <r>
      <t>Logistic slope of bicarbonate</t>
    </r>
    <r>
      <rPr>
        <sz val="11"/>
        <color rgb="FF000000"/>
        <rFont val="Calibri"/>
        <family val="2"/>
        <charset val="238"/>
        <scheme val="minor"/>
      </rPr>
      <t xml:space="preserve"> for AOBs in AS</t>
    </r>
  </si>
  <si>
    <r>
      <t>Logistic slope of bicarbonate</t>
    </r>
    <r>
      <rPr>
        <sz val="11"/>
        <color rgb="FF000000"/>
        <rFont val="Calibri"/>
        <family val="2"/>
        <charset val="238"/>
        <scheme val="minor"/>
      </rPr>
      <t xml:space="preserve"> for AOBs in sidestream</t>
    </r>
  </si>
  <si>
    <r>
      <t>Logslope</t>
    </r>
    <r>
      <rPr>
        <vertAlign val="subscript"/>
        <sz val="11"/>
        <rFont val="Calibri"/>
        <family val="2"/>
        <scheme val="minor"/>
      </rPr>
      <t>CO2,AOB,pH</t>
    </r>
  </si>
  <si>
    <r>
      <t>Logslope</t>
    </r>
    <r>
      <rPr>
        <vertAlign val="subscript"/>
        <sz val="11"/>
        <rFont val="Calibri"/>
        <family val="2"/>
        <charset val="238"/>
        <scheme val="minor"/>
      </rPr>
      <t>VFA,FERM</t>
    </r>
  </si>
  <si>
    <t>Logistic slope of VFA fermentation switch for OHOs in AS</t>
  </si>
  <si>
    <t>Logistic slope of VFA fermentation switch for OHOs in biofilm</t>
  </si>
  <si>
    <r>
      <t>Logslope</t>
    </r>
    <r>
      <rPr>
        <vertAlign val="subscript"/>
        <sz val="11"/>
        <rFont val="Calibri"/>
        <family val="2"/>
        <charset val="238"/>
        <scheme val="minor"/>
      </rPr>
      <t>PO4,PAO,sat</t>
    </r>
  </si>
  <si>
    <r>
      <t>Logistic slope of PO</t>
    </r>
    <r>
      <rPr>
        <vertAlign val="subscript"/>
        <sz val="11"/>
        <rFont val="Calibri"/>
        <family val="2"/>
        <charset val="238"/>
        <scheme val="minor"/>
      </rPr>
      <t>4</t>
    </r>
    <r>
      <rPr>
        <sz val="11"/>
        <rFont val="Calibri"/>
        <family val="2"/>
        <scheme val="minor"/>
      </rPr>
      <t xml:space="preserve"> uptake switch for PAOs in AS</t>
    </r>
  </si>
  <si>
    <r>
      <t>Logistic slope of PO</t>
    </r>
    <r>
      <rPr>
        <vertAlign val="subscript"/>
        <sz val="11"/>
        <rFont val="Calibri"/>
        <family val="2"/>
        <charset val="238"/>
        <scheme val="minor"/>
      </rPr>
      <t>4</t>
    </r>
    <r>
      <rPr>
        <sz val="11"/>
        <rFont val="Calibri"/>
        <family val="2"/>
        <scheme val="minor"/>
      </rPr>
      <t xml:space="preserve"> uptake switch for PAOs in biofilm</t>
    </r>
  </si>
  <si>
    <r>
      <t>Logslope</t>
    </r>
    <r>
      <rPr>
        <vertAlign val="subscript"/>
        <sz val="11"/>
        <rFont val="Calibri"/>
        <family val="2"/>
        <charset val="238"/>
        <scheme val="minor"/>
      </rPr>
      <t>PP,PAO,sat</t>
    </r>
  </si>
  <si>
    <t>Logistic slope of PP cleavage switch for PAOs in AS</t>
  </si>
  <si>
    <t>Logistic slope of PP cleavage switch for PAOs in biofilm</t>
  </si>
  <si>
    <r>
      <t>Logslope</t>
    </r>
    <r>
      <rPr>
        <vertAlign val="subscript"/>
        <sz val="11"/>
        <rFont val="Calibri"/>
        <family val="2"/>
        <charset val="238"/>
        <scheme val="minor"/>
      </rPr>
      <t>PHA,PAO,inh</t>
    </r>
  </si>
  <si>
    <t>Logistic slope of inhibition term for PHA/PAO</t>
  </si>
  <si>
    <r>
      <t>Logslope</t>
    </r>
    <r>
      <rPr>
        <vertAlign val="subscript"/>
        <sz val="11"/>
        <rFont val="Calibri"/>
        <family val="2"/>
        <charset val="238"/>
        <scheme val="minor"/>
      </rPr>
      <t>PP,PAO,inh</t>
    </r>
  </si>
  <si>
    <t>Logistic slope of inhibition term for PP/PAO</t>
  </si>
  <si>
    <r>
      <t>Logslope</t>
    </r>
    <r>
      <rPr>
        <vertAlign val="subscript"/>
        <sz val="11"/>
        <rFont val="Calibri"/>
        <family val="2"/>
        <charset val="238"/>
        <scheme val="minor"/>
      </rPr>
      <t>P,HFO,DISS</t>
    </r>
  </si>
  <si>
    <r>
      <t>Logistic slope of PO</t>
    </r>
    <r>
      <rPr>
        <vertAlign val="subscript"/>
        <sz val="11"/>
        <rFont val="Calibri"/>
        <family val="2"/>
        <charset val="238"/>
        <scheme val="minor"/>
      </rPr>
      <t>4</t>
    </r>
    <r>
      <rPr>
        <sz val="11"/>
        <rFont val="Calibri"/>
        <family val="2"/>
        <scheme val="minor"/>
      </rPr>
      <t xml:space="preserve"> in HFO redissolution</t>
    </r>
  </si>
  <si>
    <r>
      <t>Logslope</t>
    </r>
    <r>
      <rPr>
        <vertAlign val="subscript"/>
        <sz val="11"/>
        <rFont val="Calibri"/>
        <family val="2"/>
        <charset val="238"/>
        <scheme val="minor"/>
      </rPr>
      <t>P,HAO,DISS</t>
    </r>
  </si>
  <si>
    <r>
      <t>Logistic slope of PO</t>
    </r>
    <r>
      <rPr>
        <vertAlign val="subscript"/>
        <sz val="11"/>
        <rFont val="Calibri"/>
        <family val="2"/>
        <charset val="238"/>
        <scheme val="minor"/>
      </rPr>
      <t>4</t>
    </r>
    <r>
      <rPr>
        <sz val="11"/>
        <rFont val="Calibri"/>
        <family val="2"/>
        <scheme val="minor"/>
      </rPr>
      <t xml:space="preserve"> in HAO redissolution</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</si>
  <si>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CO2,AOB,pH</t>
    </r>
    <r>
      <rPr>
        <sz val="11"/>
        <rFont val="Calibri"/>
        <family val="2"/>
        <scheme val="minor"/>
      </rPr>
      <t>;  Logslope</t>
    </r>
    <r>
      <rPr>
        <vertAlign val="subscript"/>
        <sz val="11"/>
        <rFont val="Calibri"/>
        <family val="2"/>
        <charset val="238"/>
        <scheme val="minor"/>
      </rPr>
      <t>CO2,AOB,pH</t>
    </r>
    <r>
      <rPr>
        <sz val="11"/>
        <rFont val="Calibri"/>
        <family val="2"/>
        <scheme val="minor"/>
      </rPr>
      <t>)</t>
    </r>
  </si>
  <si>
    <t>var / (var + halfval * Exp((halfval - var) * slope))</t>
  </si>
  <si>
    <t>1 - var / (var + halfval * Exp((halfval - var) * slope))</t>
  </si>
  <si>
    <r>
      <t>Logsat(S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</si>
  <si>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Loginh(S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</si>
  <si>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PO4,PAO,sat</t>
    </r>
    <r>
      <rPr>
        <sz val="11"/>
        <rFont val="Calibri"/>
        <family val="2"/>
        <scheme val="minor"/>
      </rPr>
      <t>)</t>
    </r>
  </si>
  <si>
    <r>
      <t>Logsat(X</t>
    </r>
    <r>
      <rPr>
        <vertAlign val="subscript"/>
        <sz val="11"/>
        <rFont val="Calibri"/>
        <family val="2"/>
        <scheme val="minor"/>
      </rPr>
      <t>PP</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PP,PAO,sat</t>
    </r>
    <r>
      <rPr>
        <sz val="11"/>
        <rFont val="Calibri"/>
        <family val="2"/>
        <scheme val="minor"/>
      </rPr>
      <t>)</t>
    </r>
  </si>
  <si>
    <r>
      <t>Loginh(X</t>
    </r>
    <r>
      <rPr>
        <vertAlign val="subscript"/>
        <sz val="11"/>
        <rFont val="Calibri"/>
        <family val="2"/>
        <charset val="238"/>
        <scheme val="minor"/>
      </rPr>
      <t>PP</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PP,PAO,max</t>
    </r>
    <r>
      <rPr>
        <sz val="11"/>
        <rFont val="Calibri"/>
        <family val="2"/>
        <scheme val="minor"/>
      </rPr>
      <t>; Logslope</t>
    </r>
    <r>
      <rPr>
        <vertAlign val="subscript"/>
        <sz val="11"/>
        <rFont val="Calibri"/>
        <family val="2"/>
        <charset val="238"/>
        <scheme val="minor"/>
      </rPr>
      <t>PP,PAO,inh</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</si>
  <si>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P,HFO,DISS</t>
    </r>
    <r>
      <rPr>
        <sz val="11"/>
        <rFont val="Calibri"/>
        <family val="2"/>
        <scheme val="minor"/>
      </rPr>
      <t>;Logslope</t>
    </r>
    <r>
      <rPr>
        <vertAlign val="subscript"/>
        <sz val="11"/>
        <rFont val="Calibri"/>
        <family val="2"/>
        <charset val="238"/>
        <scheme val="minor"/>
      </rPr>
      <t>P,HFO,DISS</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</si>
  <si>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P,HAO,DISS</t>
    </r>
    <r>
      <rPr>
        <sz val="11"/>
        <rFont val="Calibri"/>
        <family val="2"/>
        <scheme val="minor"/>
      </rPr>
      <t>;Logslope</t>
    </r>
    <r>
      <rPr>
        <vertAlign val="subscript"/>
        <sz val="11"/>
        <rFont val="Calibri"/>
        <family val="2"/>
        <charset val="238"/>
        <scheme val="minor"/>
      </rPr>
      <t>P,HAO,DISS</t>
    </r>
    <r>
      <rPr>
        <sz val="11"/>
        <rFont val="Calibri"/>
        <family val="2"/>
        <scheme val="minor"/>
      </rPr>
      <t>)</t>
    </r>
  </si>
  <si>
    <r>
      <t>g COD.g P</t>
    </r>
    <r>
      <rPr>
        <vertAlign val="superscript"/>
        <sz val="11"/>
        <rFont val="Calibri"/>
        <family val="2"/>
        <scheme val="minor"/>
      </rPr>
      <t>-1</t>
    </r>
  </si>
  <si>
    <r>
      <t>L.mol [HCO</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</si>
  <si>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m</t>
    </r>
    <r>
      <rPr>
        <vertAlign val="superscript"/>
        <sz val="11"/>
        <rFont val="Calibri"/>
        <family val="2"/>
        <charset val="238"/>
        <scheme val="minor"/>
      </rPr>
      <t>3</t>
    </r>
    <r>
      <rPr>
        <sz val="11"/>
        <rFont val="Calibri"/>
        <family val="2"/>
        <scheme val="minor"/>
      </rPr>
      <t>.g COD</t>
    </r>
    <r>
      <rPr>
        <vertAlign val="superscript"/>
        <sz val="11"/>
        <rFont val="Calibri"/>
        <family val="2"/>
        <charset val="238"/>
        <scheme val="minor"/>
      </rPr>
      <t>-1</t>
    </r>
  </si>
  <si>
    <r>
      <t>m</t>
    </r>
    <r>
      <rPr>
        <vertAlign val="superscript"/>
        <sz val="11"/>
        <rFont val="Calibri"/>
        <family val="2"/>
        <charset val="238"/>
        <scheme val="minor"/>
      </rPr>
      <t>3</t>
    </r>
    <r>
      <rPr>
        <sz val="11"/>
        <rFont val="Calibri"/>
        <family val="2"/>
        <scheme val="minor"/>
      </rPr>
      <t>.g P</t>
    </r>
    <r>
      <rPr>
        <vertAlign val="superscript"/>
        <sz val="11"/>
        <rFont val="Calibri"/>
        <family val="2"/>
        <charset val="238"/>
        <scheme val="minor"/>
      </rPr>
      <t>-1</t>
    </r>
  </si>
  <si>
    <r>
      <t>Logrange</t>
    </r>
    <r>
      <rPr>
        <vertAlign val="subscript"/>
        <sz val="11"/>
        <rFont val="Calibri"/>
        <family val="2"/>
        <charset val="238"/>
        <scheme val="minor"/>
      </rPr>
      <t>CO2,AMX,pH,AS</t>
    </r>
  </si>
  <si>
    <t>Effective range of bicarbonate logistic switch for AMX (AS)</t>
  </si>
  <si>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CO2,AMX,pH</t>
    </r>
    <r>
      <rPr>
        <sz val="11"/>
        <rFont val="Calibri"/>
        <family val="2"/>
        <scheme val="minor"/>
      </rPr>
      <t>; Logslope</t>
    </r>
    <r>
      <rPr>
        <vertAlign val="subscript"/>
        <sz val="11"/>
        <rFont val="Calibri"/>
        <family val="2"/>
        <charset val="238"/>
        <scheme val="minor"/>
      </rPr>
      <t>CO2,AMX,pH</t>
    </r>
    <r>
      <rPr>
        <sz val="11"/>
        <rFont val="Calibri"/>
        <family val="2"/>
        <scheme val="minor"/>
      </rPr>
      <t>)</t>
    </r>
  </si>
  <si>
    <r>
      <t>Logslope</t>
    </r>
    <r>
      <rPr>
        <vertAlign val="subscript"/>
        <sz val="11"/>
        <rFont val="Calibri"/>
        <family val="2"/>
        <scheme val="minor"/>
      </rPr>
      <t>CO2,AMX,pH</t>
    </r>
  </si>
  <si>
    <r>
      <t>Logrange</t>
    </r>
    <r>
      <rPr>
        <vertAlign val="subscript"/>
        <sz val="11"/>
        <color indexed="8"/>
        <rFont val="Calibri"/>
        <family val="2"/>
        <charset val="238"/>
        <scheme val="minor"/>
      </rPr>
      <t>CO2,NOB,pH,AS</t>
    </r>
  </si>
  <si>
    <t>Effective range of bicarbonate logistic switch for NOBs (AS)</t>
  </si>
  <si>
    <r>
      <t>Logslope</t>
    </r>
    <r>
      <rPr>
        <vertAlign val="subscript"/>
        <sz val="11"/>
        <rFont val="Calibri"/>
        <family val="2"/>
        <charset val="238"/>
        <scheme val="minor"/>
      </rPr>
      <t>CO2,NOB,pH</t>
    </r>
  </si>
  <si>
    <r>
      <t>Logistic slope of bicarbonate</t>
    </r>
    <r>
      <rPr>
        <sz val="11"/>
        <color rgb="FF000000"/>
        <rFont val="Calibri"/>
        <family val="2"/>
        <charset val="238"/>
        <scheme val="minor"/>
      </rPr>
      <t xml:space="preserve"> for AMX in AS</t>
    </r>
  </si>
  <si>
    <t>Logistic slope of bicarbonate for NOBs in AS</t>
  </si>
  <si>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CO2,NOB,pH</t>
    </r>
    <r>
      <rPr>
        <sz val="11"/>
        <rFont val="Calibri"/>
        <family val="2"/>
        <scheme val="minor"/>
      </rPr>
      <t>; Logslope</t>
    </r>
    <r>
      <rPr>
        <vertAlign val="subscript"/>
        <sz val="11"/>
        <rFont val="Calibri"/>
        <family val="2"/>
        <charset val="238"/>
        <scheme val="minor"/>
      </rPr>
      <t>CO2,NOB,pH</t>
    </r>
    <r>
      <rPr>
        <sz val="11"/>
        <rFont val="Calibri"/>
        <family val="2"/>
        <scheme val="minor"/>
      </rPr>
      <t>)</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</si>
  <si>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charset val="238"/>
        <scheme val="minor"/>
      </rPr>
      <t>-1</t>
    </r>
  </si>
  <si>
    <t>Logisticslope(halfval; range)</t>
  </si>
  <si>
    <t>Slope for logistic saturation and inhibition functions</t>
  </si>
  <si>
    <t>(-1)*(2 / (halfval * range)) * Ln((1/19) * (1 + (1/2) * (halfval * range / halfval)))</t>
  </si>
  <si>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</si>
  <si>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</si>
  <si>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 / f</t>
    </r>
    <r>
      <rPr>
        <vertAlign val="subscript"/>
        <sz val="11"/>
        <rFont val="Calibri"/>
        <family val="2"/>
        <scheme val="minor"/>
      </rPr>
      <t>KS</t>
    </r>
  </si>
  <si>
    <r>
      <t>Logisticslope(Ki</t>
    </r>
    <r>
      <rPr>
        <vertAlign val="subscript"/>
        <sz val="11"/>
        <rFont val="Calibri"/>
        <family val="2"/>
        <charset val="238"/>
        <scheme val="minor"/>
      </rPr>
      <t>P,HAO,DISS</t>
    </r>
    <r>
      <rPr>
        <sz val="11"/>
        <rFont val="Calibri"/>
        <family val="2"/>
        <scheme val="minor"/>
      </rPr>
      <t>; Logrange</t>
    </r>
    <r>
      <rPr>
        <vertAlign val="subscript"/>
        <sz val="11"/>
        <rFont val="Calibri"/>
        <family val="2"/>
        <charset val="238"/>
        <scheme val="minor"/>
      </rPr>
      <t>P,HAO,DISS</t>
    </r>
    <r>
      <rPr>
        <sz val="11"/>
        <rFont val="Calibri"/>
        <family val="2"/>
        <scheme val="minor"/>
      </rPr>
      <t>)</t>
    </r>
  </si>
  <si>
    <r>
      <t>Logisticslope(Ki</t>
    </r>
    <r>
      <rPr>
        <vertAlign val="subscript"/>
        <sz val="11"/>
        <rFont val="Calibri"/>
        <family val="2"/>
        <charset val="238"/>
        <scheme val="minor"/>
      </rPr>
      <t>P,HFO,DISS</t>
    </r>
    <r>
      <rPr>
        <sz val="11"/>
        <rFont val="Calibri"/>
        <family val="2"/>
        <scheme val="minor"/>
      </rPr>
      <t>; Logrange</t>
    </r>
    <r>
      <rPr>
        <vertAlign val="subscript"/>
        <sz val="11"/>
        <rFont val="Calibri"/>
        <family val="2"/>
        <charset val="238"/>
        <scheme val="minor"/>
      </rPr>
      <t>P,HFO,DISS</t>
    </r>
    <r>
      <rPr>
        <sz val="11"/>
        <rFont val="Calibri"/>
        <family val="2"/>
        <scheme val="minor"/>
      </rPr>
      <t>)</t>
    </r>
  </si>
  <si>
    <r>
      <t>Logisticslope(Ki</t>
    </r>
    <r>
      <rPr>
        <vertAlign val="subscript"/>
        <sz val="11"/>
        <rFont val="Calibri"/>
        <family val="2"/>
        <charset val="238"/>
        <scheme val="minor"/>
      </rPr>
      <t>PP,PAO,max</t>
    </r>
    <r>
      <rPr>
        <sz val="11"/>
        <rFont val="Calibri"/>
        <family val="2"/>
        <scheme val="minor"/>
      </rPr>
      <t>; Logrange</t>
    </r>
    <r>
      <rPr>
        <vertAlign val="subscript"/>
        <sz val="11"/>
        <rFont val="Calibri"/>
        <family val="2"/>
        <charset val="238"/>
        <scheme val="minor"/>
      </rPr>
      <t>PP,PAO,inh</t>
    </r>
    <r>
      <rPr>
        <sz val="11"/>
        <rFont val="Calibri"/>
        <family val="2"/>
        <scheme val="minor"/>
      </rPr>
      <t>)</t>
    </r>
  </si>
  <si>
    <r>
      <t>Logisticslope(Ki</t>
    </r>
    <r>
      <rPr>
        <vertAlign val="subscript"/>
        <sz val="11"/>
        <rFont val="Calibri"/>
        <family val="2"/>
        <charset val="238"/>
        <scheme val="minor"/>
      </rPr>
      <t>PHA,PAO,max</t>
    </r>
    <r>
      <rPr>
        <sz val="11"/>
        <rFont val="Calibri"/>
        <family val="2"/>
        <scheme val="minor"/>
      </rPr>
      <t>; Logrange</t>
    </r>
    <r>
      <rPr>
        <vertAlign val="subscript"/>
        <sz val="11"/>
        <rFont val="Calibri"/>
        <family val="2"/>
        <charset val="238"/>
        <scheme val="minor"/>
      </rPr>
      <t>PHA,PAO,inh</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</si>
  <si>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</si>
  <si>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</si>
  <si>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</si>
  <si>
    <r>
      <t>Logisticslope(K</t>
    </r>
    <r>
      <rPr>
        <vertAlign val="subscript"/>
        <sz val="11"/>
        <rFont val="Calibri"/>
        <family val="2"/>
        <charset val="238"/>
        <scheme val="minor"/>
      </rPr>
      <t>CO2,AMX,pH,AS</t>
    </r>
    <r>
      <rPr>
        <sz val="11"/>
        <rFont val="Calibri"/>
        <family val="2"/>
        <scheme val="minor"/>
      </rPr>
      <t>; Logrange</t>
    </r>
    <r>
      <rPr>
        <vertAlign val="subscript"/>
        <sz val="11"/>
        <rFont val="Calibri"/>
        <family val="2"/>
        <charset val="238"/>
        <scheme val="minor"/>
      </rPr>
      <t>CO2,AMX,pH,AS</t>
    </r>
    <r>
      <rPr>
        <sz val="11"/>
        <rFont val="Calibri"/>
        <family val="2"/>
        <scheme val="minor"/>
      </rPr>
      <t>)</t>
    </r>
  </si>
  <si>
    <r>
      <t>Logisticslope(K</t>
    </r>
    <r>
      <rPr>
        <vertAlign val="subscript"/>
        <sz val="11"/>
        <rFont val="Calibri"/>
        <family val="2"/>
        <charset val="238"/>
        <scheme val="minor"/>
      </rPr>
      <t>CO2,NOB,pH,AS</t>
    </r>
    <r>
      <rPr>
        <sz val="11"/>
        <rFont val="Calibri"/>
        <family val="2"/>
        <scheme val="minor"/>
      </rPr>
      <t>; Logrange</t>
    </r>
    <r>
      <rPr>
        <vertAlign val="subscript"/>
        <sz val="11"/>
        <rFont val="Calibri"/>
        <family val="2"/>
        <charset val="238"/>
        <scheme val="minor"/>
      </rPr>
      <t>CO2,NOB,pH,AS</t>
    </r>
    <r>
      <rPr>
        <sz val="11"/>
        <rFont val="Calibri"/>
        <family val="2"/>
        <scheme val="minor"/>
      </rPr>
      <t>)</t>
    </r>
  </si>
  <si>
    <r>
      <t>Logisticslope(K</t>
    </r>
    <r>
      <rPr>
        <vertAlign val="subscript"/>
        <sz val="11"/>
        <rFont val="Calibri"/>
        <family val="2"/>
        <charset val="238"/>
        <scheme val="minor"/>
      </rPr>
      <t>CO2,AOB,pH,sidestream</t>
    </r>
    <r>
      <rPr>
        <sz val="11"/>
        <rFont val="Calibri"/>
        <family val="2"/>
        <scheme val="minor"/>
      </rPr>
      <t>; Logrange</t>
    </r>
    <r>
      <rPr>
        <vertAlign val="subscript"/>
        <sz val="11"/>
        <rFont val="Calibri"/>
        <family val="2"/>
        <charset val="238"/>
        <scheme val="minor"/>
      </rPr>
      <t>CO2,AOB,pH,sidestream</t>
    </r>
    <r>
      <rPr>
        <sz val="11"/>
        <rFont val="Calibri"/>
        <family val="2"/>
        <scheme val="minor"/>
      </rPr>
      <t>)</t>
    </r>
  </si>
  <si>
    <r>
      <t>Logisticslope(K</t>
    </r>
    <r>
      <rPr>
        <vertAlign val="subscript"/>
        <sz val="11"/>
        <rFont val="Calibri"/>
        <family val="2"/>
        <charset val="238"/>
        <scheme val="minor"/>
      </rPr>
      <t>CO2,AOB,pH,AS</t>
    </r>
    <r>
      <rPr>
        <sz val="11"/>
        <rFont val="Calibri"/>
        <family val="2"/>
        <scheme val="minor"/>
      </rPr>
      <t>; Logrange</t>
    </r>
    <r>
      <rPr>
        <vertAlign val="subscript"/>
        <sz val="11"/>
        <rFont val="Calibri"/>
        <family val="2"/>
        <charset val="238"/>
        <scheme val="minor"/>
      </rPr>
      <t>CO2,AOB,pH,AS</t>
    </r>
    <r>
      <rPr>
        <sz val="11"/>
        <rFont val="Calibri"/>
        <family val="2"/>
        <scheme val="minor"/>
      </rPr>
      <t>)</t>
    </r>
  </si>
  <si>
    <t>based on the 95% percentile of the saturation function</t>
  </si>
  <si>
    <t>A_MP/M_MBSH</t>
  </si>
  <si>
    <t>Fe(OH)3 -&gt; Fe2O3 + 3H2O</t>
  </si>
  <si>
    <r>
      <t>Ki</t>
    </r>
    <r>
      <rPr>
        <vertAlign val="subscript"/>
        <sz val="11"/>
        <rFont val="Calibri"/>
        <family val="2"/>
        <scheme val="minor"/>
      </rPr>
      <t>NH3,AMETO,pH,AS</t>
    </r>
  </si>
  <si>
    <r>
      <t>Half-inhibition of NH3</t>
    </r>
    <r>
      <rPr>
        <sz val="11"/>
        <color rgb="FF000000"/>
        <rFont val="Calibri"/>
        <family val="2"/>
        <charset val="238"/>
        <scheme val="minor"/>
      </rPr>
      <t xml:space="preserve"> for AMETOs (AS)</t>
    </r>
  </si>
  <si>
    <r>
      <t>Logrange</t>
    </r>
    <r>
      <rPr>
        <vertAlign val="subscript"/>
        <sz val="11"/>
        <rFont val="Calibri"/>
        <family val="2"/>
        <charset val="238"/>
        <scheme val="minor"/>
      </rPr>
      <t>NH3,AMETO</t>
    </r>
  </si>
  <si>
    <t>Effective range of NH3 logistic switch for AMETOs</t>
  </si>
  <si>
    <r>
      <t>Ki</t>
    </r>
    <r>
      <rPr>
        <vertAlign val="subscript"/>
        <sz val="11"/>
        <rFont val="Calibri"/>
        <family val="2"/>
        <scheme val="minor"/>
      </rPr>
      <t>NH3,AMETO,pH</t>
    </r>
  </si>
  <si>
    <r>
      <t>Ki</t>
    </r>
    <r>
      <rPr>
        <vertAlign val="subscript"/>
        <sz val="11"/>
        <rFont val="Calibri"/>
        <family val="2"/>
        <scheme val="minor"/>
      </rPr>
      <t>NH3,AMETO,pH,AS</t>
    </r>
    <r>
      <rPr>
        <sz val="11"/>
        <rFont val="Calibri"/>
        <family val="2"/>
        <scheme val="minor"/>
      </rPr>
      <t>*f</t>
    </r>
    <r>
      <rPr>
        <vertAlign val="subscript"/>
        <sz val="11"/>
        <rFont val="Calibri"/>
        <family val="2"/>
        <scheme val="minor"/>
      </rPr>
      <t>KS</t>
    </r>
  </si>
  <si>
    <r>
      <t>Logslope</t>
    </r>
    <r>
      <rPr>
        <vertAlign val="subscript"/>
        <sz val="11"/>
        <rFont val="Calibri"/>
        <family val="2"/>
        <scheme val="minor"/>
      </rPr>
      <t>NH3,AMETO,pH</t>
    </r>
  </si>
  <si>
    <r>
      <t>Logistic slope of NH3</t>
    </r>
    <r>
      <rPr>
        <sz val="11"/>
        <color rgb="FF000000"/>
        <rFont val="Calibri"/>
        <family val="2"/>
        <charset val="238"/>
        <scheme val="minor"/>
      </rPr>
      <t xml:space="preserve"> for AMETOs</t>
    </r>
  </si>
  <si>
    <r>
      <t>Logisticslope(Ki</t>
    </r>
    <r>
      <rPr>
        <vertAlign val="subscript"/>
        <sz val="11"/>
        <rFont val="Calibri"/>
        <family val="2"/>
        <charset val="238"/>
        <scheme val="minor"/>
      </rPr>
      <t>NH3,AMETO,pH;</t>
    </r>
    <r>
      <rPr>
        <sz val="11"/>
        <rFont val="Calibri"/>
        <family val="2"/>
        <scheme val="minor"/>
      </rPr>
      <t xml:space="preserve"> Logrange</t>
    </r>
    <r>
      <rPr>
        <vertAlign val="subscript"/>
        <sz val="11"/>
        <rFont val="Calibri"/>
        <family val="2"/>
        <charset val="238"/>
        <scheme val="minor"/>
      </rPr>
      <t>NH3,AMETO</t>
    </r>
    <r>
      <rPr>
        <sz val="11"/>
        <rFont val="Calibri"/>
        <family val="2"/>
        <scheme val="minor"/>
      </rPr>
      <t>)</t>
    </r>
  </si>
  <si>
    <r>
      <t>LoginhpH</t>
    </r>
    <r>
      <rPr>
        <vertAlign val="subscript"/>
        <sz val="11"/>
        <rFont val="Calibri"/>
        <family val="2"/>
        <scheme val="minor"/>
      </rPr>
      <t>NH3,AMETO</t>
    </r>
  </si>
  <si>
    <r>
      <t>Logistic inhibition term for NHx</t>
    </r>
    <r>
      <rPr>
        <sz val="11"/>
        <color rgb="FF000000"/>
        <rFont val="Calibri"/>
        <family val="2"/>
        <charset val="238"/>
        <scheme val="minor"/>
      </rPr>
      <t>/NH3 (AMETO)</t>
    </r>
  </si>
  <si>
    <r>
      <t>Loginh([NH</t>
    </r>
    <r>
      <rPr>
        <vertAlign val="subscript"/>
        <sz val="11"/>
        <rFont val="Calibri"/>
        <family val="2"/>
        <scheme val="minor"/>
      </rPr>
      <t>3</t>
    </r>
    <r>
      <rPr>
        <sz val="11"/>
        <rFont val="Calibri"/>
        <family val="2"/>
        <scheme val="minor"/>
      </rPr>
      <t>]; Ki</t>
    </r>
    <r>
      <rPr>
        <vertAlign val="subscript"/>
        <sz val="11"/>
        <rFont val="Calibri"/>
        <family val="2"/>
        <scheme val="minor"/>
      </rPr>
      <t>NH3,AMETO,pH</t>
    </r>
    <r>
      <rPr>
        <sz val="11"/>
        <rFont val="Calibri"/>
        <family val="2"/>
        <scheme val="minor"/>
      </rPr>
      <t>; Logslope</t>
    </r>
    <r>
      <rPr>
        <vertAlign val="subscript"/>
        <sz val="11"/>
        <rFont val="Calibri"/>
        <family val="2"/>
        <charset val="238"/>
        <scheme val="minor"/>
      </rPr>
      <t>NH3,AMETO,pH</t>
    </r>
    <r>
      <rPr>
        <sz val="11"/>
        <rFont val="Calibri"/>
        <family val="2"/>
        <scheme val="minor"/>
      </rPr>
      <t>)</t>
    </r>
  </si>
  <si>
    <r>
      <t>µ</t>
    </r>
    <r>
      <rPr>
        <vertAlign val="subscript"/>
        <sz val="11"/>
        <rFont val="Calibri"/>
        <family val="2"/>
      </rPr>
      <t>AMETO,T</t>
    </r>
    <r>
      <rPr>
        <sz val="11"/>
        <rFont val="Calibri"/>
        <family val="2"/>
      </rPr>
      <t>*X</t>
    </r>
    <r>
      <rPr>
        <vertAlign val="subscript"/>
        <sz val="11"/>
        <rFont val="Calibri"/>
        <family val="2"/>
      </rPr>
      <t>AMETO</t>
    </r>
    <r>
      <rPr>
        <sz val="11"/>
        <rFont val="Calibri"/>
        <family val="2"/>
      </rPr>
      <t>*Hsat</t>
    </r>
    <r>
      <rPr>
        <vertAlign val="subscript"/>
        <sz val="11"/>
        <rFont val="Calibri"/>
        <family val="2"/>
      </rPr>
      <t>SVFA,AMETO</t>
    </r>
    <r>
      <rPr>
        <sz val="11"/>
        <rFont val="Calibri"/>
        <family val="2"/>
      </rPr>
      <t>*Minh</t>
    </r>
    <r>
      <rPr>
        <vertAlign val="subscript"/>
        <sz val="11"/>
        <rFont val="Calibri"/>
        <family val="2"/>
      </rPr>
      <t>SO2,KiO2,AMETO</t>
    </r>
    <r>
      <rPr>
        <sz val="11"/>
        <rFont val="Calibri"/>
        <family val="2"/>
      </rPr>
      <t>*Minh</t>
    </r>
    <r>
      <rPr>
        <vertAlign val="subscript"/>
        <sz val="11"/>
        <rFont val="Calibri"/>
        <family val="2"/>
      </rPr>
      <t>SNOx,KNO3,AMETO</t>
    </r>
    <r>
      <rPr>
        <sz val="11"/>
        <rFont val="Calibri"/>
        <family val="2"/>
      </rPr>
      <t>*LoginhpH</t>
    </r>
    <r>
      <rPr>
        <vertAlign val="subscript"/>
        <sz val="11"/>
        <rFont val="Calibri"/>
        <family val="2"/>
      </rPr>
      <t>NH3,AMETO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pH,AMETO</t>
    </r>
  </si>
  <si>
    <r>
      <t>L.mol [NH</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</si>
  <si>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t>Atmosphere composition</t>
  </si>
  <si>
    <r>
      <t>K</t>
    </r>
    <r>
      <rPr>
        <vertAlign val="subscript"/>
        <sz val="11"/>
        <rFont val="Calibri"/>
        <family val="2"/>
        <scheme val="minor"/>
      </rPr>
      <t>Prop,param</t>
    </r>
  </si>
  <si>
    <r>
      <t>D</t>
    </r>
    <r>
      <rPr>
        <vertAlign val="subscript"/>
        <sz val="11"/>
        <rFont val="Calibri"/>
        <family val="2"/>
        <charset val="238"/>
        <scheme val="minor"/>
      </rPr>
      <t>SALPHA</t>
    </r>
  </si>
  <si>
    <t>Diffusion coefficient of alpha indicator</t>
  </si>
  <si>
    <r>
      <t>D</t>
    </r>
    <r>
      <rPr>
        <vertAlign val="subscript"/>
        <sz val="11"/>
        <rFont val="Calibri"/>
        <family val="2"/>
        <charset val="238"/>
        <scheme val="minor"/>
      </rPr>
      <t>SNOx</t>
    </r>
  </si>
  <si>
    <t>Input</t>
  </si>
  <si>
    <t>SOTECorr_cdisc</t>
  </si>
  <si>
    <t>SOTECorr_mdisc</t>
  </si>
  <si>
    <t>SOTECorr_pdisc</t>
  </si>
  <si>
    <t>SOTECorr_cdome</t>
  </si>
  <si>
    <t>SOTECorr_mtube</t>
  </si>
  <si>
    <t>SOTEFixed_fine</t>
  </si>
  <si>
    <t>PondWaterColumn</t>
  </si>
  <si>
    <t>PondSediments</t>
  </si>
  <si>
    <t>Alpha improvement rate</t>
  </si>
  <si>
    <t>Maximum alpha indicator</t>
  </si>
  <si>
    <r>
      <t>K</t>
    </r>
    <r>
      <rPr>
        <vertAlign val="subscript"/>
        <sz val="11"/>
        <rFont val="Calibri"/>
        <family val="2"/>
        <charset val="238"/>
        <scheme val="minor"/>
      </rPr>
      <t>O2,ALPHA</t>
    </r>
  </si>
  <si>
    <t>Half-saturation of dissolved oxygen for alpha rate</t>
  </si>
  <si>
    <r>
      <t>f</t>
    </r>
    <r>
      <rPr>
        <vertAlign val="subscript"/>
        <sz val="11"/>
        <rFont val="Calibri"/>
        <family val="2"/>
        <charset val="238"/>
        <scheme val="minor"/>
      </rPr>
      <t>O2,max,ALPHA</t>
    </r>
  </si>
  <si>
    <t>Non-aerated zone alpha improvement rate increase</t>
  </si>
  <si>
    <t>Coefficient of alpha first order limitation-dampening term</t>
  </si>
  <si>
    <t>Power of alpha first order limitation-dampening term</t>
  </si>
  <si>
    <r>
      <t>sl</t>
    </r>
    <r>
      <rPr>
        <vertAlign val="subscript"/>
        <sz val="11"/>
        <color theme="1"/>
        <rFont val="Calibri"/>
        <family val="2"/>
        <scheme val="minor"/>
      </rPr>
      <t>h,diff,α</t>
    </r>
  </si>
  <si>
    <t>Slope of depth-related alpha factor correction term</t>
  </si>
  <si>
    <r>
      <t>m</t>
    </r>
    <r>
      <rPr>
        <vertAlign val="superscript"/>
        <sz val="11"/>
        <rFont val="Calibri"/>
        <family val="2"/>
        <scheme val="minor"/>
      </rPr>
      <t>-1</t>
    </r>
  </si>
  <si>
    <t>Slope of solids-related alpha factor correction term, default</t>
  </si>
  <si>
    <r>
      <t>m</t>
    </r>
    <r>
      <rPr>
        <vertAlign val="superscript"/>
        <sz val="11"/>
        <rFont val="Calibri"/>
        <family val="2"/>
        <charset val="238"/>
        <scheme val="minor"/>
      </rPr>
      <t>3</t>
    </r>
    <r>
      <rPr>
        <sz val="11"/>
        <rFont val="Calibri"/>
        <family val="2"/>
        <scheme val="minor"/>
      </rPr>
      <t>.kg TSS</t>
    </r>
    <r>
      <rPr>
        <vertAlign val="superscript"/>
        <sz val="11"/>
        <rFont val="Calibri"/>
        <family val="2"/>
        <scheme val="minor"/>
      </rPr>
      <t>-1</t>
    </r>
  </si>
  <si>
    <t>Slope of solids-related alpha factor correction term, coarse bubbles</t>
  </si>
  <si>
    <r>
      <t>m</t>
    </r>
    <r>
      <rPr>
        <vertAlign val="superscript"/>
        <sz val="11"/>
        <rFont val="Calibri"/>
        <family val="2"/>
        <charset val="238"/>
        <scheme val="minor"/>
      </rPr>
      <t>3</t>
    </r>
    <r>
      <rPr>
        <sz val="11"/>
        <rFont val="Calibri"/>
        <family val="2"/>
        <scheme val="minor"/>
      </rPr>
      <t>.kg TSS</t>
    </r>
    <r>
      <rPr>
        <vertAlign val="superscript"/>
        <sz val="11"/>
        <rFont val="Calibri"/>
        <family val="2"/>
        <charset val="238"/>
        <scheme val="minor"/>
      </rPr>
      <t>-1</t>
    </r>
  </si>
  <si>
    <t>Leading coefficient of solids-related alpha correction term, mechanical aeration</t>
  </si>
  <si>
    <r>
      <t>(kg TSS.m</t>
    </r>
    <r>
      <rPr>
        <vertAlign val="superscript"/>
        <sz val="11"/>
        <rFont val="Calibri"/>
        <family val="2"/>
        <charset val="238"/>
        <scheme val="minor"/>
      </rPr>
      <t>-3</t>
    </r>
    <r>
      <rPr>
        <sz val="11"/>
        <rFont val="Calibri"/>
        <family val="2"/>
        <scheme val="minor"/>
      </rPr>
      <t>)</t>
    </r>
    <r>
      <rPr>
        <vertAlign val="superscript"/>
        <sz val="11"/>
        <rFont val="Calibri"/>
        <family val="2"/>
        <charset val="238"/>
        <scheme val="minor"/>
      </rPr>
      <t>-2</t>
    </r>
  </si>
  <si>
    <t>Linear coefficient of solids-related alpha correction term, mechanical aeration</t>
  </si>
  <si>
    <t>Constant of solids-related alpha correction term, mechanical aeration</t>
  </si>
  <si>
    <r>
      <t>q</t>
    </r>
    <r>
      <rPr>
        <vertAlign val="subscript"/>
        <sz val="11"/>
        <rFont val="Calibri"/>
        <family val="2"/>
        <charset val="238"/>
        <scheme val="minor"/>
      </rPr>
      <t>ALPHA,O2</t>
    </r>
  </si>
  <si>
    <t>Alpha improvement rate (dissolved oxygen corrected)</t>
  </si>
  <si>
    <r>
      <t>q</t>
    </r>
    <r>
      <rPr>
        <vertAlign val="subscript"/>
        <sz val="11"/>
        <rFont val="Calibri"/>
        <family val="2"/>
        <charset val="238"/>
        <scheme val="minor"/>
      </rPr>
      <t>ALPHA</t>
    </r>
    <r>
      <rPr>
        <sz val="11"/>
        <rFont val="Calibri"/>
        <family val="2"/>
        <charset val="238"/>
        <scheme val="minor"/>
      </rPr>
      <t>*((1-f</t>
    </r>
    <r>
      <rPr>
        <vertAlign val="subscript"/>
        <sz val="11"/>
        <rFont val="Calibri"/>
        <family val="2"/>
        <charset val="238"/>
        <scheme val="minor"/>
      </rPr>
      <t>O2,max,ALPHA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/(K</t>
    </r>
    <r>
      <rPr>
        <vertAlign val="subscript"/>
        <sz val="11"/>
        <rFont val="Calibri"/>
        <family val="2"/>
        <charset val="238"/>
        <scheme val="minor"/>
      </rPr>
      <t>O2,ALPHA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)+f</t>
    </r>
    <r>
      <rPr>
        <vertAlign val="subscript"/>
        <sz val="11"/>
        <rFont val="Calibri"/>
        <family val="2"/>
        <charset val="238"/>
        <scheme val="minor"/>
      </rPr>
      <t>O2,max,ALPHA</t>
    </r>
    <r>
      <rPr>
        <sz val="11"/>
        <rFont val="Calibri"/>
        <family val="2"/>
        <charset val="238"/>
        <scheme val="minor"/>
      </rPr>
      <t>)</t>
    </r>
  </si>
  <si>
    <t>Alpha first order limitation-dampening term</t>
  </si>
  <si>
    <r>
      <t>corr</t>
    </r>
    <r>
      <rPr>
        <vertAlign val="subscript"/>
        <sz val="11"/>
        <rFont val="Calibri"/>
        <family val="2"/>
        <charset val="238"/>
        <scheme val="minor"/>
      </rPr>
      <t>h,diff,</t>
    </r>
    <r>
      <rPr>
        <vertAlign val="subscript"/>
        <sz val="11"/>
        <rFont val="Calibri"/>
        <family val="2"/>
        <charset val="238"/>
      </rPr>
      <t>α</t>
    </r>
  </si>
  <si>
    <t>Depth-related alpha factor correction term</t>
  </si>
  <si>
    <r>
      <t>(S</t>
    </r>
    <r>
      <rPr>
        <vertAlign val="subscript"/>
        <sz val="11"/>
        <color theme="1"/>
        <rFont val="Calibri"/>
        <family val="2"/>
        <scheme val="minor"/>
      </rPr>
      <t>ALPHA</t>
    </r>
    <r>
      <rPr>
        <sz val="11"/>
        <color theme="1"/>
        <rFont val="Calibri"/>
        <family val="2"/>
        <scheme val="minor"/>
      </rPr>
      <t>-1</t>
    </r>
    <r>
      <rPr>
        <sz val="11"/>
        <color indexed="8"/>
        <rFont val="Calibri"/>
        <family val="2"/>
      </rPr>
      <t>)*Exp(sl</t>
    </r>
    <r>
      <rPr>
        <vertAlign val="subscript"/>
        <sz val="11"/>
        <color theme="1"/>
        <rFont val="Calibri"/>
        <family val="2"/>
        <scheme val="minor"/>
      </rPr>
      <t>h,diff,α</t>
    </r>
    <r>
      <rPr>
        <sz val="11"/>
        <color indexed="8"/>
        <rFont val="Calibri"/>
        <family val="2"/>
      </rPr>
      <t>*h</t>
    </r>
    <r>
      <rPr>
        <vertAlign val="subscript"/>
        <sz val="11"/>
        <color theme="1"/>
        <rFont val="Calibri"/>
        <family val="2"/>
        <scheme val="minor"/>
      </rPr>
      <t>diff</t>
    </r>
    <r>
      <rPr>
        <sz val="11"/>
        <color indexed="8"/>
        <rFont val="Calibri"/>
        <family val="2"/>
      </rPr>
      <t>)+1</t>
    </r>
  </si>
  <si>
    <t>Solids-related alpha factor correction term</t>
  </si>
  <si>
    <r>
      <t>S</t>
    </r>
    <r>
      <rPr>
        <vertAlign val="subscript"/>
        <sz val="11"/>
        <rFont val="Calibri"/>
        <family val="2"/>
        <charset val="238"/>
        <scheme val="minor"/>
      </rPr>
      <t>ALPHA</t>
    </r>
    <r>
      <rPr>
        <sz val="11"/>
        <rFont val="Calibri"/>
        <family val="2"/>
        <scheme val="minor"/>
      </rPr>
      <t>/corr</t>
    </r>
    <r>
      <rPr>
        <vertAlign val="subscript"/>
        <sz val="11"/>
        <rFont val="Calibri"/>
        <family val="2"/>
        <scheme val="minor"/>
      </rPr>
      <t>h,diff,α</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</si>
  <si>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r>
      <t>h</t>
    </r>
    <r>
      <rPr>
        <vertAlign val="subscript"/>
        <sz val="11"/>
        <rFont val="Calibri"/>
        <family val="2"/>
      </rPr>
      <t>diff</t>
    </r>
  </si>
  <si>
    <t>Diffuser submergence</t>
  </si>
  <si>
    <t>m</t>
  </si>
  <si>
    <r>
      <t>q</t>
    </r>
    <r>
      <rPr>
        <vertAlign val="subscript"/>
        <sz val="11"/>
        <rFont val="Calibri"/>
        <family val="2"/>
      </rPr>
      <t>ALPHA,O2</t>
    </r>
    <r>
      <rPr>
        <sz val="11"/>
        <rFont val="Calibri"/>
        <family val="2"/>
      </rPr>
      <t>*X</t>
    </r>
    <r>
      <rPr>
        <vertAlign val="subscript"/>
        <sz val="11"/>
        <rFont val="Calibri"/>
        <family val="2"/>
      </rPr>
      <t>VSS</t>
    </r>
    <r>
      <rPr>
        <sz val="11"/>
        <rFont val="Calibri"/>
        <family val="2"/>
      </rPr>
      <t>*damp</t>
    </r>
    <r>
      <rPr>
        <vertAlign val="subscript"/>
        <sz val="11"/>
        <rFont val="Calibri"/>
        <family val="2"/>
        <charset val="238"/>
      </rPr>
      <t>ALPHA</t>
    </r>
    <r>
      <rPr>
        <sz val="11"/>
        <rFont val="Calibri"/>
        <family val="2"/>
      </rPr>
      <t>*(S</t>
    </r>
    <r>
      <rPr>
        <vertAlign val="subscript"/>
        <sz val="11"/>
        <rFont val="Calibri"/>
        <family val="2"/>
      </rPr>
      <t>ALPHA,sat</t>
    </r>
    <r>
      <rPr>
        <sz val="11"/>
        <rFont val="Calibri"/>
        <family val="2"/>
      </rPr>
      <t>-S</t>
    </r>
    <r>
      <rPr>
        <vertAlign val="subscript"/>
        <sz val="11"/>
        <rFont val="Calibri"/>
        <family val="2"/>
      </rPr>
      <t>ALPHA</t>
    </r>
    <r>
      <rPr>
        <sz val="11"/>
        <rFont val="Calibri"/>
        <family val="2"/>
      </rPr>
      <t>)</t>
    </r>
  </si>
  <si>
    <r>
      <t>S</t>
    </r>
    <r>
      <rPr>
        <vertAlign val="subscript"/>
        <sz val="11"/>
        <rFont val="Calibri"/>
        <family val="2"/>
        <charset val="238"/>
        <scheme val="minor"/>
      </rPr>
      <t>ALPHA</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</si>
  <si>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t>Diffused</t>
  </si>
  <si>
    <t>Diffused; Non-SOTECorr_cap; Non-SOTEFixed_coarse</t>
  </si>
  <si>
    <r>
      <t>k</t>
    </r>
    <r>
      <rPr>
        <vertAlign val="subscript"/>
        <sz val="11"/>
        <rFont val="Calibri"/>
        <family val="2"/>
        <charset val="238"/>
        <scheme val="minor"/>
      </rPr>
      <t>ORPswitch</t>
    </r>
  </si>
  <si>
    <t>sets inertia for the speed of CASTO activity switches' response to ORP changes</t>
  </si>
  <si>
    <r>
      <t>offset</t>
    </r>
    <r>
      <rPr>
        <vertAlign val="subscript"/>
        <sz val="11"/>
        <rFont val="Calibri"/>
        <family val="2"/>
        <charset val="238"/>
        <scheme val="minor"/>
      </rPr>
      <t>ORPswitch</t>
    </r>
  </si>
  <si>
    <t>used for keeping auxiliary ORP state variable in positive range - not recommended to alter</t>
  </si>
  <si>
    <r>
      <t>S</t>
    </r>
    <r>
      <rPr>
        <b/>
        <vertAlign val="subscript"/>
        <sz val="11"/>
        <rFont val="Calibri"/>
        <family val="2"/>
        <charset val="238"/>
        <scheme val="minor"/>
      </rPr>
      <t>ORPswitch</t>
    </r>
  </si>
  <si>
    <t>ORP driver for CASTO activity switches</t>
  </si>
  <si>
    <r>
      <t>Loginhswitch(S</t>
    </r>
    <r>
      <rPr>
        <vertAlign val="subscript"/>
        <sz val="11"/>
        <rFont val="Calibri"/>
        <family val="2"/>
        <charset val="238"/>
        <scheme val="minor"/>
      </rPr>
      <t>ORPswitch</t>
    </r>
    <r>
      <rPr>
        <sz val="11"/>
        <rFont val="Calibri"/>
        <family val="2"/>
        <charset val="238"/>
        <scheme val="minor"/>
      </rPr>
      <t xml:space="preserve"> - offset</t>
    </r>
    <r>
      <rPr>
        <vertAlign val="subscript"/>
        <sz val="11"/>
        <rFont val="Calibri"/>
        <family val="2"/>
        <charset val="238"/>
        <scheme val="minor"/>
      </rPr>
      <t>ORPswitch</t>
    </r>
    <r>
      <rPr>
        <sz val="11"/>
        <rFont val="Calibri"/>
        <family val="2"/>
        <scheme val="minor"/>
      </rPr>
      <t>; Logsat</t>
    </r>
    <r>
      <rPr>
        <vertAlign val="subscript"/>
        <sz val="11"/>
        <rFont val="Calibri"/>
        <family val="2"/>
      </rPr>
      <t>ORP,PAO,Half</t>
    </r>
    <r>
      <rPr>
        <sz val="11"/>
        <rFont val="Calibri"/>
        <family val="2"/>
      </rPr>
      <t>; Logsat</t>
    </r>
    <r>
      <rPr>
        <vertAlign val="subscript"/>
        <sz val="11"/>
        <rFont val="Calibri"/>
        <family val="2"/>
      </rPr>
      <t>ORP,PAO,Slope</t>
    </r>
    <r>
      <rPr>
        <sz val="11"/>
        <rFont val="Calibri"/>
        <family val="2"/>
      </rPr>
      <t>)</t>
    </r>
  </si>
  <si>
    <r>
      <t>Logsatswitch(S</t>
    </r>
    <r>
      <rPr>
        <vertAlign val="subscript"/>
        <sz val="11"/>
        <rFont val="Calibri"/>
        <family val="2"/>
        <charset val="238"/>
      </rPr>
      <t>ORPswitch</t>
    </r>
    <r>
      <rPr>
        <sz val="11"/>
        <rFont val="Calibri"/>
        <family val="2"/>
        <charset val="238"/>
      </rPr>
      <t xml:space="preserve"> - offset</t>
    </r>
    <r>
      <rPr>
        <vertAlign val="subscript"/>
        <sz val="11"/>
        <rFont val="Calibri"/>
        <family val="2"/>
        <charset val="238"/>
      </rPr>
      <t>ORPswitch</t>
    </r>
    <r>
      <rPr>
        <sz val="11"/>
        <rFont val="Calibri"/>
        <family val="2"/>
      </rPr>
      <t>; Logsat</t>
    </r>
    <r>
      <rPr>
        <vertAlign val="subscript"/>
        <sz val="11"/>
        <rFont val="Calibri"/>
        <family val="2"/>
      </rPr>
      <t>ORP,GAO,Half,T</t>
    </r>
    <r>
      <rPr>
        <sz val="11"/>
        <rFont val="Calibri"/>
        <family val="2"/>
      </rPr>
      <t>; Logsat</t>
    </r>
    <r>
      <rPr>
        <vertAlign val="subscript"/>
        <sz val="11"/>
        <rFont val="Calibri"/>
        <family val="2"/>
      </rPr>
      <t>ORP,GAO,Slope</t>
    </r>
    <r>
      <rPr>
        <sz val="11"/>
        <rFont val="Calibri"/>
        <family val="2"/>
      </rPr>
      <t>)</t>
    </r>
  </si>
  <si>
    <r>
      <t>S</t>
    </r>
    <r>
      <rPr>
        <b/>
        <vertAlign val="subscript"/>
        <sz val="12"/>
        <rFont val="Calibri"/>
        <family val="2"/>
        <charset val="238"/>
        <scheme val="minor"/>
      </rPr>
      <t>ORPswitch</t>
    </r>
  </si>
  <si>
    <t>ORP lag for CASTO activity switches</t>
  </si>
  <si>
    <r>
      <t>k</t>
    </r>
    <r>
      <rPr>
        <vertAlign val="subscript"/>
        <sz val="11"/>
        <rFont val="Calibri"/>
        <family val="2"/>
        <charset val="238"/>
      </rPr>
      <t>ORPswitch</t>
    </r>
    <r>
      <rPr>
        <sz val="11"/>
        <rFont val="Calibri"/>
        <family val="2"/>
      </rPr>
      <t>*(ORP + offset</t>
    </r>
    <r>
      <rPr>
        <vertAlign val="subscript"/>
        <sz val="11"/>
        <rFont val="Calibri"/>
        <family val="2"/>
        <charset val="238"/>
      </rPr>
      <t>ORPswitch</t>
    </r>
    <r>
      <rPr>
        <sz val="11"/>
        <rFont val="Calibri"/>
        <family val="2"/>
      </rPr>
      <t xml:space="preserve"> - S</t>
    </r>
    <r>
      <rPr>
        <vertAlign val="subscript"/>
        <sz val="11"/>
        <rFont val="Calibri"/>
        <family val="2"/>
        <charset val="238"/>
      </rPr>
      <t>ORPswitch</t>
    </r>
    <r>
      <rPr>
        <sz val="11"/>
        <rFont val="Calibri"/>
        <family val="2"/>
      </rPr>
      <t>)</t>
    </r>
  </si>
  <si>
    <r>
      <t>mV.d</t>
    </r>
    <r>
      <rPr>
        <vertAlign val="superscript"/>
        <sz val="11"/>
        <color indexed="8"/>
        <rFont val="Calibri"/>
        <family val="2"/>
        <charset val="238"/>
      </rPr>
      <t>-1</t>
    </r>
  </si>
  <si>
    <t>r97</t>
  </si>
  <si>
    <r>
      <t>-(v37_S</t>
    </r>
    <r>
      <rPr>
        <vertAlign val="subscript"/>
        <sz val="11"/>
        <rFont val="Calibri"/>
        <family val="2"/>
        <scheme val="minor"/>
      </rPr>
      <t>O2</t>
    </r>
    <r>
      <rPr>
        <sz val="11"/>
        <rFont val="Calibri"/>
        <family val="2"/>
        <scheme val="minor"/>
      </rPr>
      <t xml:space="preserve"> * r37 + v40_S</t>
    </r>
    <r>
      <rPr>
        <vertAlign val="subscript"/>
        <sz val="11"/>
        <rFont val="Calibri"/>
        <family val="2"/>
        <scheme val="minor"/>
      </rPr>
      <t>O2</t>
    </r>
    <r>
      <rPr>
        <sz val="11"/>
        <rFont val="Calibri"/>
        <family val="2"/>
        <scheme val="minor"/>
      </rPr>
      <t xml:space="preserve"> * r40)</t>
    </r>
  </si>
  <si>
    <r>
      <t>i</t>
    </r>
    <r>
      <rPr>
        <vertAlign val="subscript"/>
        <sz val="11"/>
        <rFont val="Calibri"/>
        <family val="2"/>
        <scheme val="minor"/>
      </rPr>
      <t>P,BIO</t>
    </r>
    <r>
      <rPr>
        <sz val="11"/>
        <rFont val="Calibri"/>
        <family val="2"/>
        <scheme val="minor"/>
      </rPr>
      <t xml:space="preserve"> * (r1 + r2 + r3 + r4 + r5 + r6 + r7 + r8 + r9 + r12 + r13 + r16 + r17 + r18 + r32 + r33 + r37 + r38 + r43 + r46 + r49) + PUR</t>
    </r>
    <r>
      <rPr>
        <vertAlign val="subscript"/>
        <sz val="11"/>
        <rFont val="Calibri"/>
        <family val="2"/>
        <charset val="238"/>
        <scheme val="minor"/>
      </rPr>
      <t>BIOP</t>
    </r>
  </si>
  <si>
    <t>loss at 105°C</t>
  </si>
  <si>
    <r>
      <t>X</t>
    </r>
    <r>
      <rPr>
        <vertAlign val="subscript"/>
        <sz val="11"/>
        <rFont val="Calibri"/>
        <family val="2"/>
        <scheme val="minor"/>
      </rPr>
      <t>HFO,ISS</t>
    </r>
  </si>
  <si>
    <t>Total HFOs in ISS unit</t>
  </si>
  <si>
    <r>
      <t>(1-f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</si>
  <si>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HAO,ISS</t>
    </r>
  </si>
  <si>
    <t>Total HAOs in ISS unit</t>
  </si>
  <si>
    <r>
      <t>(1-f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</si>
  <si>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Me,ISS</t>
    </r>
  </si>
  <si>
    <t>Metal precipitates in ISS unit</t>
  </si>
  <si>
    <r>
      <t>X</t>
    </r>
    <r>
      <rPr>
        <vertAlign val="subscript"/>
        <sz val="11"/>
        <rFont val="Calibri"/>
        <family val="2"/>
        <scheme val="minor"/>
      </rPr>
      <t>HFO,ISS</t>
    </r>
    <r>
      <rPr>
        <sz val="11"/>
        <rFont val="Calibri"/>
        <family val="2"/>
        <scheme val="minor"/>
      </rPr>
      <t xml:space="preserve"> + X</t>
    </r>
    <r>
      <rPr>
        <vertAlign val="subscript"/>
        <sz val="11"/>
        <rFont val="Calibri"/>
        <family val="2"/>
        <scheme val="minor"/>
      </rPr>
      <t>HAO,ISS</t>
    </r>
  </si>
  <si>
    <r>
      <t>X</t>
    </r>
    <r>
      <rPr>
        <vertAlign val="subscript"/>
        <sz val="11"/>
        <rFont val="Calibri"/>
        <family val="2"/>
        <scheme val="minor"/>
      </rPr>
      <t>Me,H2O,VSS</t>
    </r>
  </si>
  <si>
    <t>Water associated with metals measured in VSS Test</t>
  </si>
  <si>
    <r>
      <t>X</t>
    </r>
    <r>
      <rPr>
        <vertAlign val="subscript"/>
        <sz val="11"/>
        <rFont val="Calibri"/>
        <family val="2"/>
        <scheme val="minor"/>
      </rPr>
      <t xml:space="preserve">VSS </t>
    </r>
    <r>
      <rPr>
        <sz val="11"/>
        <rFont val="Calibri"/>
        <family val="2"/>
        <scheme val="minor"/>
      </rPr>
      <t>+ X</t>
    </r>
    <r>
      <rPr>
        <vertAlign val="subscript"/>
        <sz val="11"/>
        <rFont val="Calibri"/>
        <family val="2"/>
        <scheme val="minor"/>
      </rPr>
      <t xml:space="preserve">ISS </t>
    </r>
    <r>
      <rPr>
        <sz val="11"/>
        <rFont val="Calibri"/>
        <family val="2"/>
        <scheme val="minor"/>
      </rPr>
      <t>- X</t>
    </r>
    <r>
      <rPr>
        <vertAlign val="subscript"/>
        <sz val="11"/>
        <rFont val="Calibri"/>
        <family val="2"/>
        <scheme val="minor"/>
      </rPr>
      <t>Me,H2O,TSS</t>
    </r>
  </si>
  <si>
    <r>
      <t>X</t>
    </r>
    <r>
      <rPr>
        <vertAlign val="subscript"/>
        <sz val="11"/>
        <rFont val="Calibri"/>
        <family val="2"/>
        <scheme val="minor"/>
      </rPr>
      <t>Me,H2O,TSS</t>
    </r>
  </si>
  <si>
    <t>Water associated with metals measured in TSS Test</t>
  </si>
  <si>
    <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</si>
  <si>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(f</t>
    </r>
    <r>
      <rPr>
        <vertAlign val="subscript"/>
        <sz val="11"/>
        <rFont val="Calibri"/>
        <family val="2"/>
        <scheme val="minor"/>
      </rPr>
      <t>H2O,HFO,VSS</t>
    </r>
    <r>
      <rPr>
        <sz val="11"/>
        <rFont val="Calibri"/>
        <family val="2"/>
        <scheme val="minor"/>
      </rP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H2O,HAO,VSS</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</si>
  <si>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t>Non-pH; Non-Digester; Non-Sidestream</t>
  </si>
  <si>
    <t>Non-pH; Sidestream</t>
  </si>
  <si>
    <r>
      <t>g COD.g COD</t>
    </r>
    <r>
      <rPr>
        <vertAlign val="superscript"/>
        <sz val="11"/>
        <rFont val="Calibri"/>
        <family val="2"/>
        <charset val="238"/>
        <scheme val="minor"/>
      </rPr>
      <t>-1</t>
    </r>
  </si>
  <si>
    <r>
      <t>g COD.g P</t>
    </r>
    <r>
      <rPr>
        <vertAlign val="superscript"/>
        <sz val="11"/>
        <rFont val="Calibri"/>
        <family val="2"/>
        <charset val="238"/>
        <scheme val="minor"/>
      </rPr>
      <t>-1</t>
    </r>
  </si>
  <si>
    <r>
      <t>g P.g COD</t>
    </r>
    <r>
      <rPr>
        <vertAlign val="superscript"/>
        <sz val="11"/>
        <rFont val="Calibri"/>
        <family val="2"/>
        <charset val="238"/>
        <scheme val="minor"/>
      </rPr>
      <t>-1</t>
    </r>
  </si>
  <si>
    <r>
      <t>g TSS.g P</t>
    </r>
    <r>
      <rPr>
        <vertAlign val="superscript"/>
        <sz val="11"/>
        <rFont val="Calibri"/>
        <family val="2"/>
        <charset val="238"/>
        <scheme val="minor"/>
      </rPr>
      <t>-1</t>
    </r>
  </si>
  <si>
    <r>
      <t>g COD.g N</t>
    </r>
    <r>
      <rPr>
        <vertAlign val="superscript"/>
        <sz val="11"/>
        <rFont val="Calibri"/>
        <family val="2"/>
        <scheme val="minor"/>
      </rPr>
      <t>-1</t>
    </r>
  </si>
  <si>
    <r>
      <t>mol NO</t>
    </r>
    <r>
      <rPr>
        <vertAlign val="subscript"/>
        <sz val="11"/>
        <rFont val="Calibri"/>
        <family val="2"/>
        <scheme val="minor"/>
      </rPr>
      <t>2</t>
    </r>
    <r>
      <rPr>
        <sz val="11"/>
        <rFont val="Calibri"/>
        <family val="2"/>
        <scheme val="minor"/>
      </rPr>
      <t>.mol NH</t>
    </r>
    <r>
      <rPr>
        <vertAlign val="subscript"/>
        <sz val="11"/>
        <rFont val="Calibri"/>
        <family val="2"/>
        <scheme val="minor"/>
      </rPr>
      <t>4</t>
    </r>
    <r>
      <rPr>
        <vertAlign val="superscript"/>
        <sz val="11"/>
        <rFont val="Calibri"/>
        <family val="2"/>
        <scheme val="minor"/>
      </rPr>
      <t>-1</t>
    </r>
  </si>
  <si>
    <r>
      <t>mol NO</t>
    </r>
    <r>
      <rPr>
        <vertAlign val="subscript"/>
        <sz val="11"/>
        <rFont val="Calibri"/>
        <family val="2"/>
        <scheme val="minor"/>
      </rPr>
      <t>3</t>
    </r>
    <r>
      <rPr>
        <sz val="11"/>
        <rFont val="Calibri"/>
        <family val="2"/>
        <scheme val="minor"/>
      </rPr>
      <t>.mol NH</t>
    </r>
    <r>
      <rPr>
        <vertAlign val="subscript"/>
        <sz val="11"/>
        <rFont val="Calibri"/>
        <family val="2"/>
        <scheme val="minor"/>
      </rPr>
      <t>4</t>
    </r>
    <r>
      <rPr>
        <vertAlign val="superscript"/>
        <sz val="11"/>
        <rFont val="Calibri"/>
        <family val="2"/>
        <scheme val="minor"/>
      </rPr>
      <t>-1</t>
    </r>
  </si>
  <si>
    <t>NURAMX</t>
  </si>
  <si>
    <t>Ammonia and nitrite uptake rate by Anammox (NURAMX)</t>
  </si>
  <si>
    <r>
      <t>- (v43_S</t>
    </r>
    <r>
      <rPr>
        <vertAlign val="subscript"/>
        <sz val="11"/>
        <rFont val="Calibri"/>
        <family val="2"/>
        <scheme val="minor"/>
      </rPr>
      <t>NHx</t>
    </r>
    <r>
      <rPr>
        <sz val="11"/>
        <rFont val="Calibri"/>
        <family val="2"/>
        <scheme val="minor"/>
      </rPr>
      <t xml:space="preserve"> * r43 + v43_S</t>
    </r>
    <r>
      <rPr>
        <vertAlign val="subscript"/>
        <sz val="11"/>
        <rFont val="Calibri"/>
        <family val="2"/>
        <scheme val="minor"/>
      </rPr>
      <t>NO2</t>
    </r>
    <r>
      <rPr>
        <sz val="11"/>
        <rFont val="Calibri"/>
        <family val="2"/>
        <scheme val="minor"/>
      </rPr>
      <t xml:space="preserve"> * r43)</t>
    </r>
  </si>
  <si>
    <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O</t>
    </r>
  </si>
  <si>
    <r>
      <t xml:space="preserve"> -Y</t>
    </r>
    <r>
      <rPr>
        <vertAlign val="subscript"/>
        <sz val="11"/>
        <color indexed="8"/>
        <rFont val="Calibri"/>
        <family val="2"/>
        <charset val="238"/>
      </rPr>
      <t>AMX,NO2</t>
    </r>
    <r>
      <rPr>
        <sz val="11"/>
        <color indexed="8"/>
        <rFont val="Calibri"/>
        <family val="2"/>
      </rPr>
      <t>/(5*Y</t>
    </r>
    <r>
      <rPr>
        <vertAlign val="subscript"/>
        <sz val="11"/>
        <color indexed="8"/>
        <rFont val="Calibri"/>
        <family val="2"/>
        <charset val="238"/>
      </rPr>
      <t>AMX,NO3</t>
    </r>
    <r>
      <rPr>
        <sz val="11"/>
        <color indexed="8"/>
        <rFont val="Calibri"/>
        <family val="2"/>
      </rPr>
      <t>+3-3*Y</t>
    </r>
    <r>
      <rPr>
        <vertAlign val="subscript"/>
        <sz val="11"/>
        <color indexed="8"/>
        <rFont val="Calibri"/>
        <family val="2"/>
        <charset val="238"/>
      </rPr>
      <t>AMX,NO2</t>
    </r>
    <r>
      <rPr>
        <sz val="11"/>
        <color indexed="8"/>
        <rFont val="Calibri"/>
        <family val="2"/>
      </rPr>
      <t>)*(3*i</t>
    </r>
    <r>
      <rPr>
        <vertAlign val="subscript"/>
        <sz val="11"/>
        <color indexed="8"/>
        <rFont val="Calibri"/>
        <family val="2"/>
        <charset val="238"/>
      </rPr>
      <t>N,BIO</t>
    </r>
    <r>
      <rPr>
        <sz val="11"/>
        <color indexed="8"/>
        <rFont val="Calibri"/>
        <family val="2"/>
      </rPr>
      <t>*AM</t>
    </r>
    <r>
      <rPr>
        <vertAlign val="subscript"/>
        <sz val="11"/>
        <color indexed="8"/>
        <rFont val="Calibri"/>
        <family val="2"/>
        <charset val="238"/>
      </rPr>
      <t>O</t>
    </r>
    <r>
      <rPr>
        <sz val="11"/>
        <color indexed="8"/>
        <rFont val="Calibri"/>
        <family val="2"/>
      </rPr>
      <t>+2*AM</t>
    </r>
    <r>
      <rPr>
        <vertAlign val="subscript"/>
        <sz val="11"/>
        <color indexed="8"/>
        <rFont val="Calibri"/>
        <family val="2"/>
        <charset val="238"/>
      </rPr>
      <t>N</t>
    </r>
    <r>
      <rPr>
        <sz val="11"/>
        <color indexed="8"/>
        <rFont val="Calibri"/>
        <family val="2"/>
      </rPr>
      <t>)/AM</t>
    </r>
    <r>
      <rPr>
        <vertAlign val="subscript"/>
        <sz val="11"/>
        <color indexed="8"/>
        <rFont val="Calibri"/>
        <family val="2"/>
        <charset val="238"/>
      </rPr>
      <t>O</t>
    </r>
  </si>
  <si>
    <r>
      <t>Y</t>
    </r>
    <r>
      <rPr>
        <vertAlign val="subscript"/>
        <sz val="11"/>
        <color indexed="8"/>
        <rFont val="Calibri"/>
        <family val="2"/>
        <scheme val="minor"/>
      </rPr>
      <t>AMX,NO3</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)/AM</t>
    </r>
    <r>
      <rPr>
        <vertAlign val="subscript"/>
        <sz val="11"/>
        <color indexed="8"/>
        <rFont val="Calibri"/>
        <family val="2"/>
        <scheme val="minor"/>
      </rPr>
      <t>O</t>
    </r>
  </si>
  <si>
    <r>
      <t>2*(Y</t>
    </r>
    <r>
      <rPr>
        <vertAlign val="subscript"/>
        <sz val="11"/>
        <color indexed="8"/>
        <rFont val="Calibri"/>
        <family val="2"/>
        <scheme val="minor"/>
      </rPr>
      <t>AMX,NO3</t>
    </r>
    <r>
      <rPr>
        <sz val="11"/>
        <color indexed="8"/>
        <rFont val="Calibri"/>
        <family val="2"/>
        <scheme val="minor"/>
      </rPr>
      <t>*AM</t>
    </r>
    <r>
      <rPr>
        <vertAlign val="subscript"/>
        <sz val="11"/>
        <color indexed="8"/>
        <rFont val="Calibri"/>
        <family val="2"/>
        <scheme val="minor"/>
      </rPr>
      <t>N</t>
    </r>
    <r>
      <rPr>
        <sz val="11"/>
        <color indexed="8"/>
        <rFont val="Calibri"/>
        <family val="2"/>
        <scheme val="minor"/>
      </rPr>
      <t>-1*AM</t>
    </r>
    <r>
      <rPr>
        <vertAlign val="subscript"/>
        <sz val="11"/>
        <color indexed="8"/>
        <rFont val="Calibri"/>
        <family val="2"/>
        <scheme val="minor"/>
      </rPr>
      <t>N</t>
    </r>
    <r>
      <rPr>
        <sz val="11"/>
        <color indexed="8"/>
        <rFont val="Calibri"/>
        <family val="2"/>
        <scheme val="minor"/>
      </rPr>
      <t>-1*Y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N</t>
    </r>
    <r>
      <rPr>
        <sz val="11"/>
        <color indexed="8"/>
        <rFont val="Calibri"/>
        <family val="2"/>
        <scheme val="minor"/>
      </rPr>
      <t>+4*Y</t>
    </r>
    <r>
      <rPr>
        <vertAlign val="subscript"/>
        <sz val="11"/>
        <color indexed="8"/>
        <rFont val="Calibri"/>
        <family val="2"/>
        <scheme val="minor"/>
      </rPr>
      <t>AMX,NO3</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t>
    </r>
  </si>
  <si>
    <t>Primary effluent</t>
  </si>
  <si>
    <r>
      <t>q</t>
    </r>
    <r>
      <rPr>
        <vertAlign val="subscript"/>
        <sz val="11"/>
        <color indexed="8"/>
        <rFont val="Calibri"/>
        <family val="2"/>
        <scheme val="minor"/>
      </rPr>
      <t>XU</t>
    </r>
  </si>
  <si>
    <t>Rate of particulate unbiodegradable organics conversion</t>
  </si>
  <si>
    <r>
      <t>θ</t>
    </r>
    <r>
      <rPr>
        <vertAlign val="subscript"/>
        <sz val="11"/>
        <color indexed="8"/>
        <rFont val="Calibri"/>
        <family val="2"/>
        <scheme val="minor"/>
      </rPr>
      <t>q,XU</t>
    </r>
  </si>
  <si>
    <t>Arrhenius particulate unbiodegradable organics conversion</t>
  </si>
  <si>
    <r>
      <t>q</t>
    </r>
    <r>
      <rPr>
        <vertAlign val="subscript"/>
        <sz val="11"/>
        <color indexed="8"/>
        <rFont val="Calibri"/>
        <family val="2"/>
        <scheme val="minor"/>
      </rPr>
      <t>XU,T</t>
    </r>
  </si>
  <si>
    <t>Rate of particulate unbiodegradable organics conversion (temperature corrected)</t>
  </si>
  <si>
    <r>
      <t>q</t>
    </r>
    <r>
      <rPr>
        <vertAlign val="subscript"/>
        <sz val="11"/>
        <color indexed="8"/>
        <rFont val="Calibri"/>
        <family val="2"/>
        <scheme val="minor"/>
      </rPr>
      <t>XU</t>
    </r>
    <r>
      <rPr>
        <sz val="11"/>
        <color indexed="8"/>
        <rFont val="Calibri"/>
        <family val="2"/>
        <scheme val="minor"/>
      </rPr>
      <t>*Arrh(θ</t>
    </r>
    <r>
      <rPr>
        <vertAlign val="subscript"/>
        <sz val="11"/>
        <color indexed="8"/>
        <rFont val="Calibri"/>
        <family val="2"/>
        <scheme val="minor"/>
      </rPr>
      <t>q,XU</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</si>
  <si>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r98</t>
  </si>
  <si>
    <r>
      <t>X</t>
    </r>
    <r>
      <rPr>
        <vertAlign val="subscript"/>
        <sz val="11"/>
        <rFont val="Calibri"/>
        <family val="2"/>
      </rPr>
      <t>N,U</t>
    </r>
    <r>
      <rPr>
        <sz val="11"/>
        <rFont val="Calibri"/>
        <family val="2"/>
      </rPr>
      <t>/X</t>
    </r>
    <r>
      <rPr>
        <vertAlign val="subscript"/>
        <sz val="11"/>
        <rFont val="Calibri"/>
        <family val="2"/>
      </rPr>
      <t>U</t>
    </r>
  </si>
  <si>
    <r>
      <t>-X</t>
    </r>
    <r>
      <rPr>
        <vertAlign val="subscript"/>
        <sz val="11"/>
        <rFont val="Calibri"/>
        <family val="2"/>
      </rPr>
      <t>N,U</t>
    </r>
    <r>
      <rPr>
        <sz val="11"/>
        <rFont val="Calibri"/>
        <family val="2"/>
      </rPr>
      <t>/X</t>
    </r>
    <r>
      <rPr>
        <vertAlign val="subscript"/>
        <sz val="11"/>
        <rFont val="Calibri"/>
        <family val="2"/>
      </rPr>
      <t>U</t>
    </r>
  </si>
  <si>
    <r>
      <t>Msat</t>
    </r>
    <r>
      <rPr>
        <vertAlign val="subscript"/>
        <sz val="11"/>
        <rFont val="Calibri"/>
        <family val="2"/>
      </rPr>
      <t>XU,KXU</t>
    </r>
  </si>
  <si>
    <t>Saturation term for XU</t>
  </si>
  <si>
    <r>
      <t>Msat(X</t>
    </r>
    <r>
      <rPr>
        <vertAlign val="subscript"/>
        <sz val="11"/>
        <rFont val="Calibri"/>
        <family val="2"/>
      </rPr>
      <t>U</t>
    </r>
    <r>
      <rPr>
        <sz val="11"/>
        <rFont val="Calibri"/>
        <family val="2"/>
      </rPr>
      <t>;K</t>
    </r>
    <r>
      <rPr>
        <vertAlign val="subscript"/>
        <sz val="11"/>
        <rFont val="Calibri"/>
        <family val="2"/>
      </rPr>
      <t>XU</t>
    </r>
    <r>
      <rPr>
        <sz val="11"/>
        <rFont val="Calibri"/>
        <family val="2"/>
      </rPr>
      <t>)</t>
    </r>
  </si>
  <si>
    <r>
      <t>q</t>
    </r>
    <r>
      <rPr>
        <vertAlign val="subscript"/>
        <sz val="11"/>
        <rFont val="Calibri"/>
        <family val="2"/>
      </rPr>
      <t>XU,T</t>
    </r>
    <r>
      <rPr>
        <sz val="11"/>
        <rFont val="Calibri"/>
        <family val="2"/>
      </rPr>
      <t>*X</t>
    </r>
    <r>
      <rPr>
        <vertAlign val="subscript"/>
        <sz val="11"/>
        <rFont val="Calibri"/>
        <family val="2"/>
      </rPr>
      <t>U</t>
    </r>
    <r>
      <rPr>
        <sz val="11"/>
        <rFont val="Calibri"/>
        <family val="2"/>
      </rPr>
      <t>*Msat</t>
    </r>
    <r>
      <rPr>
        <vertAlign val="subscript"/>
        <sz val="11"/>
        <rFont val="Calibri"/>
        <family val="2"/>
      </rPr>
      <t>XU,KXU</t>
    </r>
  </si>
  <si>
    <r>
      <t>K</t>
    </r>
    <r>
      <rPr>
        <vertAlign val="subscript"/>
        <sz val="11"/>
        <color indexed="8"/>
        <rFont val="Calibri"/>
        <family val="2"/>
        <scheme val="minor"/>
      </rPr>
      <t>XU</t>
    </r>
  </si>
  <si>
    <t>Aged P-bound hydrous ferric oxide, high surface (HFO,H,P,old)</t>
  </si>
  <si>
    <t>Aged P-bound hydrous ferric oxide, low surface (HFO,L,P,old)</t>
  </si>
  <si>
    <t>Conversion factor of TCOD into total organic carbon at effluent</t>
  </si>
  <si>
    <t>Conversion constant of TCOD into total organic carbon at effluent</t>
  </si>
  <si>
    <t>Saturation term for PHA storage (PAO)</t>
  </si>
  <si>
    <t>Inhibition term for PHA storage (PAO)</t>
  </si>
  <si>
    <t>Inhibition term for PP storage compound (PAO)</t>
  </si>
  <si>
    <t>Saturation term for PP storage (PAO)</t>
  </si>
  <si>
    <t>Kinetic rate of ORP lag for CASTO activity switches</t>
  </si>
  <si>
    <t>Offset of ORP lag for CASTO activity switches</t>
  </si>
  <si>
    <t>Inhibition term for VFAs in fermentation</t>
  </si>
  <si>
    <t>Half-saturation of particulate unbiodegradable organics</t>
  </si>
  <si>
    <t>Photosynthetic organisms kinetics (ALGAE)</t>
  </si>
  <si>
    <r>
      <t>µ</t>
    </r>
    <r>
      <rPr>
        <vertAlign val="subscript"/>
        <sz val="11"/>
        <color rgb="FF000000"/>
        <rFont val="Calibri"/>
        <family val="2"/>
        <scheme val="minor"/>
      </rPr>
      <t>ALGAE</t>
    </r>
  </si>
  <si>
    <t>Maximum specific growth rate of ALGAE</t>
  </si>
  <si>
    <r>
      <t>b</t>
    </r>
    <r>
      <rPr>
        <vertAlign val="subscript"/>
        <sz val="11"/>
        <color indexed="8"/>
        <rFont val="Calibri"/>
        <family val="2"/>
        <scheme val="minor"/>
      </rPr>
      <t>ALGAE</t>
    </r>
  </si>
  <si>
    <t>Decay rate of ALGAE</t>
  </si>
  <si>
    <r>
      <t>K</t>
    </r>
    <r>
      <rPr>
        <vertAlign val="subscript"/>
        <sz val="11"/>
        <color rgb="FF000000"/>
        <rFont val="Calibri"/>
        <family val="2"/>
        <scheme val="minor"/>
      </rPr>
      <t>CO2,ALGAE</t>
    </r>
  </si>
  <si>
    <r>
      <t>Half-saturation of CO</t>
    </r>
    <r>
      <rPr>
        <vertAlign val="subscript"/>
        <sz val="11"/>
        <color rgb="FF000000"/>
        <rFont val="Calibri"/>
        <family val="2"/>
        <scheme val="minor"/>
      </rPr>
      <t>2</t>
    </r>
    <r>
      <rPr>
        <sz val="11"/>
        <color indexed="8"/>
        <rFont val="Calibri"/>
        <family val="2"/>
        <scheme val="minor"/>
      </rPr>
      <t xml:space="preserve"> for ALGAE</t>
    </r>
  </si>
  <si>
    <r>
      <t>K</t>
    </r>
    <r>
      <rPr>
        <vertAlign val="subscript"/>
        <sz val="11"/>
        <color rgb="FF000000"/>
        <rFont val="Calibri"/>
        <family val="2"/>
        <scheme val="minor"/>
      </rPr>
      <t>NOx,ALGAE</t>
    </r>
  </si>
  <si>
    <r>
      <t>Half-saturation of NO</t>
    </r>
    <r>
      <rPr>
        <vertAlign val="subscript"/>
        <sz val="11"/>
        <color rgb="FF000000"/>
        <rFont val="Calibri"/>
        <family val="2"/>
        <scheme val="minor"/>
      </rPr>
      <t>x</t>
    </r>
    <r>
      <rPr>
        <sz val="11"/>
        <color indexed="8"/>
        <rFont val="Calibri"/>
        <family val="2"/>
        <scheme val="minor"/>
      </rPr>
      <t xml:space="preserve"> for ALGAE</t>
    </r>
  </si>
  <si>
    <r>
      <t>K</t>
    </r>
    <r>
      <rPr>
        <vertAlign val="subscript"/>
        <sz val="11"/>
        <color rgb="FF000000"/>
        <rFont val="Calibri"/>
        <family val="2"/>
        <scheme val="minor"/>
      </rPr>
      <t>O2,ALGAE</t>
    </r>
  </si>
  <si>
    <r>
      <t>Half-saturation of O</t>
    </r>
    <r>
      <rPr>
        <vertAlign val="subscript"/>
        <sz val="11"/>
        <color rgb="FF000000"/>
        <rFont val="Calibri"/>
        <family val="2"/>
        <scheme val="minor"/>
      </rPr>
      <t>2</t>
    </r>
    <r>
      <rPr>
        <sz val="11"/>
        <color indexed="8"/>
        <rFont val="Calibri"/>
        <family val="2"/>
        <scheme val="minor"/>
      </rPr>
      <t xml:space="preserve"> for ALGAE</t>
    </r>
  </si>
  <si>
    <r>
      <t>K</t>
    </r>
    <r>
      <rPr>
        <vertAlign val="subscript"/>
        <sz val="11"/>
        <rFont val="Calibri"/>
        <family val="2"/>
        <scheme val="minor"/>
      </rPr>
      <t>NHx,ALGAE</t>
    </r>
  </si>
  <si>
    <r>
      <t>Half-saturation of NH</t>
    </r>
    <r>
      <rPr>
        <vertAlign val="subscript"/>
        <sz val="11"/>
        <color rgb="FF000000"/>
        <rFont val="Calibri"/>
        <family val="2"/>
        <scheme val="minor"/>
      </rPr>
      <t>x</t>
    </r>
    <r>
      <rPr>
        <sz val="11"/>
        <color rgb="FF000000"/>
        <rFont val="Calibri"/>
        <family val="2"/>
        <charset val="238"/>
        <scheme val="minor"/>
      </rPr>
      <t xml:space="preserve"> for ALGAE</t>
    </r>
  </si>
  <si>
    <r>
      <t>K</t>
    </r>
    <r>
      <rPr>
        <sz val="11"/>
        <color rgb="FF000000"/>
        <rFont val="Calibri"/>
        <family val="2"/>
        <scheme val="minor"/>
      </rPr>
      <t>i</t>
    </r>
    <r>
      <rPr>
        <vertAlign val="subscript"/>
        <sz val="11"/>
        <color rgb="FF000000"/>
        <rFont val="Calibri"/>
        <family val="2"/>
        <scheme val="minor"/>
      </rPr>
      <t>NHx,ALGAE</t>
    </r>
  </si>
  <si>
    <r>
      <t>Half-inhibition of NH</t>
    </r>
    <r>
      <rPr>
        <vertAlign val="subscript"/>
        <sz val="11"/>
        <color rgb="FF000000"/>
        <rFont val="Calibri"/>
        <family val="2"/>
        <scheme val="minor"/>
      </rPr>
      <t>x</t>
    </r>
    <r>
      <rPr>
        <sz val="11"/>
        <color indexed="8"/>
        <rFont val="Calibri"/>
        <family val="2"/>
        <scheme val="minor"/>
      </rPr>
      <t xml:space="preserve"> for ALGAE</t>
    </r>
  </si>
  <si>
    <r>
      <t>θ</t>
    </r>
    <r>
      <rPr>
        <vertAlign val="subscript"/>
        <sz val="11"/>
        <color indexed="8"/>
        <rFont val="Calibri"/>
        <family val="2"/>
        <scheme val="minor"/>
      </rPr>
      <t>µ,ALGAE</t>
    </r>
  </si>
  <si>
    <t>Arrhenius coefficient for ALGAE growth</t>
  </si>
  <si>
    <r>
      <t>θ</t>
    </r>
    <r>
      <rPr>
        <vertAlign val="subscript"/>
        <sz val="11"/>
        <color indexed="8"/>
        <rFont val="Calibri"/>
        <family val="2"/>
        <scheme val="minor"/>
      </rPr>
      <t>b,ALGAE</t>
    </r>
  </si>
  <si>
    <t>Arrhenius coefficient for ALGAE decay</t>
  </si>
  <si>
    <r>
      <t>i</t>
    </r>
    <r>
      <rPr>
        <vertAlign val="subscript"/>
        <sz val="11"/>
        <rFont val="Calibri"/>
        <family val="2"/>
        <scheme val="minor"/>
      </rPr>
      <t>N,ALGAE</t>
    </r>
  </si>
  <si>
    <t>N content of algae</t>
  </si>
  <si>
    <t>g N.g COD-1</t>
  </si>
  <si>
    <r>
      <t>i</t>
    </r>
    <r>
      <rPr>
        <vertAlign val="subscript"/>
        <sz val="11"/>
        <rFont val="Calibri"/>
        <family val="2"/>
        <scheme val="minor"/>
      </rPr>
      <t>P,ALGAE</t>
    </r>
  </si>
  <si>
    <t>P content of algae</t>
  </si>
  <si>
    <t>g P.g COD-1</t>
  </si>
  <si>
    <r>
      <t>i</t>
    </r>
    <r>
      <rPr>
        <vertAlign val="subscript"/>
        <sz val="11"/>
        <rFont val="Calibri"/>
        <family val="2"/>
        <scheme val="minor"/>
      </rPr>
      <t>CIT,ALGAE</t>
    </r>
  </si>
  <si>
    <t>Inorganic carbon content of algae</t>
  </si>
  <si>
    <t>g TIC.g COD-1</t>
  </si>
  <si>
    <t>C5H7O2N: 32 g COD/mol C</t>
  </si>
  <si>
    <r>
      <t>k</t>
    </r>
    <r>
      <rPr>
        <vertAlign val="subscript"/>
        <sz val="11"/>
        <rFont val="Calibri"/>
        <family val="2"/>
      </rPr>
      <t>L,GO2,PondSurface</t>
    </r>
  </si>
  <si>
    <r>
      <t>Liquid-side mass transfer coefficient of O</t>
    </r>
    <r>
      <rPr>
        <vertAlign val="subscript"/>
        <sz val="11"/>
        <color rgb="FF000000"/>
        <rFont val="Calibri"/>
        <family val="2"/>
        <scheme val="minor"/>
      </rPr>
      <t>2</t>
    </r>
    <r>
      <rPr>
        <sz val="11"/>
        <rFont val="Calibri"/>
        <family val="2"/>
        <scheme val="minor"/>
      </rPr>
      <t xml:space="preserve"> at liquid surface of a pond</t>
    </r>
  </si>
  <si>
    <t>r99</t>
  </si>
  <si>
    <t>r100</t>
  </si>
  <si>
    <t>r101</t>
  </si>
  <si>
    <t>r102</t>
  </si>
  <si>
    <t>ALGAE growth on Nitrate</t>
  </si>
  <si>
    <t>ALGAE growth on Ammonia</t>
  </si>
  <si>
    <t>ALGAE respiration</t>
  </si>
  <si>
    <t>ALGAE decay</t>
  </si>
  <si>
    <r>
      <t>X</t>
    </r>
    <r>
      <rPr>
        <b/>
        <vertAlign val="subscript"/>
        <sz val="11"/>
        <rFont val="Calibri"/>
        <family val="2"/>
        <scheme val="minor"/>
      </rPr>
      <t>ALGAE</t>
    </r>
  </si>
  <si>
    <r>
      <t>-i</t>
    </r>
    <r>
      <rPr>
        <vertAlign val="subscript"/>
        <sz val="11"/>
        <color indexed="8"/>
        <rFont val="Calibri"/>
        <family val="2"/>
      </rPr>
      <t>N,ALGAE</t>
    </r>
    <r>
      <rPr>
        <sz val="11"/>
        <color indexed="8"/>
        <rFont val="Calibri"/>
        <family val="2"/>
      </rPr>
      <t>*S</t>
    </r>
    <r>
      <rPr>
        <vertAlign val="subscript"/>
        <sz val="11"/>
        <color rgb="FF000000"/>
        <rFont val="Calibri"/>
        <family val="2"/>
      </rPr>
      <t>NO2</t>
    </r>
    <r>
      <rPr>
        <sz val="11"/>
        <color indexed="8"/>
        <rFont val="Calibri"/>
        <family val="2"/>
      </rPr>
      <t>/S</t>
    </r>
    <r>
      <rPr>
        <vertAlign val="subscript"/>
        <sz val="11"/>
        <color rgb="FF000000"/>
        <rFont val="Calibri"/>
        <family val="2"/>
      </rPr>
      <t>NOx</t>
    </r>
  </si>
  <si>
    <r>
      <t>-i</t>
    </r>
    <r>
      <rPr>
        <vertAlign val="subscript"/>
        <sz val="11"/>
        <color indexed="8"/>
        <rFont val="Calibri"/>
        <family val="2"/>
      </rPr>
      <t>N,ALGAE</t>
    </r>
    <r>
      <rPr>
        <sz val="11"/>
        <color indexed="8"/>
        <rFont val="Calibri"/>
        <family val="2"/>
      </rPr>
      <t>*S</t>
    </r>
    <r>
      <rPr>
        <vertAlign val="subscript"/>
        <sz val="11"/>
        <color rgb="FF000000"/>
        <rFont val="Calibri"/>
        <family val="2"/>
      </rPr>
      <t>NO3</t>
    </r>
    <r>
      <rPr>
        <sz val="11"/>
        <color indexed="8"/>
        <rFont val="Calibri"/>
        <family val="2"/>
      </rPr>
      <t>/S</t>
    </r>
    <r>
      <rPr>
        <vertAlign val="subscript"/>
        <sz val="11"/>
        <color rgb="FF000000"/>
        <rFont val="Calibri"/>
        <family val="2"/>
      </rPr>
      <t>NOx</t>
    </r>
  </si>
  <si>
    <r>
      <t>-i</t>
    </r>
    <r>
      <rPr>
        <vertAlign val="subscript"/>
        <sz val="11"/>
        <color indexed="8"/>
        <rFont val="Calibri"/>
        <family val="2"/>
      </rPr>
      <t>N,ALGAE</t>
    </r>
  </si>
  <si>
    <r>
      <t>i</t>
    </r>
    <r>
      <rPr>
        <vertAlign val="subscript"/>
        <sz val="11"/>
        <color indexed="8"/>
        <rFont val="Calibri"/>
        <family val="2"/>
      </rPr>
      <t>N,ALGAE</t>
    </r>
  </si>
  <si>
    <r>
      <t>i</t>
    </r>
    <r>
      <rPr>
        <vertAlign val="subscript"/>
        <sz val="11"/>
        <rFont val="Calibri"/>
        <family val="2"/>
      </rPr>
      <t>N,ALGAE</t>
    </r>
  </si>
  <si>
    <r>
      <t>i</t>
    </r>
    <r>
      <rPr>
        <vertAlign val="subscript"/>
        <sz val="11"/>
        <rFont val="Calibri"/>
        <family val="2"/>
      </rPr>
      <t>P,ALGAE</t>
    </r>
  </si>
  <si>
    <r>
      <t>-i</t>
    </r>
    <r>
      <rPr>
        <vertAlign val="subscript"/>
        <sz val="11"/>
        <color indexed="8"/>
        <rFont val="Calibri"/>
        <family val="2"/>
      </rPr>
      <t>P,ALGAE</t>
    </r>
  </si>
  <si>
    <r>
      <t>1 + i</t>
    </r>
    <r>
      <rPr>
        <vertAlign val="subscript"/>
        <sz val="11"/>
        <color rgb="FF000000"/>
        <rFont val="Calibri"/>
        <family val="2"/>
      </rPr>
      <t>N,ALGAE</t>
    </r>
    <r>
      <rPr>
        <sz val="11"/>
        <color indexed="8"/>
        <rFont val="Calibri"/>
        <family val="2"/>
      </rPr>
      <t>*(EEQ</t>
    </r>
    <r>
      <rPr>
        <vertAlign val="subscript"/>
        <sz val="11"/>
        <color rgb="FF000000"/>
        <rFont val="Calibri"/>
        <family val="2"/>
      </rPr>
      <t>NO3</t>
    </r>
    <r>
      <rPr>
        <sz val="11"/>
        <color indexed="8"/>
        <rFont val="Calibri"/>
        <family val="2"/>
      </rPr>
      <t>*S</t>
    </r>
    <r>
      <rPr>
        <vertAlign val="subscript"/>
        <sz val="11"/>
        <color rgb="FF000000"/>
        <rFont val="Calibri"/>
        <family val="2"/>
      </rPr>
      <t>NO3</t>
    </r>
    <r>
      <rPr>
        <sz val="11"/>
        <color indexed="8"/>
        <rFont val="Calibri"/>
        <family val="2"/>
      </rPr>
      <t>/S</t>
    </r>
    <r>
      <rPr>
        <vertAlign val="subscript"/>
        <sz val="11"/>
        <color rgb="FF000000"/>
        <rFont val="Calibri"/>
        <family val="2"/>
      </rPr>
      <t>NOx</t>
    </r>
    <r>
      <rPr>
        <sz val="11"/>
        <color indexed="8"/>
        <rFont val="Calibri"/>
        <family val="2"/>
      </rPr>
      <t>+EEQ</t>
    </r>
    <r>
      <rPr>
        <vertAlign val="subscript"/>
        <sz val="11"/>
        <color rgb="FF000000"/>
        <rFont val="Calibri"/>
        <family val="2"/>
      </rPr>
      <t>NO2</t>
    </r>
    <r>
      <rPr>
        <sz val="11"/>
        <color indexed="8"/>
        <rFont val="Calibri"/>
        <family val="2"/>
      </rPr>
      <t>*S</t>
    </r>
    <r>
      <rPr>
        <vertAlign val="subscript"/>
        <sz val="11"/>
        <color rgb="FF000000"/>
        <rFont val="Calibri"/>
        <family val="2"/>
      </rPr>
      <t>NO2</t>
    </r>
    <r>
      <rPr>
        <sz val="11"/>
        <color indexed="8"/>
        <rFont val="Calibri"/>
        <family val="2"/>
      </rPr>
      <t>/S</t>
    </r>
    <r>
      <rPr>
        <vertAlign val="subscript"/>
        <sz val="11"/>
        <color rgb="FF000000"/>
        <rFont val="Calibri"/>
        <family val="2"/>
      </rPr>
      <t>NOx</t>
    </r>
    <r>
      <rPr>
        <sz val="11"/>
        <color indexed="8"/>
        <rFont val="Calibri"/>
        <family val="2"/>
      </rPr>
      <t>)</t>
    </r>
  </si>
  <si>
    <r>
      <t>i</t>
    </r>
    <r>
      <rPr>
        <vertAlign val="subscript"/>
        <sz val="11"/>
        <color indexed="8"/>
        <rFont val="Calibri"/>
        <family val="2"/>
      </rPr>
      <t>P,ALGAE</t>
    </r>
  </si>
  <si>
    <r>
      <t>i</t>
    </r>
    <r>
      <rPr>
        <vertAlign val="subscript"/>
        <sz val="11"/>
        <color indexed="8"/>
        <rFont val="Calibri"/>
        <family val="2"/>
      </rPr>
      <t>P,ALGAE</t>
    </r>
    <r>
      <rPr>
        <sz val="11"/>
        <color rgb="FF000000"/>
        <rFont val="Calibri"/>
        <family val="2"/>
      </rPr>
      <t>-i</t>
    </r>
    <r>
      <rPr>
        <vertAlign val="subscript"/>
        <sz val="11"/>
        <color indexed="8"/>
        <rFont val="Calibri"/>
        <family val="2"/>
      </rPr>
      <t>P,BIO</t>
    </r>
  </si>
  <si>
    <r>
      <t>-i</t>
    </r>
    <r>
      <rPr>
        <vertAlign val="subscript"/>
        <sz val="11"/>
        <rFont val="Calibri"/>
        <family val="2"/>
        <scheme val="minor"/>
      </rPr>
      <t>CIT,ALGAE</t>
    </r>
  </si>
  <si>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 Msat</t>
    </r>
    <r>
      <rPr>
        <vertAlign val="subscript"/>
        <sz val="11"/>
        <rFont val="Calibri"/>
        <family val="2"/>
      </rPr>
      <t>SNOx,KNOx,ALGAE</t>
    </r>
    <r>
      <rPr>
        <sz val="11"/>
        <rFont val="Calibri"/>
        <family val="2"/>
      </rPr>
      <t xml:space="preserve">  * Minh</t>
    </r>
    <r>
      <rPr>
        <vertAlign val="subscript"/>
        <sz val="11"/>
        <rFont val="Calibri"/>
        <family val="2"/>
      </rPr>
      <t>SNHx,KiNHx,ALGAE</t>
    </r>
  </si>
  <si>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*Msat</t>
    </r>
    <r>
      <rPr>
        <vertAlign val="subscript"/>
        <sz val="11"/>
        <rFont val="Calibri"/>
        <family val="2"/>
      </rPr>
      <t>SNHx,KNHx,ALGAE</t>
    </r>
    <r>
      <rPr>
        <sz val="11"/>
        <rFont val="Calibri"/>
        <family val="2"/>
      </rPr>
      <t>*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</si>
  <si>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Msat</t>
    </r>
    <r>
      <rPr>
        <vertAlign val="subscript"/>
        <sz val="11"/>
        <color rgb="FF000000"/>
        <rFont val="Calibri"/>
        <family val="2"/>
      </rPr>
      <t>SO2,KO2,ALGAE</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</si>
  <si>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Minh</t>
    </r>
    <r>
      <rPr>
        <vertAlign val="subscript"/>
        <sz val="11"/>
        <color rgb="FF000000"/>
        <rFont val="Calibri"/>
        <family val="2"/>
      </rPr>
      <t>SO2,KO2,ALGAE</t>
    </r>
  </si>
  <si>
    <t>GenThreePondModel</t>
  </si>
  <si>
    <r>
      <t>X</t>
    </r>
    <r>
      <rPr>
        <b/>
        <vertAlign val="subscript"/>
        <sz val="11"/>
        <rFont val="Calibri"/>
        <family val="2"/>
        <charset val="238"/>
        <scheme val="minor"/>
      </rPr>
      <t>ALGAE</t>
    </r>
  </si>
  <si>
    <t>Photosynthetic organisms (ALGAE)</t>
  </si>
  <si>
    <r>
      <t>Msat</t>
    </r>
    <r>
      <rPr>
        <vertAlign val="subscript"/>
        <sz val="11"/>
        <rFont val="Calibri"/>
        <family val="2"/>
        <scheme val="minor"/>
      </rPr>
      <t>SCO2,KCO2,ALGAE</t>
    </r>
  </si>
  <si>
    <t>Saturation term for CO2 (ALGAE)</t>
  </si>
  <si>
    <r>
      <t>Msat(S</t>
    </r>
    <r>
      <rPr>
        <vertAlign val="subscript"/>
        <sz val="11"/>
        <rFont val="Calibri"/>
        <family val="2"/>
        <scheme val="minor"/>
      </rPr>
      <t>CO2</t>
    </r>
    <r>
      <rPr>
        <sz val="11"/>
        <rFont val="Calibri"/>
        <family val="2"/>
        <scheme val="minor"/>
      </rPr>
      <t>;K</t>
    </r>
    <r>
      <rPr>
        <vertAlign val="subscript"/>
        <sz val="11"/>
        <rFont val="Calibri"/>
        <family val="2"/>
        <scheme val="minor"/>
      </rPr>
      <t>CO2,ALGAE</t>
    </r>
    <r>
      <rPr>
        <sz val="11"/>
        <rFont val="Calibri"/>
        <family val="2"/>
        <scheme val="minor"/>
      </rPr>
      <t>)</t>
    </r>
  </si>
  <si>
    <r>
      <t>Msat</t>
    </r>
    <r>
      <rPr>
        <vertAlign val="subscript"/>
        <sz val="11"/>
        <rFont val="Calibri"/>
        <family val="2"/>
        <scheme val="minor"/>
      </rPr>
      <t>SNOx,KNOx,ALGAE</t>
    </r>
  </si>
  <si>
    <r>
      <t>Msat(S</t>
    </r>
    <r>
      <rPr>
        <vertAlign val="subscript"/>
        <sz val="11"/>
        <rFont val="Calibri"/>
        <family val="2"/>
        <scheme val="minor"/>
      </rPr>
      <t>NOx</t>
    </r>
    <r>
      <rPr>
        <sz val="11"/>
        <rFont val="Calibri"/>
        <family val="2"/>
        <scheme val="minor"/>
      </rPr>
      <t>;K</t>
    </r>
    <r>
      <rPr>
        <vertAlign val="subscript"/>
        <sz val="11"/>
        <rFont val="Calibri"/>
        <family val="2"/>
        <scheme val="minor"/>
      </rPr>
      <t>NOx,ALGAE</t>
    </r>
    <r>
      <rPr>
        <sz val="11"/>
        <rFont val="Calibri"/>
        <family val="2"/>
        <scheme val="minor"/>
      </rPr>
      <t>)</t>
    </r>
  </si>
  <si>
    <r>
      <t>Msat</t>
    </r>
    <r>
      <rPr>
        <vertAlign val="subscript"/>
        <sz val="11"/>
        <rFont val="Calibri"/>
        <family val="2"/>
        <scheme val="minor"/>
      </rPr>
      <t>SNHx,KNHx,ALGAE</t>
    </r>
  </si>
  <si>
    <r>
      <t>Msat(S</t>
    </r>
    <r>
      <rPr>
        <vertAlign val="subscript"/>
        <sz val="11"/>
        <rFont val="Calibri"/>
        <family val="2"/>
        <scheme val="minor"/>
      </rPr>
      <t>NHx</t>
    </r>
    <r>
      <rPr>
        <sz val="11"/>
        <rFont val="Calibri"/>
        <family val="2"/>
        <scheme val="minor"/>
      </rPr>
      <t>;K</t>
    </r>
    <r>
      <rPr>
        <vertAlign val="subscript"/>
        <sz val="11"/>
        <rFont val="Calibri"/>
        <family val="2"/>
        <scheme val="minor"/>
      </rPr>
      <t>NHx,ALGAE</t>
    </r>
    <r>
      <rPr>
        <sz val="11"/>
        <rFont val="Calibri"/>
        <family val="2"/>
        <scheme val="minor"/>
      </rPr>
      <t>)</t>
    </r>
  </si>
  <si>
    <r>
      <t>Msat</t>
    </r>
    <r>
      <rPr>
        <vertAlign val="subscript"/>
        <sz val="11"/>
        <rFont val="Calibri"/>
        <family val="2"/>
        <scheme val="minor"/>
      </rPr>
      <t>SO2,KO2,ALGAE</t>
    </r>
  </si>
  <si>
    <t>Saturation term for O2 (ALGAE)</t>
  </si>
  <si>
    <r>
      <t>Msat(S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</si>
  <si>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SO2,KO2,ALGAE</t>
    </r>
  </si>
  <si>
    <t>Inhibition term for O2 (ALGAE)</t>
  </si>
  <si>
    <r>
      <t>Minh(S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</si>
  <si>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SNHx,KiNHx,ALGAE</t>
    </r>
  </si>
  <si>
    <t>Inhibition term for NHx (ALGAE)</t>
  </si>
  <si>
    <r>
      <t>Minh(S</t>
    </r>
    <r>
      <rPr>
        <vertAlign val="subscript"/>
        <sz val="11"/>
        <rFont val="Calibri"/>
        <family val="2"/>
        <scheme val="minor"/>
      </rPr>
      <t>NHx</t>
    </r>
    <r>
      <rPr>
        <sz val="11"/>
        <rFont val="Calibri"/>
        <family val="2"/>
        <scheme val="minor"/>
      </rPr>
      <t>;Ki</t>
    </r>
    <r>
      <rPr>
        <vertAlign val="subscript"/>
        <sz val="11"/>
        <rFont val="Calibri"/>
        <family val="2"/>
        <scheme val="minor"/>
      </rPr>
      <t>NHx,ALGAE</t>
    </r>
    <r>
      <rPr>
        <sz val="11"/>
        <rFont val="Calibri"/>
        <family val="2"/>
        <scheme val="minor"/>
      </rPr>
      <t>)</t>
    </r>
  </si>
  <si>
    <r>
      <t>µ</t>
    </r>
    <r>
      <rPr>
        <vertAlign val="subscript"/>
        <sz val="11"/>
        <color indexed="8"/>
        <rFont val="Calibri"/>
        <family val="2"/>
      </rPr>
      <t>ALGAE,T</t>
    </r>
  </si>
  <si>
    <t>Maximum specific growth rate of ALGAE (temperature corrected)</t>
  </si>
  <si>
    <r>
      <t>µ</t>
    </r>
    <r>
      <rPr>
        <vertAlign val="subscript"/>
        <sz val="11"/>
        <color indexed="8"/>
        <rFont val="Calibri"/>
        <family val="2"/>
      </rPr>
      <t>ALGAE</t>
    </r>
    <r>
      <rPr>
        <sz val="11"/>
        <color indexed="8"/>
        <rFont val="Calibri"/>
        <family val="2"/>
      </rPr>
      <t>*Arrh(θ</t>
    </r>
    <r>
      <rPr>
        <vertAlign val="subscript"/>
        <sz val="11"/>
        <color indexed="8"/>
        <rFont val="Calibri"/>
        <family val="2"/>
      </rPr>
      <t>µ,ALGAE</t>
    </r>
    <r>
      <rPr>
        <sz val="11"/>
        <color indexed="8"/>
        <rFont val="Calibri"/>
        <family val="2"/>
      </rPr>
      <t>; T; T</t>
    </r>
    <r>
      <rPr>
        <vertAlign val="subscript"/>
        <sz val="11"/>
        <color indexed="8"/>
        <rFont val="Calibri"/>
        <family val="2"/>
      </rPr>
      <t>base</t>
    </r>
    <r>
      <rPr>
        <sz val="11"/>
        <color indexed="8"/>
        <rFont val="Calibri"/>
        <family val="2"/>
      </rPr>
      <t>)</t>
    </r>
  </si>
  <si>
    <r>
      <t>d</t>
    </r>
    <r>
      <rPr>
        <vertAlign val="superscript"/>
        <sz val="11"/>
        <color indexed="8"/>
        <rFont val="Calibri"/>
        <family val="2"/>
      </rPr>
      <t>-1</t>
    </r>
  </si>
  <si>
    <r>
      <t>b</t>
    </r>
    <r>
      <rPr>
        <vertAlign val="subscript"/>
        <sz val="11"/>
        <color indexed="8"/>
        <rFont val="Calibri"/>
        <family val="2"/>
      </rPr>
      <t>ALGAE,T</t>
    </r>
  </si>
  <si>
    <t>Respiration rate of ALGAE (temperature corrected)</t>
  </si>
  <si>
    <r>
      <t>b</t>
    </r>
    <r>
      <rPr>
        <vertAlign val="subscript"/>
        <sz val="11"/>
        <color indexed="8"/>
        <rFont val="Calibri"/>
        <family val="2"/>
      </rPr>
      <t>ALGAE</t>
    </r>
    <r>
      <rPr>
        <sz val="11"/>
        <color indexed="8"/>
        <rFont val="Calibri"/>
        <family val="2"/>
      </rPr>
      <t>*Arrh(θ</t>
    </r>
    <r>
      <rPr>
        <vertAlign val="subscript"/>
        <sz val="11"/>
        <color indexed="8"/>
        <rFont val="Calibri"/>
        <family val="2"/>
      </rPr>
      <t>b,ALGAE</t>
    </r>
    <r>
      <rPr>
        <sz val="11"/>
        <color indexed="8"/>
        <rFont val="Calibri"/>
        <family val="2"/>
      </rPr>
      <t>;T;T</t>
    </r>
    <r>
      <rPr>
        <vertAlign val="subscript"/>
        <sz val="11"/>
        <color indexed="8"/>
        <rFont val="Calibri"/>
        <family val="2"/>
      </rPr>
      <t>base</t>
    </r>
    <r>
      <rPr>
        <sz val="11"/>
        <color indexed="8"/>
        <rFont val="Calibri"/>
        <family val="2"/>
      </rPr>
      <t>)</t>
    </r>
  </si>
  <si>
    <t>Max(var - Sumo__MSatMin; 0) / (k + var)</t>
  </si>
  <si>
    <t>Parameters from solver settings</t>
  </si>
  <si>
    <t>Sumo__MSatMin</t>
  </si>
  <si>
    <t>Msat cut off value</t>
  </si>
  <si>
    <t xml:space="preserve"> </t>
  </si>
  <si>
    <t>Environmental Variables</t>
  </si>
  <si>
    <t>Solar Irradiation</t>
  </si>
  <si>
    <t>W.m-2</t>
  </si>
  <si>
    <t>Optimal irradiation for photosynthesis</t>
  </si>
  <si>
    <t>TSS concentration for calculating light extinction switching factor</t>
  </si>
  <si>
    <t>g.m-3</t>
  </si>
  <si>
    <t>Pond calculated variables</t>
  </si>
  <si>
    <t>LightSwitch</t>
  </si>
  <si>
    <t>Light switch to account for solar irradiation and TSS shading</t>
  </si>
  <si>
    <r>
      <t>X</t>
    </r>
    <r>
      <rPr>
        <vertAlign val="subscript"/>
        <sz val="11"/>
        <rFont val="Calibri"/>
        <family val="2"/>
      </rPr>
      <t>P,U</t>
    </r>
    <r>
      <rPr>
        <sz val="11"/>
        <rFont val="Calibri"/>
        <family val="2"/>
      </rPr>
      <t>/X</t>
    </r>
    <r>
      <rPr>
        <vertAlign val="subscript"/>
        <sz val="11"/>
        <rFont val="Calibri"/>
        <family val="2"/>
      </rPr>
      <t>U</t>
    </r>
  </si>
  <si>
    <r>
      <t>-X</t>
    </r>
    <r>
      <rPr>
        <vertAlign val="subscript"/>
        <sz val="11"/>
        <rFont val="Calibri"/>
        <family val="2"/>
      </rPr>
      <t>P,U</t>
    </r>
    <r>
      <rPr>
        <sz val="11"/>
        <rFont val="Calibri"/>
        <family val="2"/>
      </rPr>
      <t>/X</t>
    </r>
    <r>
      <rPr>
        <vertAlign val="subscript"/>
        <sz val="11"/>
        <rFont val="Calibri"/>
        <family val="2"/>
      </rPr>
      <t>U</t>
    </r>
  </si>
  <si>
    <t>Saturation term for NOx (ALGAE)</t>
  </si>
  <si>
    <t>Saturation term for NHx (ALGAE)</t>
  </si>
  <si>
    <r>
      <t>X</t>
    </r>
    <r>
      <rPr>
        <vertAlign val="subscript"/>
        <sz val="11"/>
        <rFont val="Calibri"/>
        <family val="2"/>
        <scheme val="minor"/>
      </rPr>
      <t>HET</t>
    </r>
  </si>
  <si>
    <t>COD of heterotrophs</t>
  </si>
  <si>
    <r>
      <t>q</t>
    </r>
    <r>
      <rPr>
        <vertAlign val="subscript"/>
        <sz val="11"/>
        <rFont val="Calibri"/>
        <family val="2"/>
      </rPr>
      <t>AMMON,T</t>
    </r>
    <r>
      <rPr>
        <sz val="11"/>
        <rFont val="Calibri"/>
        <family val="2"/>
      </rPr>
      <t>*S</t>
    </r>
    <r>
      <rPr>
        <vertAlign val="subscript"/>
        <sz val="11"/>
        <rFont val="Calibri"/>
        <family val="2"/>
      </rPr>
      <t>N,B</t>
    </r>
    <r>
      <rPr>
        <sz val="11"/>
        <rFont val="Calibri"/>
        <family val="2"/>
      </rPr>
      <t>*X</t>
    </r>
    <r>
      <rPr>
        <vertAlign val="subscript"/>
        <sz val="11"/>
        <rFont val="Calibri"/>
        <family val="2"/>
      </rPr>
      <t>HET</t>
    </r>
  </si>
  <si>
    <r>
      <t>q</t>
    </r>
    <r>
      <rPr>
        <vertAlign val="subscript"/>
        <sz val="11"/>
        <rFont val="Calibri"/>
        <family val="2"/>
      </rPr>
      <t>SPB,T</t>
    </r>
    <r>
      <rPr>
        <sz val="11"/>
        <rFont val="Calibri"/>
        <family val="2"/>
      </rPr>
      <t>*S</t>
    </r>
    <r>
      <rPr>
        <vertAlign val="subscript"/>
        <sz val="11"/>
        <rFont val="Calibri"/>
        <family val="2"/>
      </rPr>
      <t>P,B</t>
    </r>
    <r>
      <rPr>
        <sz val="11"/>
        <rFont val="Calibri"/>
        <family val="2"/>
      </rPr>
      <t>*X</t>
    </r>
    <r>
      <rPr>
        <vertAlign val="subscript"/>
        <sz val="11"/>
        <rFont val="Calibri"/>
        <family val="2"/>
      </rPr>
      <t>HET</t>
    </r>
  </si>
  <si>
    <r>
      <t>MRsat</t>
    </r>
    <r>
      <rPr>
        <vertAlign val="subscript"/>
        <sz val="11"/>
        <rFont val="Calibri"/>
        <family val="2"/>
        <scheme val="minor"/>
      </rPr>
      <t>XB,XHET,KHYD</t>
    </r>
  </si>
  <si>
    <r>
      <rPr>
        <sz val="11"/>
        <rFont val="Calibri"/>
        <family val="2"/>
        <scheme val="minor"/>
      </rPr>
      <t>MRsat</t>
    </r>
    <r>
      <rPr>
        <vertAlign val="subscript"/>
        <sz val="11"/>
        <rFont val="Calibri"/>
        <family val="2"/>
        <scheme val="minor"/>
      </rPr>
      <t>XEana,XHET,KHYD</t>
    </r>
  </si>
  <si>
    <r>
      <t>MRsat(X</t>
    </r>
    <r>
      <rPr>
        <vertAlign val="subscript"/>
        <sz val="11"/>
        <rFont val="Calibri"/>
        <family val="2"/>
        <scheme val="minor"/>
      </rPr>
      <t>B</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</si>
  <si>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MRsat(X</t>
    </r>
    <r>
      <rPr>
        <vertAlign val="subscript"/>
        <sz val="11"/>
        <rFont val="Calibri"/>
        <family val="2"/>
        <scheme val="minor"/>
      </rPr>
      <t>E,ana</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</si>
  <si>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SNO2,KNO2,ASSIM</t>
    </r>
    <r>
      <rPr>
        <sz val="11"/>
        <rFont val="Calibri"/>
        <family val="2"/>
      </rPr>
      <t>*Minh</t>
    </r>
    <r>
      <rPr>
        <vertAlign val="subscript"/>
        <sz val="11"/>
        <rFont val="Calibri"/>
        <family val="2"/>
      </rPr>
      <t>SNHx,KiNHx,ASSIM</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</si>
  <si>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SNO3,KNO3,ASSIM</t>
    </r>
    <r>
      <rPr>
        <sz val="11"/>
        <rFont val="Calibri"/>
        <family val="2"/>
      </rPr>
      <t>*Minh</t>
    </r>
    <r>
      <rPr>
        <vertAlign val="subscript"/>
        <sz val="11"/>
        <rFont val="Calibri"/>
        <family val="2"/>
      </rPr>
      <t>SNO2,KNO2,ASSIM</t>
    </r>
    <r>
      <rPr>
        <sz val="11"/>
        <rFont val="Calibri"/>
        <family val="2"/>
      </rPr>
      <t>*Minh</t>
    </r>
    <r>
      <rPr>
        <vertAlign val="subscript"/>
        <sz val="11"/>
        <rFont val="Calibri"/>
        <family val="2"/>
      </rPr>
      <t>SNHx,KiNHx,ASSIM</t>
    </r>
  </si>
  <si>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AMETO</t>
    </r>
  </si>
  <si>
    <r>
      <t>-EEQ</t>
    </r>
    <r>
      <rPr>
        <vertAlign val="subscript"/>
        <sz val="11"/>
        <rFont val="Calibri"/>
        <family val="2"/>
      </rPr>
      <t>NO3</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</si>
  <si>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</si>
  <si>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</si>
  <si>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</si>
  <si>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</si>
  <si>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</si>
  <si>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</si>
  <si>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</si>
  <si>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</si>
  <si>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</si>
  <si>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</si>
  <si>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</si>
  <si>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</si>
  <si>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</si>
  <si>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</si>
  <si>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</si>
  <si>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</si>
  <si>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</si>
  <si>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1+(i</t>
    </r>
    <r>
      <rPr>
        <vertAlign val="subscript"/>
        <sz val="11"/>
        <rFont val="Calibri"/>
        <family val="2"/>
      </rPr>
      <t>N,BIO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N,ALGAE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</si>
  <si>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1+(i</t>
    </r>
    <r>
      <rPr>
        <vertAlign val="subscript"/>
        <sz val="11"/>
        <rFont val="Calibri"/>
        <family val="2"/>
      </rPr>
      <t>N,BIO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N,ALGAE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</si>
  <si>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P,BIO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P,ALGAE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</si>
  <si>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P,BIO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P,ALGAE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</si>
  <si>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CIT,BIO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CIT,ALGAE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</si>
  <si>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CIT,BIO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CIT,ALGAE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</si>
  <si>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J</t>
    </r>
    <r>
      <rPr>
        <vertAlign val="subscript"/>
        <sz val="11"/>
        <rFont val="Calibri"/>
        <family val="2"/>
        <scheme val="minor"/>
      </rPr>
      <t>photosynt,solar</t>
    </r>
  </si>
  <si>
    <r>
      <t>J</t>
    </r>
    <r>
      <rPr>
        <vertAlign val="subscript"/>
        <sz val="11"/>
        <rFont val="Calibri"/>
        <family val="2"/>
        <scheme val="minor"/>
      </rPr>
      <t>photosynt,solar,opt</t>
    </r>
  </si>
  <si>
    <r>
      <t>K</t>
    </r>
    <r>
      <rPr>
        <vertAlign val="subscript"/>
        <sz val="11"/>
        <rFont val="Calibri"/>
        <family val="2"/>
        <scheme val="minor"/>
      </rPr>
      <t>XTSS,lightextinction</t>
    </r>
  </si>
  <si>
    <r>
      <t>Loginhswitch(X</t>
    </r>
    <r>
      <rPr>
        <vertAlign val="subscript"/>
        <sz val="11"/>
        <color rgb="FF000000"/>
        <rFont val="Calibri"/>
        <family val="2"/>
      </rPr>
      <t>TSS</t>
    </r>
    <r>
      <rPr>
        <sz val="11"/>
        <color indexed="8"/>
        <rFont val="Calibri"/>
        <family val="2"/>
      </rPr>
      <t>/K</t>
    </r>
    <r>
      <rPr>
        <vertAlign val="subscript"/>
        <sz val="11"/>
        <color rgb="FF000000"/>
        <rFont val="Calibri"/>
        <family val="2"/>
      </rPr>
      <t>XTSS,lightextinction</t>
    </r>
    <r>
      <rPr>
        <sz val="11"/>
        <color indexed="8"/>
        <rFont val="Calibri"/>
        <family val="2"/>
      </rPr>
      <t>; 1; 100) * Logsatswitch(J</t>
    </r>
    <r>
      <rPr>
        <vertAlign val="subscript"/>
        <sz val="11"/>
        <color rgb="FF000000"/>
        <rFont val="Calibri"/>
        <family val="2"/>
      </rPr>
      <t>photosynt,solar</t>
    </r>
    <r>
      <rPr>
        <sz val="11"/>
        <color indexed="8"/>
        <rFont val="Calibri"/>
        <family val="2"/>
      </rPr>
      <t>/J</t>
    </r>
    <r>
      <rPr>
        <vertAlign val="subscript"/>
        <sz val="11"/>
        <color rgb="FF000000"/>
        <rFont val="Calibri"/>
        <family val="2"/>
      </rPr>
      <t>photosynt,solar,opt</t>
    </r>
    <r>
      <rPr>
        <sz val="11"/>
        <color indexed="8"/>
        <rFont val="Calibri"/>
        <family val="2"/>
      </rPr>
      <t>;1;100)</t>
    </r>
  </si>
  <si>
    <r>
      <t>pH</t>
    </r>
    <r>
      <rPr>
        <vertAlign val="subscript"/>
        <sz val="11"/>
        <rFont val="Calibri"/>
        <family val="2"/>
        <scheme val="minor"/>
      </rPr>
      <t>low,AOB</t>
    </r>
  </si>
  <si>
    <r>
      <t>pH</t>
    </r>
    <r>
      <rPr>
        <vertAlign val="subscript"/>
        <sz val="11"/>
        <rFont val="Calibri"/>
        <family val="2"/>
        <scheme val="minor"/>
      </rPr>
      <t>high,AOB</t>
    </r>
  </si>
  <si>
    <t>pH inhibition low value for AOBs</t>
  </si>
  <si>
    <t>pH inhibition high value for AOBs</t>
  </si>
  <si>
    <r>
      <t>pH</t>
    </r>
    <r>
      <rPr>
        <vertAlign val="subscript"/>
        <sz val="11"/>
        <rFont val="Calibri"/>
        <family val="2"/>
        <scheme val="minor"/>
      </rPr>
      <t>high,NOB</t>
    </r>
  </si>
  <si>
    <r>
      <t>pH</t>
    </r>
    <r>
      <rPr>
        <vertAlign val="subscript"/>
        <sz val="11"/>
        <rFont val="Calibri"/>
        <family val="2"/>
        <scheme val="minor"/>
      </rPr>
      <t>low,NOB</t>
    </r>
  </si>
  <si>
    <t>pH inhibition high value for NOBs</t>
  </si>
  <si>
    <t>pH inhibition low value for NOBs</t>
  </si>
  <si>
    <r>
      <t>Bellinh</t>
    </r>
    <r>
      <rPr>
        <vertAlign val="subscript"/>
        <sz val="11"/>
        <rFont val="Calibri"/>
        <family val="2"/>
        <scheme val="minor"/>
      </rPr>
      <t>pH,AOB</t>
    </r>
  </si>
  <si>
    <t>pH inhibition (Bell shaped) (AOB)</t>
  </si>
  <si>
    <r>
      <t>Bellinh(pH;pH</t>
    </r>
    <r>
      <rPr>
        <vertAlign val="subscript"/>
        <sz val="11"/>
        <rFont val="Calibri"/>
        <family val="2"/>
        <scheme val="minor"/>
      </rPr>
      <t>low,AOB</t>
    </r>
    <r>
      <rPr>
        <sz val="11"/>
        <rFont val="Calibri"/>
        <family val="2"/>
        <scheme val="minor"/>
      </rPr>
      <t>;pH</t>
    </r>
    <r>
      <rPr>
        <vertAlign val="subscript"/>
        <sz val="11"/>
        <rFont val="Calibri"/>
        <family val="2"/>
        <scheme val="minor"/>
      </rPr>
      <t>high,AOB</t>
    </r>
    <r>
      <rPr>
        <sz val="11"/>
        <rFont val="Calibri"/>
        <family val="2"/>
        <scheme val="minor"/>
      </rPr>
      <t>)</t>
    </r>
  </si>
  <si>
    <r>
      <t>Bellinh</t>
    </r>
    <r>
      <rPr>
        <vertAlign val="subscript"/>
        <sz val="11"/>
        <rFont val="Calibri"/>
        <family val="2"/>
        <scheme val="minor"/>
      </rPr>
      <t>pH,NOB</t>
    </r>
  </si>
  <si>
    <t>pH inhibition (Bell shaped) (NOB)</t>
  </si>
  <si>
    <r>
      <t>Bellinh(pH;pH</t>
    </r>
    <r>
      <rPr>
        <vertAlign val="subscript"/>
        <sz val="11"/>
        <rFont val="Calibri"/>
        <family val="2"/>
        <scheme val="minor"/>
      </rPr>
      <t>low,NOB</t>
    </r>
    <r>
      <rPr>
        <sz val="11"/>
        <rFont val="Calibri"/>
        <family val="2"/>
        <scheme val="minor"/>
      </rPr>
      <t>;pH</t>
    </r>
    <r>
      <rPr>
        <vertAlign val="subscript"/>
        <sz val="11"/>
        <rFont val="Calibri"/>
        <family val="2"/>
        <scheme val="minor"/>
      </rPr>
      <t>high,NOB</t>
    </r>
    <r>
      <rPr>
        <sz val="11"/>
        <rFont val="Calibri"/>
        <family val="2"/>
        <scheme val="minor"/>
      </rPr>
      <t>)</t>
    </r>
  </si>
  <si>
    <r>
      <t>µ</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SNHx,KNHx,AOB</t>
    </r>
    <r>
      <rPr>
        <sz val="11"/>
        <rFont val="Calibri"/>
        <family val="2"/>
      </rPr>
      <t>*LogsatpH</t>
    </r>
    <r>
      <rPr>
        <vertAlign val="subscript"/>
        <sz val="11"/>
        <rFont val="Calibri"/>
        <family val="2"/>
      </rPr>
      <t>CO2,AOB</t>
    </r>
    <r>
      <rPr>
        <sz val="11"/>
        <rFont val="Calibri"/>
        <family val="2"/>
      </rPr>
      <t>*Msat</t>
    </r>
    <r>
      <rPr>
        <vertAlign val="subscript"/>
        <sz val="11"/>
        <rFont val="Calibri"/>
        <family val="2"/>
      </rPr>
      <t>SO2,KO2,AOB</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*MinhpH</t>
    </r>
    <r>
      <rPr>
        <vertAlign val="subscript"/>
        <sz val="11"/>
        <rFont val="Calibri"/>
        <family val="2"/>
      </rPr>
      <t>HNO2,AOB</t>
    </r>
    <r>
      <rPr>
        <sz val="11"/>
        <rFont val="Calibri"/>
        <family val="2"/>
      </rPr>
      <t>*Bellinh</t>
    </r>
    <r>
      <rPr>
        <vertAlign val="subscript"/>
        <sz val="11"/>
        <rFont val="Calibri"/>
        <family val="2"/>
      </rPr>
      <t>pH,AOB</t>
    </r>
  </si>
  <si>
    <r>
      <t>µ</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SNO2,KNO2,NOB</t>
    </r>
    <r>
      <rPr>
        <sz val="11"/>
        <rFont val="Calibri"/>
        <family val="2"/>
      </rPr>
      <t>*LogsatpH</t>
    </r>
    <r>
      <rPr>
        <vertAlign val="subscript"/>
        <sz val="11"/>
        <rFont val="Calibri"/>
        <family val="2"/>
      </rPr>
      <t>CO2,NOB</t>
    </r>
    <r>
      <rPr>
        <sz val="11"/>
        <rFont val="Calibri"/>
        <family val="2"/>
      </rPr>
      <t>*Msat</t>
    </r>
    <r>
      <rPr>
        <vertAlign val="subscript"/>
        <sz val="11"/>
        <rFont val="Calibri"/>
        <family val="2"/>
      </rPr>
      <t>SO2,KO2,NOB</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*MinhpH</t>
    </r>
    <r>
      <rPr>
        <vertAlign val="subscript"/>
        <sz val="11"/>
        <rFont val="Calibri"/>
        <family val="2"/>
      </rPr>
      <t>NH3,NOB</t>
    </r>
    <r>
      <rPr>
        <sz val="11"/>
        <rFont val="Calibri"/>
        <family val="2"/>
      </rPr>
      <t>*Bellinh</t>
    </r>
    <r>
      <rPr>
        <vertAlign val="subscript"/>
        <sz val="11"/>
        <rFont val="Calibri"/>
        <family val="2"/>
      </rPr>
      <t>pH,NOB</t>
    </r>
  </si>
  <si>
    <r>
      <t>S</t>
    </r>
    <r>
      <rPr>
        <b/>
        <vertAlign val="subscript"/>
        <sz val="12"/>
        <rFont val="Calibri"/>
        <family val="2"/>
        <charset val="238"/>
        <scheme val="minor"/>
      </rPr>
      <t>H</t>
    </r>
  </si>
  <si>
    <r>
      <t>S</t>
    </r>
    <r>
      <rPr>
        <b/>
        <vertAlign val="subscript"/>
        <sz val="11"/>
        <rFont val="Calibri"/>
        <family val="2"/>
        <charset val="238"/>
        <scheme val="minor"/>
      </rPr>
      <t>H</t>
    </r>
  </si>
  <si>
    <r>
      <t>(S</t>
    </r>
    <r>
      <rPr>
        <vertAlign val="subscript"/>
        <sz val="11"/>
        <rFont val="Calibri"/>
        <family val="2"/>
        <charset val="238"/>
        <scheme val="minor"/>
      </rPr>
      <t>H</t>
    </r>
    <r>
      <rPr>
        <sz val="11"/>
        <rFont val="Calibri"/>
        <family val="2"/>
        <scheme val="minor"/>
      </rPr>
      <t>-H</t>
    </r>
    <r>
      <rPr>
        <vertAlign val="subscript"/>
        <sz val="11"/>
        <rFont val="Calibri"/>
        <family val="2"/>
        <scheme val="minor"/>
      </rPr>
      <t>STP</t>
    </r>
    <r>
      <rPr>
        <sz val="11"/>
        <rFont val="Calibri"/>
        <family val="2"/>
        <scheme val="minor"/>
      </rPr>
      <t>)/c</t>
    </r>
    <r>
      <rPr>
        <vertAlign val="subscript"/>
        <sz val="11"/>
        <rFont val="Calibri"/>
        <family val="2"/>
        <scheme val="minor"/>
      </rPr>
      <t>p,water</t>
    </r>
  </si>
  <si>
    <t>Non-Input; pHSet; IS</t>
  </si>
  <si>
    <t>Energy</t>
  </si>
  <si>
    <r>
      <t>X</t>
    </r>
    <r>
      <rPr>
        <vertAlign val="subscript"/>
        <sz val="11"/>
        <rFont val="Calibri"/>
        <family val="2"/>
        <scheme val="minor"/>
      </rPr>
      <t>VSS</t>
    </r>
    <r>
      <rPr>
        <sz val="11"/>
        <rFont val="Calibri"/>
        <family val="2"/>
        <scheme val="minor"/>
      </rPr>
      <t xml:space="preserve"> + 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 xml:space="preserve"> + 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 xml:space="preserve"> +  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 xml:space="preserve"> + 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 xml:space="preserve"> + C</t>
    </r>
    <r>
      <rPr>
        <vertAlign val="subscript"/>
        <sz val="11"/>
        <rFont val="Calibri"/>
        <family val="2"/>
        <scheme val="minor"/>
      </rPr>
      <t>U</t>
    </r>
    <r>
      <rPr>
        <sz val="11"/>
        <rFont val="Calibri"/>
        <family val="2"/>
        <scheme val="minor"/>
      </rPr>
      <t>/i</t>
    </r>
    <r>
      <rPr>
        <vertAlign val="subscript"/>
        <sz val="11"/>
        <rFont val="Calibri"/>
        <family val="2"/>
        <scheme val="minor"/>
      </rPr>
      <t>CV,CU</t>
    </r>
  </si>
  <si>
    <t>Particulate total nitrogen</t>
  </si>
  <si>
    <r>
      <t>T</t>
    </r>
    <r>
      <rPr>
        <vertAlign val="subscript"/>
        <sz val="11"/>
        <rFont val="Calibri"/>
        <family val="2"/>
        <scheme val="minor"/>
      </rPr>
      <t>KN</t>
    </r>
    <r>
      <rPr>
        <sz val="11"/>
        <rFont val="Calibri"/>
        <family val="2"/>
        <scheme val="minor"/>
      </rPr>
      <t>-S</t>
    </r>
    <r>
      <rPr>
        <vertAlign val="subscript"/>
        <sz val="11"/>
        <rFont val="Calibri"/>
        <family val="2"/>
        <scheme val="minor"/>
      </rPr>
      <t>KN</t>
    </r>
  </si>
  <si>
    <r>
      <t>X</t>
    </r>
    <r>
      <rPr>
        <vertAlign val="subscript"/>
        <sz val="11"/>
        <rFont val="Calibri"/>
        <family val="2"/>
        <scheme val="minor"/>
      </rPr>
      <t>P</t>
    </r>
  </si>
  <si>
    <t>Particulate phosphorus</t>
  </si>
  <si>
    <r>
      <t>T</t>
    </r>
    <r>
      <rPr>
        <vertAlign val="subscript"/>
        <sz val="11"/>
        <rFont val="Calibri"/>
        <family val="2"/>
        <scheme val="minor"/>
      </rPr>
      <t>P</t>
    </r>
    <r>
      <rPr>
        <sz val="11"/>
        <rFont val="Calibri"/>
        <family val="2"/>
        <scheme val="minor"/>
      </rPr>
      <t>-S</t>
    </r>
    <r>
      <rPr>
        <vertAlign val="subscript"/>
        <sz val="11"/>
        <rFont val="Calibri"/>
        <family val="2"/>
        <scheme val="minor"/>
      </rPr>
      <t>P</t>
    </r>
  </si>
  <si>
    <r>
      <t>X</t>
    </r>
    <r>
      <rPr>
        <vertAlign val="subscript"/>
        <sz val="11"/>
        <rFont val="Calibri"/>
        <family val="2"/>
        <scheme val="minor"/>
      </rPr>
      <t>KN</t>
    </r>
  </si>
  <si>
    <r>
      <t>S</t>
    </r>
    <r>
      <rPr>
        <b/>
        <vertAlign val="subscript"/>
        <sz val="11"/>
        <rFont val="Calibri"/>
        <family val="2"/>
      </rPr>
      <t>PFOA</t>
    </r>
  </si>
  <si>
    <t>Dissolved Perfluorooctanoic Acid (PFOA)</t>
  </si>
  <si>
    <r>
      <t>g PFAS.m</t>
    </r>
    <r>
      <rPr>
        <vertAlign val="superscript"/>
        <sz val="11"/>
        <color theme="1"/>
        <rFont val="Calibri"/>
        <family val="2"/>
        <charset val="238"/>
        <scheme val="minor"/>
      </rPr>
      <t>-3</t>
    </r>
  </si>
  <si>
    <t>PFAS</t>
  </si>
  <si>
    <r>
      <t>X</t>
    </r>
    <r>
      <rPr>
        <b/>
        <vertAlign val="subscript"/>
        <sz val="11"/>
        <rFont val="Calibri"/>
        <family val="2"/>
      </rPr>
      <t>PFOA</t>
    </r>
  </si>
  <si>
    <t>Adsorbed Perfluorooctanoic Acid (PFOA)</t>
  </si>
  <si>
    <r>
      <t>S</t>
    </r>
    <r>
      <rPr>
        <b/>
        <vertAlign val="subscript"/>
        <sz val="11"/>
        <rFont val="Calibri"/>
        <family val="2"/>
      </rPr>
      <t>PFOS</t>
    </r>
  </si>
  <si>
    <t>Dissolved Perfluorooctyl Sulfonate (PFOS)</t>
  </si>
  <si>
    <r>
      <t>X</t>
    </r>
    <r>
      <rPr>
        <b/>
        <vertAlign val="subscript"/>
        <sz val="11"/>
        <rFont val="Calibri"/>
        <family val="2"/>
      </rPr>
      <t>PFOS</t>
    </r>
  </si>
  <si>
    <t>Adsorbed Perfluorooctyl Sulfonate (PFOS)</t>
  </si>
  <si>
    <r>
      <t>q</t>
    </r>
    <r>
      <rPr>
        <vertAlign val="subscript"/>
        <sz val="11"/>
        <rFont val="Calibri"/>
        <family val="2"/>
        <scheme val="minor"/>
      </rPr>
      <t>PFOA,SORP</t>
    </r>
  </si>
  <si>
    <t>Sorption rate of PFOA to solids</t>
  </si>
  <si>
    <t>to be calibrated (default from Wei et al., DOI: 10.1016/j.ecoenv.2017.03.040)</t>
  </si>
  <si>
    <r>
      <t>q</t>
    </r>
    <r>
      <rPr>
        <vertAlign val="subscript"/>
        <sz val="11"/>
        <rFont val="Calibri"/>
        <family val="2"/>
        <scheme val="minor"/>
      </rPr>
      <t>PFOS,SORP</t>
    </r>
  </si>
  <si>
    <t>Sorption rate of PFOS to solids</t>
  </si>
  <si>
    <r>
      <t>K</t>
    </r>
    <r>
      <rPr>
        <vertAlign val="subscript"/>
        <sz val="11"/>
        <rFont val="Calibri"/>
        <family val="2"/>
        <scheme val="minor"/>
      </rPr>
      <t>OC,PFOA,EQ</t>
    </r>
  </si>
  <si>
    <t>PFOA organic carbon/water equilibrium distribution coefficient</t>
  </si>
  <si>
    <r>
      <t>L.kg</t>
    </r>
    <r>
      <rPr>
        <vertAlign val="superscript"/>
        <sz val="11"/>
        <rFont val="Calibri"/>
        <family val="2"/>
        <scheme val="minor"/>
      </rPr>
      <t>-1</t>
    </r>
  </si>
  <si>
    <r>
      <t>global average log K</t>
    </r>
    <r>
      <rPr>
        <vertAlign val="subscript"/>
        <sz val="11"/>
        <rFont val="Calibri"/>
        <family val="2"/>
        <charset val="238"/>
        <scheme val="minor"/>
      </rPr>
      <t>OC</t>
    </r>
    <r>
      <rPr>
        <sz val="11"/>
        <rFont val="Calibri"/>
        <family val="2"/>
        <scheme val="minor"/>
      </rPr>
      <t xml:space="preserve"> around 3.7 for sewage sludge (Zareitalabad et al., DOI: 10.1016/j.chemosphere.2013.02.024)</t>
    </r>
  </si>
  <si>
    <r>
      <t>K</t>
    </r>
    <r>
      <rPr>
        <vertAlign val="subscript"/>
        <sz val="11"/>
        <rFont val="Calibri"/>
        <family val="2"/>
        <scheme val="minor"/>
      </rPr>
      <t>OC,PFOS,EQ</t>
    </r>
  </si>
  <si>
    <t>PFOS organic carbon/water equilibrium distribution coefficient</t>
  </si>
  <si>
    <r>
      <t>global average log K</t>
    </r>
    <r>
      <rPr>
        <vertAlign val="subscript"/>
        <sz val="11"/>
        <rFont val="Calibri"/>
        <family val="2"/>
        <charset val="238"/>
        <scheme val="minor"/>
      </rPr>
      <t>OC</t>
    </r>
    <r>
      <rPr>
        <sz val="11"/>
        <rFont val="Calibri"/>
        <family val="2"/>
        <scheme val="minor"/>
      </rPr>
      <t xml:space="preserve"> around 4.3 for sewage sludge (Zareitalabad et al., DOI: 10.1016/j.chemosphere.2013.02.024)</t>
    </r>
  </si>
  <si>
    <r>
      <t>T</t>
    </r>
    <r>
      <rPr>
        <vertAlign val="subscript"/>
        <sz val="11"/>
        <rFont val="Calibri"/>
        <family val="2"/>
      </rPr>
      <t>PFOA</t>
    </r>
  </si>
  <si>
    <t>Total PFOA</t>
  </si>
  <si>
    <r>
      <t>S</t>
    </r>
    <r>
      <rPr>
        <vertAlign val="subscript"/>
        <sz val="11"/>
        <rFont val="Calibri"/>
        <family val="2"/>
        <scheme val="minor"/>
      </rPr>
      <t>PFOA</t>
    </r>
    <r>
      <rPr>
        <sz val="11"/>
        <rFont val="Calibri"/>
        <family val="2"/>
        <scheme val="minor"/>
      </rPr>
      <t xml:space="preserve"> + X</t>
    </r>
    <r>
      <rPr>
        <vertAlign val="subscript"/>
        <sz val="11"/>
        <rFont val="Calibri"/>
        <family val="2"/>
        <scheme val="minor"/>
      </rPr>
      <t>PFOA</t>
    </r>
  </si>
  <si>
    <r>
      <t>g PFAS.m</t>
    </r>
    <r>
      <rPr>
        <vertAlign val="superscript"/>
        <sz val="11"/>
        <rFont val="Calibri"/>
        <family val="2"/>
        <scheme val="minor"/>
      </rPr>
      <t>-3</t>
    </r>
  </si>
  <si>
    <r>
      <t>T</t>
    </r>
    <r>
      <rPr>
        <vertAlign val="subscript"/>
        <sz val="11"/>
        <rFont val="Calibri"/>
        <family val="2"/>
      </rPr>
      <t>PFOS</t>
    </r>
  </si>
  <si>
    <t>Total PFOS</t>
  </si>
  <si>
    <r>
      <t>S</t>
    </r>
    <r>
      <rPr>
        <vertAlign val="subscript"/>
        <sz val="11"/>
        <rFont val="Calibri"/>
        <family val="2"/>
        <scheme val="minor"/>
      </rPr>
      <t>PFOS</t>
    </r>
    <r>
      <rPr>
        <sz val="11"/>
        <rFont val="Calibri"/>
        <family val="2"/>
        <scheme val="minor"/>
      </rPr>
      <t xml:space="preserve"> + X</t>
    </r>
    <r>
      <rPr>
        <vertAlign val="subscript"/>
        <sz val="11"/>
        <rFont val="Calibri"/>
        <family val="2"/>
        <scheme val="minor"/>
      </rPr>
      <t>PFOS</t>
    </r>
  </si>
  <si>
    <r>
      <t>S</t>
    </r>
    <r>
      <rPr>
        <b/>
        <vertAlign val="subscript"/>
        <sz val="12"/>
        <rFont val="Calibri"/>
        <family val="2"/>
        <charset val="238"/>
        <scheme val="minor"/>
      </rPr>
      <t>PFOA</t>
    </r>
  </si>
  <si>
    <r>
      <t>X</t>
    </r>
    <r>
      <rPr>
        <b/>
        <vertAlign val="subscript"/>
        <sz val="12"/>
        <rFont val="Calibri"/>
        <family val="2"/>
        <charset val="238"/>
        <scheme val="minor"/>
      </rPr>
      <t>PFOA</t>
    </r>
  </si>
  <si>
    <r>
      <t>S</t>
    </r>
    <r>
      <rPr>
        <b/>
        <vertAlign val="subscript"/>
        <sz val="12"/>
        <rFont val="Calibri"/>
        <family val="2"/>
        <charset val="238"/>
        <scheme val="minor"/>
      </rPr>
      <t>PFOS</t>
    </r>
  </si>
  <si>
    <r>
      <t>X</t>
    </r>
    <r>
      <rPr>
        <b/>
        <vertAlign val="subscript"/>
        <sz val="12"/>
        <rFont val="Calibri"/>
        <family val="2"/>
        <charset val="238"/>
        <scheme val="minor"/>
      </rPr>
      <t>PFOS</t>
    </r>
  </si>
  <si>
    <t>PFOA sorption</t>
  </si>
  <si>
    <r>
      <t>q</t>
    </r>
    <r>
      <rPr>
        <vertAlign val="subscript"/>
        <sz val="11"/>
        <rFont val="Calibri"/>
        <family val="2"/>
      </rPr>
      <t>PFOA,SORP</t>
    </r>
    <r>
      <rPr>
        <sz val="11"/>
        <rFont val="Calibri"/>
        <family val="2"/>
      </rPr>
      <t>*</t>
    </r>
    <r>
      <rPr>
        <sz val="11"/>
        <rFont val="Calibri"/>
        <family val="2"/>
        <charset val="238"/>
      </rPr>
      <t>(S</t>
    </r>
    <r>
      <rPr>
        <vertAlign val="subscript"/>
        <sz val="11"/>
        <rFont val="Calibri"/>
        <family val="2"/>
        <charset val="238"/>
      </rPr>
      <t>PFOA</t>
    </r>
    <r>
      <rPr>
        <sz val="11"/>
        <rFont val="Calibri"/>
        <family val="2"/>
        <charset val="238"/>
      </rPr>
      <t xml:space="preserve"> - (X</t>
    </r>
    <r>
      <rPr>
        <vertAlign val="subscript"/>
        <sz val="11"/>
        <rFont val="Calibri"/>
        <family val="2"/>
        <charset val="238"/>
      </rPr>
      <t>PFOA</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OC,PFOA,EQ</t>
    </r>
    <r>
      <rPr>
        <sz val="11"/>
        <rFont val="Calibri"/>
        <family val="2"/>
        <charset val="238"/>
      </rPr>
      <t>)</t>
    </r>
  </si>
  <si>
    <t>PFOS sorption</t>
  </si>
  <si>
    <r>
      <t>q</t>
    </r>
    <r>
      <rPr>
        <vertAlign val="subscript"/>
        <sz val="11"/>
        <rFont val="Calibri"/>
        <family val="2"/>
      </rPr>
      <t>PFOS,SORP</t>
    </r>
    <r>
      <rPr>
        <sz val="11"/>
        <rFont val="Calibri"/>
        <family val="2"/>
      </rPr>
      <t>*</t>
    </r>
    <r>
      <rPr>
        <sz val="11"/>
        <rFont val="Calibri"/>
        <family val="2"/>
        <charset val="238"/>
      </rPr>
      <t>(S</t>
    </r>
    <r>
      <rPr>
        <vertAlign val="subscript"/>
        <sz val="11"/>
        <rFont val="Calibri"/>
        <family val="2"/>
        <charset val="238"/>
      </rPr>
      <t>PFOS</t>
    </r>
    <r>
      <rPr>
        <sz val="11"/>
        <rFont val="Calibri"/>
        <family val="2"/>
        <charset val="238"/>
      </rPr>
      <t xml:space="preserve"> - (X</t>
    </r>
    <r>
      <rPr>
        <vertAlign val="subscript"/>
        <sz val="11"/>
        <rFont val="Calibri"/>
        <family val="2"/>
        <charset val="238"/>
      </rPr>
      <t>PFOS</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OC,PFOS,EQ</t>
    </r>
    <r>
      <rPr>
        <sz val="11"/>
        <rFont val="Calibri"/>
        <family val="2"/>
        <charset val="238"/>
      </rPr>
      <t>)</t>
    </r>
  </si>
  <si>
    <t>r103</t>
  </si>
  <si>
    <t>r104</t>
  </si>
  <si>
    <t xml:space="preserve">pH and IS parameters </t>
  </si>
  <si>
    <t>set pH when not calculated</t>
  </si>
  <si>
    <t>set IS when not calculated</t>
  </si>
  <si>
    <t>define range in percentage of XBIO limit</t>
  </si>
  <si>
    <r>
      <t>X</t>
    </r>
    <r>
      <rPr>
        <vertAlign val="subscript"/>
        <sz val="11"/>
        <color rgb="FF000000"/>
        <rFont val="Calibri"/>
        <family val="2"/>
        <scheme val="minor"/>
      </rPr>
      <t>HET,HYD,lim</t>
    </r>
  </si>
  <si>
    <r>
      <t>X</t>
    </r>
    <r>
      <rPr>
        <vertAlign val="subscript"/>
        <sz val="11"/>
        <color rgb="FF000000"/>
        <rFont val="Calibri"/>
        <family val="2"/>
        <scheme val="minor"/>
      </rPr>
      <t>HET</t>
    </r>
    <r>
      <rPr>
        <sz val="11"/>
        <color indexed="8"/>
        <rFont val="Calibri"/>
        <family val="2"/>
        <scheme val="minor"/>
      </rPr>
      <t xml:space="preserve"> limit concentration for hydrolysis</t>
    </r>
  </si>
  <si>
    <r>
      <t>Logrange</t>
    </r>
    <r>
      <rPr>
        <vertAlign val="subscript"/>
        <sz val="11"/>
        <rFont val="Calibri"/>
        <family val="2"/>
        <charset val="238"/>
        <scheme val="minor"/>
      </rPr>
      <t>XHET,HYD,lim</t>
    </r>
  </si>
  <si>
    <t>Effective range of logistic switch for XHET limit</t>
  </si>
  <si>
    <r>
      <t>K</t>
    </r>
    <r>
      <rPr>
        <vertAlign val="subscript"/>
        <sz val="11"/>
        <color indexed="8"/>
        <rFont val="Calibri"/>
        <family val="2"/>
        <scheme val="minor"/>
      </rPr>
      <t>CB,FLOC</t>
    </r>
  </si>
  <si>
    <r>
      <t>K</t>
    </r>
    <r>
      <rPr>
        <vertAlign val="subscript"/>
        <sz val="11"/>
        <color indexed="8"/>
        <rFont val="Calibri"/>
        <family val="2"/>
        <scheme val="minor"/>
      </rPr>
      <t>CU,FLOC</t>
    </r>
  </si>
  <si>
    <r>
      <t>K</t>
    </r>
    <r>
      <rPr>
        <vertAlign val="subscript"/>
        <sz val="11"/>
        <color indexed="8"/>
        <rFont val="Calibri"/>
        <family val="2"/>
        <scheme val="minor"/>
      </rPr>
      <t>XB,HYD</t>
    </r>
  </si>
  <si>
    <t>Half-saturation of slowly biodegradable substrate in low biomass condition hydrolysis</t>
  </si>
  <si>
    <t>Goel et al, 1998</t>
  </si>
  <si>
    <r>
      <t>K</t>
    </r>
    <r>
      <rPr>
        <vertAlign val="subscript"/>
        <sz val="11"/>
        <color indexed="8"/>
        <rFont val="Calibri"/>
        <family val="2"/>
        <scheme val="minor"/>
      </rPr>
      <t>XEana,HYD</t>
    </r>
  </si>
  <si>
    <t>Half-saturation of anaerobic endogenous decay products in low biomass condition hydrolysis</t>
  </si>
  <si>
    <r>
      <t>Msat</t>
    </r>
    <r>
      <rPr>
        <vertAlign val="subscript"/>
        <sz val="11"/>
        <rFont val="Calibri"/>
        <family val="2"/>
        <scheme val="minor"/>
      </rPr>
      <t>CB,KCB,FLOC</t>
    </r>
  </si>
  <si>
    <r>
      <t>Msat(C</t>
    </r>
    <r>
      <rPr>
        <vertAlign val="subscript"/>
        <sz val="11"/>
        <rFont val="Calibri"/>
        <family val="2"/>
        <scheme val="minor"/>
      </rPr>
      <t>B</t>
    </r>
    <r>
      <rPr>
        <sz val="11"/>
        <rFont val="Calibri"/>
        <family val="2"/>
        <scheme val="minor"/>
      </rPr>
      <t>;K</t>
    </r>
    <r>
      <rPr>
        <vertAlign val="subscript"/>
        <sz val="11"/>
        <rFont val="Calibri"/>
        <family val="2"/>
        <scheme val="minor"/>
      </rPr>
      <t>CB,FLOC</t>
    </r>
    <r>
      <rPr>
        <sz val="11"/>
        <rFont val="Calibri"/>
        <family val="2"/>
        <scheme val="minor"/>
      </rPr>
      <t>)</t>
    </r>
  </si>
  <si>
    <r>
      <t>Msat</t>
    </r>
    <r>
      <rPr>
        <vertAlign val="subscript"/>
        <sz val="11"/>
        <rFont val="Calibri"/>
        <family val="2"/>
        <scheme val="minor"/>
      </rPr>
      <t>CU,KCU,FLOC</t>
    </r>
  </si>
  <si>
    <r>
      <t>Msat(C</t>
    </r>
    <r>
      <rPr>
        <vertAlign val="subscript"/>
        <sz val="11"/>
        <rFont val="Calibri"/>
        <family val="2"/>
        <scheme val="minor"/>
      </rPr>
      <t>U</t>
    </r>
    <r>
      <rPr>
        <sz val="11"/>
        <rFont val="Calibri"/>
        <family val="2"/>
        <scheme val="minor"/>
      </rPr>
      <t>;K</t>
    </r>
    <r>
      <rPr>
        <vertAlign val="subscript"/>
        <sz val="11"/>
        <rFont val="Calibri"/>
        <family val="2"/>
        <scheme val="minor"/>
      </rPr>
      <t>CU,FLOC</t>
    </r>
    <r>
      <rPr>
        <sz val="11"/>
        <rFont val="Calibri"/>
        <family val="2"/>
        <scheme val="minor"/>
      </rPr>
      <t>)</t>
    </r>
  </si>
  <si>
    <r>
      <t>Msat</t>
    </r>
    <r>
      <rPr>
        <vertAlign val="subscript"/>
        <sz val="11"/>
        <rFont val="Calibri"/>
        <family val="2"/>
        <scheme val="minor"/>
      </rPr>
      <t>XB,KXB,HYD</t>
    </r>
  </si>
  <si>
    <t>Saturation term for slowly biodegradable substrate in low biomass condition (hydrolysis)</t>
  </si>
  <si>
    <r>
      <t>Msat(X</t>
    </r>
    <r>
      <rPr>
        <vertAlign val="subscript"/>
        <sz val="11"/>
        <rFont val="Calibri"/>
        <family val="2"/>
        <scheme val="minor"/>
      </rPr>
      <t>B</t>
    </r>
    <r>
      <rPr>
        <sz val="11"/>
        <rFont val="Calibri"/>
        <family val="2"/>
        <scheme val="minor"/>
      </rPr>
      <t>;K</t>
    </r>
    <r>
      <rPr>
        <vertAlign val="subscript"/>
        <sz val="11"/>
        <rFont val="Calibri"/>
        <family val="2"/>
        <scheme val="minor"/>
      </rPr>
      <t>XB,HYD</t>
    </r>
    <r>
      <rPr>
        <sz val="11"/>
        <rFont val="Calibri"/>
        <family val="2"/>
        <scheme val="minor"/>
      </rPr>
      <t>)</t>
    </r>
  </si>
  <si>
    <r>
      <t>Msat</t>
    </r>
    <r>
      <rPr>
        <vertAlign val="subscript"/>
        <sz val="11"/>
        <rFont val="Calibri"/>
        <family val="2"/>
        <scheme val="minor"/>
      </rPr>
      <t>XEana,KXEana,HYD</t>
    </r>
  </si>
  <si>
    <t>Saturation term for anaerobic endogenous decay products in low biomass condition (hydrolysis)</t>
  </si>
  <si>
    <r>
      <t>Msat(X</t>
    </r>
    <r>
      <rPr>
        <vertAlign val="subscript"/>
        <sz val="11"/>
        <rFont val="Calibri"/>
        <family val="2"/>
        <scheme val="minor"/>
      </rPr>
      <t>E,ana</t>
    </r>
    <r>
      <rPr>
        <sz val="11"/>
        <rFont val="Calibri"/>
        <family val="2"/>
        <scheme val="minor"/>
      </rPr>
      <t>;K</t>
    </r>
    <r>
      <rPr>
        <vertAlign val="subscript"/>
        <sz val="11"/>
        <rFont val="Calibri"/>
        <family val="2"/>
        <scheme val="minor"/>
      </rPr>
      <t>XEana,HYD</t>
    </r>
    <r>
      <rPr>
        <sz val="11"/>
        <rFont val="Calibri"/>
        <family val="2"/>
        <scheme val="minor"/>
      </rPr>
      <t>)</t>
    </r>
  </si>
  <si>
    <r>
      <t>Logslope</t>
    </r>
    <r>
      <rPr>
        <vertAlign val="subscript"/>
        <sz val="11"/>
        <rFont val="Calibri"/>
        <family val="2"/>
        <charset val="238"/>
        <scheme val="minor"/>
      </rPr>
      <t>XHET,HYD,lim</t>
    </r>
  </si>
  <si>
    <t>Logistic slope of logistic term for XHET limit</t>
  </si>
  <si>
    <r>
      <t>Logisticslope(X</t>
    </r>
    <r>
      <rPr>
        <vertAlign val="subscript"/>
        <sz val="11"/>
        <rFont val="Calibri"/>
        <family val="2"/>
        <scheme val="minor"/>
      </rPr>
      <t>HET,HYD,lim</t>
    </r>
    <r>
      <rPr>
        <sz val="11"/>
        <rFont val="Calibri"/>
        <family val="2"/>
        <scheme val="minor"/>
      </rPr>
      <t>; Logrange</t>
    </r>
    <r>
      <rPr>
        <vertAlign val="subscript"/>
        <sz val="11"/>
        <rFont val="Calibri"/>
        <family val="2"/>
        <charset val="238"/>
        <scheme val="minor"/>
      </rPr>
      <t>XHET,HYD,lim</t>
    </r>
    <r>
      <rPr>
        <sz val="11"/>
        <rFont val="Calibri"/>
        <family val="2"/>
        <scheme val="minor"/>
      </rPr>
      <t>)</t>
    </r>
  </si>
  <si>
    <r>
      <t>Logsat</t>
    </r>
    <r>
      <rPr>
        <vertAlign val="subscript"/>
        <sz val="11"/>
        <rFont val="Calibri"/>
        <family val="2"/>
        <scheme val="minor"/>
      </rPr>
      <t>XHET,HYD,lim</t>
    </r>
  </si>
  <si>
    <t>Logistic saturation term for XHET in hydrolysis process</t>
  </si>
  <si>
    <r>
      <t>Logsat(X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</si>
  <si>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r>
      <t>Loginh</t>
    </r>
    <r>
      <rPr>
        <vertAlign val="subscript"/>
        <sz val="11"/>
        <rFont val="Calibri"/>
        <family val="2"/>
        <scheme val="minor"/>
      </rPr>
      <t>XHET,HYD,lim</t>
    </r>
  </si>
  <si>
    <t>Logistic inhibition term for XHET in hydrolysis process</t>
  </si>
  <si>
    <r>
      <t>Loginh(X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</si>
  <si>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t>Unitless</t>
  </si>
  <si>
    <r>
      <t>f</t>
    </r>
    <r>
      <rPr>
        <vertAlign val="subscript"/>
        <sz val="11"/>
        <rFont val="Calibri"/>
        <family val="2"/>
        <scheme val="minor"/>
      </rPr>
      <t>tri,field</t>
    </r>
  </si>
  <si>
    <r>
      <t>10^(-A</t>
    </r>
    <r>
      <rPr>
        <vertAlign val="subscript"/>
        <sz val="11"/>
        <rFont val="Calibri"/>
        <family val="2"/>
        <scheme val="minor"/>
      </rPr>
      <t>Davies</t>
    </r>
    <r>
      <rPr>
        <sz val="11"/>
        <rFont val="Calibri"/>
        <family val="2"/>
        <scheme val="minor"/>
      </rPr>
      <t>*3^(2)*(IS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</si>
  <si>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W,T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</si>
  <si>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</si>
  <si>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di,field</t>
    </r>
  </si>
  <si>
    <r>
      <t>K</t>
    </r>
    <r>
      <rPr>
        <vertAlign val="subscript"/>
        <sz val="11"/>
        <rFont val="Calibri"/>
        <family val="2"/>
        <scheme val="minor"/>
      </rPr>
      <t>P3,T</t>
    </r>
    <r>
      <rPr>
        <sz val="11"/>
        <rFont val="Calibri"/>
        <family val="2"/>
        <scheme val="minor"/>
      </rPr>
      <t>/(f</t>
    </r>
    <r>
      <rPr>
        <vertAlign val="subscript"/>
        <sz val="11"/>
        <rFont val="Calibri"/>
        <family val="2"/>
        <scheme val="minor"/>
      </rPr>
      <t>mono,field</t>
    </r>
    <r>
      <rPr>
        <sz val="11"/>
        <rFont val="Calibri"/>
        <family val="2"/>
        <scheme val="minor"/>
      </rPr>
      <t>*f</t>
    </r>
    <r>
      <rPr>
        <vertAlign val="subscript"/>
        <sz val="11"/>
        <rFont val="Calibri"/>
        <family val="2"/>
        <scheme val="minor"/>
      </rPr>
      <t>tri,field</t>
    </r>
    <r>
      <rPr>
        <sz val="11"/>
        <rFont val="Calibri"/>
        <family val="2"/>
        <scheme val="minor"/>
      </rPr>
      <t>)*f</t>
    </r>
    <r>
      <rPr>
        <vertAlign val="subscript"/>
        <sz val="11"/>
        <rFont val="Calibri"/>
        <family val="2"/>
        <scheme val="minor"/>
      </rPr>
      <t>di,field</t>
    </r>
  </si>
  <si>
    <r>
      <t>K</t>
    </r>
    <r>
      <rPr>
        <vertAlign val="subscript"/>
        <sz val="11"/>
        <rFont val="Calibri"/>
        <family val="2"/>
        <scheme val="minor"/>
      </rPr>
      <t>Ac,T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</si>
  <si>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NO2,T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</si>
  <si>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di,field</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</si>
  <si>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tri,field</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</si>
  <si>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</si>
  <si>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</si>
  <si>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sp,BSH,param</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t>
    </r>
  </si>
  <si>
    <r>
      <t>[H</t>
    </r>
    <r>
      <rPr>
        <vertAlign val="superscript"/>
        <sz val="11"/>
        <rFont val="Calibri"/>
        <family val="2"/>
      </rPr>
      <t>+</t>
    </r>
    <r>
      <rPr>
        <sz val="11"/>
        <rFont val="Calibri"/>
        <family val="2"/>
      </rPr>
      <t>]</t>
    </r>
  </si>
  <si>
    <r>
      <t>10^(-pH</t>
    </r>
    <r>
      <rPr>
        <vertAlign val="subscript"/>
        <sz val="11"/>
        <rFont val="Calibri"/>
        <family val="2"/>
        <scheme val="minor"/>
      </rPr>
      <t>field</t>
    </r>
    <r>
      <rPr>
        <sz val="11"/>
        <rFont val="Calibri"/>
        <family val="2"/>
        <scheme val="minor"/>
      </rPr>
      <t>)</t>
    </r>
  </si>
  <si>
    <r>
      <t>[H</t>
    </r>
    <r>
      <rPr>
        <b/>
        <vertAlign val="superscript"/>
        <sz val="11"/>
        <rFont val="Calibri"/>
        <family val="2"/>
      </rPr>
      <t>+</t>
    </r>
    <r>
      <rPr>
        <b/>
        <sz val="11"/>
        <rFont val="Calibri"/>
        <family val="2"/>
      </rPr>
      <t>]</t>
    </r>
    <r>
      <rPr>
        <b/>
        <vertAlign val="subscript"/>
        <sz val="11"/>
        <rFont val="Calibri"/>
        <family val="2"/>
      </rPr>
      <t>field</t>
    </r>
  </si>
  <si>
    <r>
      <t>[OH</t>
    </r>
    <r>
      <rPr>
        <vertAlign val="superscript"/>
        <sz val="11"/>
        <rFont val="Calibri"/>
        <family val="2"/>
      </rPr>
      <t>-</t>
    </r>
    <r>
      <rPr>
        <sz val="11"/>
        <rFont val="Calibri"/>
        <family val="2"/>
      </rPr>
      <t>]</t>
    </r>
  </si>
  <si>
    <t>KW/[H+]</t>
  </si>
  <si>
    <r>
      <t>[OH</t>
    </r>
    <r>
      <rPr>
        <b/>
        <vertAlign val="superscript"/>
        <sz val="11"/>
        <rFont val="Calibri"/>
        <family val="2"/>
      </rPr>
      <t>-</t>
    </r>
    <r>
      <rPr>
        <b/>
        <sz val="11"/>
        <rFont val="Calibri"/>
        <family val="2"/>
      </rPr>
      <t>]</t>
    </r>
    <r>
      <rPr>
        <b/>
        <vertAlign val="subscript"/>
        <sz val="11"/>
        <rFont val="Calibri"/>
        <family val="2"/>
      </rPr>
      <t>field</t>
    </r>
  </si>
  <si>
    <r>
      <t>[NH</t>
    </r>
    <r>
      <rPr>
        <vertAlign val="subscript"/>
        <sz val="11"/>
        <rFont val="Calibri"/>
        <family val="2"/>
      </rPr>
      <t>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</si>
  <si>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/([H+]+K</t>
    </r>
    <r>
      <rPr>
        <vertAlign val="subscript"/>
        <sz val="11"/>
        <rFont val="Calibri"/>
        <family val="2"/>
      </rPr>
      <t>NH3</t>
    </r>
    <r>
      <rPr>
        <sz val="11"/>
        <rFont val="Calibri"/>
        <family val="2"/>
      </rPr>
      <t>)</t>
    </r>
  </si>
  <si>
    <r>
      <t>[NH</t>
    </r>
    <r>
      <rPr>
        <b/>
        <vertAlign val="subscript"/>
        <sz val="11"/>
        <rFont val="Calibri"/>
        <family val="2"/>
      </rPr>
      <t>3</t>
    </r>
    <r>
      <rPr>
        <b/>
        <sz val="11"/>
        <rFont val="Calibri"/>
        <family val="2"/>
      </rPr>
      <t>]</t>
    </r>
    <r>
      <rPr>
        <b/>
        <vertAlign val="subscript"/>
        <sz val="11"/>
        <rFont val="Calibri"/>
        <family val="2"/>
      </rPr>
      <t>field</t>
    </r>
  </si>
  <si>
    <r>
      <t>[NH</t>
    </r>
    <r>
      <rPr>
        <vertAlign val="subscript"/>
        <sz val="11"/>
        <rFont val="Calibri"/>
        <family val="2"/>
      </rPr>
      <t>4</t>
    </r>
    <r>
      <rPr>
        <vertAlign val="superscript"/>
        <sz val="11"/>
        <rFont val="Calibri"/>
        <family val="2"/>
      </rPr>
      <t>+</t>
    </r>
    <r>
      <rPr>
        <sz val="11"/>
        <rFont val="Calibri"/>
        <family val="2"/>
      </rPr>
      <t>]</t>
    </r>
  </si>
  <si>
    <t>(SNHx/(AMN*1000))*[H+]/([H+]+KNH3)</t>
  </si>
  <si>
    <r>
      <t>[NH</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</si>
  <si>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[HNO</t>
    </r>
    <r>
      <rPr>
        <vertAlign val="subscript"/>
        <sz val="11"/>
        <rFont val="Calibri"/>
        <family val="2"/>
      </rPr>
      <t>2</t>
    </r>
    <r>
      <rPr>
        <sz val="11"/>
        <rFont val="Calibri"/>
        <family val="2"/>
      </rPr>
      <t>]</t>
    </r>
  </si>
  <si>
    <r>
      <t>[NO</t>
    </r>
    <r>
      <rPr>
        <vertAlign val="subscript"/>
        <sz val="11"/>
        <rFont val="Calibri"/>
        <family val="2"/>
      </rPr>
      <t>2</t>
    </r>
    <r>
      <rPr>
        <vertAlign val="superscript"/>
        <sz val="11"/>
        <rFont val="Calibri"/>
        <family val="2"/>
      </rPr>
      <t>-</t>
    </r>
    <r>
      <rPr>
        <sz val="11"/>
        <rFont val="Calibri"/>
        <family val="2"/>
      </rPr>
      <t>]</t>
    </r>
  </si>
  <si>
    <r>
      <t>[NO</t>
    </r>
    <r>
      <rPr>
        <vertAlign val="subscript"/>
        <sz val="11"/>
        <rFont val="Calibri"/>
        <family val="2"/>
      </rPr>
      <t>3</t>
    </r>
    <r>
      <rPr>
        <vertAlign val="superscript"/>
        <sz val="11"/>
        <rFont val="Calibri"/>
        <family val="2"/>
      </rPr>
      <t>-</t>
    </r>
    <r>
      <rPr>
        <sz val="11"/>
        <rFont val="Calibri"/>
        <family val="2"/>
      </rPr>
      <t>]</t>
    </r>
  </si>
  <si>
    <r>
      <t>S</t>
    </r>
    <r>
      <rPr>
        <vertAlign val="subscript"/>
        <sz val="11"/>
        <rFont val="Calibri"/>
        <family val="2"/>
      </rPr>
      <t>NOx</t>
    </r>
    <r>
      <rPr>
        <sz val="11"/>
        <rFont val="Calibri"/>
        <family val="2"/>
      </rPr>
      <t>/(AM</t>
    </r>
    <r>
      <rPr>
        <vertAlign val="subscript"/>
        <sz val="11"/>
        <rFont val="Calibri"/>
        <family val="2"/>
      </rPr>
      <t>N</t>
    </r>
    <r>
      <rPr>
        <sz val="11"/>
        <rFont val="Calibri"/>
        <family val="2"/>
      </rPr>
      <t>*1000)</t>
    </r>
  </si>
  <si>
    <r>
      <t>[NO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</si>
  <si>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CO</t>
    </r>
    <r>
      <rPr>
        <vertAlign val="subscript"/>
        <sz val="11"/>
        <rFont val="Calibri"/>
        <family val="2"/>
      </rPr>
      <t>3</t>
    </r>
    <r>
      <rPr>
        <sz val="11"/>
        <rFont val="Calibri"/>
        <family val="2"/>
      </rPr>
      <t>]</t>
    </r>
  </si>
  <si>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r>
      <rPr>
        <b/>
        <vertAlign val="subscript"/>
        <sz val="11"/>
        <rFont val="Calibri"/>
        <family val="2"/>
      </rPr>
      <t>field</t>
    </r>
  </si>
  <si>
    <r>
      <t>[HCO</t>
    </r>
    <r>
      <rPr>
        <vertAlign val="subscript"/>
        <sz val="11"/>
        <rFont val="Calibri"/>
        <family val="2"/>
      </rPr>
      <t>3</t>
    </r>
    <r>
      <rPr>
        <vertAlign val="superscript"/>
        <sz val="11"/>
        <rFont val="Calibri"/>
        <family val="2"/>
      </rPr>
      <t>-</t>
    </r>
    <r>
      <rPr>
        <sz val="11"/>
        <rFont val="Calibri"/>
        <family val="2"/>
      </rPr>
      <t>]</t>
    </r>
  </si>
  <si>
    <r>
      <t>[HCO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</si>
  <si>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[CO</t>
    </r>
    <r>
      <rPr>
        <vertAlign val="subscript"/>
        <sz val="11"/>
        <rFont val="Calibri"/>
        <family val="2"/>
      </rPr>
      <t>3</t>
    </r>
    <r>
      <rPr>
        <vertAlign val="superscript"/>
        <sz val="11"/>
        <rFont val="Calibri"/>
        <family val="2"/>
      </rPr>
      <t>2-</t>
    </r>
    <r>
      <rPr>
        <sz val="11"/>
        <rFont val="Calibri"/>
        <family val="2"/>
      </rPr>
      <t>]</t>
    </r>
  </si>
  <si>
    <r>
      <t>[CO</t>
    </r>
    <r>
      <rPr>
        <b/>
        <vertAlign val="subscript"/>
        <sz val="11"/>
        <rFont val="Calibri"/>
        <family val="2"/>
      </rPr>
      <t>3</t>
    </r>
    <r>
      <rPr>
        <b/>
        <vertAlign val="superscript"/>
        <sz val="11"/>
        <rFont val="Calibri"/>
        <family val="2"/>
      </rPr>
      <t>2-</t>
    </r>
    <r>
      <rPr>
        <b/>
        <sz val="11"/>
        <rFont val="Calibri"/>
        <family val="2"/>
      </rPr>
      <t>]</t>
    </r>
    <r>
      <rPr>
        <b/>
        <vertAlign val="subscript"/>
        <sz val="11"/>
        <rFont val="Calibri"/>
        <family val="2"/>
      </rPr>
      <t>field</t>
    </r>
  </si>
  <si>
    <r>
      <t>[H</t>
    </r>
    <r>
      <rPr>
        <vertAlign val="subscript"/>
        <sz val="11"/>
        <rFont val="Calibri"/>
        <family val="2"/>
      </rPr>
      <t>3</t>
    </r>
    <r>
      <rPr>
        <sz val="11"/>
        <rFont val="Calibri"/>
        <family val="2"/>
      </rPr>
      <t>PO</t>
    </r>
    <r>
      <rPr>
        <vertAlign val="subscript"/>
        <sz val="11"/>
        <rFont val="Calibri"/>
        <family val="2"/>
      </rPr>
      <t>4</t>
    </r>
    <r>
      <rPr>
        <sz val="11"/>
        <rFont val="Calibri"/>
        <family val="2"/>
      </rPr>
      <t>]</t>
    </r>
  </si>
  <si>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</si>
  <si>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PO</t>
    </r>
    <r>
      <rPr>
        <vertAlign val="subscript"/>
        <sz val="11"/>
        <rFont val="Calibri"/>
        <family val="2"/>
      </rPr>
      <t>4</t>
    </r>
    <r>
      <rPr>
        <vertAlign val="superscript"/>
        <sz val="11"/>
        <rFont val="Calibri"/>
        <family val="2"/>
      </rPr>
      <t>-</t>
    </r>
    <r>
      <rPr>
        <sz val="11"/>
        <rFont val="Calibri"/>
        <family val="2"/>
      </rPr>
      <t>]</t>
    </r>
  </si>
  <si>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</si>
  <si>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[HPO</t>
    </r>
    <r>
      <rPr>
        <vertAlign val="subscript"/>
        <sz val="11"/>
        <rFont val="Calibri"/>
        <family val="2"/>
      </rPr>
      <t>4</t>
    </r>
    <r>
      <rPr>
        <vertAlign val="superscript"/>
        <sz val="11"/>
        <rFont val="Calibri"/>
        <family val="2"/>
      </rPr>
      <t>2-</t>
    </r>
    <r>
      <rPr>
        <sz val="11"/>
        <rFont val="Calibri"/>
        <family val="2"/>
      </rPr>
      <t>]</t>
    </r>
  </si>
  <si>
    <r>
      <t>[HPO</t>
    </r>
    <r>
      <rPr>
        <b/>
        <vertAlign val="subscript"/>
        <sz val="11"/>
        <rFont val="Calibri"/>
        <family val="2"/>
      </rPr>
      <t>4</t>
    </r>
    <r>
      <rPr>
        <b/>
        <vertAlign val="superscript"/>
        <sz val="11"/>
        <rFont val="Calibri"/>
        <family val="2"/>
      </rPr>
      <t>2-</t>
    </r>
    <r>
      <rPr>
        <b/>
        <sz val="11"/>
        <rFont val="Calibri"/>
        <family val="2"/>
      </rPr>
      <t>]</t>
    </r>
    <r>
      <rPr>
        <b/>
        <vertAlign val="subscript"/>
        <sz val="11"/>
        <rFont val="Calibri"/>
        <family val="2"/>
      </rPr>
      <t>field</t>
    </r>
  </si>
  <si>
    <r>
      <t>[PO</t>
    </r>
    <r>
      <rPr>
        <vertAlign val="subscript"/>
        <sz val="11"/>
        <rFont val="Calibri"/>
        <family val="2"/>
      </rPr>
      <t>4</t>
    </r>
    <r>
      <rPr>
        <vertAlign val="superscript"/>
        <sz val="11"/>
        <rFont val="Calibri"/>
        <family val="2"/>
      </rPr>
      <t>3-</t>
    </r>
    <r>
      <rPr>
        <sz val="11"/>
        <rFont val="Calibri"/>
        <family val="2"/>
      </rPr>
      <t>]</t>
    </r>
  </si>
  <si>
    <r>
      <t>[PO</t>
    </r>
    <r>
      <rPr>
        <b/>
        <vertAlign val="subscript"/>
        <sz val="11"/>
        <rFont val="Calibri"/>
        <family val="2"/>
      </rPr>
      <t>4</t>
    </r>
    <r>
      <rPr>
        <b/>
        <vertAlign val="superscript"/>
        <sz val="11"/>
        <rFont val="Calibri"/>
        <family val="2"/>
      </rPr>
      <t>3-</t>
    </r>
    <r>
      <rPr>
        <b/>
        <sz val="11"/>
        <rFont val="Calibri"/>
        <family val="2"/>
      </rPr>
      <t>]</t>
    </r>
    <r>
      <rPr>
        <b/>
        <vertAlign val="subscript"/>
        <sz val="11"/>
        <rFont val="Calibri"/>
        <family val="2"/>
      </rPr>
      <t>field</t>
    </r>
  </si>
  <si>
    <r>
      <t>[HAc]</t>
    </r>
    <r>
      <rPr>
        <b/>
        <vertAlign val="subscript"/>
        <sz val="11"/>
        <rFont val="Calibri"/>
        <family val="2"/>
      </rPr>
      <t>field</t>
    </r>
  </si>
  <si>
    <r>
      <t>[Ac</t>
    </r>
    <r>
      <rPr>
        <vertAlign val="superscript"/>
        <sz val="11"/>
        <rFont val="Calibri"/>
        <family val="2"/>
      </rPr>
      <t>-</t>
    </r>
    <r>
      <rPr>
        <sz val="11"/>
        <rFont val="Calibri"/>
        <family val="2"/>
      </rPr>
      <t>]</t>
    </r>
  </si>
  <si>
    <r>
      <t>[Ac</t>
    </r>
    <r>
      <rPr>
        <b/>
        <vertAlign val="superscript"/>
        <sz val="11"/>
        <rFont val="Calibri"/>
        <family val="2"/>
      </rPr>
      <t>-</t>
    </r>
    <r>
      <rPr>
        <b/>
        <sz val="11"/>
        <rFont val="Calibri"/>
        <family val="2"/>
      </rPr>
      <t>]</t>
    </r>
    <r>
      <rPr>
        <b/>
        <vertAlign val="subscript"/>
        <sz val="11"/>
        <rFont val="Calibri"/>
        <family val="2"/>
      </rPr>
      <t>field</t>
    </r>
  </si>
  <si>
    <r>
      <t>[Ca</t>
    </r>
    <r>
      <rPr>
        <vertAlign val="superscript"/>
        <sz val="11"/>
        <rFont val="Calibri"/>
        <family val="2"/>
      </rPr>
      <t>2+</t>
    </r>
    <r>
      <rPr>
        <sz val="11"/>
        <rFont val="Calibri"/>
        <family val="2"/>
      </rPr>
      <t>]</t>
    </r>
  </si>
  <si>
    <r>
      <t>[Ca</t>
    </r>
    <r>
      <rPr>
        <b/>
        <vertAlign val="superscript"/>
        <sz val="11"/>
        <rFont val="Calibri"/>
        <family val="2"/>
      </rPr>
      <t>2+</t>
    </r>
    <r>
      <rPr>
        <b/>
        <sz val="11"/>
        <rFont val="Calibri"/>
        <family val="2"/>
      </rPr>
      <t>]</t>
    </r>
    <r>
      <rPr>
        <b/>
        <vertAlign val="subscript"/>
        <sz val="11"/>
        <rFont val="Calibri"/>
        <family val="2"/>
      </rPr>
      <t>field</t>
    </r>
  </si>
  <si>
    <r>
      <t>[Mg</t>
    </r>
    <r>
      <rPr>
        <vertAlign val="superscript"/>
        <sz val="11"/>
        <rFont val="Calibri"/>
        <family val="2"/>
      </rPr>
      <t>2+</t>
    </r>
    <r>
      <rPr>
        <sz val="11"/>
        <rFont val="Calibri"/>
        <family val="2"/>
      </rPr>
      <t>]</t>
    </r>
  </si>
  <si>
    <r>
      <t>[Mg</t>
    </r>
    <r>
      <rPr>
        <b/>
        <vertAlign val="superscript"/>
        <sz val="11"/>
        <rFont val="Calibri"/>
        <family val="2"/>
      </rPr>
      <t>2+</t>
    </r>
    <r>
      <rPr>
        <b/>
        <sz val="11"/>
        <rFont val="Calibri"/>
        <family val="2"/>
      </rPr>
      <t>]</t>
    </r>
    <r>
      <rPr>
        <b/>
        <vertAlign val="subscript"/>
        <sz val="11"/>
        <rFont val="Calibri"/>
        <family val="2"/>
      </rPr>
      <t>field</t>
    </r>
  </si>
  <si>
    <r>
      <t>[CAT</t>
    </r>
    <r>
      <rPr>
        <vertAlign val="superscript"/>
        <sz val="11"/>
        <rFont val="Calibri"/>
        <family val="2"/>
      </rPr>
      <t>+</t>
    </r>
    <r>
      <rPr>
        <sz val="11"/>
        <rFont val="Calibri"/>
        <family val="2"/>
      </rPr>
      <t>]</t>
    </r>
  </si>
  <si>
    <r>
      <t>[CAT</t>
    </r>
    <r>
      <rPr>
        <b/>
        <vertAlign val="superscript"/>
        <sz val="11"/>
        <rFont val="Calibri"/>
        <family val="2"/>
      </rPr>
      <t>+</t>
    </r>
    <r>
      <rPr>
        <b/>
        <sz val="11"/>
        <rFont val="Calibri"/>
        <family val="2"/>
      </rPr>
      <t>]</t>
    </r>
    <r>
      <rPr>
        <b/>
        <vertAlign val="subscript"/>
        <sz val="11"/>
        <rFont val="Calibri"/>
        <family val="2"/>
      </rPr>
      <t>field</t>
    </r>
  </si>
  <si>
    <r>
      <t>[K</t>
    </r>
    <r>
      <rPr>
        <vertAlign val="superscript"/>
        <sz val="11"/>
        <rFont val="Calibri"/>
        <family val="2"/>
      </rPr>
      <t>+</t>
    </r>
    <r>
      <rPr>
        <sz val="11"/>
        <rFont val="Calibri"/>
        <family val="2"/>
      </rPr>
      <t>]</t>
    </r>
  </si>
  <si>
    <r>
      <t>[K</t>
    </r>
    <r>
      <rPr>
        <b/>
        <vertAlign val="superscript"/>
        <sz val="11"/>
        <rFont val="Calibri"/>
        <family val="2"/>
      </rPr>
      <t>+</t>
    </r>
    <r>
      <rPr>
        <b/>
        <sz val="11"/>
        <rFont val="Calibri"/>
        <family val="2"/>
      </rPr>
      <t>]</t>
    </r>
    <r>
      <rPr>
        <b/>
        <vertAlign val="subscript"/>
        <sz val="11"/>
        <rFont val="Calibri"/>
        <family val="2"/>
      </rPr>
      <t>field</t>
    </r>
  </si>
  <si>
    <r>
      <t>[AN</t>
    </r>
    <r>
      <rPr>
        <vertAlign val="superscript"/>
        <sz val="11"/>
        <rFont val="Calibri"/>
        <family val="2"/>
      </rPr>
      <t>-</t>
    </r>
    <r>
      <rPr>
        <sz val="11"/>
        <rFont val="Calibri"/>
        <family val="2"/>
      </rPr>
      <t>]</t>
    </r>
  </si>
  <si>
    <r>
      <t>[AN</t>
    </r>
    <r>
      <rPr>
        <b/>
        <vertAlign val="superscript"/>
        <sz val="11"/>
        <rFont val="Calibri"/>
        <family val="2"/>
      </rPr>
      <t>-</t>
    </r>
    <r>
      <rPr>
        <b/>
        <sz val="11"/>
        <rFont val="Calibri"/>
        <family val="2"/>
      </rPr>
      <t>]</t>
    </r>
    <r>
      <rPr>
        <b/>
        <vertAlign val="subscript"/>
        <sz val="11"/>
        <rFont val="Calibri"/>
        <family val="2"/>
      </rPr>
      <t>field</t>
    </r>
  </si>
  <si>
    <r>
      <t>[Fe</t>
    </r>
    <r>
      <rPr>
        <vertAlign val="superscript"/>
        <sz val="11"/>
        <rFont val="Calibri"/>
        <family val="2"/>
      </rPr>
      <t>2+</t>
    </r>
    <r>
      <rPr>
        <sz val="11"/>
        <rFont val="Calibri"/>
        <family val="2"/>
      </rPr>
      <t>]</t>
    </r>
  </si>
  <si>
    <r>
      <t>[Fe</t>
    </r>
    <r>
      <rPr>
        <b/>
        <vertAlign val="superscript"/>
        <sz val="11"/>
        <rFont val="Calibri"/>
        <family val="2"/>
      </rPr>
      <t>2+</t>
    </r>
    <r>
      <rPr>
        <b/>
        <sz val="11"/>
        <rFont val="Calibri"/>
        <family val="2"/>
      </rPr>
      <t>]</t>
    </r>
    <r>
      <rPr>
        <b/>
        <vertAlign val="subscript"/>
        <sz val="11"/>
        <rFont val="Calibri"/>
        <family val="2"/>
      </rPr>
      <t>field</t>
    </r>
  </si>
  <si>
    <t>Gas transfer rates for pH-dependent gases</t>
  </si>
  <si>
    <r>
      <t>Ki</t>
    </r>
    <r>
      <rPr>
        <vertAlign val="subscript"/>
        <sz val="11"/>
        <rFont val="Calibri"/>
        <family val="2"/>
        <scheme val="minor"/>
      </rPr>
      <t>NH3,NOB,pH,AS</t>
    </r>
  </si>
  <si>
    <t>Non-Precipitation; Digester</t>
  </si>
  <si>
    <t>Non-Precipitation; Non-Digester</t>
  </si>
  <si>
    <t>Non-Sidestream</t>
  </si>
  <si>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</si>
  <si>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low,AOB</t>
    </r>
    <r>
      <rPr>
        <sz val="11"/>
        <rFont val="Calibri"/>
        <family val="2"/>
        <scheme val="minor"/>
      </rPr>
      <t>;pH</t>
    </r>
    <r>
      <rPr>
        <vertAlign val="subscript"/>
        <sz val="11"/>
        <rFont val="Calibri"/>
        <family val="2"/>
        <scheme val="minor"/>
      </rPr>
      <t>high,AOB</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</si>
  <si>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low,NOB</t>
    </r>
    <r>
      <rPr>
        <sz val="11"/>
        <rFont val="Calibri"/>
        <family val="2"/>
        <scheme val="minor"/>
      </rPr>
      <t>;pH</t>
    </r>
    <r>
      <rPr>
        <vertAlign val="subscript"/>
        <sz val="11"/>
        <rFont val="Calibri"/>
        <family val="2"/>
        <scheme val="minor"/>
      </rPr>
      <t>high,NOB</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</si>
  <si>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</si>
  <si>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</si>
  <si>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Loginh</t>
    </r>
    <r>
      <rPr>
        <vertAlign val="subscript"/>
        <sz val="11"/>
        <color rgb="FFFF0000"/>
        <rFont val="Calibri"/>
        <family val="2"/>
        <scheme val="minor"/>
      </rPr>
      <t>SNO3,KNO3,OHO</t>
    </r>
  </si>
  <si>
    <r>
      <t>Logsat</t>
    </r>
    <r>
      <rPr>
        <vertAlign val="subscript"/>
        <sz val="11"/>
        <color rgb="FFFF0000"/>
        <rFont val="Calibri"/>
        <family val="2"/>
        <scheme val="minor"/>
      </rPr>
      <t>SNO3,KNO3,OHO</t>
    </r>
  </si>
  <si>
    <t>Saturation term for NO3 during nitrate reductase</t>
  </si>
  <si>
    <t>Reduction factor for anoxic growth of OHOs nitrite reduction only VFA</t>
  </si>
  <si>
    <r>
      <t>f(X</t>
    </r>
    <r>
      <rPr>
        <vertAlign val="subscript"/>
        <sz val="11"/>
        <rFont val="Calibri"/>
        <family val="2"/>
        <charset val="238"/>
      </rPr>
      <t>N,U</t>
    </r>
    <r>
      <rPr>
        <sz val="11"/>
        <rFont val="Calibri"/>
        <family val="2"/>
      </rPr>
      <t>);f(X</t>
    </r>
    <r>
      <rPr>
        <vertAlign val="subscript"/>
        <sz val="11"/>
        <rFont val="Calibri"/>
        <family val="2"/>
        <charset val="238"/>
      </rPr>
      <t>P,U</t>
    </r>
    <r>
      <rPr>
        <sz val="11"/>
        <rFont val="Calibri"/>
        <family val="2"/>
      </rPr>
      <t>)</t>
    </r>
  </si>
  <si>
    <r>
      <t>f(X</t>
    </r>
    <r>
      <rPr>
        <vertAlign val="subscript"/>
        <sz val="11"/>
        <rFont val="Calibri"/>
        <family val="2"/>
      </rPr>
      <t>INORG</t>
    </r>
    <r>
      <rPr>
        <sz val="11"/>
        <rFont val="Calibri"/>
        <family val="2"/>
      </rPr>
      <t>); f(S</t>
    </r>
    <r>
      <rPr>
        <vertAlign val="subscript"/>
        <sz val="11"/>
        <rFont val="Calibri"/>
        <family val="2"/>
        <charset val="238"/>
      </rPr>
      <t>Ca</t>
    </r>
    <r>
      <rPr>
        <sz val="11"/>
        <rFont val="Calibri"/>
        <family val="2"/>
      </rPr>
      <t>); f(S</t>
    </r>
    <r>
      <rPr>
        <vertAlign val="subscript"/>
        <sz val="11"/>
        <rFont val="Calibri"/>
        <family val="2"/>
        <charset val="238"/>
      </rPr>
      <t>Mg</t>
    </r>
    <r>
      <rPr>
        <sz val="11"/>
        <rFont val="Calibri"/>
        <family val="2"/>
      </rPr>
      <t>); f(S</t>
    </r>
    <r>
      <rPr>
        <vertAlign val="subscript"/>
        <sz val="11"/>
        <rFont val="Calibri"/>
        <family val="2"/>
        <charset val="238"/>
      </rPr>
      <t>CAT</t>
    </r>
    <r>
      <rPr>
        <sz val="11"/>
        <rFont val="Calibri"/>
        <family val="2"/>
      </rPr>
      <t>); f(S</t>
    </r>
    <r>
      <rPr>
        <vertAlign val="subscript"/>
        <sz val="11"/>
        <rFont val="Calibri"/>
        <family val="2"/>
        <charset val="238"/>
      </rPr>
      <t>AN</t>
    </r>
    <r>
      <rPr>
        <sz val="11"/>
        <rFont val="Calibri"/>
        <family val="2"/>
      </rPr>
      <t>)</t>
    </r>
  </si>
  <si>
    <r>
      <t>q</t>
    </r>
    <r>
      <rPr>
        <vertAlign val="subscript"/>
        <sz val="11"/>
        <color indexed="8"/>
        <rFont val="Calibri"/>
        <family val="2"/>
        <scheme val="minor"/>
      </rPr>
      <t>FLOC</t>
    </r>
    <r>
      <rPr>
        <vertAlign val="subscript"/>
        <sz val="11"/>
        <color rgb="FF000000"/>
        <rFont val="Calibri"/>
        <family val="2"/>
        <scheme val="minor"/>
      </rPr>
      <t>,HFO</t>
    </r>
  </si>
  <si>
    <t>Rate of flocculation with HFO</t>
  </si>
  <si>
    <r>
      <t>q</t>
    </r>
    <r>
      <rPr>
        <vertAlign val="subscript"/>
        <sz val="11"/>
        <color indexed="8"/>
        <rFont val="Calibri"/>
        <family val="2"/>
        <scheme val="minor"/>
      </rPr>
      <t>FLOC</t>
    </r>
    <r>
      <rPr>
        <vertAlign val="subscript"/>
        <sz val="11"/>
        <color rgb="FF000000"/>
        <rFont val="Calibri"/>
        <family val="2"/>
        <scheme val="minor"/>
      </rPr>
      <t>,HAO</t>
    </r>
  </si>
  <si>
    <t>Rate of flocculation with HAO</t>
  </si>
  <si>
    <r>
      <t>K</t>
    </r>
    <r>
      <rPr>
        <vertAlign val="subscript"/>
        <sz val="11"/>
        <color indexed="8"/>
        <rFont val="Calibri"/>
        <family val="2"/>
        <scheme val="minor"/>
      </rPr>
      <t>CB,FLOC</t>
    </r>
    <r>
      <rPr>
        <vertAlign val="subscript"/>
        <sz val="11"/>
        <color rgb="FF000000"/>
        <rFont val="Calibri"/>
        <family val="2"/>
        <scheme val="minor"/>
      </rPr>
      <t>,HFO</t>
    </r>
  </si>
  <si>
    <t>Half-saturation of biodegradable colloids flocculation with HFO</t>
  </si>
  <si>
    <r>
      <t>K</t>
    </r>
    <r>
      <rPr>
        <vertAlign val="subscript"/>
        <sz val="11"/>
        <color indexed="8"/>
        <rFont val="Calibri"/>
        <family val="2"/>
        <scheme val="minor"/>
      </rPr>
      <t>CU,FLOC</t>
    </r>
    <r>
      <rPr>
        <vertAlign val="subscript"/>
        <sz val="11"/>
        <color rgb="FF000000"/>
        <rFont val="Calibri"/>
        <family val="2"/>
        <scheme val="minor"/>
      </rPr>
      <t>,HFO</t>
    </r>
  </si>
  <si>
    <r>
      <t>K</t>
    </r>
    <r>
      <rPr>
        <vertAlign val="subscript"/>
        <sz val="11"/>
        <color indexed="8"/>
        <rFont val="Calibri"/>
        <family val="2"/>
        <scheme val="minor"/>
      </rPr>
      <t>CB,FLOC</t>
    </r>
    <r>
      <rPr>
        <vertAlign val="subscript"/>
        <sz val="11"/>
        <color rgb="FF000000"/>
        <rFont val="Calibri"/>
        <family val="2"/>
        <scheme val="minor"/>
      </rPr>
      <t>,HAO</t>
    </r>
  </si>
  <si>
    <t>Half-saturation of biodegradable colloids flocculation with HAO</t>
  </si>
  <si>
    <r>
      <t>K</t>
    </r>
    <r>
      <rPr>
        <vertAlign val="subscript"/>
        <sz val="11"/>
        <color indexed="8"/>
        <rFont val="Calibri"/>
        <family val="2"/>
        <scheme val="minor"/>
      </rPr>
      <t>CU,FLOC</t>
    </r>
    <r>
      <rPr>
        <vertAlign val="subscript"/>
        <sz val="11"/>
        <color rgb="FF000000"/>
        <rFont val="Calibri"/>
        <family val="2"/>
        <scheme val="minor"/>
      </rPr>
      <t>,HAO</t>
    </r>
  </si>
  <si>
    <r>
      <t>θ</t>
    </r>
    <r>
      <rPr>
        <vertAlign val="subscript"/>
        <sz val="11"/>
        <color indexed="8"/>
        <rFont val="Calibri"/>
        <family val="2"/>
        <scheme val="minor"/>
      </rPr>
      <t>q,FLOC</t>
    </r>
    <r>
      <rPr>
        <vertAlign val="subscript"/>
        <sz val="11"/>
        <color rgb="FF000000"/>
        <rFont val="Calibri"/>
        <family val="2"/>
        <scheme val="minor"/>
      </rPr>
      <t>,HFO</t>
    </r>
  </si>
  <si>
    <t>Arrhenius coefficient for flocculation HFO</t>
  </si>
  <si>
    <r>
      <t>θ</t>
    </r>
    <r>
      <rPr>
        <vertAlign val="subscript"/>
        <sz val="11"/>
        <color indexed="8"/>
        <rFont val="Calibri"/>
        <family val="2"/>
        <scheme val="minor"/>
      </rPr>
      <t>q,FLOC</t>
    </r>
    <r>
      <rPr>
        <vertAlign val="subscript"/>
        <sz val="11"/>
        <color rgb="FF000000"/>
        <rFont val="Calibri"/>
        <family val="2"/>
        <scheme val="minor"/>
      </rPr>
      <t>,HAO</t>
    </r>
  </si>
  <si>
    <t>Arrhenius coefficient for flocculation HAO</t>
  </si>
  <si>
    <r>
      <t>Msat</t>
    </r>
    <r>
      <rPr>
        <vertAlign val="subscript"/>
        <sz val="11"/>
        <rFont val="Calibri"/>
        <family val="2"/>
        <scheme val="minor"/>
      </rPr>
      <t>CB,KCB,FLOC,HFO</t>
    </r>
  </si>
  <si>
    <t>Saturation term for colloidal biodegradable substrate flocculation with HFO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</si>
  <si>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CB,FLOC,HFO</t>
    </r>
    <r>
      <rPr>
        <sz val="11"/>
        <rFont val="Calibri"/>
        <family val="2"/>
        <scheme val="minor"/>
      </rPr>
      <t>)</t>
    </r>
  </si>
  <si>
    <r>
      <t>Msat</t>
    </r>
    <r>
      <rPr>
        <vertAlign val="subscript"/>
        <sz val="11"/>
        <rFont val="Calibri"/>
        <family val="2"/>
        <scheme val="minor"/>
      </rPr>
      <t>CU,KCU,FLOC,HFO</t>
    </r>
  </si>
  <si>
    <t>Saturation term for colloidal unbiodegradable organics flocculation with HFO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</si>
  <si>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CU,FLOC,HFO</t>
    </r>
    <r>
      <rPr>
        <sz val="11"/>
        <rFont val="Calibri"/>
        <family val="2"/>
        <scheme val="minor"/>
      </rPr>
      <t>)</t>
    </r>
  </si>
  <si>
    <r>
      <t>Msat</t>
    </r>
    <r>
      <rPr>
        <vertAlign val="subscript"/>
        <sz val="11"/>
        <rFont val="Calibri"/>
        <family val="2"/>
        <scheme val="minor"/>
      </rPr>
      <t>CB,KCB,FLOC,HAO</t>
    </r>
  </si>
  <si>
    <t>Saturation term for colloidal biodegradable substrate flocculation with HAO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</si>
  <si>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CB,FLOC,HAO</t>
    </r>
    <r>
      <rPr>
        <sz val="11"/>
        <rFont val="Calibri"/>
        <family val="2"/>
        <scheme val="minor"/>
      </rPr>
      <t>)</t>
    </r>
  </si>
  <si>
    <r>
      <t>Msat</t>
    </r>
    <r>
      <rPr>
        <vertAlign val="subscript"/>
        <sz val="11"/>
        <rFont val="Calibri"/>
        <family val="2"/>
        <scheme val="minor"/>
      </rPr>
      <t>CU,KCU,FLOC,HAO</t>
    </r>
  </si>
  <si>
    <t>Saturation term for colloidal unbiodegradable organics flocculation with HAO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</si>
  <si>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CU,FLOC,HAO</t>
    </r>
    <r>
      <rPr>
        <sz val="11"/>
        <rFont val="Calibri"/>
        <family val="2"/>
        <scheme val="minor"/>
      </rPr>
      <t>)</t>
    </r>
  </si>
  <si>
    <r>
      <t>pH</t>
    </r>
    <r>
      <rPr>
        <vertAlign val="subscript"/>
        <sz val="11"/>
        <rFont val="Calibri"/>
        <family val="2"/>
        <scheme val="minor"/>
      </rPr>
      <t>low</t>
    </r>
    <r>
      <rPr>
        <vertAlign val="subscript"/>
        <sz val="11"/>
        <color rgb="FF000000"/>
        <rFont val="Calibri"/>
        <family val="2"/>
        <scheme val="minor"/>
      </rPr>
      <t>,FLOC,HFO</t>
    </r>
  </si>
  <si>
    <t>pH inhibition low value for flocculation with HFO</t>
  </si>
  <si>
    <r>
      <t>pH</t>
    </r>
    <r>
      <rPr>
        <vertAlign val="subscript"/>
        <sz val="11"/>
        <rFont val="Calibri"/>
        <family val="2"/>
        <scheme val="minor"/>
      </rPr>
      <t>high</t>
    </r>
    <r>
      <rPr>
        <vertAlign val="subscript"/>
        <sz val="11"/>
        <color rgb="FF000000"/>
        <rFont val="Calibri"/>
        <family val="2"/>
        <scheme val="minor"/>
      </rPr>
      <t>,FLOC,HFO</t>
    </r>
  </si>
  <si>
    <t>pH inhibition high value for flocculation with HFO</t>
  </si>
  <si>
    <r>
      <t>pH</t>
    </r>
    <r>
      <rPr>
        <vertAlign val="subscript"/>
        <sz val="11"/>
        <rFont val="Calibri"/>
        <family val="2"/>
        <scheme val="minor"/>
      </rPr>
      <t>low</t>
    </r>
    <r>
      <rPr>
        <vertAlign val="subscript"/>
        <sz val="11"/>
        <color rgb="FF000000"/>
        <rFont val="Calibri"/>
        <family val="2"/>
        <scheme val="minor"/>
      </rPr>
      <t>,FLOC,HAO</t>
    </r>
  </si>
  <si>
    <t>pH inhibition low value for flocculation with HAO</t>
  </si>
  <si>
    <r>
      <t>pH</t>
    </r>
    <r>
      <rPr>
        <vertAlign val="subscript"/>
        <sz val="11"/>
        <rFont val="Calibri"/>
        <family val="2"/>
        <scheme val="minor"/>
      </rPr>
      <t>high</t>
    </r>
    <r>
      <rPr>
        <vertAlign val="subscript"/>
        <sz val="11"/>
        <color rgb="FF000000"/>
        <rFont val="Calibri"/>
        <family val="2"/>
        <scheme val="minor"/>
      </rPr>
      <t>,FLOC,HAO</t>
    </r>
  </si>
  <si>
    <t>pH inhibition high value for flocculation with HAO</t>
  </si>
  <si>
    <r>
      <t>q</t>
    </r>
    <r>
      <rPr>
        <vertAlign val="subscript"/>
        <sz val="11"/>
        <color indexed="8"/>
        <rFont val="Calibri"/>
        <family val="2"/>
        <scheme val="minor"/>
      </rPr>
      <t>FLOC,HFO,T</t>
    </r>
  </si>
  <si>
    <r>
      <t>q</t>
    </r>
    <r>
      <rPr>
        <vertAlign val="subscript"/>
        <sz val="11"/>
        <color indexed="8"/>
        <rFont val="Calibri"/>
        <family val="2"/>
        <scheme val="minor"/>
      </rPr>
      <t>FLOC,HFO</t>
    </r>
    <r>
      <rPr>
        <sz val="11"/>
        <color indexed="8"/>
        <rFont val="Calibri"/>
        <family val="2"/>
        <scheme val="minor"/>
      </rPr>
      <t>*Arrh(θ</t>
    </r>
    <r>
      <rPr>
        <vertAlign val="subscript"/>
        <sz val="11"/>
        <color indexed="8"/>
        <rFont val="Calibri"/>
        <family val="2"/>
        <scheme val="minor"/>
      </rPr>
      <t>q,FLOC,HFO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</si>
  <si>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FLOC,HAO,T</t>
    </r>
  </si>
  <si>
    <r>
      <t>q</t>
    </r>
    <r>
      <rPr>
        <vertAlign val="subscript"/>
        <sz val="11"/>
        <color indexed="8"/>
        <rFont val="Calibri"/>
        <family val="2"/>
        <scheme val="minor"/>
      </rPr>
      <t>FLOC,HAO</t>
    </r>
    <r>
      <rPr>
        <sz val="11"/>
        <color indexed="8"/>
        <rFont val="Calibri"/>
        <family val="2"/>
        <scheme val="minor"/>
      </rPr>
      <t>*Arrh(θ</t>
    </r>
    <r>
      <rPr>
        <vertAlign val="subscript"/>
        <sz val="11"/>
        <color indexed="8"/>
        <rFont val="Calibri"/>
        <family val="2"/>
        <scheme val="minor"/>
      </rPr>
      <t>q,FLOC,HAO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</si>
  <si>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Bellinh</t>
    </r>
    <r>
      <rPr>
        <vertAlign val="subscript"/>
        <sz val="11"/>
        <rFont val="Calibri"/>
        <family val="2"/>
        <scheme val="minor"/>
      </rPr>
      <t>pH,FLOC,HFO</t>
    </r>
  </si>
  <si>
    <t>pH inhibition (Bell shaped) (flocculation with HFO)</t>
  </si>
  <si>
    <r>
      <t>Bellinh(pH;pH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</si>
  <si>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</si>
  <si>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t>
    </r>
    <r>
      <rPr>
        <vertAlign val="subscript"/>
        <sz val="11"/>
        <rFont val="Calibri"/>
        <family val="2"/>
        <scheme val="minor"/>
      </rPr>
      <t>pH,FLOC,HAO</t>
    </r>
  </si>
  <si>
    <t>pH inhibition (Bell shaped) (flocculation with HAO)</t>
  </si>
  <si>
    <r>
      <t>Bellinh(pH;pH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</si>
  <si>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</si>
  <si>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*Msat</t>
    </r>
    <r>
      <rPr>
        <vertAlign val="subscript"/>
        <sz val="11"/>
        <rFont val="Calibri"/>
        <family val="2"/>
      </rPr>
      <t>CB,KCB,FLOC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CB,KCB,FLOC,HFO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CB,KCB,FLOC,HAO</t>
    </r>
    <r>
      <rPr>
        <sz val="11"/>
        <rFont val="Calibri"/>
        <family val="2"/>
      </rPr>
      <t>*Bellinh</t>
    </r>
    <r>
      <rPr>
        <vertAlign val="subscript"/>
        <sz val="11"/>
        <rFont val="Calibri"/>
        <family val="2"/>
      </rPr>
      <t>pH,FLOC,HAO</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</si>
  <si>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*Msat</t>
    </r>
    <r>
      <rPr>
        <vertAlign val="subscript"/>
        <sz val="11"/>
        <rFont val="Calibri"/>
        <family val="2"/>
      </rPr>
      <t>CU,KCU,FLOC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CU,KCU,FLOC,HFO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CU,KCU,FLOC,HAO</t>
    </r>
    <r>
      <rPr>
        <sz val="11"/>
        <rFont val="Calibri"/>
        <family val="2"/>
      </rPr>
      <t>*Bellinh</t>
    </r>
    <r>
      <rPr>
        <vertAlign val="subscript"/>
        <sz val="11"/>
        <rFont val="Calibri"/>
        <family val="2"/>
      </rPr>
      <t>pH,FLOC,HAO</t>
    </r>
  </si>
  <si>
    <t>Heat - pond model</t>
  </si>
  <si>
    <t>rate_Hbio</t>
  </si>
  <si>
    <t>Biological heat rate of biological reactions</t>
  </si>
  <si>
    <t>MJ.m-3.d-1</t>
  </si>
  <si>
    <t>COD Balance - pond model</t>
  </si>
  <si>
    <t>rate_TCOD,stripping</t>
  </si>
  <si>
    <t>g.m-3.d-1</t>
  </si>
  <si>
    <t>2</t>
  </si>
  <si>
    <t>rate_TCOD,oxydation,O2</t>
  </si>
  <si>
    <t xml:space="preserve"> - ((v1_SO2 * r1 * -1) + (v4_SO2 * r4 * -1) + (v9_SO2 * r9 * -1) + (v16_SO2 * r16 * -1) + (v19_SO2 * r19 * -1) + (v22_SO2 * r22 * -1) + (v27_SO2 * r27 * -1) + (v54_SO2 * r54 * -1))</t>
  </si>
  <si>
    <t>rate_TCOD,oxydation,NO3</t>
  </si>
  <si>
    <t>rate_TCOD,photosynt</t>
  </si>
  <si>
    <t>((v53_XALGAE * r53) + (v52_XALGAE * r52))</t>
  </si>
  <si>
    <t>rate_TCOD,autotrophs</t>
  </si>
  <si>
    <t>((v37_XAOB * r37) + (v40_XNOB * r40))</t>
  </si>
  <si>
    <t>TN Balance - pond model</t>
  </si>
  <si>
    <t>rate_SNHx,stripping</t>
  </si>
  <si>
    <t>rate_TN,denit</t>
  </si>
  <si>
    <t>O2 Balance - pond model</t>
  </si>
  <si>
    <t>rate_SO2,aerator</t>
  </si>
  <si>
    <t>rate_SO2,sur</t>
  </si>
  <si>
    <t>rate_SO2,C,oxidation</t>
  </si>
  <si>
    <t xml:space="preserve"> - ((v1_SO2 * r1 * -1) + (v4_SO2 * r4 * -1) + (v9_SO2 * r9 * -1) + (v16_SO2 * r16 * -1) + (v19_SO2 * r19 * -1) + (v22_SO2 * r22 * -1) + (v27_SO2 * r27 * -1))</t>
  </si>
  <si>
    <t>rate_SO2,nitrif</t>
  </si>
  <si>
    <t>((v37_SO2 * r37) + (v40_SO2 * r40))</t>
  </si>
  <si>
    <t>rate_SO2,Fe,oxidation</t>
  </si>
  <si>
    <t>rate_SO2,photosynt</t>
  </si>
  <si>
    <t>((v53_SO2 * r53) + (v52_SO2 * r52))</t>
  </si>
  <si>
    <t>rate_SO2,ALGAE,resp</t>
  </si>
  <si>
    <t>((v54_SO2 * r54))</t>
  </si>
  <si>
    <t>SNHx processes - pond model</t>
  </si>
  <si>
    <t>rate_SNHx,OHOs</t>
  </si>
  <si>
    <t>((v1_SNHx * r1) + (v2_SNHx * r2) + (v3_SNHx * r3) + (v4_SNHx * r4) + (v5_SNHx * r5) + (v6_SNHx * r6) + (v7_SNHx * r7) + (v8_SNHx * r8) + (v9_SNHx * r9) + (v10_SNHx * r10) + (v11_SNHx * r11))</t>
  </si>
  <si>
    <t>rate_SNHx,NITOs</t>
  </si>
  <si>
    <t>((v37_SNHx * r37) + (v38_SNHx * r38) + (v39_SNHx * r39) + (v40_SNHx * r40) + (v41_SNHx * r41) + (v42_SNHx * r42))</t>
  </si>
  <si>
    <t>rate_SNHx,ALGAE</t>
  </si>
  <si>
    <t>((v53_SNHx * r53) + (v54_SNHx * r54) + (v55_SNHx * r55))</t>
  </si>
  <si>
    <t>rate_SNHx,Hydrolysis</t>
  </si>
  <si>
    <t>SNOx processes - pond model</t>
  </si>
  <si>
    <t>rate_SNOx,OHOs</t>
  </si>
  <si>
    <t>((v3_SNO3 * r3) + (v6_SNO3 * r6))</t>
  </si>
  <si>
    <t>rate_SNOx,NITOs</t>
  </si>
  <si>
    <t>((v40_SNO3 * r40))</t>
  </si>
  <si>
    <t>rate_SNOx,ALGAE</t>
  </si>
  <si>
    <t>((v52_SNO3 * r52))</t>
  </si>
  <si>
    <t>SPO4 processes - pond model</t>
  </si>
  <si>
    <t>rate_SPO4,OHOs</t>
  </si>
  <si>
    <t>((v1_SPO4 * r1) + (v2_SPO4 * r2) + (v3_SPO4 * r3) + (v4_SPO4 * r4) + (v5_SPO4 * r5) + (v6_SPO4 * r6) + (v7_SPO4 * r7) + (v8_SPO4 * r8) + (v9_SPO4 * r9))</t>
  </si>
  <si>
    <t>rate_SPO4,NITOs</t>
  </si>
  <si>
    <t>((v37_SPO4 * r37) + (v40_SPO4 * r40))</t>
  </si>
  <si>
    <t>rate_SPO4,ALGAE</t>
  </si>
  <si>
    <t>((v52_SPO4 * r52) + (v53_SPO4 * r53) + (v54_SPO4 * r54) + (v55_SPO4 * r55))</t>
  </si>
  <si>
    <t>rate_SPO4,Hydrolysis</t>
  </si>
  <si>
    <t>rate_SPO4,Precipitation</t>
  </si>
  <si>
    <t>SCO2 processes - pond model</t>
  </si>
  <si>
    <t>rate_SCO2,stripping</t>
  </si>
  <si>
    <t>rate_SCO2,OHOs</t>
  </si>
  <si>
    <t>((v1_SCO2 * r1) + (v2_SCO2 * r2) + (v3_SCO2 * r3) + (v4_SCO2 * r4) + (v5_SCO2 * r5) + (v6_SCO2 * r6) + (v7_SCO2 * r7) + (v8_SCO2 * r8) + (v9_SCO2 * r9) + (v10_SCO2 * r10) + (v11_SCO2 * r11))</t>
  </si>
  <si>
    <t>rate_SCO2,NITOs</t>
  </si>
  <si>
    <t>((v37_SCO2 * r37) + (v38_SCO2 * r38) + (v39_SCO2 * r39) + (v40_SCO2 * r40) + (v41_SCO2 * r41) + (v42_SCO2 * r42))</t>
  </si>
  <si>
    <t>rate_SCO2,ALGAE</t>
  </si>
  <si>
    <t>((v52_SCO2 * r52) + (v53_SCO2 * r53) + (v54_SCO2 * r54) + (v55_SCO2 * r55))</t>
  </si>
  <si>
    <t>rate_SCO2,Hydrolysis</t>
  </si>
  <si>
    <t>rate_SCO2,Precipitation</t>
  </si>
  <si>
    <t>Aeration - pond model</t>
  </si>
  <si>
    <t>rate_DiffAer,ox,transf</t>
  </si>
  <si>
    <t>Diffused aeration oxygen transferred</t>
  </si>
  <si>
    <t>rate_SurfAer,ox,transf</t>
  </si>
  <si>
    <t>Surface aeration oxygen transferred</t>
  </si>
  <si>
    <t>Nitrifier kinetics - pond model</t>
  </si>
  <si>
    <t>Display_µAOB,T</t>
  </si>
  <si>
    <t>Display_XAOB</t>
  </si>
  <si>
    <t>g COD.m-3</t>
  </si>
  <si>
    <t>Display_MsatSNHx,KNHx,AOB</t>
  </si>
  <si>
    <t>Display_LogsatpHCO2,AOB</t>
  </si>
  <si>
    <t>Display_MsatSO2,KO2,AOB</t>
  </si>
  <si>
    <t>Display_MsatSPO4,KPO4,BIO</t>
  </si>
  <si>
    <t>Display_MsatSCAT,KCAT</t>
  </si>
  <si>
    <t>Display_MsatSAN,KAN</t>
  </si>
  <si>
    <t>Display_MsatSCa,KCa</t>
  </si>
  <si>
    <t>Display_MsatSMg,KMg</t>
  </si>
  <si>
    <t>Display_MsatSSO4,KSO4,BIO</t>
  </si>
  <si>
    <t>Display_MinhpHHNO2,AOB</t>
  </si>
  <si>
    <t>Display_BellinhpH,AOB</t>
  </si>
  <si>
    <t>Nitrifier specific growth rate (temperature corrected)</t>
  </si>
  <si>
    <t>Nitrifier concentration (AOB for two-step or NITO for single-step)</t>
  </si>
  <si>
    <t>Ammonia availability (Monod saturation function)</t>
  </si>
  <si>
    <t>CO2 availability (Log saturation function)</t>
  </si>
  <si>
    <t>Oxygen availability (Monod saturation function)</t>
  </si>
  <si>
    <t>Phosphate availability (Monod saturation function)</t>
  </si>
  <si>
    <t>Cation availability (Monod saturation function)</t>
  </si>
  <si>
    <t>Anion availability (Monod saturation function)</t>
  </si>
  <si>
    <t>Calcium availability (Monod saturation function)</t>
  </si>
  <si>
    <t>Magnesium availability (Monod saturation function)</t>
  </si>
  <si>
    <t>Sulphate availability (Monod saturation function)</t>
  </si>
  <si>
    <t>Nitrous acid inhibition (Monod saturation function)</t>
  </si>
  <si>
    <t>Display_MinhpHNH3,NITO</t>
  </si>
  <si>
    <t>Un-ionized ammonia inhibition (Monod saturation function)</t>
  </si>
  <si>
    <t>pH inhibition function</t>
  </si>
  <si>
    <t>Display_MsatSALK,KALK</t>
  </si>
  <si>
    <t>Alkalinity availability (Monod saturation function)</t>
  </si>
  <si>
    <t>Algal kinetics - pond model</t>
  </si>
  <si>
    <t>Display_µALGAE,T</t>
  </si>
  <si>
    <t>Algal specific growth rate (temperature corrected)</t>
  </si>
  <si>
    <t>Display_XALGAE</t>
  </si>
  <si>
    <t>Algal concentration</t>
  </si>
  <si>
    <t>Display_MsatSCO2,KCO2,ALGAE</t>
  </si>
  <si>
    <t>CO2 availability (Monod saturation function)</t>
  </si>
  <si>
    <t>Display_LightSwitch</t>
  </si>
  <si>
    <t>Light availability function</t>
  </si>
  <si>
    <t>Display_MsatSNOx,KNOx,ALGAE</t>
  </si>
  <si>
    <t>Nitrate availability (Monod saturation function)</t>
  </si>
  <si>
    <t>Display_MinhSNHx,KiNHx,ALGAE</t>
  </si>
  <si>
    <t>Ammonia inhibition of nitrate assimilation (Monod saturation function)</t>
  </si>
  <si>
    <t>Display_MsatSNHx,KNHx,ALGAE</t>
  </si>
  <si>
    <r>
      <t>η</t>
    </r>
    <r>
      <rPr>
        <vertAlign val="subscript"/>
        <sz val="11"/>
        <color rgb="FFFF0000"/>
        <rFont val="Calibri"/>
        <family val="2"/>
        <scheme val="minor"/>
      </rPr>
      <t>OHO,anox,NO2red</t>
    </r>
  </si>
  <si>
    <r>
      <t>K</t>
    </r>
    <r>
      <rPr>
        <vertAlign val="subscript"/>
        <sz val="11"/>
        <color rgb="FFFF0000"/>
        <rFont val="Calibri"/>
        <family val="2"/>
        <scheme val="minor"/>
      </rPr>
      <t>VFA,OHO,SNO2</t>
    </r>
  </si>
  <si>
    <t>Half-saturation of VFA for OHOs under nitrite reduction</t>
  </si>
  <si>
    <r>
      <t>Logsat</t>
    </r>
    <r>
      <rPr>
        <vertAlign val="subscript"/>
        <sz val="11"/>
        <color rgb="FFFF0000"/>
        <rFont val="Calibri"/>
        <family val="2"/>
        <scheme val="minor"/>
      </rPr>
      <t>SVFA,KVFA,OHO,SNO2</t>
    </r>
  </si>
  <si>
    <t>Saturation term for VFA during nitrite reductase</t>
  </si>
  <si>
    <r>
      <t>Loginh</t>
    </r>
    <r>
      <rPr>
        <vertAlign val="subscript"/>
        <sz val="11"/>
        <color rgb="FFFF0000"/>
        <rFont val="Calibri"/>
        <family val="2"/>
        <scheme val="minor"/>
      </rPr>
      <t>SVFA,KVFA,OHO,SNO2</t>
    </r>
  </si>
  <si>
    <t>Inhibition term for VFA during nitrite reductase</t>
  </si>
  <si>
    <r>
      <t>Logsat</t>
    </r>
    <r>
      <rPr>
        <vertAlign val="subscript"/>
        <sz val="11"/>
        <color rgb="FFFF0000"/>
        <rFont val="Calibri"/>
        <family val="2"/>
        <scheme val="minor"/>
      </rPr>
      <t>SMEOL,KMEOL,SNO2</t>
    </r>
  </si>
  <si>
    <r>
      <t>Loginh</t>
    </r>
    <r>
      <rPr>
        <vertAlign val="subscript"/>
        <sz val="11"/>
        <color rgb="FFFF0000"/>
        <rFont val="Calibri"/>
        <family val="2"/>
        <scheme val="minor"/>
      </rPr>
      <t>SMEOL,KMEOL,SNO2</t>
    </r>
  </si>
  <si>
    <t>Saturation term for MEOL during nitrite reductase</t>
  </si>
  <si>
    <t>Inhibition term for MEOL during nitrite reductase</t>
  </si>
  <si>
    <r>
      <t>K</t>
    </r>
    <r>
      <rPr>
        <vertAlign val="subscript"/>
        <sz val="11"/>
        <color rgb="FFFF0000"/>
        <rFont val="Calibri"/>
        <family val="2"/>
        <scheme val="minor"/>
      </rPr>
      <t>MEOL,SNO2</t>
    </r>
  </si>
  <si>
    <t>Half-saturation of MEOL for OHOs under nitrite reduction</t>
  </si>
  <si>
    <r>
      <t>Loginh</t>
    </r>
    <r>
      <rPr>
        <vertAlign val="subscript"/>
        <sz val="11"/>
        <color rgb="FFFF0000"/>
        <rFont val="Calibri"/>
        <family val="2"/>
        <scheme val="minor"/>
      </rPr>
      <t>SNO3,KNO3,MEOLO</t>
    </r>
  </si>
  <si>
    <r>
      <t>Logsat</t>
    </r>
    <r>
      <rPr>
        <vertAlign val="subscript"/>
        <sz val="11"/>
        <color rgb="FFFF0000"/>
        <rFont val="Calibri"/>
        <family val="2"/>
        <scheme val="minor"/>
      </rPr>
      <t>SNO3,KNO3,MEOLO</t>
    </r>
  </si>
  <si>
    <t>Heat of reaction</t>
  </si>
  <si>
    <t>Heat of biological reaction</t>
  </si>
  <si>
    <t>MJ.g COD-1</t>
  </si>
  <si>
    <t>DeltaHbio</t>
  </si>
  <si>
    <t>For SB it is for both nitrate and nitrite reduction, while for VFA its only for nitrate reduction.</t>
  </si>
  <si>
    <r>
      <t>K</t>
    </r>
    <r>
      <rPr>
        <vertAlign val="subscript"/>
        <sz val="11"/>
        <color rgb="FFFF0000"/>
        <rFont val="Calibri"/>
        <family val="2"/>
        <scheme val="minor"/>
      </rPr>
      <t>VFA,OHO,SNO2,AS</t>
    </r>
  </si>
  <si>
    <r>
      <t>K</t>
    </r>
    <r>
      <rPr>
        <vertAlign val="subscript"/>
        <sz val="11"/>
        <color rgb="FFFF0000"/>
        <rFont val="Calibri"/>
        <family val="2"/>
        <scheme val="minor"/>
      </rPr>
      <t>MEOL,SNO2,AS</t>
    </r>
  </si>
  <si>
    <r>
      <t>K</t>
    </r>
    <r>
      <rPr>
        <vertAlign val="subscript"/>
        <sz val="11"/>
        <color rgb="FFFF0000"/>
        <rFont val="Calibri"/>
        <family val="2"/>
        <scheme val="minor"/>
      </rPr>
      <t>VFA,OHO,SNO2,AS</t>
    </r>
    <r>
      <rPr>
        <sz val="11"/>
        <color rgb="FFFF0000"/>
        <rFont val="Calibri"/>
        <family val="2"/>
        <scheme val="minor"/>
      </rPr>
      <t>*f</t>
    </r>
    <r>
      <rPr>
        <vertAlign val="subscript"/>
        <sz val="11"/>
        <color rgb="FFFF0000"/>
        <rFont val="Calibri"/>
        <family val="2"/>
        <scheme val="minor"/>
      </rPr>
      <t>KS</t>
    </r>
  </si>
  <si>
    <r>
      <t>K</t>
    </r>
    <r>
      <rPr>
        <vertAlign val="subscript"/>
        <sz val="11"/>
        <color rgb="FFFF0000"/>
        <rFont val="Calibri"/>
        <family val="2"/>
        <scheme val="minor"/>
      </rPr>
      <t>MEOL,SNO2,AS</t>
    </r>
    <r>
      <rPr>
        <sz val="11"/>
        <color rgb="FFFF0000"/>
        <rFont val="Calibri"/>
        <family val="2"/>
        <scheme val="minor"/>
      </rPr>
      <t>*f</t>
    </r>
    <r>
      <rPr>
        <vertAlign val="subscript"/>
        <sz val="11"/>
        <color rgb="FFFF0000"/>
        <rFont val="Calibri"/>
        <family val="2"/>
        <scheme val="minor"/>
      </rPr>
      <t>KS</t>
    </r>
  </si>
  <si>
    <t>Key(955)</t>
  </si>
  <si>
    <r>
      <t>Logrange</t>
    </r>
    <r>
      <rPr>
        <vertAlign val="subscript"/>
        <sz val="11"/>
        <color rgb="FFFF0000"/>
        <rFont val="Calibri"/>
        <family val="2"/>
        <scheme val="minor"/>
      </rPr>
      <t>KSNO3</t>
    </r>
  </si>
  <si>
    <t>Effective range of logistic switch for nitrate saturation on nitrate reduction</t>
  </si>
  <si>
    <r>
      <t>Logsat(S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NO3,OHO</t>
    </r>
    <r>
      <rPr>
        <sz val="11"/>
        <color rgb="FFFF0000"/>
        <rFont val="Calibri"/>
        <family val="2"/>
        <scheme val="minor"/>
      </rPr>
      <t>;Logslope</t>
    </r>
    <r>
      <rPr>
        <vertAlign val="subscript"/>
        <sz val="11"/>
        <color rgb="FFFF0000"/>
        <rFont val="Calibri"/>
        <family val="2"/>
        <scheme val="minor"/>
      </rPr>
      <t>KSNO3</t>
    </r>
    <r>
      <rPr>
        <sz val="11"/>
        <color rgb="FFFF0000"/>
        <rFont val="Calibri"/>
        <family val="2"/>
        <scheme val="minor"/>
      </rPr>
      <t>)</t>
    </r>
  </si>
  <si>
    <r>
      <t>Logslope</t>
    </r>
    <r>
      <rPr>
        <vertAlign val="subscript"/>
        <sz val="11"/>
        <color rgb="FFFF0000"/>
        <rFont val="Calibri"/>
        <family val="2"/>
        <scheme val="minor"/>
      </rPr>
      <t>KSNO3</t>
    </r>
  </si>
  <si>
    <t>Logistic slope of nitrate saturation on nitrate reduction</t>
  </si>
  <si>
    <r>
      <t>Logrange</t>
    </r>
    <r>
      <rPr>
        <vertAlign val="subscript"/>
        <sz val="11"/>
        <color rgb="FFFF0000"/>
        <rFont val="Calibri"/>
        <family val="2"/>
        <scheme val="minor"/>
      </rPr>
      <t>KVFA,SNO2</t>
    </r>
  </si>
  <si>
    <r>
      <t>Logsat(S</t>
    </r>
    <r>
      <rPr>
        <vertAlign val="subscript"/>
        <sz val="11"/>
        <color rgb="FFFF0000"/>
        <rFont val="Calibri"/>
        <family val="2"/>
        <scheme val="minor"/>
      </rPr>
      <t>VFA</t>
    </r>
    <r>
      <rPr>
        <sz val="11"/>
        <color rgb="FFFF0000"/>
        <rFont val="Calibri"/>
        <family val="2"/>
        <scheme val="minor"/>
      </rPr>
      <t>;K</t>
    </r>
    <r>
      <rPr>
        <vertAlign val="subscript"/>
        <sz val="11"/>
        <color rgb="FFFF0000"/>
        <rFont val="Calibri"/>
        <family val="2"/>
        <scheme val="minor"/>
      </rPr>
      <t>VFA,OHO,SNO2</t>
    </r>
    <r>
      <rPr>
        <sz val="11"/>
        <color rgb="FFFF0000"/>
        <rFont val="Calibri"/>
        <family val="2"/>
        <scheme val="minor"/>
      </rPr>
      <t>;Logslope</t>
    </r>
    <r>
      <rPr>
        <vertAlign val="subscript"/>
        <sz val="11"/>
        <color rgb="FFFF0000"/>
        <rFont val="Calibri"/>
        <family val="2"/>
        <scheme val="minor"/>
      </rPr>
      <t>KVFA,SNO2</t>
    </r>
    <r>
      <rPr>
        <sz val="11"/>
        <color rgb="FFFF0000"/>
        <rFont val="Calibri"/>
        <family val="2"/>
        <scheme val="minor"/>
      </rPr>
      <t>)</t>
    </r>
  </si>
  <si>
    <r>
      <t>Logslope</t>
    </r>
    <r>
      <rPr>
        <vertAlign val="subscript"/>
        <sz val="11"/>
        <color rgb="FFFF0000"/>
        <rFont val="Calibri"/>
        <family val="2"/>
        <scheme val="minor"/>
      </rPr>
      <t>KVFA,SNO2</t>
    </r>
  </si>
  <si>
    <t>Effective range of logistic switch for VFA saturation on nitrite reduction</t>
  </si>
  <si>
    <t>Logistic slope of VFA saturation on nitrite reduction</t>
  </si>
  <si>
    <r>
      <t>Loginh(S</t>
    </r>
    <r>
      <rPr>
        <vertAlign val="subscript"/>
        <sz val="11"/>
        <color rgb="FFFF0000"/>
        <rFont val="Calibri"/>
        <family val="2"/>
        <scheme val="minor"/>
      </rPr>
      <t>VFA</t>
    </r>
    <r>
      <rPr>
        <sz val="11"/>
        <color rgb="FFFF0000"/>
        <rFont val="Calibri"/>
        <family val="2"/>
        <scheme val="minor"/>
      </rPr>
      <t>;K</t>
    </r>
    <r>
      <rPr>
        <vertAlign val="subscript"/>
        <sz val="11"/>
        <color rgb="FFFF0000"/>
        <rFont val="Calibri"/>
        <family val="2"/>
        <scheme val="minor"/>
      </rPr>
      <t>VFA,OHO,SNO2</t>
    </r>
    <r>
      <rPr>
        <sz val="11"/>
        <color rgb="FFFF0000"/>
        <rFont val="Calibri"/>
        <family val="2"/>
        <scheme val="minor"/>
      </rPr>
      <t>;Logslope</t>
    </r>
    <r>
      <rPr>
        <vertAlign val="subscript"/>
        <sz val="11"/>
        <color rgb="FFFF0000"/>
        <rFont val="Calibri"/>
        <family val="2"/>
        <scheme val="minor"/>
      </rPr>
      <t>KVFA,SNO2</t>
    </r>
    <r>
      <rPr>
        <sz val="11"/>
        <color rgb="FFFF0000"/>
        <rFont val="Calibri"/>
        <family val="2"/>
        <scheme val="minor"/>
      </rPr>
      <t>)</t>
    </r>
  </si>
  <si>
    <r>
      <t>Logrange</t>
    </r>
    <r>
      <rPr>
        <vertAlign val="subscript"/>
        <sz val="11"/>
        <color rgb="FFFF0000"/>
        <rFont val="Calibri"/>
        <family val="2"/>
        <scheme val="minor"/>
      </rPr>
      <t>KMEOL,SNO2</t>
    </r>
  </si>
  <si>
    <r>
      <t>Logsat(S</t>
    </r>
    <r>
      <rPr>
        <vertAlign val="subscript"/>
        <sz val="11"/>
        <color rgb="FFFF0000"/>
        <rFont val="Calibri"/>
        <family val="2"/>
        <scheme val="minor"/>
      </rPr>
      <t>MEOL</t>
    </r>
    <r>
      <rPr>
        <sz val="11"/>
        <color rgb="FFFF0000"/>
        <rFont val="Calibri"/>
        <family val="2"/>
        <scheme val="minor"/>
      </rPr>
      <t>;K</t>
    </r>
    <r>
      <rPr>
        <vertAlign val="subscript"/>
        <sz val="11"/>
        <color rgb="FFFF0000"/>
        <rFont val="Calibri"/>
        <family val="2"/>
        <scheme val="minor"/>
      </rPr>
      <t>MEOL,SNO2</t>
    </r>
    <r>
      <rPr>
        <sz val="11"/>
        <color rgb="FFFF0000"/>
        <rFont val="Calibri"/>
        <family val="2"/>
        <scheme val="minor"/>
      </rPr>
      <t>;Logslope</t>
    </r>
    <r>
      <rPr>
        <vertAlign val="subscript"/>
        <sz val="11"/>
        <color rgb="FFFF0000"/>
        <rFont val="Calibri"/>
        <family val="2"/>
        <scheme val="minor"/>
      </rPr>
      <t>KMEOL,SNO2</t>
    </r>
    <r>
      <rPr>
        <sz val="11"/>
        <color rgb="FFFF0000"/>
        <rFont val="Calibri"/>
        <family val="2"/>
        <scheme val="minor"/>
      </rPr>
      <t>)</t>
    </r>
  </si>
  <si>
    <r>
      <t>Loginh(S</t>
    </r>
    <r>
      <rPr>
        <vertAlign val="subscript"/>
        <sz val="11"/>
        <color rgb="FFFF0000"/>
        <rFont val="Calibri"/>
        <family val="2"/>
        <scheme val="minor"/>
      </rPr>
      <t>MEOL</t>
    </r>
    <r>
      <rPr>
        <sz val="11"/>
        <color rgb="FFFF0000"/>
        <rFont val="Calibri"/>
        <family val="2"/>
        <scheme val="minor"/>
      </rPr>
      <t>;K</t>
    </r>
    <r>
      <rPr>
        <vertAlign val="subscript"/>
        <sz val="11"/>
        <color rgb="FFFF0000"/>
        <rFont val="Calibri"/>
        <family val="2"/>
        <scheme val="minor"/>
      </rPr>
      <t>MEOL,SNO2</t>
    </r>
    <r>
      <rPr>
        <sz val="11"/>
        <color rgb="FFFF0000"/>
        <rFont val="Calibri"/>
        <family val="2"/>
        <scheme val="minor"/>
      </rPr>
      <t>;Logslope</t>
    </r>
    <r>
      <rPr>
        <vertAlign val="subscript"/>
        <sz val="11"/>
        <color rgb="FFFF0000"/>
        <rFont val="Calibri"/>
        <family val="2"/>
        <scheme val="minor"/>
      </rPr>
      <t>KMEOL,SNO2</t>
    </r>
    <r>
      <rPr>
        <sz val="11"/>
        <color rgb="FFFF0000"/>
        <rFont val="Calibri"/>
        <family val="2"/>
        <scheme val="minor"/>
      </rPr>
      <t>)</t>
    </r>
  </si>
  <si>
    <r>
      <t>Logslope</t>
    </r>
    <r>
      <rPr>
        <vertAlign val="subscript"/>
        <sz val="11"/>
        <color rgb="FFFF0000"/>
        <rFont val="Calibri"/>
        <family val="2"/>
        <scheme val="minor"/>
      </rPr>
      <t>KMEOL,SNO2</t>
    </r>
  </si>
  <si>
    <t>Effective range of logistic switch for MEOL saturation on nitrite reduction</t>
  </si>
  <si>
    <t>Logistic slope of MEOL saturation on nitrite reduction</t>
  </si>
  <si>
    <r>
      <t>Inhibition term for NO</t>
    </r>
    <r>
      <rPr>
        <vertAlign val="subscript"/>
        <sz val="11"/>
        <color rgb="FFFF0000"/>
        <rFont val="Calibri"/>
        <family val="2"/>
        <scheme val="minor"/>
      </rPr>
      <t>3</t>
    </r>
    <r>
      <rPr>
        <sz val="11"/>
        <color rgb="FFFF0000"/>
        <rFont val="Calibri"/>
        <family val="2"/>
        <scheme val="minor"/>
      </rPr>
      <t xml:space="preserve"> (OHO)</t>
    </r>
  </si>
  <si>
    <r>
      <t>Logisticslope(K</t>
    </r>
    <r>
      <rPr>
        <vertAlign val="subscript"/>
        <sz val="11"/>
        <color rgb="FFFF0000"/>
        <rFont val="Calibri"/>
        <family val="2"/>
        <scheme val="minor"/>
      </rPr>
      <t>NO3,OHO</t>
    </r>
    <r>
      <rPr>
        <sz val="11"/>
        <color rgb="FFFF0000"/>
        <rFont val="Calibri"/>
        <family val="2"/>
        <scheme val="minor"/>
      </rPr>
      <t>; Logrange</t>
    </r>
    <r>
      <rPr>
        <vertAlign val="subscript"/>
        <sz val="11"/>
        <color rgb="FFFF0000"/>
        <rFont val="Calibri"/>
        <family val="2"/>
        <scheme val="minor"/>
      </rPr>
      <t>KSNO3</t>
    </r>
    <r>
      <rPr>
        <sz val="11"/>
        <color rgb="FFFF0000"/>
        <rFont val="Calibri"/>
        <family val="2"/>
        <scheme val="minor"/>
      </rPr>
      <t>)</t>
    </r>
  </si>
  <si>
    <r>
      <t>Logisticslope(K</t>
    </r>
    <r>
      <rPr>
        <vertAlign val="subscript"/>
        <sz val="11"/>
        <color rgb="FFFF0000"/>
        <rFont val="Calibri"/>
        <family val="2"/>
        <scheme val="minor"/>
      </rPr>
      <t>VFA,OHO,SNO2</t>
    </r>
    <r>
      <rPr>
        <sz val="11"/>
        <color rgb="FFFF0000"/>
        <rFont val="Calibri"/>
        <family val="2"/>
        <scheme val="minor"/>
      </rPr>
      <t>; Logrange</t>
    </r>
    <r>
      <rPr>
        <vertAlign val="subscript"/>
        <sz val="11"/>
        <color rgb="FFFF0000"/>
        <rFont val="Calibri"/>
        <family val="2"/>
        <scheme val="minor"/>
      </rPr>
      <t>KVFA,SNO2</t>
    </r>
    <r>
      <rPr>
        <sz val="11"/>
        <color rgb="FFFF0000"/>
        <rFont val="Calibri"/>
        <family val="2"/>
        <scheme val="minor"/>
      </rPr>
      <t>)</t>
    </r>
  </si>
  <si>
    <r>
      <t>Logisticslope(K</t>
    </r>
    <r>
      <rPr>
        <vertAlign val="subscript"/>
        <sz val="11"/>
        <color rgb="FFFF0000"/>
        <rFont val="Calibri"/>
        <family val="2"/>
        <scheme val="minor"/>
      </rPr>
      <t>MEOL,SNO2</t>
    </r>
    <r>
      <rPr>
        <sz val="11"/>
        <color rgb="FFFF0000"/>
        <rFont val="Calibri"/>
        <family val="2"/>
        <scheme val="minor"/>
      </rPr>
      <t>; Logrange</t>
    </r>
    <r>
      <rPr>
        <vertAlign val="subscript"/>
        <sz val="11"/>
        <color rgb="FFFF0000"/>
        <rFont val="Calibri"/>
        <family val="2"/>
        <scheme val="minor"/>
      </rPr>
      <t>KMEOL,SNO2</t>
    </r>
    <r>
      <rPr>
        <sz val="11"/>
        <color rgb="FFFF0000"/>
        <rFont val="Calibri"/>
        <family val="2"/>
        <scheme val="minor"/>
      </rPr>
      <t>)</t>
    </r>
  </si>
  <si>
    <r>
      <t>Logrange</t>
    </r>
    <r>
      <rPr>
        <vertAlign val="subscript"/>
        <sz val="11"/>
        <color rgb="FFFF0000"/>
        <rFont val="Calibri"/>
        <family val="2"/>
        <scheme val="minor"/>
      </rPr>
      <t>SNO3</t>
    </r>
  </si>
  <si>
    <t>Effective range of logistic switch for nitrate inhibition on nitrite reduction</t>
  </si>
  <si>
    <r>
      <t>Logsat(S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NO3,MEOLO</t>
    </r>
    <r>
      <rPr>
        <sz val="11"/>
        <color rgb="FFFF0000"/>
        <rFont val="Calibri"/>
        <family val="2"/>
        <scheme val="minor"/>
      </rPr>
      <t>;Logslope</t>
    </r>
    <r>
      <rPr>
        <vertAlign val="subscript"/>
        <sz val="11"/>
        <color rgb="FFFF0000"/>
        <rFont val="Calibri"/>
        <family val="2"/>
        <scheme val="minor"/>
      </rPr>
      <t>KSNO3,MEOLO</t>
    </r>
    <r>
      <rPr>
        <sz val="11"/>
        <color rgb="FFFF0000"/>
        <rFont val="Calibri"/>
        <family val="2"/>
        <scheme val="minor"/>
      </rPr>
      <t>)</t>
    </r>
  </si>
  <si>
    <r>
      <t>Loginh(S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NO3,MEOLO</t>
    </r>
    <r>
      <rPr>
        <sz val="11"/>
        <color rgb="FFFF0000"/>
        <rFont val="Calibri"/>
        <family val="2"/>
        <scheme val="minor"/>
      </rPr>
      <t>;Logslope</t>
    </r>
    <r>
      <rPr>
        <vertAlign val="subscript"/>
        <sz val="11"/>
        <color rgb="FFFF0000"/>
        <rFont val="Calibri"/>
        <family val="2"/>
        <scheme val="minor"/>
      </rPr>
      <t>KSNO3,MEOLO</t>
    </r>
    <r>
      <rPr>
        <sz val="11"/>
        <color rgb="FFFF0000"/>
        <rFont val="Calibri"/>
        <family val="2"/>
        <scheme val="minor"/>
      </rPr>
      <t>)</t>
    </r>
  </si>
  <si>
    <r>
      <t>Logslope</t>
    </r>
    <r>
      <rPr>
        <vertAlign val="subscript"/>
        <sz val="11"/>
        <color rgb="FFFF0000"/>
        <rFont val="Calibri"/>
        <family val="2"/>
        <scheme val="minor"/>
      </rPr>
      <t>KSNO3,MEOLO</t>
    </r>
  </si>
  <si>
    <r>
      <t>Logisticslope(K</t>
    </r>
    <r>
      <rPr>
        <vertAlign val="subscript"/>
        <sz val="11"/>
        <color rgb="FFFF0000"/>
        <rFont val="Calibri"/>
        <family val="2"/>
        <scheme val="minor"/>
      </rPr>
      <t>NO3,MEOLO</t>
    </r>
    <r>
      <rPr>
        <sz val="11"/>
        <color rgb="FFFF0000"/>
        <rFont val="Calibri"/>
        <family val="2"/>
        <scheme val="minor"/>
      </rPr>
      <t>; Logrange</t>
    </r>
    <r>
      <rPr>
        <vertAlign val="subscript"/>
        <sz val="11"/>
        <color rgb="FFFF0000"/>
        <rFont val="Calibri"/>
        <family val="2"/>
        <scheme val="minor"/>
      </rPr>
      <t>SNO3</t>
    </r>
    <r>
      <rPr>
        <sz val="11"/>
        <color rgb="FFFF0000"/>
        <rFont val="Calibri"/>
        <family val="2"/>
        <scheme val="minor"/>
      </rPr>
      <t>)</t>
    </r>
  </si>
  <si>
    <t>Logistic slope of nitrate switch on nitrite reduction for MEOLOs</t>
  </si>
  <si>
    <t>Saturation term for nitrate inhibition on nitrite reduction (MEOLO)</t>
  </si>
  <si>
    <t>Inhibition term for nitrate inhibition on nitrite reduction (MEOLO)</t>
  </si>
  <si>
    <r>
      <t>Logslope</t>
    </r>
    <r>
      <rPr>
        <vertAlign val="subscript"/>
        <sz val="11"/>
        <color rgb="FFFF0000"/>
        <rFont val="Calibri"/>
        <family val="2"/>
        <scheme val="minor"/>
      </rPr>
      <t>SNO3</t>
    </r>
  </si>
  <si>
    <r>
      <t>Logisticslope(K</t>
    </r>
    <r>
      <rPr>
        <vertAlign val="subscript"/>
        <sz val="11"/>
        <color rgb="FFFF0000"/>
        <rFont val="Calibri"/>
        <family val="2"/>
        <scheme val="minor"/>
      </rPr>
      <t>NO3,OHO</t>
    </r>
    <r>
      <rPr>
        <sz val="11"/>
        <color rgb="FFFF0000"/>
        <rFont val="Calibri"/>
        <family val="2"/>
        <scheme val="minor"/>
      </rPr>
      <t>; Logrange</t>
    </r>
    <r>
      <rPr>
        <vertAlign val="subscript"/>
        <sz val="11"/>
        <color rgb="FFFF0000"/>
        <rFont val="Calibri"/>
        <family val="2"/>
        <scheme val="minor"/>
      </rPr>
      <t>SNO3</t>
    </r>
    <r>
      <rPr>
        <sz val="11"/>
        <color rgb="FFFF0000"/>
        <rFont val="Calibri"/>
        <family val="2"/>
        <scheme val="minor"/>
      </rPr>
      <t>)</t>
    </r>
  </si>
  <si>
    <r>
      <t>Loginh(S</t>
    </r>
    <r>
      <rPr>
        <vertAlign val="subscript"/>
        <sz val="11"/>
        <color rgb="FFFF0000"/>
        <rFont val="Calibri"/>
        <family val="2"/>
        <scheme val="minor"/>
      </rPr>
      <t>NO3</t>
    </r>
    <r>
      <rPr>
        <sz val="11"/>
        <color rgb="FFFF0000"/>
        <rFont val="Calibri"/>
        <family val="2"/>
        <scheme val="minor"/>
      </rPr>
      <t>;K</t>
    </r>
    <r>
      <rPr>
        <vertAlign val="subscript"/>
        <sz val="11"/>
        <color rgb="FFFF0000"/>
        <rFont val="Calibri"/>
        <family val="2"/>
        <scheme val="minor"/>
      </rPr>
      <t>NO3,OHO</t>
    </r>
    <r>
      <rPr>
        <sz val="11"/>
        <color rgb="FFFF0000"/>
        <rFont val="Calibri"/>
        <family val="2"/>
        <scheme val="minor"/>
      </rPr>
      <t>;Logslope</t>
    </r>
    <r>
      <rPr>
        <vertAlign val="subscript"/>
        <sz val="11"/>
        <color rgb="FFFF0000"/>
        <rFont val="Calibri"/>
        <family val="2"/>
        <scheme val="minor"/>
      </rPr>
      <t>SNO3</t>
    </r>
    <r>
      <rPr>
        <sz val="11"/>
        <color rgb="FFFF0000"/>
        <rFont val="Calibri"/>
        <family val="2"/>
        <scheme val="minor"/>
      </rPr>
      <t>)</t>
    </r>
  </si>
  <si>
    <t>Logistic slope of nitrate inhibition on nitrite reduction</t>
  </si>
  <si>
    <t>SOTRaerator</t>
  </si>
  <si>
    <t>SOTRsur</t>
  </si>
  <si>
    <t>SOTRsur,min</t>
  </si>
  <si>
    <r>
      <t>µ</t>
    </r>
    <r>
      <rPr>
        <vertAlign val="subscript"/>
        <sz val="11"/>
        <rFont val="Calibri"/>
        <family val="2"/>
        <charset val="238"/>
        <scheme val="minor"/>
      </rPr>
      <t>AOB,T</t>
    </r>
  </si>
  <si>
    <r>
      <t>X</t>
    </r>
    <r>
      <rPr>
        <vertAlign val="subscript"/>
        <sz val="11"/>
        <rFont val="Calibri"/>
        <family val="2"/>
        <charset val="238"/>
        <scheme val="minor"/>
      </rPr>
      <t>AOB</t>
    </r>
  </si>
  <si>
    <r>
      <t>Msat</t>
    </r>
    <r>
      <rPr>
        <vertAlign val="subscript"/>
        <sz val="11"/>
        <rFont val="Calibri"/>
        <family val="2"/>
        <charset val="238"/>
        <scheme val="minor"/>
      </rPr>
      <t>SNHx,KNHx,AOB</t>
    </r>
  </si>
  <si>
    <r>
      <t>Msat</t>
    </r>
    <r>
      <rPr>
        <vertAlign val="subscript"/>
        <sz val="11"/>
        <rFont val="Calibri"/>
        <family val="2"/>
        <charset val="238"/>
        <scheme val="minor"/>
      </rPr>
      <t>SO2,KO2,AOB</t>
    </r>
  </si>
  <si>
    <r>
      <t>Msat</t>
    </r>
    <r>
      <rPr>
        <vertAlign val="subscript"/>
        <sz val="11"/>
        <rFont val="Calibri"/>
        <family val="2"/>
        <charset val="238"/>
        <scheme val="minor"/>
      </rPr>
      <t>SPO4,KPO4,BIO</t>
    </r>
  </si>
  <si>
    <r>
      <t>Msat</t>
    </r>
    <r>
      <rPr>
        <vertAlign val="subscript"/>
        <sz val="11"/>
        <rFont val="Calibri"/>
        <family val="2"/>
        <charset val="238"/>
        <scheme val="minor"/>
      </rPr>
      <t>SCAT,KCAT</t>
    </r>
  </si>
  <si>
    <r>
      <t>Msat</t>
    </r>
    <r>
      <rPr>
        <vertAlign val="subscript"/>
        <sz val="11"/>
        <rFont val="Calibri"/>
        <family val="2"/>
        <charset val="238"/>
        <scheme val="minor"/>
      </rPr>
      <t>SAN,KAN</t>
    </r>
  </si>
  <si>
    <r>
      <t>Msat</t>
    </r>
    <r>
      <rPr>
        <vertAlign val="subscript"/>
        <sz val="11"/>
        <rFont val="Calibri"/>
        <family val="2"/>
        <charset val="238"/>
        <scheme val="minor"/>
      </rPr>
      <t>SCa,KCa</t>
    </r>
  </si>
  <si>
    <r>
      <t>Msat</t>
    </r>
    <r>
      <rPr>
        <vertAlign val="subscript"/>
        <sz val="11"/>
        <rFont val="Calibri"/>
        <family val="2"/>
        <charset val="238"/>
        <scheme val="minor"/>
      </rPr>
      <t>SMg,KMg</t>
    </r>
  </si>
  <si>
    <r>
      <t>Minh</t>
    </r>
    <r>
      <rPr>
        <sz val="11"/>
        <rFont val="Calibri"/>
        <family val="2"/>
        <charset val="238"/>
        <scheme val="minor"/>
      </rPr>
      <t>pH</t>
    </r>
    <r>
      <rPr>
        <vertAlign val="subscript"/>
        <sz val="11"/>
        <rFont val="Calibri"/>
        <family val="2"/>
        <charset val="238"/>
        <scheme val="minor"/>
      </rPr>
      <t>HNO2,AOB</t>
    </r>
  </si>
  <si>
    <r>
      <t>Logsat</t>
    </r>
    <r>
      <rPr>
        <sz val="11"/>
        <rFont val="Calibri"/>
        <family val="2"/>
        <charset val="238"/>
        <scheme val="minor"/>
      </rPr>
      <t>pH</t>
    </r>
    <r>
      <rPr>
        <vertAlign val="subscript"/>
        <sz val="11"/>
        <rFont val="Calibri"/>
        <family val="2"/>
        <charset val="238"/>
        <scheme val="minor"/>
      </rPr>
      <t>CO2,AOB</t>
    </r>
  </si>
  <si>
    <r>
      <t>Bellinh</t>
    </r>
    <r>
      <rPr>
        <vertAlign val="subscript"/>
        <sz val="11"/>
        <rFont val="Calibri"/>
        <family val="2"/>
        <charset val="238"/>
        <scheme val="minor"/>
      </rPr>
      <t>pH,AOB</t>
    </r>
  </si>
  <si>
    <r>
      <t>µ</t>
    </r>
    <r>
      <rPr>
        <vertAlign val="subscript"/>
        <sz val="11"/>
        <rFont val="Calibri"/>
        <family val="2"/>
        <charset val="238"/>
        <scheme val="minor"/>
      </rPr>
      <t>ALGAE,T</t>
    </r>
  </si>
  <si>
    <r>
      <t>X</t>
    </r>
    <r>
      <rPr>
        <vertAlign val="subscript"/>
        <sz val="11"/>
        <rFont val="Calibri"/>
        <family val="2"/>
        <charset val="238"/>
        <scheme val="minor"/>
      </rPr>
      <t>ALGAE</t>
    </r>
  </si>
  <si>
    <r>
      <t>Msat</t>
    </r>
    <r>
      <rPr>
        <vertAlign val="subscript"/>
        <sz val="11"/>
        <rFont val="Calibri"/>
        <family val="2"/>
        <charset val="238"/>
        <scheme val="minor"/>
      </rPr>
      <t>SCO2,KCO2,ALGAE</t>
    </r>
  </si>
  <si>
    <r>
      <t>Msat</t>
    </r>
    <r>
      <rPr>
        <vertAlign val="subscript"/>
        <sz val="11"/>
        <rFont val="Calibri"/>
        <family val="2"/>
        <charset val="238"/>
        <scheme val="minor"/>
      </rPr>
      <t>SNOx,KNOx,ALGAE</t>
    </r>
  </si>
  <si>
    <r>
      <t>Minh</t>
    </r>
    <r>
      <rPr>
        <vertAlign val="subscript"/>
        <sz val="11"/>
        <rFont val="Calibri"/>
        <family val="2"/>
        <charset val="238"/>
        <scheme val="minor"/>
      </rPr>
      <t>SNHx,KiNHx,ALGAE</t>
    </r>
  </si>
  <si>
    <r>
      <t>Msat</t>
    </r>
    <r>
      <rPr>
        <vertAlign val="subscript"/>
        <sz val="11"/>
        <rFont val="Calibri"/>
        <family val="2"/>
        <charset val="238"/>
        <scheme val="minor"/>
      </rPr>
      <t>SNHx,KNHx,ALGAE</t>
    </r>
  </si>
  <si>
    <r>
      <t>g.d</t>
    </r>
    <r>
      <rPr>
        <vertAlign val="superscript"/>
        <sz val="11"/>
        <rFont val="Calibri"/>
        <family val="2"/>
      </rPr>
      <t>-1</t>
    </r>
  </si>
  <si>
    <t>Minimum standard oxygen transfer rate via water surface (if non-aerated)</t>
  </si>
  <si>
    <t>Standard oxygen transfer rate by aerator</t>
  </si>
  <si>
    <t>Standard oxygen transfer rate via water surface</t>
  </si>
  <si>
    <r>
      <t>X</t>
    </r>
    <r>
      <rPr>
        <b/>
        <vertAlign val="subscript"/>
        <sz val="11"/>
        <rFont val="Calibri"/>
        <family val="2"/>
        <charset val="238"/>
        <scheme val="minor"/>
      </rPr>
      <t>PHA,PAO</t>
    </r>
  </si>
  <si>
    <t>Polyhydroxyalkanoates (PHA) stored by PAOs</t>
  </si>
  <si>
    <r>
      <t>X</t>
    </r>
    <r>
      <rPr>
        <b/>
        <vertAlign val="subscript"/>
        <sz val="11"/>
        <rFont val="Calibri"/>
        <family val="2"/>
        <charset val="238"/>
        <scheme val="minor"/>
      </rPr>
      <t>PHA,GAO</t>
    </r>
  </si>
  <si>
    <t>Polyhydroxyalkanoates (PHA) stored by GAOs</t>
  </si>
  <si>
    <r>
      <t>X</t>
    </r>
    <r>
      <rPr>
        <b/>
        <vertAlign val="subscript"/>
        <sz val="11"/>
        <rFont val="Calibri"/>
        <family val="2"/>
        <scheme val="minor"/>
      </rPr>
      <t>PHA</t>
    </r>
    <r>
      <rPr>
        <b/>
        <vertAlign val="subscript"/>
        <sz val="11"/>
        <rFont val="Calibri"/>
        <family val="2"/>
        <charset val="238"/>
        <scheme val="minor"/>
      </rPr>
      <t>,PAO</t>
    </r>
  </si>
  <si>
    <r>
      <t>X</t>
    </r>
    <r>
      <rPr>
        <b/>
        <vertAlign val="subscript"/>
        <sz val="11"/>
        <rFont val="Calibri"/>
        <family val="2"/>
        <scheme val="minor"/>
      </rPr>
      <t>PHA,GAO</t>
    </r>
  </si>
  <si>
    <r>
      <t>q</t>
    </r>
    <r>
      <rPr>
        <vertAlign val="subscript"/>
        <sz val="11"/>
        <rFont val="Calibri"/>
        <family val="2"/>
        <charset val="238"/>
        <scheme val="minor"/>
      </rPr>
      <t>GAO,PHA</t>
    </r>
  </si>
  <si>
    <t>Rate of VFA storage into PHA for GAOs</t>
  </si>
  <si>
    <t>Reduction factor for anoxic maintenance of CASTOs on stored carbon</t>
  </si>
  <si>
    <t>Half-saturation of stored carbon for PAOs</t>
  </si>
  <si>
    <t>Reduction factor for anaerobic maintenance of GAOs on PHA</t>
  </si>
  <si>
    <t>Half-saturation of PHA for GAOs (AS)</t>
  </si>
  <si>
    <r>
      <t>η</t>
    </r>
    <r>
      <rPr>
        <vertAlign val="subscript"/>
        <sz val="11"/>
        <rFont val="Calibri"/>
        <family val="2"/>
        <scheme val="minor"/>
      </rPr>
      <t>bPHA,ana</t>
    </r>
  </si>
  <si>
    <r>
      <t>K</t>
    </r>
    <r>
      <rPr>
        <vertAlign val="subscript"/>
        <sz val="11"/>
        <rFont val="Calibri"/>
        <family val="2"/>
        <scheme val="minor"/>
      </rPr>
      <t>PHA</t>
    </r>
    <r>
      <rPr>
        <vertAlign val="subscript"/>
        <sz val="11"/>
        <rFont val="Calibri"/>
        <family val="2"/>
        <charset val="238"/>
        <scheme val="minor"/>
      </rPr>
      <t>,GAO</t>
    </r>
  </si>
  <si>
    <t>Half-inhibition of maximum PHA content of GAOs (AS)</t>
  </si>
  <si>
    <t>Effective range of logistic switch for PHA/GAO inhibition term</t>
  </si>
  <si>
    <r>
      <t>Ki</t>
    </r>
    <r>
      <rPr>
        <vertAlign val="subscript"/>
        <sz val="11"/>
        <rFont val="Calibri"/>
        <family val="2"/>
        <scheme val="minor"/>
      </rPr>
      <t>PHA,GAO,max</t>
    </r>
  </si>
  <si>
    <r>
      <t>Logrange</t>
    </r>
    <r>
      <rPr>
        <vertAlign val="subscript"/>
        <sz val="11"/>
        <rFont val="Calibri"/>
        <family val="2"/>
        <charset val="238"/>
        <scheme val="minor"/>
      </rPr>
      <t>PHA,GAO,inh</t>
    </r>
  </si>
  <si>
    <t>Rate of CASTOs maintenance on stored carbon</t>
  </si>
  <si>
    <t>Half-value of ORP switch of PHA storage by GAO at 15°C / 59°F</t>
  </si>
  <si>
    <t>Half-value of ORP switch of PHA storage by GAO at 25°C / 77°F</t>
  </si>
  <si>
    <t>Arrhenius coefficient for carbon storage use for maintenance</t>
  </si>
  <si>
    <r>
      <t>θ</t>
    </r>
    <r>
      <rPr>
        <vertAlign val="subscript"/>
        <sz val="11"/>
        <color indexed="8"/>
        <rFont val="Calibri"/>
        <family val="2"/>
        <scheme val="minor"/>
      </rPr>
      <t>q,GAO,PHA</t>
    </r>
  </si>
  <si>
    <t>Yield of GAOs on PHA under aerobic conditions</t>
  </si>
  <si>
    <t>Yield of GAOs on PHA under anoxic conditions</t>
  </si>
  <si>
    <r>
      <t>Y</t>
    </r>
    <r>
      <rPr>
        <vertAlign val="subscript"/>
        <sz val="11"/>
        <rFont val="Calibri"/>
        <family val="2"/>
        <scheme val="minor"/>
      </rPr>
      <t>GAO,PHA,ox</t>
    </r>
  </si>
  <si>
    <r>
      <t>Y</t>
    </r>
    <r>
      <rPr>
        <vertAlign val="subscript"/>
        <sz val="11"/>
        <rFont val="Calibri"/>
        <family val="2"/>
        <scheme val="minor"/>
      </rPr>
      <t>GAO,PHA,anox</t>
    </r>
  </si>
  <si>
    <t>Yield of PAOs on PHA under anoxic conditions</t>
  </si>
  <si>
    <t>Yield of PAOs on PHA under aerobic conditions</t>
  </si>
  <si>
    <r>
      <t>Y</t>
    </r>
    <r>
      <rPr>
        <vertAlign val="subscript"/>
        <sz val="11"/>
        <rFont val="Calibri"/>
        <family val="2"/>
        <scheme val="minor"/>
      </rPr>
      <t>PAO,PHA,ox</t>
    </r>
  </si>
  <si>
    <r>
      <t>Y</t>
    </r>
    <r>
      <rPr>
        <vertAlign val="subscript"/>
        <sz val="11"/>
        <rFont val="Calibri"/>
        <family val="2"/>
        <scheme val="minor"/>
      </rPr>
      <t>PAO,PHA,anox</t>
    </r>
  </si>
  <si>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MEOLO</t>
    </r>
    <r>
      <rPr>
        <sz val="11"/>
        <rFont val="Calibri"/>
        <family val="2"/>
        <scheme val="minor"/>
      </rPr>
      <t xml:space="preserve"> + X</t>
    </r>
    <r>
      <rPr>
        <vertAlign val="subscript"/>
        <sz val="11"/>
        <rFont val="Calibri"/>
        <family val="2"/>
        <scheme val="minor"/>
      </rPr>
      <t>AOB</t>
    </r>
    <r>
      <rPr>
        <sz val="11"/>
        <rFont val="Calibri"/>
        <family val="2"/>
        <scheme val="minor"/>
      </rPr>
      <t xml:space="preserve"> + X</t>
    </r>
    <r>
      <rPr>
        <vertAlign val="subscript"/>
        <sz val="11"/>
        <rFont val="Calibri"/>
        <family val="2"/>
        <scheme val="minor"/>
      </rPr>
      <t>NOB</t>
    </r>
    <r>
      <rPr>
        <sz val="11"/>
        <rFont val="Calibri"/>
        <family val="2"/>
        <scheme val="minor"/>
      </rPr>
      <t xml:space="preserve"> + X</t>
    </r>
    <r>
      <rPr>
        <vertAlign val="subscript"/>
        <sz val="11"/>
        <rFont val="Calibri"/>
        <family val="2"/>
        <scheme val="minor"/>
      </rPr>
      <t>AMX</t>
    </r>
    <r>
      <rPr>
        <sz val="11"/>
        <rFont val="Calibri"/>
        <family val="2"/>
        <scheme val="minor"/>
      </rPr>
      <t xml:space="preserve"> + X</t>
    </r>
    <r>
      <rPr>
        <vertAlign val="subscript"/>
        <sz val="11"/>
        <rFont val="Calibri"/>
        <family val="2"/>
        <scheme val="minor"/>
      </rPr>
      <t>AMETO</t>
    </r>
    <r>
      <rPr>
        <sz val="11"/>
        <rFont val="Calibri"/>
        <family val="2"/>
        <scheme val="minor"/>
      </rPr>
      <t xml:space="preserve"> + X</t>
    </r>
    <r>
      <rPr>
        <vertAlign val="subscript"/>
        <sz val="11"/>
        <rFont val="Calibri"/>
        <family val="2"/>
        <scheme val="minor"/>
      </rPr>
      <t>HMETO</t>
    </r>
    <r>
      <rPr>
        <sz val="11"/>
        <rFont val="Calibri"/>
        <family val="2"/>
        <scheme val="minor"/>
      </rPr>
      <t xml:space="preserve"> + X</t>
    </r>
    <r>
      <rPr>
        <vertAlign val="subscript"/>
        <sz val="11"/>
        <rFont val="Calibri"/>
        <family val="2"/>
        <scheme val="minor"/>
      </rPr>
      <t>ALGAE</t>
    </r>
  </si>
  <si>
    <r>
      <t>X</t>
    </r>
    <r>
      <rPr>
        <vertAlign val="subscript"/>
        <sz val="11"/>
        <rFont val="Calibri"/>
        <family val="2"/>
        <scheme val="minor"/>
      </rPr>
      <t>BIO,AS</t>
    </r>
  </si>
  <si>
    <t>COD of all biomasses in activated sludge</t>
  </si>
  <si>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MEOLO</t>
    </r>
    <r>
      <rPr>
        <sz val="11"/>
        <rFont val="Calibri"/>
        <family val="2"/>
        <scheme val="minor"/>
      </rPr>
      <t xml:space="preserve"> + X</t>
    </r>
    <r>
      <rPr>
        <vertAlign val="subscript"/>
        <sz val="11"/>
        <rFont val="Calibri"/>
        <family val="2"/>
        <scheme val="minor"/>
      </rPr>
      <t>AOB</t>
    </r>
    <r>
      <rPr>
        <sz val="11"/>
        <rFont val="Calibri"/>
        <family val="2"/>
        <scheme val="minor"/>
      </rPr>
      <t xml:space="preserve"> + X</t>
    </r>
    <r>
      <rPr>
        <vertAlign val="subscript"/>
        <sz val="11"/>
        <rFont val="Calibri"/>
        <family val="2"/>
        <scheme val="minor"/>
      </rPr>
      <t>NOB</t>
    </r>
    <r>
      <rPr>
        <sz val="11"/>
        <rFont val="Calibri"/>
        <family val="2"/>
        <scheme val="minor"/>
      </rPr>
      <t xml:space="preserve"> + X</t>
    </r>
    <r>
      <rPr>
        <vertAlign val="subscript"/>
        <sz val="11"/>
        <rFont val="Calibri"/>
        <family val="2"/>
        <scheme val="minor"/>
      </rPr>
      <t>AMX</t>
    </r>
    <r>
      <rPr>
        <sz val="11"/>
        <rFont val="Calibri"/>
        <family val="2"/>
        <scheme val="minor"/>
      </rPr>
      <t xml:space="preserve"> + X</t>
    </r>
    <r>
      <rPr>
        <vertAlign val="subscript"/>
        <sz val="11"/>
        <rFont val="Calibri"/>
        <family val="2"/>
        <scheme val="minor"/>
      </rPr>
      <t>AMETO</t>
    </r>
    <r>
      <rPr>
        <sz val="11"/>
        <rFont val="Calibri"/>
        <family val="2"/>
        <scheme val="minor"/>
      </rPr>
      <t xml:space="preserve"> + X</t>
    </r>
    <r>
      <rPr>
        <vertAlign val="subscript"/>
        <sz val="11"/>
        <rFont val="Calibri"/>
        <family val="2"/>
        <scheme val="minor"/>
      </rPr>
      <t>HMETO</t>
    </r>
  </si>
  <si>
    <r>
      <t>S</t>
    </r>
    <r>
      <rPr>
        <vertAlign val="subscript"/>
        <sz val="11"/>
        <rFont val="Calibri"/>
        <family val="2"/>
        <scheme val="minor"/>
      </rPr>
      <t>BOD,ult</t>
    </r>
    <r>
      <rPr>
        <sz val="11"/>
        <rFont val="Calibri"/>
        <family val="2"/>
        <scheme val="minor"/>
      </rPr>
      <t xml:space="preserve"> + X</t>
    </r>
    <r>
      <rPr>
        <vertAlign val="subscript"/>
        <sz val="11"/>
        <rFont val="Calibri"/>
        <family val="2"/>
        <scheme val="minor"/>
      </rPr>
      <t>BOD,ult</t>
    </r>
  </si>
  <si>
    <r>
      <t>X</t>
    </r>
    <r>
      <rPr>
        <vertAlign val="subscript"/>
        <sz val="11"/>
        <rFont val="Calibri"/>
        <family val="2"/>
        <scheme val="minor"/>
      </rPr>
      <t>BOD,ult</t>
    </r>
    <r>
      <rPr>
        <sz val="11"/>
        <rFont val="Calibri"/>
        <family val="2"/>
        <scheme val="minor"/>
      </rPr>
      <t xml:space="preserve"> * f</t>
    </r>
    <r>
      <rPr>
        <vertAlign val="subscript"/>
        <sz val="11"/>
        <rFont val="Calibri"/>
        <family val="2"/>
        <scheme val="minor"/>
      </rPr>
      <t>X,BOD5,BODult</t>
    </r>
  </si>
  <si>
    <r>
      <t>S</t>
    </r>
    <r>
      <rPr>
        <vertAlign val="subscript"/>
        <sz val="11"/>
        <rFont val="Calibri"/>
        <family val="2"/>
        <scheme val="minor"/>
      </rPr>
      <t>BOD,5</t>
    </r>
    <r>
      <rPr>
        <sz val="11"/>
        <rFont val="Calibri"/>
        <family val="2"/>
        <scheme val="minor"/>
      </rPr>
      <t xml:space="preserve"> + X</t>
    </r>
    <r>
      <rPr>
        <vertAlign val="subscript"/>
        <sz val="11"/>
        <rFont val="Calibri"/>
        <family val="2"/>
        <scheme val="minor"/>
      </rPr>
      <t>BOD,5</t>
    </r>
  </si>
  <si>
    <r>
      <t>S</t>
    </r>
    <r>
      <rPr>
        <vertAlign val="subscript"/>
        <sz val="11"/>
        <rFont val="Calibri"/>
        <family val="2"/>
        <scheme val="minor"/>
      </rPr>
      <t>U</t>
    </r>
    <r>
      <rPr>
        <sz val="11"/>
        <rFont val="Calibri"/>
        <family val="2"/>
        <scheme val="minor"/>
      </rPr>
      <t xml:space="preserve"> + S</t>
    </r>
    <r>
      <rPr>
        <vertAlign val="subscript"/>
        <sz val="11"/>
        <rFont val="Calibri"/>
        <family val="2"/>
        <scheme val="minor"/>
      </rPr>
      <t xml:space="preserve">B </t>
    </r>
    <r>
      <rPr>
        <sz val="11"/>
        <rFont val="Calibri"/>
        <family val="2"/>
        <scheme val="minor"/>
      </rPr>
      <t>+ S</t>
    </r>
    <r>
      <rPr>
        <vertAlign val="subscript"/>
        <sz val="11"/>
        <rFont val="Calibri"/>
        <family val="2"/>
        <scheme val="minor"/>
      </rPr>
      <t xml:space="preserve">VFA </t>
    </r>
    <r>
      <rPr>
        <sz val="11"/>
        <rFont val="Calibri"/>
        <family val="2"/>
        <scheme val="minor"/>
      </rPr>
      <t>+S</t>
    </r>
    <r>
      <rPr>
        <vertAlign val="subscript"/>
        <sz val="11"/>
        <rFont val="Calibri"/>
        <family val="2"/>
        <scheme val="minor"/>
      </rPr>
      <t>MEOL</t>
    </r>
  </si>
  <si>
    <r>
      <t>Y</t>
    </r>
    <r>
      <rPr>
        <vertAlign val="subscript"/>
        <sz val="11"/>
        <rFont val="Calibri"/>
        <family val="2"/>
        <scheme val="minor"/>
      </rPr>
      <t>BOD,ult</t>
    </r>
    <r>
      <rPr>
        <sz val="11"/>
        <rFont val="Calibri"/>
        <family val="2"/>
        <scheme val="minor"/>
      </rPr>
      <t xml:space="preserve"> * (S</t>
    </r>
    <r>
      <rPr>
        <vertAlign val="subscript"/>
        <sz val="11"/>
        <rFont val="Calibri"/>
        <family val="2"/>
        <scheme val="minor"/>
      </rPr>
      <t>VFA</t>
    </r>
    <r>
      <rPr>
        <sz val="11"/>
        <rFont val="Calibri"/>
        <family val="2"/>
        <scheme val="minor"/>
      </rPr>
      <t xml:space="preserve"> + S</t>
    </r>
    <r>
      <rPr>
        <vertAlign val="subscript"/>
        <sz val="11"/>
        <rFont val="Calibri"/>
        <family val="2"/>
        <scheme val="minor"/>
      </rPr>
      <t>B</t>
    </r>
    <r>
      <rPr>
        <sz val="11"/>
        <rFont val="Calibri"/>
        <family val="2"/>
        <scheme val="minor"/>
      </rPr>
      <t xml:space="preserve"> + S</t>
    </r>
    <r>
      <rPr>
        <vertAlign val="subscript"/>
        <sz val="11"/>
        <rFont val="Calibri"/>
        <family val="2"/>
        <scheme val="minor"/>
      </rPr>
      <t>MEOL</t>
    </r>
    <r>
      <rPr>
        <sz val="11"/>
        <rFont val="Calibri"/>
        <family val="2"/>
        <scheme val="minor"/>
      </rPr>
      <t>) * f</t>
    </r>
    <r>
      <rPr>
        <vertAlign val="subscript"/>
        <sz val="11"/>
        <rFont val="Calibri"/>
        <family val="2"/>
        <scheme val="minor"/>
      </rPr>
      <t xml:space="preserve">S,BOD5,BODult </t>
    </r>
    <r>
      <rPr>
        <sz val="11"/>
        <rFont val="Calibri"/>
        <family val="2"/>
        <scheme val="minor"/>
      </rPr>
      <t>+ Y</t>
    </r>
    <r>
      <rPr>
        <vertAlign val="subscript"/>
        <sz val="11"/>
        <rFont val="Calibri"/>
        <family val="2"/>
        <scheme val="minor"/>
      </rPr>
      <t>BOD,ult</t>
    </r>
    <r>
      <rPr>
        <sz val="11"/>
        <rFont val="Calibri"/>
        <family val="2"/>
        <scheme val="minor"/>
      </rPr>
      <t xml:space="preserve"> * C</t>
    </r>
    <r>
      <rPr>
        <vertAlign val="subscript"/>
        <sz val="11"/>
        <rFont val="Calibri"/>
        <family val="2"/>
        <scheme val="minor"/>
      </rPr>
      <t>B</t>
    </r>
    <r>
      <rPr>
        <sz val="11"/>
        <rFont val="Calibri"/>
        <family val="2"/>
        <scheme val="minor"/>
      </rPr>
      <t xml:space="preserve"> * f</t>
    </r>
    <r>
      <rPr>
        <vertAlign val="subscript"/>
        <sz val="11"/>
        <rFont val="Calibri"/>
        <family val="2"/>
        <scheme val="minor"/>
      </rPr>
      <t>C,BOD5,BODult</t>
    </r>
  </si>
  <si>
    <r>
      <t>X</t>
    </r>
    <r>
      <rPr>
        <vertAlign val="subscript"/>
        <sz val="11"/>
        <rFont val="Calibri"/>
        <family val="2"/>
        <scheme val="minor"/>
      </rPr>
      <t>HFO,TSS</t>
    </r>
    <r>
      <rPr>
        <sz val="11"/>
        <rFont val="Calibri"/>
        <family val="2"/>
        <scheme val="minor"/>
      </rPr>
      <t xml:space="preserve"> + X</t>
    </r>
    <r>
      <rPr>
        <vertAlign val="subscript"/>
        <sz val="11"/>
        <rFont val="Calibri"/>
        <family val="2"/>
        <scheme val="minor"/>
      </rPr>
      <t>HAO,TSS</t>
    </r>
  </si>
  <si>
    <r>
      <t>X</t>
    </r>
    <r>
      <rPr>
        <vertAlign val="subscript"/>
        <sz val="11"/>
        <rFont val="Calibri"/>
        <family val="2"/>
        <scheme val="minor"/>
      </rPr>
      <t>Me,ISS</t>
    </r>
    <r>
      <rPr>
        <sz val="11"/>
        <rFont val="Calibri"/>
        <family val="2"/>
        <scheme val="minor"/>
      </rPr>
      <t xml:space="preserve"> + X</t>
    </r>
    <r>
      <rPr>
        <vertAlign val="subscript"/>
        <sz val="11"/>
        <rFont val="Calibri"/>
        <family val="2"/>
        <scheme val="minor"/>
      </rPr>
      <t>precip</t>
    </r>
    <r>
      <rPr>
        <sz val="11"/>
        <rFont val="Calibri"/>
        <family val="2"/>
        <scheme val="minor"/>
      </rPr>
      <t xml:space="preserve"> + X</t>
    </r>
    <r>
      <rPr>
        <vertAlign val="subscript"/>
        <sz val="11"/>
        <rFont val="Calibri"/>
        <family val="2"/>
        <scheme val="minor"/>
      </rPr>
      <t>INORG</t>
    </r>
    <r>
      <rPr>
        <sz val="11"/>
        <rFont val="Calibri"/>
        <family val="2"/>
        <scheme val="minor"/>
      </rPr>
      <t xml:space="preserve"> + i</t>
    </r>
    <r>
      <rPr>
        <vertAlign val="subscript"/>
        <sz val="11"/>
        <rFont val="Calibri"/>
        <family val="2"/>
        <scheme val="minor"/>
      </rPr>
      <t>TSS,PP</t>
    </r>
    <r>
      <rPr>
        <sz val="11"/>
        <rFont val="Calibri"/>
        <family val="2"/>
        <scheme val="minor"/>
      </rPr>
      <t xml:space="preserve"> * X</t>
    </r>
    <r>
      <rPr>
        <vertAlign val="subscript"/>
        <sz val="11"/>
        <rFont val="Calibri"/>
        <family val="2"/>
        <scheme val="minor"/>
      </rPr>
      <t>PP</t>
    </r>
  </si>
  <si>
    <r>
      <t>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</si>
  <si>
    <r>
      <t>X</t>
    </r>
    <r>
      <rPr>
        <vertAlign val="subscript"/>
        <sz val="11"/>
        <rFont val="Calibri"/>
        <family val="2"/>
        <scheme val="minor"/>
      </rPr>
      <t>PHA,CASTO</t>
    </r>
  </si>
  <si>
    <t>PHA stored in CASTOs</t>
  </si>
  <si>
    <t>Stored carbon in CASTOs</t>
  </si>
  <si>
    <r>
      <t>X</t>
    </r>
    <r>
      <rPr>
        <vertAlign val="subscript"/>
        <sz val="11"/>
        <color rgb="FF000000"/>
        <rFont val="Calibri"/>
        <family val="2"/>
      </rPr>
      <t>PHA,PAO</t>
    </r>
    <r>
      <rPr>
        <sz val="11"/>
        <color indexed="8"/>
        <rFont val="Calibri"/>
        <family val="2"/>
      </rPr>
      <t xml:space="preserve"> / X</t>
    </r>
    <r>
      <rPr>
        <vertAlign val="subscript"/>
        <sz val="11"/>
        <color rgb="FF000000"/>
        <rFont val="Calibri"/>
        <family val="2"/>
      </rPr>
      <t>STC</t>
    </r>
  </si>
  <si>
    <r>
      <t>X</t>
    </r>
    <r>
      <rPr>
        <vertAlign val="subscript"/>
        <sz val="11"/>
        <color rgb="FF000000"/>
        <rFont val="Calibri"/>
        <family val="2"/>
      </rPr>
      <t>PHA,GAO</t>
    </r>
    <r>
      <rPr>
        <sz val="11"/>
        <color indexed="8"/>
        <rFont val="Calibri"/>
        <family val="2"/>
      </rPr>
      <t xml:space="preserve"> / X</t>
    </r>
    <r>
      <rPr>
        <vertAlign val="subscript"/>
        <sz val="11"/>
        <color rgb="FF000000"/>
        <rFont val="Calibri"/>
        <family val="2"/>
      </rPr>
      <t>STC</t>
    </r>
  </si>
  <si>
    <r>
      <t>(Y</t>
    </r>
    <r>
      <rPr>
        <vertAlign val="subscript"/>
        <sz val="11"/>
        <rFont val="Calibri"/>
        <family val="2"/>
        <scheme val="minor"/>
      </rPr>
      <t>PAO,PHA,ox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GAO,PHA,ox</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</si>
  <si>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(Y</t>
    </r>
    <r>
      <rPr>
        <vertAlign val="subscript"/>
        <sz val="11"/>
        <rFont val="Calibri"/>
        <family val="2"/>
        <scheme val="minor"/>
      </rPr>
      <t>PAO,PHA,anox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GAO,PHA,anox</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</si>
  <si>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t>Observed yield of CASTOs on PHA under aerobic conditions</t>
  </si>
  <si>
    <t>Observed yield of CASTOs on PHA under anoxic conditions</t>
  </si>
  <si>
    <t>Temperature correction of ORP switch of PHA storage by GAO</t>
  </si>
  <si>
    <t>ORP switch of PHA storage by GAO</t>
  </si>
  <si>
    <r>
      <t>Logslope</t>
    </r>
    <r>
      <rPr>
        <vertAlign val="subscript"/>
        <sz val="11"/>
        <rFont val="Calibri"/>
        <family val="2"/>
        <charset val="238"/>
        <scheme val="minor"/>
      </rPr>
      <t>PHA,GAO,inh</t>
    </r>
  </si>
  <si>
    <t>Logistic slope of inhibition term for PHA/GAO</t>
  </si>
  <si>
    <r>
      <t>Logisticslope(Ki</t>
    </r>
    <r>
      <rPr>
        <vertAlign val="subscript"/>
        <sz val="11"/>
        <rFont val="Calibri"/>
        <family val="2"/>
        <charset val="238"/>
        <scheme val="minor"/>
      </rPr>
      <t>PHA,GAO,max</t>
    </r>
    <r>
      <rPr>
        <sz val="11"/>
        <rFont val="Calibri"/>
        <family val="2"/>
        <scheme val="minor"/>
      </rPr>
      <t>; Logrange</t>
    </r>
    <r>
      <rPr>
        <vertAlign val="subscript"/>
        <sz val="11"/>
        <rFont val="Calibri"/>
        <family val="2"/>
        <charset val="238"/>
        <scheme val="minor"/>
      </rPr>
      <t>PHA,GAO,inh</t>
    </r>
    <r>
      <rPr>
        <sz val="11"/>
        <rFont val="Calibri"/>
        <family val="2"/>
        <scheme val="minor"/>
      </rPr>
      <t>)</t>
    </r>
  </si>
  <si>
    <t>Saturation term for carbon storage (CASTO)</t>
  </si>
  <si>
    <t>Inhibition term for carbon storage (CASTO)</t>
  </si>
  <si>
    <r>
      <t>Loginh</t>
    </r>
    <r>
      <rPr>
        <vertAlign val="subscript"/>
        <sz val="11"/>
        <rFont val="Calibri"/>
        <family val="2"/>
        <scheme val="minor"/>
      </rPr>
      <t>XPHA,XGAO,max</t>
    </r>
  </si>
  <si>
    <t>Logistic inhibition term for PHA (GAO)</t>
  </si>
  <si>
    <r>
      <t>Loginh(X</t>
    </r>
    <r>
      <rPr>
        <vertAlign val="subscript"/>
        <sz val="11"/>
        <rFont val="Calibri"/>
        <family val="2"/>
        <charset val="238"/>
        <scheme val="minor"/>
      </rPr>
      <t>PHA,GAO</t>
    </r>
    <r>
      <rPr>
        <sz val="11"/>
        <rFont val="Calibri"/>
        <family val="2"/>
        <scheme val="minor"/>
      </rPr>
      <t>/X</t>
    </r>
    <r>
      <rPr>
        <vertAlign val="subscript"/>
        <sz val="11"/>
        <rFont val="Calibri"/>
        <family val="2"/>
        <charset val="238"/>
        <scheme val="minor"/>
      </rPr>
      <t>GAO</t>
    </r>
    <r>
      <rPr>
        <sz val="11"/>
        <rFont val="Calibri"/>
        <family val="2"/>
        <scheme val="minor"/>
      </rPr>
      <t>; Ki</t>
    </r>
    <r>
      <rPr>
        <vertAlign val="subscript"/>
        <sz val="11"/>
        <rFont val="Calibri"/>
        <family val="2"/>
        <charset val="238"/>
        <scheme val="minor"/>
      </rPr>
      <t>PHA,GAO,max</t>
    </r>
    <r>
      <rPr>
        <sz val="11"/>
        <rFont val="Calibri"/>
        <family val="2"/>
        <scheme val="minor"/>
      </rPr>
      <t>; Logslope</t>
    </r>
    <r>
      <rPr>
        <vertAlign val="subscript"/>
        <sz val="11"/>
        <rFont val="Calibri"/>
        <family val="2"/>
        <charset val="238"/>
        <scheme val="minor"/>
      </rPr>
      <t>PHA,GAO,inh</t>
    </r>
    <r>
      <rPr>
        <sz val="11"/>
        <rFont val="Calibri"/>
        <family val="2"/>
        <scheme val="minor"/>
      </rPr>
      <t>)</t>
    </r>
  </si>
  <si>
    <r>
      <t>MRinh</t>
    </r>
    <r>
      <rPr>
        <vertAlign val="subscript"/>
        <sz val="11"/>
        <rFont val="Calibri"/>
        <family val="2"/>
        <scheme val="minor"/>
      </rPr>
      <t>XPHA,XGAO,</t>
    </r>
    <r>
      <rPr>
        <vertAlign val="subscript"/>
        <sz val="11"/>
        <rFont val="Calibri"/>
        <family val="2"/>
        <charset val="238"/>
        <scheme val="minor"/>
      </rPr>
      <t>KPHA</t>
    </r>
  </si>
  <si>
    <t>Inhibition term for PHA (GAO)</t>
  </si>
  <si>
    <r>
      <t>MRinh(X</t>
    </r>
    <r>
      <rPr>
        <vertAlign val="subscript"/>
        <sz val="11"/>
        <rFont val="Calibri"/>
        <family val="2"/>
        <scheme val="minor"/>
      </rPr>
      <t>PHA,GAO</t>
    </r>
    <r>
      <rPr>
        <sz val="11"/>
        <rFont val="Calibri"/>
        <family val="2"/>
        <charset val="238"/>
        <scheme val="minor"/>
      </rPr>
      <t>;</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charset val="238"/>
        <scheme val="minor"/>
      </rPr>
      <t>)</t>
    </r>
  </si>
  <si>
    <r>
      <t>MRsat</t>
    </r>
    <r>
      <rPr>
        <vertAlign val="subscript"/>
        <sz val="11"/>
        <rFont val="Calibri"/>
        <family val="2"/>
        <scheme val="minor"/>
      </rPr>
      <t>XPHA,XGAO,</t>
    </r>
    <r>
      <rPr>
        <vertAlign val="subscript"/>
        <sz val="11"/>
        <rFont val="Calibri"/>
        <family val="2"/>
        <charset val="238"/>
        <scheme val="minor"/>
      </rPr>
      <t>KPHA</t>
    </r>
  </si>
  <si>
    <t>Saturation term for PHA (GAO)</t>
  </si>
  <si>
    <r>
      <t>MRsat(X</t>
    </r>
    <r>
      <rPr>
        <vertAlign val="subscript"/>
        <sz val="11"/>
        <rFont val="Calibri"/>
        <family val="2"/>
        <scheme val="minor"/>
      </rPr>
      <t>PHA,GAO</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scheme val="minor"/>
      </rPr>
      <t>)</t>
    </r>
  </si>
  <si>
    <t>Observed rate of CASTOs maintenance on stored carbon (temperature corrected)</t>
  </si>
  <si>
    <r>
      <t>q</t>
    </r>
    <r>
      <rPr>
        <vertAlign val="subscript"/>
        <sz val="11"/>
        <color indexed="8"/>
        <rFont val="Calibri"/>
        <family val="2"/>
        <scheme val="minor"/>
      </rPr>
      <t>GAO,PHA,T</t>
    </r>
  </si>
  <si>
    <t>Rate of VFA storage into PHA for GAOs (temperature corrected)</t>
  </si>
  <si>
    <r>
      <t>q</t>
    </r>
    <r>
      <rPr>
        <vertAlign val="subscript"/>
        <sz val="11"/>
        <color indexed="8"/>
        <rFont val="Calibri"/>
        <family val="2"/>
        <scheme val="minor"/>
      </rPr>
      <t>GAO,PHA</t>
    </r>
    <r>
      <rPr>
        <sz val="11"/>
        <color indexed="8"/>
        <rFont val="Calibri"/>
        <family val="2"/>
        <scheme val="minor"/>
      </rPr>
      <t>*Arrh(θ</t>
    </r>
    <r>
      <rPr>
        <vertAlign val="subscript"/>
        <sz val="11"/>
        <color indexed="8"/>
        <rFont val="Calibri"/>
        <family val="2"/>
        <scheme val="minor"/>
      </rPr>
      <t>q,GAO,PHA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</si>
  <si>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MRsat(X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t>
    </r>
    <r>
      <rPr>
        <sz val="11"/>
        <rFont val="Calibri"/>
        <family val="2"/>
        <scheme val="minor"/>
      </rPr>
      <t>)</t>
    </r>
  </si>
  <si>
    <r>
      <t>MRinh(X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PHA,cle</t>
    </r>
    <r>
      <rPr>
        <sz val="11"/>
        <rFont val="Calibri"/>
        <family val="2"/>
        <scheme val="minor"/>
      </rPr>
      <t>)</t>
    </r>
  </si>
  <si>
    <r>
      <t>Loginh(X</t>
    </r>
    <r>
      <rPr>
        <vertAlign val="subscript"/>
        <sz val="11"/>
        <rFont val="Calibri"/>
        <family val="2"/>
        <charset val="238"/>
        <scheme val="minor"/>
      </rPr>
      <t>PHA,PAO</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PHA,PAO,max</t>
    </r>
    <r>
      <rPr>
        <sz val="11"/>
        <rFont val="Calibri"/>
        <family val="2"/>
        <scheme val="minor"/>
      </rPr>
      <t>; Logslope</t>
    </r>
    <r>
      <rPr>
        <vertAlign val="subscript"/>
        <sz val="11"/>
        <rFont val="Calibri"/>
        <family val="2"/>
        <charset val="238"/>
        <scheme val="minor"/>
      </rPr>
      <t>PHA,PAO,inh</t>
    </r>
    <r>
      <rPr>
        <sz val="11"/>
        <rFont val="Calibri"/>
        <family val="2"/>
        <scheme val="minor"/>
      </rPr>
      <t>)</t>
    </r>
  </si>
  <si>
    <r>
      <t>CASTO growth on PHA, O</t>
    </r>
    <r>
      <rPr>
        <vertAlign val="subscript"/>
        <sz val="11"/>
        <color rgb="FF000000"/>
        <rFont val="Calibri"/>
        <family val="2"/>
        <scheme val="minor"/>
      </rPr>
      <t>2</t>
    </r>
  </si>
  <si>
    <r>
      <t>CASTO growth on PHA, NO</t>
    </r>
    <r>
      <rPr>
        <vertAlign val="subscript"/>
        <sz val="11"/>
        <color rgb="FF000000"/>
        <rFont val="Calibri"/>
        <family val="2"/>
        <scheme val="minor"/>
      </rPr>
      <t>2</t>
    </r>
  </si>
  <si>
    <r>
      <t>CASTO growth on PHA, NO</t>
    </r>
    <r>
      <rPr>
        <vertAlign val="subscript"/>
        <sz val="11"/>
        <color rgb="FF000000"/>
        <rFont val="Calibri"/>
        <family val="2"/>
        <scheme val="minor"/>
      </rPr>
      <t>3</t>
    </r>
  </si>
  <si>
    <t>GAO's PHA storage from VFAs</t>
  </si>
  <si>
    <r>
      <t>q</t>
    </r>
    <r>
      <rPr>
        <vertAlign val="subscript"/>
        <sz val="11"/>
        <rFont val="Calibri"/>
        <family val="2"/>
      </rPr>
      <t>GAO,PHA,T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sto,GAO,ORP</t>
    </r>
    <r>
      <rPr>
        <sz val="11"/>
        <rFont val="Calibri"/>
        <family val="2"/>
      </rPr>
      <t xml:space="preserve"> * Msat</t>
    </r>
    <r>
      <rPr>
        <vertAlign val="subscript"/>
        <sz val="11"/>
        <rFont val="Calibri"/>
        <family val="2"/>
      </rPr>
      <t>SVFA,KVFA,CASTO</t>
    </r>
    <r>
      <rPr>
        <sz val="11"/>
        <rFont val="Calibri"/>
        <family val="2"/>
      </rPr>
      <t xml:space="preserve"> * Loginh</t>
    </r>
    <r>
      <rPr>
        <vertAlign val="subscript"/>
        <sz val="11"/>
        <rFont val="Calibri"/>
        <family val="2"/>
      </rPr>
      <t>XPHA,XGAO,max</t>
    </r>
  </si>
  <si>
    <r>
      <t>b</t>
    </r>
    <r>
      <rPr>
        <vertAlign val="subscript"/>
        <sz val="11"/>
        <rFont val="Calibri"/>
        <family val="2"/>
      </rPr>
      <t xml:space="preserve">CASTO,T </t>
    </r>
    <r>
      <rPr>
        <sz val="11"/>
        <rFont val="Calibri"/>
        <family val="2"/>
      </rPr>
      <t>* (η</t>
    </r>
    <r>
      <rPr>
        <vertAlign val="subscript"/>
        <sz val="11"/>
        <rFont val="Calibri"/>
        <family val="2"/>
      </rPr>
      <t xml:space="preserve">bCASTO,ana </t>
    </r>
    <r>
      <rPr>
        <sz val="11"/>
        <rFont val="Calibri"/>
        <family val="2"/>
      </rPr>
      <t>*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xml:space="preserve"> + X</t>
    </r>
    <r>
      <rPr>
        <vertAlign val="subscript"/>
        <sz val="11"/>
        <rFont val="Calibri"/>
        <family val="2"/>
        <charset val="238"/>
      </rPr>
      <t>GAO</t>
    </r>
    <r>
      <rPr>
        <sz val="11"/>
        <rFont val="Calibri"/>
        <family val="2"/>
      </rPr>
      <t xml:space="preserve"> * MRinh</t>
    </r>
    <r>
      <rPr>
        <vertAlign val="subscript"/>
        <sz val="11"/>
        <rFont val="Calibri"/>
        <family val="2"/>
      </rPr>
      <t>XPHA,XGAO,KPHA</t>
    </r>
    <r>
      <rPr>
        <sz val="11"/>
        <rFont val="Calibri"/>
        <family val="2"/>
      </rPr>
      <t>) * Minh</t>
    </r>
    <r>
      <rPr>
        <vertAlign val="subscript"/>
        <sz val="11"/>
        <rFont val="Calibri"/>
        <family val="2"/>
      </rPr>
      <t>SNO3,KNO3,CASTO</t>
    </r>
    <r>
      <rPr>
        <sz val="11"/>
        <rFont val="Calibri"/>
        <family val="2"/>
        <charset val="238"/>
      </rPr>
      <t xml:space="preserve"> * Minh</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X</t>
    </r>
    <r>
      <rPr>
        <vertAlign val="subscript"/>
        <sz val="11"/>
        <rFont val="Calibri"/>
        <family val="2"/>
        <charset val="238"/>
      </rPr>
      <t>CASTO</t>
    </r>
    <r>
      <rPr>
        <sz val="11"/>
        <rFont val="Calibri"/>
        <family val="2"/>
      </rPr>
      <t xml:space="preserve"> * m</t>
    </r>
    <r>
      <rPr>
        <vertAlign val="subscript"/>
        <sz val="11"/>
        <rFont val="Calibri"/>
        <family val="2"/>
      </rPr>
      <t>tox,ana</t>
    </r>
    <r>
      <rPr>
        <sz val="11"/>
        <rFont val="Calibri"/>
        <family val="2"/>
      </rPr>
      <t>)</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</si>
  <si>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</si>
  <si>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</si>
  <si>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-1/Y</t>
    </r>
    <r>
      <rPr>
        <vertAlign val="subscript"/>
        <sz val="11"/>
        <rFont val="Calibri"/>
        <family val="2"/>
      </rPr>
      <t>PAO,PHA,ox</t>
    </r>
  </si>
  <si>
    <r>
      <t>-1/Y</t>
    </r>
    <r>
      <rPr>
        <vertAlign val="subscript"/>
        <sz val="11"/>
        <rFont val="Calibri"/>
        <family val="2"/>
      </rPr>
      <t>PAO,PHA,anox</t>
    </r>
  </si>
  <si>
    <r>
      <t>-X</t>
    </r>
    <r>
      <rPr>
        <vertAlign val="subscript"/>
        <sz val="11"/>
        <rFont val="Calibri"/>
        <family val="2"/>
      </rPr>
      <t>PHA,PAO</t>
    </r>
    <r>
      <rPr>
        <sz val="11"/>
        <rFont val="Calibri"/>
        <family val="2"/>
      </rPr>
      <t>/X</t>
    </r>
    <r>
      <rPr>
        <vertAlign val="subscript"/>
        <sz val="11"/>
        <rFont val="Calibri"/>
        <family val="2"/>
      </rPr>
      <t>STC</t>
    </r>
  </si>
  <si>
    <r>
      <t>-X</t>
    </r>
    <r>
      <rPr>
        <vertAlign val="subscript"/>
        <sz val="11"/>
        <rFont val="Calibri"/>
        <family val="2"/>
      </rPr>
      <t>PHA,PAO</t>
    </r>
    <r>
      <rPr>
        <sz val="11"/>
        <rFont val="Calibri"/>
        <family val="2"/>
      </rPr>
      <t>/X</t>
    </r>
    <r>
      <rPr>
        <vertAlign val="subscript"/>
        <sz val="11"/>
        <rFont val="Calibri"/>
        <family val="2"/>
      </rPr>
      <t>CASTO</t>
    </r>
  </si>
  <si>
    <r>
      <t>-X</t>
    </r>
    <r>
      <rPr>
        <vertAlign val="subscript"/>
        <sz val="11"/>
        <rFont val="Calibri"/>
        <family val="2"/>
      </rPr>
      <t>PHA,GAO</t>
    </r>
    <r>
      <rPr>
        <sz val="11"/>
        <rFont val="Calibri"/>
        <family val="2"/>
      </rPr>
      <t>/X</t>
    </r>
    <r>
      <rPr>
        <vertAlign val="subscript"/>
        <sz val="11"/>
        <rFont val="Calibri"/>
        <family val="2"/>
      </rPr>
      <t>CASTO</t>
    </r>
  </si>
  <si>
    <r>
      <t>-X</t>
    </r>
    <r>
      <rPr>
        <vertAlign val="subscript"/>
        <sz val="11"/>
        <rFont val="Calibri"/>
        <family val="2"/>
      </rPr>
      <t>PHA,GAO</t>
    </r>
    <r>
      <rPr>
        <sz val="11"/>
        <rFont val="Calibri"/>
        <family val="2"/>
      </rPr>
      <t>/X</t>
    </r>
    <r>
      <rPr>
        <vertAlign val="subscript"/>
        <sz val="11"/>
        <rFont val="Calibri"/>
        <family val="2"/>
      </rPr>
      <t>STC</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</si>
  <si>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</si>
  <si>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</si>
  <si>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(1-Y</t>
    </r>
    <r>
      <rPr>
        <vertAlign val="subscript"/>
        <sz val="11"/>
        <rFont val="Calibri"/>
        <family val="2"/>
      </rPr>
      <t>PAO,PHA,anox</t>
    </r>
    <r>
      <rPr>
        <sz val="11"/>
        <rFont val="Calibri"/>
        <family val="2"/>
      </rPr>
      <t>)/(EEQ</t>
    </r>
    <r>
      <rPr>
        <vertAlign val="subscript"/>
        <sz val="11"/>
        <rFont val="Calibri"/>
        <family val="2"/>
      </rPr>
      <t>NO2,NO3</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</si>
  <si>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N2,NO2</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</si>
  <si>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NO2,NO3</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</si>
  <si>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N2,NO2</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</si>
  <si>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PAO,PHA,ox</t>
    </r>
    <r>
      <rPr>
        <sz val="11"/>
        <rFont val="Calibri"/>
        <family val="2"/>
      </rPr>
      <t>)/Y</t>
    </r>
    <r>
      <rPr>
        <vertAlign val="subscript"/>
        <sz val="11"/>
        <rFont val="Calibri"/>
        <family val="2"/>
      </rPr>
      <t>PAO,PHA,ox</t>
    </r>
  </si>
  <si>
    <r>
      <t>(i</t>
    </r>
    <r>
      <rPr>
        <vertAlign val="subscript"/>
        <sz val="11"/>
        <rFont val="Calibri"/>
        <family val="2"/>
      </rPr>
      <t>CIT,PHA</t>
    </r>
    <r>
      <rPr>
        <sz val="11"/>
        <rFont val="Calibri"/>
        <family val="2"/>
      </rPr>
      <t>/Y</t>
    </r>
    <r>
      <rPr>
        <vertAlign val="subscript"/>
        <sz val="11"/>
        <rFont val="Calibri"/>
        <family val="2"/>
      </rPr>
      <t>PAO,PHA,ox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</si>
  <si>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CIT,PHA</t>
    </r>
    <r>
      <rPr>
        <sz val="11"/>
        <rFont val="Calibri"/>
        <family val="2"/>
      </rPr>
      <t>/Y</t>
    </r>
    <r>
      <rPr>
        <vertAlign val="subscript"/>
        <sz val="11"/>
        <rFont val="Calibri"/>
        <family val="2"/>
      </rPr>
      <t>PAO,PHA,anox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</si>
  <si>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CIT,PHA</t>
    </r>
    <r>
      <rPr>
        <sz val="11"/>
        <rFont val="Calibri"/>
        <family val="2"/>
      </rPr>
      <t>-i</t>
    </r>
    <r>
      <rPr>
        <vertAlign val="subscript"/>
        <sz val="11"/>
        <rFont val="Calibri"/>
        <family val="2"/>
      </rPr>
      <t>CIT,VFA</t>
    </r>
  </si>
  <si>
    <r>
      <t>b</t>
    </r>
    <r>
      <rPr>
        <vertAlign val="subscript"/>
        <sz val="11"/>
        <rFont val="Calibri"/>
        <family val="2"/>
      </rPr>
      <t>STC,T</t>
    </r>
    <r>
      <rPr>
        <sz val="11"/>
        <rFont val="Calibri"/>
        <family val="2"/>
      </rPr>
      <t xml:space="preserve"> * η</t>
    </r>
    <r>
      <rPr>
        <vertAlign val="subscript"/>
        <sz val="11"/>
        <rFont val="Calibri"/>
        <family val="2"/>
      </rPr>
      <t>bPHA,ana</t>
    </r>
    <r>
      <rPr>
        <sz val="11"/>
        <rFont val="Calibri"/>
        <family val="2"/>
      </rPr>
      <t xml:space="preserve"> * X</t>
    </r>
    <r>
      <rPr>
        <vertAlign val="subscript"/>
        <sz val="11"/>
        <rFont val="Calibri"/>
        <family val="2"/>
      </rPr>
      <t>GAO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XPHA,XGAO,KPHA</t>
    </r>
  </si>
  <si>
    <r>
      <t>f(X</t>
    </r>
    <r>
      <rPr>
        <vertAlign val="subscript"/>
        <sz val="11"/>
        <rFont val="Calibri"/>
        <family val="2"/>
      </rPr>
      <t>CASTO</t>
    </r>
    <r>
      <rPr>
        <sz val="11"/>
        <rFont val="Calibri"/>
        <family val="2"/>
      </rPr>
      <t>)</t>
    </r>
  </si>
  <si>
    <r>
      <t>f(X</t>
    </r>
    <r>
      <rPr>
        <vertAlign val="subscript"/>
        <sz val="11"/>
        <rFont val="Calibri"/>
        <family val="2"/>
      </rPr>
      <t>INORG</t>
    </r>
    <r>
      <rPr>
        <sz val="11"/>
        <rFont val="Calibri"/>
        <family val="2"/>
      </rPr>
      <t>); f(X</t>
    </r>
    <r>
      <rPr>
        <vertAlign val="subscript"/>
        <sz val="11"/>
        <rFont val="Calibri"/>
        <family val="2"/>
      </rPr>
      <t>PP</t>
    </r>
    <r>
      <rPr>
        <sz val="11"/>
        <rFont val="Calibri"/>
        <family val="2"/>
      </rPr>
      <t>);f(X</t>
    </r>
    <r>
      <rPr>
        <vertAlign val="subscript"/>
        <sz val="11"/>
        <rFont val="Calibri"/>
        <family val="2"/>
      </rPr>
      <t>PHA,PAO</t>
    </r>
    <r>
      <rPr>
        <sz val="11"/>
        <rFont val="Calibri"/>
        <family val="2"/>
      </rPr>
      <t>);f(X</t>
    </r>
    <r>
      <rPr>
        <vertAlign val="subscript"/>
        <sz val="11"/>
        <rFont val="Calibri"/>
        <family val="2"/>
        <charset val="238"/>
      </rPr>
      <t>PHA,GAO</t>
    </r>
    <r>
      <rPr>
        <sz val="11"/>
        <rFont val="Calibri"/>
        <family val="2"/>
      </rPr>
      <t>)</t>
    </r>
  </si>
  <si>
    <r>
      <t>X</t>
    </r>
    <r>
      <rPr>
        <b/>
        <vertAlign val="subscript"/>
        <sz val="11"/>
        <rFont val="Calibri"/>
        <family val="2"/>
        <charset val="238"/>
        <scheme val="minor"/>
      </rPr>
      <t>B</t>
    </r>
    <r>
      <rPr>
        <b/>
        <vertAlign val="subscript"/>
        <sz val="11"/>
        <rFont val="Calibri"/>
        <family val="2"/>
        <scheme val="minor"/>
      </rPr>
      <t>,e</t>
    </r>
  </si>
  <si>
    <t>Slowly biodegradable substrate from biomass decay</t>
  </si>
  <si>
    <r>
      <t>f(X</t>
    </r>
    <r>
      <rPr>
        <vertAlign val="subscript"/>
        <sz val="11"/>
        <rFont val="Calibri"/>
        <family val="2"/>
      </rPr>
      <t>N,Be</t>
    </r>
    <r>
      <rPr>
        <sz val="11"/>
        <rFont val="Calibri"/>
        <family val="2"/>
      </rPr>
      <t>);f(X</t>
    </r>
    <r>
      <rPr>
        <vertAlign val="subscript"/>
        <sz val="11"/>
        <rFont val="Calibri"/>
        <family val="2"/>
      </rPr>
      <t>P,Be</t>
    </r>
    <r>
      <rPr>
        <sz val="11"/>
        <rFont val="Calibri"/>
        <family val="2"/>
      </rPr>
      <t>)</t>
    </r>
  </si>
  <si>
    <r>
      <t>X</t>
    </r>
    <r>
      <rPr>
        <b/>
        <vertAlign val="subscript"/>
        <sz val="11"/>
        <rFont val="Calibri"/>
        <family val="2"/>
        <charset val="238"/>
        <scheme val="minor"/>
      </rPr>
      <t>B</t>
    </r>
  </si>
  <si>
    <r>
      <t>f(X</t>
    </r>
    <r>
      <rPr>
        <vertAlign val="subscript"/>
        <sz val="11"/>
        <rFont val="Calibri"/>
        <family val="2"/>
      </rPr>
      <t>N,B</t>
    </r>
    <r>
      <rPr>
        <sz val="11"/>
        <rFont val="Calibri"/>
        <family val="2"/>
      </rPr>
      <t>);f(X</t>
    </r>
    <r>
      <rPr>
        <vertAlign val="subscript"/>
        <sz val="11"/>
        <rFont val="Calibri"/>
        <family val="2"/>
      </rPr>
      <t>P,B</t>
    </r>
    <r>
      <rPr>
        <sz val="11"/>
        <rFont val="Calibri"/>
        <family val="2"/>
      </rPr>
      <t>)</t>
    </r>
  </si>
  <si>
    <r>
      <t>X</t>
    </r>
    <r>
      <rPr>
        <b/>
        <vertAlign val="subscript"/>
        <sz val="11"/>
        <rFont val="Calibri"/>
        <family val="2"/>
        <charset val="238"/>
        <scheme val="minor"/>
      </rPr>
      <t>N,B</t>
    </r>
    <r>
      <rPr>
        <b/>
        <vertAlign val="subscript"/>
        <sz val="11"/>
        <rFont val="Calibri"/>
        <family val="2"/>
        <scheme val="minor"/>
      </rPr>
      <t>e</t>
    </r>
  </si>
  <si>
    <r>
      <t>Particulate biodegradable organic N (from X</t>
    </r>
    <r>
      <rPr>
        <vertAlign val="subscript"/>
        <sz val="11"/>
        <color rgb="FF000000"/>
        <rFont val="Calibri"/>
        <family val="2"/>
        <scheme val="minor"/>
      </rPr>
      <t>Be</t>
    </r>
    <r>
      <rPr>
        <sz val="11"/>
        <color rgb="FF000000"/>
        <rFont val="Calibri"/>
        <family val="2"/>
        <charset val="238"/>
        <scheme val="minor"/>
      </rPr>
      <t>)</t>
    </r>
  </si>
  <si>
    <r>
      <t>f(X</t>
    </r>
    <r>
      <rPr>
        <vertAlign val="subscript"/>
        <sz val="11"/>
        <rFont val="Calibri"/>
        <family val="2"/>
      </rPr>
      <t>B,e</t>
    </r>
    <r>
      <rPr>
        <sz val="11"/>
        <rFont val="Calibri"/>
        <family val="2"/>
      </rPr>
      <t>)</t>
    </r>
  </si>
  <si>
    <r>
      <t>X</t>
    </r>
    <r>
      <rPr>
        <b/>
        <vertAlign val="subscript"/>
        <sz val="11"/>
        <rFont val="Calibri"/>
        <family val="2"/>
        <charset val="238"/>
        <scheme val="minor"/>
      </rPr>
      <t>N,B</t>
    </r>
  </si>
  <si>
    <r>
      <t>X</t>
    </r>
    <r>
      <rPr>
        <b/>
        <vertAlign val="subscript"/>
        <sz val="11"/>
        <rFont val="Calibri"/>
        <family val="2"/>
        <charset val="238"/>
        <scheme val="minor"/>
      </rPr>
      <t>P,B</t>
    </r>
    <r>
      <rPr>
        <b/>
        <vertAlign val="subscript"/>
        <sz val="11"/>
        <rFont val="Calibri"/>
        <family val="2"/>
        <scheme val="minor"/>
      </rPr>
      <t>e</t>
    </r>
  </si>
  <si>
    <r>
      <t>Particulate biodegradable organic P (from X</t>
    </r>
    <r>
      <rPr>
        <vertAlign val="subscript"/>
        <sz val="11"/>
        <color rgb="FF000000"/>
        <rFont val="Calibri"/>
        <family val="2"/>
        <scheme val="minor"/>
      </rPr>
      <t>Be</t>
    </r>
    <r>
      <rPr>
        <sz val="11"/>
        <color rgb="FF000000"/>
        <rFont val="Calibri"/>
        <family val="2"/>
        <charset val="238"/>
        <scheme val="minor"/>
      </rPr>
      <t>)</t>
    </r>
  </si>
  <si>
    <r>
      <t>X</t>
    </r>
    <r>
      <rPr>
        <b/>
        <vertAlign val="subscript"/>
        <sz val="11"/>
        <rFont val="Calibri"/>
        <family val="2"/>
        <charset val="238"/>
        <scheme val="minor"/>
      </rPr>
      <t>P,B</t>
    </r>
  </si>
  <si>
    <r>
      <t>X</t>
    </r>
    <r>
      <rPr>
        <b/>
        <vertAlign val="subscript"/>
        <sz val="11"/>
        <rFont val="Calibri"/>
        <family val="2"/>
        <scheme val="minor"/>
      </rPr>
      <t>B,e</t>
    </r>
  </si>
  <si>
    <r>
      <t>X</t>
    </r>
    <r>
      <rPr>
        <b/>
        <vertAlign val="subscript"/>
        <sz val="11"/>
        <rFont val="Calibri"/>
        <family val="2"/>
        <scheme val="minor"/>
      </rPr>
      <t>N,Be</t>
    </r>
  </si>
  <si>
    <r>
      <t>X</t>
    </r>
    <r>
      <rPr>
        <b/>
        <vertAlign val="subscript"/>
        <sz val="11"/>
        <rFont val="Calibri"/>
        <family val="2"/>
        <scheme val="minor"/>
      </rPr>
      <t>P,Be</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</si>
  <si>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</si>
  <si>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</si>
  <si>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P,Be</t>
    </r>
    <r>
      <rPr>
        <sz val="11"/>
        <rFont val="Calibri"/>
        <family val="2"/>
      </rPr>
      <t>/X</t>
    </r>
    <r>
      <rPr>
        <vertAlign val="subscript"/>
        <sz val="11"/>
        <rFont val="Calibri"/>
        <family val="2"/>
      </rPr>
      <t>B,e</t>
    </r>
  </si>
  <si>
    <r>
      <t>-X</t>
    </r>
    <r>
      <rPr>
        <vertAlign val="subscript"/>
        <sz val="11"/>
        <rFont val="Calibri"/>
        <family val="2"/>
      </rPr>
      <t>P,Be</t>
    </r>
    <r>
      <rPr>
        <sz val="11"/>
        <rFont val="Calibri"/>
        <family val="2"/>
      </rPr>
      <t>/X</t>
    </r>
    <r>
      <rPr>
        <vertAlign val="subscript"/>
        <sz val="11"/>
        <rFont val="Calibri"/>
        <family val="2"/>
      </rPr>
      <t>B,e</t>
    </r>
  </si>
  <si>
    <r>
      <t>i</t>
    </r>
    <r>
      <rPr>
        <vertAlign val="subscript"/>
        <sz val="11"/>
        <rFont val="Calibri"/>
        <family val="2"/>
      </rPr>
      <t>CIT,XBe</t>
    </r>
    <r>
      <rPr>
        <sz val="11"/>
        <rFont val="Calibri"/>
        <family val="2"/>
      </rPr>
      <t>-i</t>
    </r>
    <r>
      <rPr>
        <vertAlign val="subscript"/>
        <sz val="11"/>
        <rFont val="Calibri"/>
        <family val="2"/>
      </rPr>
      <t>CIT,SB</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</si>
  <si>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XEana,XHET,KHYD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XEana,KXEana,HYD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t>
    </r>
  </si>
  <si>
    <r>
      <t>i</t>
    </r>
    <r>
      <rPr>
        <vertAlign val="subscript"/>
        <sz val="11"/>
        <rFont val="Calibri"/>
        <family val="2"/>
        <charset val="238"/>
        <scheme val="minor"/>
      </rPr>
      <t>CIT,XBe</t>
    </r>
  </si>
  <si>
    <r>
      <t>q</t>
    </r>
    <r>
      <rPr>
        <vertAlign val="subscript"/>
        <sz val="11"/>
        <color indexed="8"/>
        <rFont val="Calibri"/>
        <family val="2"/>
        <scheme val="minor"/>
      </rPr>
      <t>HYD</t>
    </r>
    <r>
      <rPr>
        <vertAlign val="subscript"/>
        <sz val="11"/>
        <color rgb="FF000000"/>
        <rFont val="Calibri"/>
        <family val="2"/>
        <scheme val="minor"/>
      </rPr>
      <t>,XBe</t>
    </r>
  </si>
  <si>
    <r>
      <t>q</t>
    </r>
    <r>
      <rPr>
        <vertAlign val="subscript"/>
        <sz val="11"/>
        <color indexed="8"/>
        <rFont val="Calibri"/>
        <family val="2"/>
        <scheme val="minor"/>
      </rPr>
      <t>HYD</t>
    </r>
    <r>
      <rPr>
        <vertAlign val="subscript"/>
        <sz val="11"/>
        <color rgb="FF000000"/>
        <rFont val="Calibri"/>
        <family val="2"/>
        <scheme val="minor"/>
      </rPr>
      <t>,XB</t>
    </r>
  </si>
  <si>
    <t>Half-saturation of biodegradable colloids in low biomass condition flocculation</t>
  </si>
  <si>
    <r>
      <t>K</t>
    </r>
    <r>
      <rPr>
        <vertAlign val="subscript"/>
        <sz val="11"/>
        <color indexed="8"/>
        <rFont val="Calibri"/>
        <family val="2"/>
        <scheme val="minor"/>
      </rPr>
      <t>XBe,HYD</t>
    </r>
  </si>
  <si>
    <r>
      <t>i</t>
    </r>
    <r>
      <rPr>
        <vertAlign val="subscript"/>
        <sz val="11"/>
        <rFont val="Calibri"/>
        <family val="2"/>
        <scheme val="minor"/>
      </rPr>
      <t>CV,XBe</t>
    </r>
  </si>
  <si>
    <t>COD of biodegradable substrate from biomass decay in volatile solids</t>
  </si>
  <si>
    <r>
      <t>q</t>
    </r>
    <r>
      <rPr>
        <vertAlign val="subscript"/>
        <sz val="11"/>
        <color indexed="8"/>
        <rFont val="Calibri"/>
        <family val="2"/>
        <scheme val="minor"/>
      </rPr>
      <t>HYD,XBe,T</t>
    </r>
  </si>
  <si>
    <t>Rate of hydrolysis for XB,e (temperature corrected)</t>
  </si>
  <si>
    <r>
      <t>q</t>
    </r>
    <r>
      <rPr>
        <vertAlign val="subscript"/>
        <sz val="11"/>
        <color indexed="8"/>
        <rFont val="Calibri"/>
        <family val="2"/>
        <scheme val="minor"/>
      </rPr>
      <t>HYD,XBe</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</si>
  <si>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HYD,XB</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</si>
  <si>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HYD,XB,T</t>
    </r>
  </si>
  <si>
    <r>
      <t>Msat</t>
    </r>
    <r>
      <rPr>
        <vertAlign val="subscript"/>
        <sz val="11"/>
        <rFont val="Calibri"/>
        <family val="2"/>
        <scheme val="minor"/>
      </rPr>
      <t>XBe,KXBe,HYD</t>
    </r>
  </si>
  <si>
    <t>Saturation term for slowly biodegradable substrate from biomass decay in low biomass condition (hydrolysis)</t>
  </si>
  <si>
    <r>
      <t>Msat(X</t>
    </r>
    <r>
      <rPr>
        <vertAlign val="subscript"/>
        <sz val="11"/>
        <rFont val="Calibri"/>
        <family val="2"/>
        <scheme val="minor"/>
      </rPr>
      <t>B,e</t>
    </r>
    <r>
      <rPr>
        <sz val="11"/>
        <rFont val="Calibri"/>
        <family val="2"/>
        <scheme val="minor"/>
      </rPr>
      <t>;K</t>
    </r>
    <r>
      <rPr>
        <vertAlign val="subscript"/>
        <sz val="11"/>
        <rFont val="Calibri"/>
        <family val="2"/>
        <scheme val="minor"/>
      </rPr>
      <t>XBe,HYD</t>
    </r>
    <r>
      <rPr>
        <sz val="11"/>
        <rFont val="Calibri"/>
        <family val="2"/>
        <scheme val="minor"/>
      </rPr>
      <t>)</t>
    </r>
  </si>
  <si>
    <r>
      <t>i</t>
    </r>
    <r>
      <rPr>
        <vertAlign val="subscript"/>
        <sz val="11"/>
        <rFont val="Calibri"/>
        <family val="2"/>
        <scheme val="minor"/>
      </rPr>
      <t>CIT,XBe</t>
    </r>
  </si>
  <si>
    <r>
      <t>Inorganic carbon content of X</t>
    </r>
    <r>
      <rPr>
        <vertAlign val="subscript"/>
        <sz val="11"/>
        <color rgb="FF000000"/>
        <rFont val="Calibri"/>
        <family val="2"/>
        <scheme val="minor"/>
      </rPr>
      <t>B,e</t>
    </r>
  </si>
  <si>
    <r>
      <t>X</t>
    </r>
    <r>
      <rPr>
        <vertAlign val="subscript"/>
        <sz val="11"/>
        <rFont val="Calibri"/>
        <family val="2"/>
        <scheme val="minor"/>
      </rPr>
      <t>VSS,BIO</t>
    </r>
    <r>
      <rPr>
        <sz val="11"/>
        <rFont val="Calibri"/>
        <family val="2"/>
        <scheme val="minor"/>
      </rPr>
      <t xml:space="preserve"> + 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scheme val="minor"/>
      </rPr>
      <t xml:space="preserve"> + X</t>
    </r>
    <r>
      <rPr>
        <vertAlign val="subscript"/>
        <sz val="11"/>
        <rFont val="Calibri"/>
        <family val="2"/>
        <charset val="238"/>
        <scheme val="minor"/>
      </rPr>
      <t>B,e</t>
    </r>
    <r>
      <rPr>
        <sz val="11"/>
        <rFont val="Calibri"/>
        <family val="2"/>
        <scheme val="minor"/>
      </rPr>
      <t>/i</t>
    </r>
    <r>
      <rPr>
        <vertAlign val="subscript"/>
        <sz val="11"/>
        <rFont val="Calibri"/>
        <family val="2"/>
        <charset val="238"/>
        <scheme val="minor"/>
      </rPr>
      <t>CV,XBe</t>
    </r>
    <r>
      <rPr>
        <sz val="11"/>
        <rFont val="Calibri"/>
        <family val="2"/>
        <scheme val="minor"/>
      </rPr>
      <t xml:space="preserve"> + 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 xml:space="preserve"> + X</t>
    </r>
    <r>
      <rPr>
        <vertAlign val="subscript"/>
        <sz val="11"/>
        <rFont val="Calibri"/>
        <family val="2"/>
        <scheme val="minor"/>
      </rPr>
      <t>PHA,PAO</t>
    </r>
    <r>
      <rPr>
        <sz val="11"/>
        <rFont val="Calibri"/>
        <family val="2"/>
        <scheme val="minor"/>
      </rPr>
      <t>/i</t>
    </r>
    <r>
      <rPr>
        <vertAlign val="subscript"/>
        <sz val="11"/>
        <rFont val="Calibri"/>
        <family val="2"/>
        <scheme val="minor"/>
      </rPr>
      <t>CV,PHA</t>
    </r>
    <r>
      <rPr>
        <sz val="11"/>
        <rFont val="Calibri"/>
        <family val="2"/>
        <scheme val="minor"/>
      </rPr>
      <t xml:space="preserve"> + X</t>
    </r>
    <r>
      <rPr>
        <vertAlign val="subscript"/>
        <sz val="11"/>
        <rFont val="Calibri"/>
        <family val="2"/>
        <scheme val="minor"/>
      </rPr>
      <t>PHA,GAO</t>
    </r>
    <r>
      <rPr>
        <sz val="11"/>
        <rFont val="Calibri"/>
        <family val="2"/>
        <scheme val="minor"/>
      </rPr>
      <t>/</t>
    </r>
    <r>
      <rPr>
        <sz val="11"/>
        <rFont val="Calibri"/>
        <family val="2"/>
        <charset val="238"/>
        <scheme val="minor"/>
      </rPr>
      <t>i</t>
    </r>
    <r>
      <rPr>
        <vertAlign val="subscript"/>
        <sz val="11"/>
        <rFont val="Calibri"/>
        <family val="2"/>
        <charset val="238"/>
        <scheme val="minor"/>
      </rPr>
      <t>CV,PHA</t>
    </r>
    <r>
      <rPr>
        <sz val="11"/>
        <rFont val="Calibri"/>
        <family val="2"/>
        <scheme val="minor"/>
      </rPr>
      <t xml:space="preserve"> + X</t>
    </r>
    <r>
      <rPr>
        <vertAlign val="subscript"/>
        <sz val="11"/>
        <rFont val="Calibri"/>
        <family val="2"/>
        <scheme val="minor"/>
      </rPr>
      <t>E,ana</t>
    </r>
    <r>
      <rPr>
        <sz val="11"/>
        <rFont val="Calibri"/>
        <family val="2"/>
        <scheme val="minor"/>
      </rPr>
      <t>/i</t>
    </r>
    <r>
      <rPr>
        <vertAlign val="subscript"/>
        <sz val="11"/>
        <rFont val="Calibri"/>
        <family val="2"/>
        <scheme val="minor"/>
      </rPr>
      <t>CV,XE</t>
    </r>
    <r>
      <rPr>
        <sz val="11"/>
        <rFont val="Calibri"/>
        <family val="2"/>
        <scheme val="minor"/>
      </rPr>
      <t xml:space="preserve"> + 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 xml:space="preserve"> + 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ml:space="preserve"> + 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</si>
  <si>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i</t>
    </r>
    <r>
      <rPr>
        <vertAlign val="subscript"/>
        <sz val="11"/>
        <rFont val="Calibri"/>
        <family val="2"/>
        <scheme val="minor"/>
      </rPr>
      <t>vw,XBe</t>
    </r>
  </si>
  <si>
    <t>Vicinal water of slowly biodegradable substrate from biomass decay in volatile solids</t>
  </si>
  <si>
    <r>
      <t>i</t>
    </r>
    <r>
      <rPr>
        <vertAlign val="subscript"/>
        <sz val="11"/>
        <rFont val="Calibri"/>
        <family val="2"/>
        <scheme val="minor"/>
      </rPr>
      <t>wh,XBe</t>
    </r>
  </si>
  <si>
    <t>Water of hydration of slowly biodegradable substrate from biomass decay in volatile solids</t>
  </si>
  <si>
    <r>
      <t>X</t>
    </r>
    <r>
      <rPr>
        <vertAlign val="subscript"/>
        <sz val="11"/>
        <rFont val="Calibri"/>
        <family val="2"/>
        <scheme val="minor"/>
      </rPr>
      <t>BIO</t>
    </r>
    <r>
      <rPr>
        <sz val="11"/>
        <rFont val="Calibri"/>
        <family val="2"/>
        <scheme val="minor"/>
      </rPr>
      <t xml:space="preserve"> + X</t>
    </r>
    <r>
      <rPr>
        <vertAlign val="subscript"/>
        <sz val="11"/>
        <rFont val="Calibri"/>
        <family val="2"/>
        <scheme val="minor"/>
      </rPr>
      <t>B</t>
    </r>
    <r>
      <rPr>
        <sz val="11"/>
        <rFont val="Calibri"/>
        <family val="2"/>
        <scheme val="minor"/>
      </rPr>
      <t xml:space="preserve"> + X</t>
    </r>
    <r>
      <rPr>
        <vertAlign val="subscript"/>
        <sz val="11"/>
        <rFont val="Calibri"/>
        <family val="2"/>
        <charset val="238"/>
        <scheme val="minor"/>
      </rPr>
      <t xml:space="preserve">B,e </t>
    </r>
    <r>
      <rPr>
        <sz val="11"/>
        <rFont val="Calibri"/>
        <family val="2"/>
        <scheme val="minor"/>
      </rPr>
      <t>+ X</t>
    </r>
    <r>
      <rPr>
        <vertAlign val="subscript"/>
        <sz val="11"/>
        <rFont val="Calibri"/>
        <family val="2"/>
        <scheme val="minor"/>
      </rPr>
      <t>U</t>
    </r>
    <r>
      <rPr>
        <sz val="11"/>
        <rFont val="Calibri"/>
        <family val="2"/>
        <scheme val="minor"/>
      </rPr>
      <t xml:space="preserve"> + 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r>
      <rPr>
        <sz val="11"/>
        <rFont val="Calibri"/>
        <family val="2"/>
        <scheme val="minor"/>
      </rPr>
      <t xml:space="preserve"> + X</t>
    </r>
    <r>
      <rPr>
        <vertAlign val="subscript"/>
        <sz val="11"/>
        <rFont val="Calibri"/>
        <family val="2"/>
        <scheme val="minor"/>
      </rPr>
      <t>E,ana</t>
    </r>
    <r>
      <rPr>
        <sz val="11"/>
        <rFont val="Calibri"/>
        <family val="2"/>
        <scheme val="minor"/>
      </rPr>
      <t xml:space="preserve"> + X</t>
    </r>
    <r>
      <rPr>
        <vertAlign val="subscript"/>
        <sz val="11"/>
        <rFont val="Calibri"/>
        <family val="2"/>
        <scheme val="minor"/>
      </rPr>
      <t>E</t>
    </r>
  </si>
  <si>
    <r>
      <t>Y</t>
    </r>
    <r>
      <rPr>
        <vertAlign val="subscript"/>
        <sz val="11"/>
        <rFont val="Calibri"/>
        <family val="2"/>
        <scheme val="minor"/>
      </rPr>
      <t>BOD,ult</t>
    </r>
    <r>
      <rPr>
        <sz val="11"/>
        <rFont val="Calibri"/>
        <family val="2"/>
        <scheme val="minor"/>
      </rPr>
      <t xml:space="preserve"> * (X</t>
    </r>
    <r>
      <rPr>
        <vertAlign val="subscript"/>
        <sz val="11"/>
        <rFont val="Calibri"/>
        <family val="2"/>
        <scheme val="minor"/>
      </rPr>
      <t>BIO</t>
    </r>
    <r>
      <rPr>
        <sz val="11"/>
        <rFont val="Calibri"/>
        <family val="2"/>
        <scheme val="minor"/>
      </rPr>
      <t xml:space="preserve"> + X</t>
    </r>
    <r>
      <rPr>
        <vertAlign val="subscript"/>
        <sz val="11"/>
        <rFont val="Calibri"/>
        <family val="2"/>
        <scheme val="minor"/>
      </rPr>
      <t>B</t>
    </r>
    <r>
      <rPr>
        <sz val="11"/>
        <rFont val="Calibri"/>
        <family val="2"/>
        <scheme val="minor"/>
      </rPr>
      <t xml:space="preserve"> + X</t>
    </r>
    <r>
      <rPr>
        <vertAlign val="subscript"/>
        <sz val="11"/>
        <rFont val="Calibri"/>
        <family val="2"/>
        <charset val="238"/>
        <scheme val="minor"/>
      </rPr>
      <t>B,e</t>
    </r>
    <r>
      <rPr>
        <sz val="11"/>
        <rFont val="Calibri"/>
        <family val="2"/>
        <scheme val="minor"/>
      </rPr>
      <t xml:space="preserve"> + X</t>
    </r>
    <r>
      <rPr>
        <vertAlign val="subscript"/>
        <sz val="11"/>
        <rFont val="Calibri"/>
        <family val="2"/>
        <scheme val="minor"/>
      </rPr>
      <t xml:space="preserve">PHA,PAO </t>
    </r>
    <r>
      <rPr>
        <sz val="11"/>
        <rFont val="Calibri"/>
        <family val="2"/>
        <scheme val="minor"/>
      </rPr>
      <t>+ X</t>
    </r>
    <r>
      <rPr>
        <vertAlign val="subscript"/>
        <sz val="11"/>
        <rFont val="Calibri"/>
        <family val="2"/>
        <scheme val="minor"/>
      </rPr>
      <t>PHA,GAO</t>
    </r>
    <r>
      <rPr>
        <sz val="11"/>
        <rFont val="Calibri"/>
        <family val="2"/>
        <scheme val="minor"/>
      </rPr>
      <t>)</t>
    </r>
  </si>
  <si>
    <t>Saturation term for slowly biodegradable substrate from biomass decay (hydrolysis)</t>
  </si>
  <si>
    <r>
      <t>MRsat(X</t>
    </r>
    <r>
      <rPr>
        <vertAlign val="subscript"/>
        <sz val="11"/>
        <rFont val="Calibri"/>
        <family val="2"/>
        <scheme val="minor"/>
      </rPr>
      <t>B,e</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</si>
  <si>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q</t>
    </r>
    <r>
      <rPr>
        <vertAlign val="subscript"/>
        <sz val="11"/>
        <rFont val="Calibri"/>
        <family val="2"/>
      </rPr>
      <t>HYD,XB,T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XB,KXB,HYD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</si>
  <si>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(1-f</t>
    </r>
    <r>
      <rPr>
        <vertAlign val="subscript"/>
        <sz val="11"/>
        <rFont val="Calibri"/>
        <family val="2"/>
        <charset val="238"/>
      </rPr>
      <t>E</t>
    </r>
    <r>
      <rPr>
        <sz val="11"/>
        <rFont val="Calibri"/>
        <family val="2"/>
      </rPr>
      <t>)*(i</t>
    </r>
    <r>
      <rPr>
        <vertAlign val="subscript"/>
        <sz val="11"/>
        <rFont val="Calibri"/>
        <family val="2"/>
        <charset val="238"/>
      </rPr>
      <t>CIT,BIO</t>
    </r>
    <r>
      <rPr>
        <sz val="11"/>
        <rFont val="Calibri"/>
        <family val="2"/>
      </rPr>
      <t>-i</t>
    </r>
    <r>
      <rPr>
        <vertAlign val="subscript"/>
        <sz val="11"/>
        <rFont val="Calibri"/>
        <family val="2"/>
        <charset val="238"/>
      </rPr>
      <t>CIT,XBe</t>
    </r>
    <r>
      <rPr>
        <sz val="11"/>
        <rFont val="Calibri"/>
        <family val="2"/>
      </rPr>
      <t>)</t>
    </r>
  </si>
  <si>
    <r>
      <t>(1-f</t>
    </r>
    <r>
      <rPr>
        <vertAlign val="subscript"/>
        <sz val="11"/>
        <rFont val="Calibri"/>
        <family val="2"/>
        <charset val="238"/>
      </rPr>
      <t>E</t>
    </r>
    <r>
      <rPr>
        <sz val="11"/>
        <rFont val="Calibri"/>
        <family val="2"/>
      </rPr>
      <t>)*(i</t>
    </r>
    <r>
      <rPr>
        <vertAlign val="subscript"/>
        <sz val="11"/>
        <rFont val="Calibri"/>
        <family val="2"/>
        <charset val="238"/>
      </rPr>
      <t>CIT,BIO</t>
    </r>
    <r>
      <rPr>
        <sz val="11"/>
        <rFont val="Calibri"/>
        <family val="2"/>
      </rPr>
      <t>-i</t>
    </r>
    <r>
      <rPr>
        <vertAlign val="subscript"/>
        <sz val="11"/>
        <rFont val="Calibri"/>
        <family val="2"/>
        <charset val="238"/>
      </rPr>
      <t>CIT,XBe</t>
    </r>
    <r>
      <rPr>
        <sz val="11"/>
        <rFont val="Calibri"/>
        <family val="2"/>
      </rPr>
      <t>)+(i</t>
    </r>
    <r>
      <rPr>
        <vertAlign val="subscript"/>
        <sz val="11"/>
        <rFont val="Calibri"/>
        <family val="2"/>
      </rPr>
      <t>CIT,STC</t>
    </r>
    <r>
      <rPr>
        <sz val="11"/>
        <rFont val="Calibri"/>
        <family val="2"/>
      </rPr>
      <t>-i</t>
    </r>
    <r>
      <rPr>
        <vertAlign val="subscript"/>
        <sz val="11"/>
        <rFont val="Calibri"/>
        <family val="2"/>
      </rPr>
      <t>CIT,VFA</t>
    </r>
    <r>
      <rPr>
        <sz val="11"/>
        <rFont val="Calibri"/>
        <family val="2"/>
      </rPr>
      <t>)*X</t>
    </r>
    <r>
      <rPr>
        <vertAlign val="subscript"/>
        <sz val="11"/>
        <rFont val="Calibri"/>
        <family val="2"/>
      </rPr>
      <t>STC</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</si>
  <si>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Ca,PP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</si>
  <si>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Mg,PP</t>
    </r>
    <r>
      <rPr>
        <sz val="11"/>
        <rFont val="Calibri"/>
        <family val="2"/>
      </rPr>
      <t>/X</t>
    </r>
    <r>
      <rPr>
        <vertAlign val="subscript"/>
        <sz val="11"/>
        <rFont val="Calibri"/>
        <family val="2"/>
      </rPr>
      <t>CASTO</t>
    </r>
  </si>
  <si>
    <r>
      <t>i</t>
    </r>
    <r>
      <rPr>
        <vertAlign val="subscript"/>
        <sz val="11"/>
        <rFont val="Calibri"/>
        <family val="2"/>
      </rPr>
      <t>CIT,ALGAE</t>
    </r>
    <r>
      <rPr>
        <sz val="11"/>
        <rFont val="Calibri"/>
        <family val="2"/>
      </rPr>
      <t>-(1-f</t>
    </r>
    <r>
      <rPr>
        <vertAlign val="subscript"/>
        <sz val="11"/>
        <rFont val="Calibri"/>
        <family val="2"/>
      </rPr>
      <t>E</t>
    </r>
    <r>
      <rPr>
        <sz val="11"/>
        <rFont val="Calibri"/>
        <family val="2"/>
      </rPr>
      <t>)*i</t>
    </r>
    <r>
      <rPr>
        <vertAlign val="subscript"/>
        <sz val="11"/>
        <rFont val="Calibri"/>
        <family val="2"/>
      </rPr>
      <t>CIT,XBe</t>
    </r>
    <r>
      <rPr>
        <sz val="11"/>
        <rFont val="Calibri"/>
        <family val="2"/>
      </rPr>
      <t>-f</t>
    </r>
    <r>
      <rPr>
        <vertAlign val="subscript"/>
        <sz val="11"/>
        <rFont val="Calibri"/>
        <family val="2"/>
      </rPr>
      <t>E</t>
    </r>
    <r>
      <rPr>
        <sz val="11"/>
        <rFont val="Calibri"/>
        <family val="2"/>
      </rPr>
      <t>*i</t>
    </r>
    <r>
      <rPr>
        <vertAlign val="subscript"/>
        <sz val="11"/>
        <rFont val="Calibri"/>
        <family val="2"/>
      </rPr>
      <t>CIT,BIO</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</si>
  <si>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XBe,XHET,KHYD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XBe,KXBe,HYD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charset val="238"/>
      </rPr>
      <t>SNO2,KNO2,OHO</t>
    </r>
    <r>
      <rPr>
        <sz val="11"/>
        <rFont val="Calibri"/>
        <family val="2"/>
      </rPr>
      <t>+Msat</t>
    </r>
    <r>
      <rPr>
        <vertAlign val="subscript"/>
        <sz val="11"/>
        <rFont val="Calibri"/>
        <family val="2"/>
        <charset val="238"/>
      </rPr>
      <t>SNO3,KNO3,OHO</t>
    </r>
    <r>
      <rPr>
        <sz val="11"/>
        <rFont val="Calibri"/>
        <family val="2"/>
      </rPr>
      <t>*Minh</t>
    </r>
    <r>
      <rPr>
        <vertAlign val="subscript"/>
        <sz val="11"/>
        <rFont val="Calibri"/>
        <family val="2"/>
        <charset val="238"/>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charset val="238"/>
      </rPr>
      <t>SNO3,KNO3,OHO</t>
    </r>
    <r>
      <rPr>
        <sz val="11"/>
        <rFont val="Calibri"/>
        <family val="2"/>
      </rPr>
      <t>*Minh</t>
    </r>
    <r>
      <rPr>
        <vertAlign val="subscript"/>
        <sz val="11"/>
        <rFont val="Calibri"/>
        <family val="2"/>
        <charset val="238"/>
      </rPr>
      <t>SNO2,KNO2,OHO</t>
    </r>
    <r>
      <rPr>
        <sz val="11"/>
        <rFont val="Calibri"/>
        <family val="2"/>
      </rPr>
      <t>*Minh</t>
    </r>
    <r>
      <rPr>
        <vertAlign val="subscript"/>
        <sz val="11"/>
        <rFont val="Calibri"/>
        <family val="2"/>
      </rPr>
      <t>SO2,KO2,OHO</t>
    </r>
    <r>
      <rPr>
        <sz val="11"/>
        <rFont val="Calibri"/>
        <family val="2"/>
      </rPr>
      <t>)</t>
    </r>
  </si>
  <si>
    <t>Rate of hydrolysis of slowly biodegradable substrate</t>
  </si>
  <si>
    <t>Rate of hydrolysis of slowly biodegradable substrate from biomass decay</t>
  </si>
  <si>
    <t>Half-saturation of unbiodegradable colloids in low biomass condition flocculation</t>
  </si>
  <si>
    <t>Half-saturation of unbiodegradable colloids flocculation with HFO</t>
  </si>
  <si>
    <t>Half-saturation of unbiodegradable colloids flocculation with HAO</t>
  </si>
  <si>
    <t>Half-saturation of slowly biodegradable substrate from biomass decay in low biomass condition hydrolysis</t>
  </si>
  <si>
    <r>
      <t>(X</t>
    </r>
    <r>
      <rPr>
        <vertAlign val="subscript"/>
        <sz val="11"/>
        <rFont val="Calibri"/>
        <family val="2"/>
        <charset val="238"/>
        <scheme val="minor"/>
      </rPr>
      <t>VSS,BIO</t>
    </r>
    <r>
      <rPr>
        <sz val="11"/>
        <rFont val="Calibri"/>
        <family val="2"/>
        <charset val="238"/>
        <scheme val="minor"/>
      </rPr>
      <t>*(i</t>
    </r>
    <r>
      <rPr>
        <vertAlign val="subscript"/>
        <sz val="11"/>
        <rFont val="Calibri"/>
        <family val="2"/>
        <charset val="238"/>
        <scheme val="minor"/>
      </rPr>
      <t>vw,BIO</t>
    </r>
    <r>
      <rPr>
        <sz val="11"/>
        <rFont val="Calibri"/>
        <family val="2"/>
        <charset val="238"/>
        <scheme val="minor"/>
      </rPr>
      <t>+i</t>
    </r>
    <r>
      <rPr>
        <vertAlign val="subscript"/>
        <sz val="11"/>
        <rFont val="Calibri"/>
        <family val="2"/>
        <charset val="238"/>
        <scheme val="minor"/>
      </rPr>
      <t>iw,BIO</t>
    </r>
    <r>
      <rPr>
        <sz val="11"/>
        <rFont val="Calibri"/>
        <family val="2"/>
        <charset val="238"/>
        <scheme val="minor"/>
      </rPr>
      <t>+i</t>
    </r>
    <r>
      <rPr>
        <vertAlign val="subscript"/>
        <sz val="11"/>
        <rFont val="Calibri"/>
        <family val="2"/>
        <charset val="238"/>
        <scheme val="minor"/>
      </rPr>
      <t>wh,BIO</t>
    </r>
    <r>
      <rPr>
        <sz val="11"/>
        <rFont val="Calibri"/>
        <family val="2"/>
        <charset val="238"/>
        <scheme val="minor"/>
      </rPr>
      <t>)</t>
    </r>
    <r>
      <rPr>
        <vertAlign val="subscript"/>
        <sz val="11"/>
        <rFont val="Calibri"/>
        <family val="2"/>
        <charset val="238"/>
        <scheme val="minor"/>
      </rPr>
      <t xml:space="preserve"> </t>
    </r>
    <r>
      <rPr>
        <sz val="11"/>
        <rFont val="Calibri"/>
        <family val="2"/>
        <charset val="238"/>
        <scheme val="minor"/>
      </rPr>
      <t>+ X</t>
    </r>
    <r>
      <rPr>
        <vertAlign val="subscript"/>
        <sz val="11"/>
        <rFont val="Calibri"/>
        <family val="2"/>
        <charset val="238"/>
        <scheme val="minor"/>
      </rPr>
      <t>VSS,BIO</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E</t>
    </r>
    <r>
      <rPr>
        <sz val="11"/>
        <rFont val="Calibri"/>
        <family val="2"/>
        <charset val="238"/>
        <scheme val="minor"/>
      </rPr>
      <t>/i</t>
    </r>
    <r>
      <rPr>
        <vertAlign val="subscript"/>
        <sz val="11"/>
        <rFont val="Calibri"/>
        <family val="2"/>
        <charset val="238"/>
        <scheme val="minor"/>
      </rPr>
      <t>CV,XE</t>
    </r>
    <r>
      <rPr>
        <sz val="11"/>
        <rFont val="Calibri"/>
        <family val="2"/>
        <charset val="238"/>
        <scheme val="minor"/>
      </rPr>
      <t xml:space="preserve"> * (i</t>
    </r>
    <r>
      <rPr>
        <vertAlign val="subscript"/>
        <sz val="11"/>
        <rFont val="Calibri"/>
        <family val="2"/>
        <charset val="238"/>
        <scheme val="minor"/>
      </rPr>
      <t>vw,XE</t>
    </r>
    <r>
      <rPr>
        <sz val="11"/>
        <rFont val="Calibri"/>
        <family val="2"/>
        <charset val="238"/>
        <scheme val="minor"/>
      </rPr>
      <t>+i</t>
    </r>
    <r>
      <rPr>
        <vertAlign val="subscript"/>
        <sz val="11"/>
        <rFont val="Calibri"/>
        <family val="2"/>
        <charset val="238"/>
        <scheme val="minor"/>
      </rPr>
      <t>wh,XE</t>
    </r>
    <r>
      <rPr>
        <sz val="11"/>
        <rFont val="Calibri"/>
        <family val="2"/>
        <charset val="238"/>
        <scheme val="minor"/>
      </rPr>
      <t>) + X</t>
    </r>
    <r>
      <rPr>
        <vertAlign val="subscript"/>
        <sz val="11"/>
        <rFont val="Calibri"/>
        <family val="2"/>
        <charset val="238"/>
        <scheme val="minor"/>
      </rPr>
      <t>E</t>
    </r>
    <r>
      <rPr>
        <sz val="11"/>
        <rFont val="Calibri"/>
        <family val="2"/>
        <charset val="238"/>
        <scheme val="minor"/>
      </rPr>
      <t>/i</t>
    </r>
    <r>
      <rPr>
        <vertAlign val="subscript"/>
        <sz val="11"/>
        <rFont val="Calibri"/>
        <family val="2"/>
        <charset val="238"/>
        <scheme val="minor"/>
      </rPr>
      <t>CV,XE</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CV,XB</t>
    </r>
    <r>
      <rPr>
        <sz val="11"/>
        <rFont val="Calibri"/>
        <family val="2"/>
        <charset val="238"/>
        <scheme val="minor"/>
      </rPr>
      <t xml:space="preserve"> *(i</t>
    </r>
    <r>
      <rPr>
        <vertAlign val="subscript"/>
        <sz val="11"/>
        <rFont val="Calibri"/>
        <family val="2"/>
        <charset val="238"/>
        <scheme val="minor"/>
      </rPr>
      <t>vw,XB</t>
    </r>
    <r>
      <rPr>
        <sz val="11"/>
        <rFont val="Calibri"/>
        <family val="2"/>
        <charset val="238"/>
        <scheme val="minor"/>
      </rPr>
      <t>+i</t>
    </r>
    <r>
      <rPr>
        <vertAlign val="subscript"/>
        <sz val="11"/>
        <rFont val="Calibri"/>
        <family val="2"/>
        <charset val="238"/>
        <scheme val="minor"/>
      </rPr>
      <t>wh,XB</t>
    </r>
    <r>
      <rPr>
        <sz val="11"/>
        <rFont val="Calibri"/>
        <family val="2"/>
        <charset val="238"/>
        <scheme val="minor"/>
      </rPr>
      <t>) + X</t>
    </r>
    <r>
      <rPr>
        <vertAlign val="subscript"/>
        <sz val="11"/>
        <rFont val="Calibri"/>
        <family val="2"/>
        <charset val="238"/>
        <scheme val="minor"/>
      </rPr>
      <t>B,e</t>
    </r>
    <r>
      <rPr>
        <sz val="11"/>
        <rFont val="Calibri"/>
        <family val="2"/>
        <charset val="238"/>
        <scheme val="minor"/>
      </rPr>
      <t>/i</t>
    </r>
    <r>
      <rPr>
        <vertAlign val="subscript"/>
        <sz val="11"/>
        <rFont val="Calibri"/>
        <family val="2"/>
        <charset val="238"/>
        <scheme val="minor"/>
      </rPr>
      <t>CV,XBe</t>
    </r>
    <r>
      <rPr>
        <sz val="11"/>
        <rFont val="Calibri"/>
        <family val="2"/>
        <charset val="238"/>
        <scheme val="minor"/>
      </rPr>
      <t xml:space="preserve"> *(i</t>
    </r>
    <r>
      <rPr>
        <vertAlign val="subscript"/>
        <sz val="11"/>
        <rFont val="Calibri"/>
        <family val="2"/>
        <charset val="238"/>
        <scheme val="minor"/>
      </rPr>
      <t>vw,XBe</t>
    </r>
    <r>
      <rPr>
        <sz val="11"/>
        <rFont val="Calibri"/>
        <family val="2"/>
        <charset val="238"/>
        <scheme val="minor"/>
      </rPr>
      <t>+i</t>
    </r>
    <r>
      <rPr>
        <vertAlign val="subscript"/>
        <sz val="11"/>
        <rFont val="Calibri"/>
        <family val="2"/>
        <charset val="238"/>
        <scheme val="minor"/>
      </rPr>
      <t>wh,XBe</t>
    </r>
    <r>
      <rPr>
        <sz val="11"/>
        <rFont val="Calibri"/>
        <family val="2"/>
        <charset val="238"/>
        <scheme val="minor"/>
      </rPr>
      <t>) + X</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CV,XU</t>
    </r>
    <r>
      <rPr>
        <sz val="11"/>
        <rFont val="Calibri"/>
        <family val="2"/>
        <charset val="238"/>
        <scheme val="minor"/>
      </rPr>
      <t xml:space="preserve"> *(i</t>
    </r>
    <r>
      <rPr>
        <vertAlign val="subscript"/>
        <sz val="11"/>
        <rFont val="Calibri"/>
        <family val="2"/>
        <charset val="238"/>
        <scheme val="minor"/>
      </rPr>
      <t>vw,XU</t>
    </r>
    <r>
      <rPr>
        <sz val="11"/>
        <rFont val="Calibri"/>
        <family val="2"/>
        <charset val="238"/>
        <scheme val="minor"/>
      </rPr>
      <t>+i</t>
    </r>
    <r>
      <rPr>
        <vertAlign val="subscript"/>
        <sz val="11"/>
        <rFont val="Calibri"/>
        <family val="2"/>
        <charset val="238"/>
        <scheme val="minor"/>
      </rPr>
      <t>wh,XU</t>
    </r>
    <r>
      <rPr>
        <sz val="11"/>
        <rFont val="Calibri"/>
        <family val="2"/>
        <charset val="238"/>
        <scheme val="minor"/>
      </rPr>
      <t>) + X</t>
    </r>
    <r>
      <rPr>
        <vertAlign val="subscript"/>
        <sz val="11"/>
        <rFont val="Calibri"/>
        <family val="2"/>
        <charset val="238"/>
        <scheme val="minor"/>
      </rPr>
      <t>PHA,PAO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X</t>
    </r>
    <r>
      <rPr>
        <vertAlign val="subscript"/>
        <sz val="11"/>
        <rFont val="Calibri"/>
        <family val="2"/>
        <charset val="238"/>
        <scheme val="minor"/>
      </rPr>
      <t>PHA,GAO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C</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CV,CB</t>
    </r>
    <r>
      <rPr>
        <sz val="11"/>
        <rFont val="Calibri"/>
        <family val="2"/>
        <charset val="238"/>
        <scheme val="minor"/>
      </rPr>
      <t xml:space="preserve"> *i</t>
    </r>
    <r>
      <rPr>
        <vertAlign val="subscript"/>
        <sz val="11"/>
        <rFont val="Calibri"/>
        <family val="2"/>
        <charset val="238"/>
        <scheme val="minor"/>
      </rPr>
      <t>vw,CB</t>
    </r>
    <r>
      <rPr>
        <sz val="11"/>
        <rFont val="Calibri"/>
        <family val="2"/>
        <charset val="238"/>
        <scheme val="minor"/>
      </rPr>
      <t xml:space="preserve"> + C</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CV,CU</t>
    </r>
    <r>
      <rPr>
        <sz val="11"/>
        <rFont val="Calibri"/>
        <family val="2"/>
        <charset val="238"/>
        <scheme val="minor"/>
      </rPr>
      <t>*i</t>
    </r>
    <r>
      <rPr>
        <vertAlign val="subscript"/>
        <sz val="11"/>
        <rFont val="Calibri"/>
        <family val="2"/>
        <charset val="238"/>
        <scheme val="minor"/>
      </rPr>
      <t>vw,CU</t>
    </r>
    <r>
      <rPr>
        <sz val="11"/>
        <rFont val="Calibri"/>
        <family val="2"/>
        <charset val="238"/>
        <scheme val="minor"/>
      </rPr>
      <t>)/X</t>
    </r>
    <r>
      <rPr>
        <vertAlign val="subscript"/>
        <sz val="11"/>
        <rFont val="Calibri"/>
        <family val="2"/>
        <charset val="238"/>
        <scheme val="minor"/>
      </rPr>
      <t>VSS</t>
    </r>
  </si>
  <si>
    <r>
      <t>S</t>
    </r>
    <r>
      <rPr>
        <vertAlign val="subscript"/>
        <sz val="11"/>
        <rFont val="Calibri"/>
        <family val="2"/>
        <charset val="238"/>
      </rPr>
      <t>N,B</t>
    </r>
    <r>
      <rPr>
        <sz val="11"/>
        <rFont val="Calibri"/>
        <family val="2"/>
      </rPr>
      <t xml:space="preserve"> ammonification</t>
    </r>
  </si>
  <si>
    <r>
      <t>X</t>
    </r>
    <r>
      <rPr>
        <vertAlign val="subscript"/>
        <sz val="11"/>
        <rFont val="Calibri"/>
        <family val="2"/>
        <charset val="238"/>
      </rPr>
      <t>B,e</t>
    </r>
    <r>
      <rPr>
        <sz val="11"/>
        <rFont val="Calibri"/>
        <family val="2"/>
      </rPr>
      <t xml:space="preserve"> hydrolysis</t>
    </r>
  </si>
  <si>
    <r>
      <t>X</t>
    </r>
    <r>
      <rPr>
        <vertAlign val="subscript"/>
        <sz val="11"/>
        <rFont val="Calibri"/>
        <family val="2"/>
        <charset val="238"/>
      </rPr>
      <t>B</t>
    </r>
    <r>
      <rPr>
        <sz val="11"/>
        <rFont val="Calibri"/>
        <family val="2"/>
      </rPr>
      <t xml:space="preserve"> hydrolysis</t>
    </r>
  </si>
  <si>
    <r>
      <t>X</t>
    </r>
    <r>
      <rPr>
        <vertAlign val="subscript"/>
        <sz val="11"/>
        <rFont val="Calibri"/>
        <family val="2"/>
        <charset val="238"/>
      </rPr>
      <t>E</t>
    </r>
    <r>
      <rPr>
        <sz val="11"/>
        <rFont val="Calibri"/>
        <family val="2"/>
      </rPr>
      <t xml:space="preserve"> conversion</t>
    </r>
  </si>
  <si>
    <r>
      <t>X</t>
    </r>
    <r>
      <rPr>
        <vertAlign val="subscript"/>
        <sz val="11"/>
        <rFont val="Calibri"/>
        <family val="2"/>
        <charset val="238"/>
      </rPr>
      <t>E,ana</t>
    </r>
    <r>
      <rPr>
        <sz val="11"/>
        <rFont val="Calibri"/>
        <family val="2"/>
      </rPr>
      <t xml:space="preserve"> hydrolysis</t>
    </r>
  </si>
  <si>
    <r>
      <t>X</t>
    </r>
    <r>
      <rPr>
        <vertAlign val="subscript"/>
        <sz val="11"/>
        <rFont val="Calibri"/>
        <family val="2"/>
        <charset val="238"/>
      </rPr>
      <t>U</t>
    </r>
    <r>
      <rPr>
        <sz val="11"/>
        <rFont val="Calibri"/>
        <family val="2"/>
      </rPr>
      <t xml:space="preserve"> conversion</t>
    </r>
  </si>
  <si>
    <r>
      <t>(i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PHA,PAO</t>
    </r>
    <r>
      <rPr>
        <sz val="11"/>
        <rFont val="Calibri"/>
        <family val="2"/>
        <scheme val="minor"/>
      </rPr>
      <t xml:space="preserve"> + 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</si>
  <si>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rPr>
        <sz val="11"/>
        <rFont val="Calibri"/>
        <family val="2"/>
        <charset val="238"/>
        <scheme val="minor"/>
      </rPr>
      <t>MRsat</t>
    </r>
    <r>
      <rPr>
        <vertAlign val="subscript"/>
        <sz val="11"/>
        <rFont val="Calibri"/>
        <family val="2"/>
        <scheme val="minor"/>
      </rPr>
      <t>XBe,XHET,KHYD</t>
    </r>
  </si>
  <si>
    <t>r105</t>
  </si>
  <si>
    <r>
      <t>COUR + NOUR - (v78_S</t>
    </r>
    <r>
      <rPr>
        <vertAlign val="subscript"/>
        <sz val="11"/>
        <rFont val="Calibri"/>
        <family val="2"/>
        <charset val="238"/>
        <scheme val="minor"/>
      </rPr>
      <t>O2</t>
    </r>
    <r>
      <rPr>
        <sz val="11"/>
        <rFont val="Calibri"/>
        <family val="2"/>
        <scheme val="minor"/>
      </rPr>
      <t xml:space="preserve"> * r78)</t>
    </r>
  </si>
  <si>
    <r>
      <t>-(v3_S</t>
    </r>
    <r>
      <rPr>
        <vertAlign val="subscript"/>
        <sz val="11"/>
        <rFont val="Calibri"/>
        <family val="2"/>
        <scheme val="minor"/>
      </rPr>
      <t>NO3</t>
    </r>
    <r>
      <rPr>
        <sz val="11"/>
        <rFont val="Calibri"/>
        <family val="2"/>
        <scheme val="minor"/>
      </rPr>
      <t xml:space="preserve"> * r3 + v6_S</t>
    </r>
    <r>
      <rPr>
        <vertAlign val="subscript"/>
        <sz val="11"/>
        <rFont val="Calibri"/>
        <family val="2"/>
        <scheme val="minor"/>
      </rPr>
      <t>NO3</t>
    </r>
    <r>
      <rPr>
        <sz val="11"/>
        <rFont val="Calibri"/>
        <family val="2"/>
        <scheme val="minor"/>
      </rPr>
      <t xml:space="preserve"> * r6 + v13_S</t>
    </r>
    <r>
      <rPr>
        <vertAlign val="subscript"/>
        <sz val="11"/>
        <rFont val="Calibri"/>
        <family val="2"/>
        <scheme val="minor"/>
      </rPr>
      <t>NO3</t>
    </r>
    <r>
      <rPr>
        <sz val="11"/>
        <rFont val="Calibri"/>
        <family val="2"/>
        <scheme val="minor"/>
      </rPr>
      <t xml:space="preserve"> * r13 + v18_S</t>
    </r>
    <r>
      <rPr>
        <vertAlign val="subscript"/>
        <sz val="11"/>
        <rFont val="Calibri"/>
        <family val="2"/>
        <scheme val="minor"/>
      </rPr>
      <t>NO3</t>
    </r>
    <r>
      <rPr>
        <sz val="11"/>
        <rFont val="Calibri"/>
        <family val="2"/>
        <scheme val="minor"/>
      </rPr>
      <t xml:space="preserve"> * r18 + v21_S</t>
    </r>
    <r>
      <rPr>
        <vertAlign val="subscript"/>
        <sz val="11"/>
        <rFont val="Calibri"/>
        <family val="2"/>
        <scheme val="minor"/>
      </rPr>
      <t>NO3</t>
    </r>
    <r>
      <rPr>
        <sz val="11"/>
        <rFont val="Calibri"/>
        <family val="2"/>
        <scheme val="minor"/>
      </rPr>
      <t xml:space="preserve"> * r21 + v24_S</t>
    </r>
    <r>
      <rPr>
        <vertAlign val="subscript"/>
        <sz val="11"/>
        <rFont val="Calibri"/>
        <family val="2"/>
        <scheme val="minor"/>
      </rPr>
      <t>NO3</t>
    </r>
    <r>
      <rPr>
        <sz val="11"/>
        <rFont val="Calibri"/>
        <family val="2"/>
        <scheme val="minor"/>
      </rPr>
      <t xml:space="preserve"> * r24 + v29_S</t>
    </r>
    <r>
      <rPr>
        <vertAlign val="subscript"/>
        <sz val="11"/>
        <rFont val="Calibri"/>
        <family val="2"/>
        <scheme val="minor"/>
      </rPr>
      <t>NO3</t>
    </r>
    <r>
      <rPr>
        <sz val="11"/>
        <rFont val="Calibri"/>
        <family val="2"/>
        <scheme val="minor"/>
      </rPr>
      <t xml:space="preserve"> * r29 + v69_S</t>
    </r>
    <r>
      <rPr>
        <vertAlign val="subscript"/>
        <sz val="11"/>
        <rFont val="Calibri"/>
        <family val="2"/>
        <scheme val="minor"/>
      </rPr>
      <t>NO3</t>
    </r>
    <r>
      <rPr>
        <sz val="11"/>
        <rFont val="Calibri"/>
        <family val="2"/>
        <scheme val="minor"/>
      </rPr>
      <t xml:space="preserve"> * r69)</t>
    </r>
  </si>
  <si>
    <r>
      <t>-(v2_S</t>
    </r>
    <r>
      <rPr>
        <vertAlign val="subscript"/>
        <sz val="11"/>
        <rFont val="Calibri"/>
        <family val="2"/>
        <scheme val="minor"/>
      </rPr>
      <t>NO2</t>
    </r>
    <r>
      <rPr>
        <sz val="11"/>
        <rFont val="Calibri"/>
        <family val="2"/>
        <scheme val="minor"/>
      </rPr>
      <t xml:space="preserve"> * r2 + v5_S</t>
    </r>
    <r>
      <rPr>
        <vertAlign val="subscript"/>
        <sz val="11"/>
        <rFont val="Calibri"/>
        <family val="2"/>
        <scheme val="minor"/>
      </rPr>
      <t>NO2</t>
    </r>
    <r>
      <rPr>
        <sz val="11"/>
        <rFont val="Calibri"/>
        <family val="2"/>
        <scheme val="minor"/>
      </rPr>
      <t xml:space="preserve"> * r5 + v12_S</t>
    </r>
    <r>
      <rPr>
        <vertAlign val="subscript"/>
        <sz val="11"/>
        <rFont val="Calibri"/>
        <family val="2"/>
        <scheme val="minor"/>
      </rPr>
      <t>NO2</t>
    </r>
    <r>
      <rPr>
        <sz val="11"/>
        <rFont val="Calibri"/>
        <family val="2"/>
        <scheme val="minor"/>
      </rPr>
      <t xml:space="preserve"> * r12 + v17_S</t>
    </r>
    <r>
      <rPr>
        <vertAlign val="subscript"/>
        <sz val="11"/>
        <rFont val="Calibri"/>
        <family val="2"/>
        <scheme val="minor"/>
      </rPr>
      <t>NO2</t>
    </r>
    <r>
      <rPr>
        <sz val="11"/>
        <rFont val="Calibri"/>
        <family val="2"/>
        <scheme val="minor"/>
      </rPr>
      <t xml:space="preserve"> * r17 + v20_S</t>
    </r>
    <r>
      <rPr>
        <vertAlign val="subscript"/>
        <sz val="11"/>
        <rFont val="Calibri"/>
        <family val="2"/>
        <scheme val="minor"/>
      </rPr>
      <t>NO2</t>
    </r>
    <r>
      <rPr>
        <sz val="11"/>
        <rFont val="Calibri"/>
        <family val="2"/>
        <scheme val="minor"/>
      </rPr>
      <t xml:space="preserve"> * r20 + v23_S</t>
    </r>
    <r>
      <rPr>
        <vertAlign val="subscript"/>
        <sz val="11"/>
        <rFont val="Calibri"/>
        <family val="2"/>
        <scheme val="minor"/>
      </rPr>
      <t>NO2</t>
    </r>
    <r>
      <rPr>
        <sz val="11"/>
        <rFont val="Calibri"/>
        <family val="2"/>
        <scheme val="minor"/>
      </rPr>
      <t xml:space="preserve"> * r23 + v28_S</t>
    </r>
    <r>
      <rPr>
        <vertAlign val="subscript"/>
        <sz val="11"/>
        <rFont val="Calibri"/>
        <family val="2"/>
        <scheme val="minor"/>
      </rPr>
      <t>NO2</t>
    </r>
    <r>
      <rPr>
        <sz val="11"/>
        <rFont val="Calibri"/>
        <family val="2"/>
        <scheme val="minor"/>
      </rPr>
      <t xml:space="preserve"> * r28 + v40_S</t>
    </r>
    <r>
      <rPr>
        <vertAlign val="subscript"/>
        <sz val="11"/>
        <rFont val="Calibri"/>
        <family val="2"/>
        <scheme val="minor"/>
      </rPr>
      <t>NO2</t>
    </r>
    <r>
      <rPr>
        <sz val="11"/>
        <rFont val="Calibri"/>
        <family val="2"/>
        <scheme val="minor"/>
      </rPr>
      <t xml:space="preserve"> * r40 + v43_S</t>
    </r>
    <r>
      <rPr>
        <vertAlign val="subscript"/>
        <sz val="11"/>
        <rFont val="Calibri"/>
        <family val="2"/>
        <scheme val="minor"/>
      </rPr>
      <t>NO2</t>
    </r>
    <r>
      <rPr>
        <sz val="11"/>
        <rFont val="Calibri"/>
        <family val="2"/>
        <scheme val="minor"/>
      </rPr>
      <t xml:space="preserve"> * r43 + v68_S</t>
    </r>
    <r>
      <rPr>
        <vertAlign val="subscript"/>
        <sz val="11"/>
        <rFont val="Calibri"/>
        <family val="2"/>
        <scheme val="minor"/>
      </rPr>
      <t>NO2</t>
    </r>
    <r>
      <rPr>
        <sz val="11"/>
        <rFont val="Calibri"/>
        <family val="2"/>
        <scheme val="minor"/>
      </rPr>
      <t xml:space="preserve"> * r68)</t>
    </r>
  </si>
  <si>
    <r>
      <t>i</t>
    </r>
    <r>
      <rPr>
        <vertAlign val="subscript"/>
        <sz val="11"/>
        <rFont val="Calibri"/>
        <family val="2"/>
        <scheme val="minor"/>
      </rPr>
      <t>N,BIO</t>
    </r>
    <r>
      <rPr>
        <sz val="11"/>
        <rFont val="Calibri"/>
        <family val="2"/>
        <scheme val="minor"/>
      </rPr>
      <t xml:space="preserve"> * (r1 + r2 + r3 + r4 + r5 + r6 + r7 + r8 + r9 + r12 + r13 + r16 + r17 + r18 + r22 + r23 + r24 + r32 + r33 + r40 + r46 + r49) - (v37_S</t>
    </r>
    <r>
      <rPr>
        <vertAlign val="subscript"/>
        <sz val="11"/>
        <rFont val="Calibri"/>
        <family val="2"/>
        <scheme val="minor"/>
      </rPr>
      <t>NHx</t>
    </r>
    <r>
      <rPr>
        <sz val="11"/>
        <rFont val="Calibri"/>
        <family val="2"/>
        <scheme val="minor"/>
      </rPr>
      <t xml:space="preserve"> * r37 + v43_S</t>
    </r>
    <r>
      <rPr>
        <vertAlign val="subscript"/>
        <sz val="11"/>
        <rFont val="Calibri"/>
        <family val="2"/>
        <scheme val="minor"/>
      </rPr>
      <t>NHx</t>
    </r>
    <r>
      <rPr>
        <sz val="11"/>
        <rFont val="Calibri"/>
        <family val="2"/>
        <scheme val="minor"/>
      </rPr>
      <t xml:space="preserve"> * r43 + v89_S</t>
    </r>
    <r>
      <rPr>
        <vertAlign val="subscript"/>
        <sz val="11"/>
        <rFont val="Calibri"/>
        <family val="2"/>
        <scheme val="minor"/>
      </rPr>
      <t>NHx</t>
    </r>
    <r>
      <rPr>
        <sz val="11"/>
        <rFont val="Calibri"/>
        <family val="2"/>
        <scheme val="minor"/>
      </rPr>
      <t xml:space="preserve"> * r89)</t>
    </r>
  </si>
  <si>
    <r>
      <t>-(v72_S</t>
    </r>
    <r>
      <rPr>
        <vertAlign val="subscript"/>
        <sz val="11"/>
        <rFont val="Calibri"/>
        <family val="2"/>
        <scheme val="minor"/>
      </rPr>
      <t>PO4</t>
    </r>
    <r>
      <rPr>
        <sz val="11"/>
        <rFont val="Calibri"/>
        <family val="2"/>
        <scheme val="minor"/>
      </rPr>
      <t xml:space="preserve"> * r72 + v73_S</t>
    </r>
    <r>
      <rPr>
        <vertAlign val="subscript"/>
        <sz val="11"/>
        <rFont val="Calibri"/>
        <family val="2"/>
        <scheme val="minor"/>
      </rPr>
      <t>PO4</t>
    </r>
    <r>
      <rPr>
        <sz val="11"/>
        <rFont val="Calibri"/>
        <family val="2"/>
        <scheme val="minor"/>
      </rPr>
      <t xml:space="preserve"> * r73 + v81_S</t>
    </r>
    <r>
      <rPr>
        <vertAlign val="subscript"/>
        <sz val="11"/>
        <rFont val="Calibri"/>
        <family val="2"/>
        <scheme val="minor"/>
      </rPr>
      <t>PO4</t>
    </r>
    <r>
      <rPr>
        <sz val="11"/>
        <rFont val="Calibri"/>
        <family val="2"/>
        <scheme val="minor"/>
      </rPr>
      <t xml:space="preserve"> * r81 + v82_S</t>
    </r>
    <r>
      <rPr>
        <vertAlign val="subscript"/>
        <sz val="11"/>
        <rFont val="Calibri"/>
        <family val="2"/>
        <scheme val="minor"/>
      </rPr>
      <t>PO4</t>
    </r>
    <r>
      <rPr>
        <sz val="11"/>
        <rFont val="Calibri"/>
        <family val="2"/>
        <scheme val="minor"/>
      </rPr>
      <t xml:space="preserve"> * r82 + v87_S</t>
    </r>
    <r>
      <rPr>
        <vertAlign val="subscript"/>
        <sz val="11"/>
        <rFont val="Calibri"/>
        <family val="2"/>
        <scheme val="minor"/>
      </rPr>
      <t>PO4</t>
    </r>
    <r>
      <rPr>
        <sz val="11"/>
        <rFont val="Calibri"/>
        <family val="2"/>
        <scheme val="minor"/>
      </rPr>
      <t xml:space="preserve"> * r87 + v88_S</t>
    </r>
    <r>
      <rPr>
        <vertAlign val="subscript"/>
        <sz val="11"/>
        <rFont val="Calibri"/>
        <family val="2"/>
        <scheme val="minor"/>
      </rPr>
      <t>PO4</t>
    </r>
    <r>
      <rPr>
        <sz val="11"/>
        <rFont val="Calibri"/>
        <family val="2"/>
        <scheme val="minor"/>
      </rPr>
      <t xml:space="preserve"> * r88 + v89_S</t>
    </r>
    <r>
      <rPr>
        <vertAlign val="subscript"/>
        <sz val="11"/>
        <rFont val="Calibri"/>
        <family val="2"/>
        <scheme val="minor"/>
      </rPr>
      <t>PO4</t>
    </r>
    <r>
      <rPr>
        <sz val="11"/>
        <rFont val="Calibri"/>
        <family val="2"/>
        <scheme val="minor"/>
      </rPr>
      <t xml:space="preserve"> * r89 + v90_S</t>
    </r>
    <r>
      <rPr>
        <vertAlign val="subscript"/>
        <sz val="11"/>
        <rFont val="Calibri"/>
        <family val="2"/>
        <scheme val="minor"/>
      </rPr>
      <t>PO4</t>
    </r>
    <r>
      <rPr>
        <sz val="11"/>
        <rFont val="Calibri"/>
        <family val="2"/>
        <scheme val="minor"/>
      </rPr>
      <t xml:space="preserve"> * r90)</t>
    </r>
  </si>
  <si>
    <r>
      <t>v25_S</t>
    </r>
    <r>
      <rPr>
        <vertAlign val="subscript"/>
        <sz val="11"/>
        <rFont val="Calibri"/>
        <family val="2"/>
        <scheme val="minor"/>
      </rPr>
      <t>PO4</t>
    </r>
    <r>
      <rPr>
        <sz val="11"/>
        <rFont val="Calibri"/>
        <family val="2"/>
        <scheme val="minor"/>
      </rPr>
      <t xml:space="preserve"> * r25 + v31_S</t>
    </r>
    <r>
      <rPr>
        <vertAlign val="subscript"/>
        <sz val="11"/>
        <rFont val="Calibri"/>
        <family val="2"/>
        <charset val="238"/>
        <scheme val="minor"/>
      </rPr>
      <t>PO4</t>
    </r>
    <r>
      <rPr>
        <sz val="11"/>
        <rFont val="Calibri"/>
        <family val="2"/>
        <scheme val="minor"/>
      </rPr>
      <t xml:space="preserve"> * r31 + v34_S</t>
    </r>
    <r>
      <rPr>
        <vertAlign val="subscript"/>
        <sz val="11"/>
        <rFont val="Calibri"/>
        <family val="2"/>
        <scheme val="minor"/>
      </rPr>
      <t>PO4</t>
    </r>
    <r>
      <rPr>
        <sz val="11"/>
        <rFont val="Calibri"/>
        <family val="2"/>
        <scheme val="minor"/>
      </rPr>
      <t xml:space="preserve"> * r34 + v35_S</t>
    </r>
    <r>
      <rPr>
        <vertAlign val="subscript"/>
        <sz val="11"/>
        <rFont val="Calibri"/>
        <family val="2"/>
        <scheme val="minor"/>
      </rPr>
      <t>PO4</t>
    </r>
    <r>
      <rPr>
        <sz val="11"/>
        <rFont val="Calibri"/>
        <family val="2"/>
        <scheme val="minor"/>
      </rPr>
      <t xml:space="preserve"> * r35 + v63_S</t>
    </r>
    <r>
      <rPr>
        <vertAlign val="subscript"/>
        <sz val="11"/>
        <rFont val="Calibri"/>
        <family val="2"/>
        <scheme val="minor"/>
      </rPr>
      <t>PO4</t>
    </r>
    <r>
      <rPr>
        <sz val="11"/>
        <rFont val="Calibri"/>
        <family val="2"/>
        <scheme val="minor"/>
      </rPr>
      <t xml:space="preserve"> * r63 + v68_S</t>
    </r>
    <r>
      <rPr>
        <vertAlign val="subscript"/>
        <sz val="11"/>
        <rFont val="Calibri"/>
        <family val="2"/>
        <scheme val="minor"/>
      </rPr>
      <t>PO4</t>
    </r>
    <r>
      <rPr>
        <sz val="11"/>
        <rFont val="Calibri"/>
        <family val="2"/>
        <scheme val="minor"/>
      </rPr>
      <t xml:space="preserve"> * r68 + v69_S</t>
    </r>
    <r>
      <rPr>
        <vertAlign val="subscript"/>
        <sz val="11"/>
        <rFont val="Calibri"/>
        <family val="2"/>
        <scheme val="minor"/>
      </rPr>
      <t>PO4</t>
    </r>
    <r>
      <rPr>
        <sz val="11"/>
        <rFont val="Calibri"/>
        <family val="2"/>
        <scheme val="minor"/>
      </rPr>
      <t xml:space="preserve"> * r69 + v74_S</t>
    </r>
    <r>
      <rPr>
        <vertAlign val="subscript"/>
        <sz val="11"/>
        <rFont val="Calibri"/>
        <family val="2"/>
        <scheme val="minor"/>
      </rPr>
      <t>PO4</t>
    </r>
    <r>
      <rPr>
        <sz val="11"/>
        <rFont val="Calibri"/>
        <family val="2"/>
        <scheme val="minor"/>
      </rPr>
      <t xml:space="preserve"> * r74 + v75_S</t>
    </r>
    <r>
      <rPr>
        <vertAlign val="subscript"/>
        <sz val="11"/>
        <rFont val="Calibri"/>
        <family val="2"/>
        <scheme val="minor"/>
      </rPr>
      <t>PO4</t>
    </r>
    <r>
      <rPr>
        <sz val="11"/>
        <rFont val="Calibri"/>
        <family val="2"/>
        <scheme val="minor"/>
      </rPr>
      <t xml:space="preserve"> * r75 + v76_S</t>
    </r>
    <r>
      <rPr>
        <vertAlign val="subscript"/>
        <sz val="11"/>
        <rFont val="Calibri"/>
        <family val="2"/>
        <scheme val="minor"/>
      </rPr>
      <t>PO4</t>
    </r>
    <r>
      <rPr>
        <sz val="11"/>
        <rFont val="Calibri"/>
        <family val="2"/>
        <scheme val="minor"/>
      </rPr>
      <t xml:space="preserve"> * r76 + v77_S</t>
    </r>
    <r>
      <rPr>
        <vertAlign val="subscript"/>
        <sz val="11"/>
        <rFont val="Calibri"/>
        <family val="2"/>
        <scheme val="minor"/>
      </rPr>
      <t>PO4</t>
    </r>
    <r>
      <rPr>
        <sz val="11"/>
        <rFont val="Calibri"/>
        <family val="2"/>
        <scheme val="minor"/>
      </rPr>
      <t xml:space="preserve"> * r77 + v83_S</t>
    </r>
    <r>
      <rPr>
        <vertAlign val="subscript"/>
        <sz val="11"/>
        <rFont val="Calibri"/>
        <family val="2"/>
        <scheme val="minor"/>
      </rPr>
      <t>PO4</t>
    </r>
    <r>
      <rPr>
        <sz val="11"/>
        <rFont val="Calibri"/>
        <family val="2"/>
        <scheme val="minor"/>
      </rPr>
      <t xml:space="preserve"> * r83 + v84_S</t>
    </r>
    <r>
      <rPr>
        <vertAlign val="subscript"/>
        <sz val="11"/>
        <rFont val="Calibri"/>
        <family val="2"/>
        <scheme val="minor"/>
      </rPr>
      <t>PO4</t>
    </r>
    <r>
      <rPr>
        <sz val="11"/>
        <rFont val="Calibri"/>
        <family val="2"/>
        <scheme val="minor"/>
      </rPr>
      <t xml:space="preserve"> * r84 + v85_S</t>
    </r>
    <r>
      <rPr>
        <vertAlign val="subscript"/>
        <sz val="11"/>
        <rFont val="Calibri"/>
        <family val="2"/>
        <scheme val="minor"/>
      </rPr>
      <t>PO4</t>
    </r>
    <r>
      <rPr>
        <sz val="11"/>
        <rFont val="Calibri"/>
        <family val="2"/>
        <scheme val="minor"/>
      </rPr>
      <t xml:space="preserve"> * r85</t>
    </r>
  </si>
  <si>
    <t>(v103_SO2 * r103)</t>
  </si>
  <si>
    <t>(v97_SO2 * r97)</t>
  </si>
  <si>
    <t>((v77_SCO2 * r77) + (v86_SCO2 * r86))</t>
  </si>
  <si>
    <t>((v64_SCO2 * r64) + (v65_SCO2 * r65) + (v67_SCO2 * r67) + (v68_SCO2 * r68) + (v69_SCO2 * r69))</t>
  </si>
  <si>
    <t>((v100_SCO2 * r100))</t>
  </si>
  <si>
    <t>((v72_SPO4 * r72) + (v73_SPO4 * r73) + (v74_SPO4 * r74) + (v75_SPO4 * r75) + (v76_SPO4 * r76) + (v77_SPO4 * r77) + (v81_SPO4 * r81) + (v82_SPO4 * r82) + (v83_SPO4 * r83) + (v84_SPO4 * r84) + (v85_SPO4 * r85) + (v87_SPO4 * r87) + (v88_SPO4 * r88) + (v89_SPO4 * r89) + (v90_SPO4 * r90))</t>
  </si>
  <si>
    <t>((v63_SPO4 * r63) + (v68_SPO4 * r68) + (v69_SPO4 * r69))</t>
  </si>
  <si>
    <t>((v62_SNHx * r62) + (v68_SNHx * r68) + (v69_SNHx * r69))</t>
  </si>
  <si>
    <t>((v78_SO2 * r78))</t>
  </si>
  <si>
    <t>((v103_SO2 * r103)) * SOTRaerator/SOTRsur</t>
  </si>
  <si>
    <t>((v103_SO2 * r103)) * SOTRsur,min/SOTRsur</t>
  </si>
  <si>
    <t>((v104_SNHx * r104))</t>
  </si>
  <si>
    <t xml:space="preserve"> + ((v3_SNO3 * r3 * 1) + (v6_SNO3 * r6 * 1) + (v13_SNO3 * r13 * 1) + (v18_SNO3 * r18 * 1) + (v21_SNO3 * r21 * 1) + (v24_SNO3 * r24 * 1) + (v29_SNO3 * r29 * 1) + (v69_SNO3 * r69 * 1) + (v2_SNO2 * r2 * 1) + (v3_SNO2 * r3 * 1) + (v5_SNO2 * r5 * 1) + (v6_SNO2 * r6 * 1) + (v12_SNO2 * r12 * 1) + (v13_SNO2 * r13 * 1) + (v17_SNO2 * r17 * 1) + (v18_SNO2 * r18 * 1) + (v20_SNO2 * r20 * 1) + (v21_SNO2 * r21 * 1) + (v23_SNO2 * r23 * 1) + (v24_SNO2 * r24 * 1) + (v28_SNO2 * r28 * 1) + (v29_SNO2 * r29 * 1) + (v68_SNO2 * r68 * 1))</t>
  </si>
  <si>
    <r>
      <t xml:space="preserve"> - ((v3_SNO3 * r3 * -EEQ</t>
    </r>
    <r>
      <rPr>
        <vertAlign val="subscript"/>
        <sz val="11"/>
        <rFont val="Calibri"/>
        <family val="2"/>
        <charset val="238"/>
        <scheme val="minor"/>
      </rPr>
      <t>NO3</t>
    </r>
    <r>
      <rPr>
        <sz val="11"/>
        <rFont val="Calibri"/>
        <family val="2"/>
        <scheme val="minor"/>
      </rPr>
      <t>) + (v6_SNO3 * r6 * -EEQ</t>
    </r>
    <r>
      <rPr>
        <vertAlign val="subscript"/>
        <sz val="11"/>
        <rFont val="Calibri"/>
        <family val="2"/>
        <charset val="238"/>
        <scheme val="minor"/>
      </rPr>
      <t>NO3</t>
    </r>
    <r>
      <rPr>
        <sz val="11"/>
        <rFont val="Calibri"/>
        <family val="2"/>
        <scheme val="minor"/>
      </rPr>
      <t>) + (v13_SNO3 * r13 * -EEQ</t>
    </r>
    <r>
      <rPr>
        <vertAlign val="subscript"/>
        <sz val="11"/>
        <rFont val="Calibri"/>
        <family val="2"/>
        <charset val="238"/>
        <scheme val="minor"/>
      </rPr>
      <t>NO3</t>
    </r>
    <r>
      <rPr>
        <sz val="11"/>
        <rFont val="Calibri"/>
        <family val="2"/>
        <scheme val="minor"/>
      </rPr>
      <t>) + (v18_SNO3 * r18 * -EEQ</t>
    </r>
    <r>
      <rPr>
        <vertAlign val="subscript"/>
        <sz val="11"/>
        <rFont val="Calibri"/>
        <family val="2"/>
        <charset val="238"/>
        <scheme val="minor"/>
      </rPr>
      <t>NO3</t>
    </r>
    <r>
      <rPr>
        <sz val="11"/>
        <rFont val="Calibri"/>
        <family val="2"/>
        <scheme val="minor"/>
      </rPr>
      <t>) + (v21_SNO3 * r21 * -EEQ</t>
    </r>
    <r>
      <rPr>
        <vertAlign val="subscript"/>
        <sz val="11"/>
        <rFont val="Calibri"/>
        <family val="2"/>
        <charset val="238"/>
        <scheme val="minor"/>
      </rPr>
      <t>NO3</t>
    </r>
    <r>
      <rPr>
        <sz val="11"/>
        <rFont val="Calibri"/>
        <family val="2"/>
        <scheme val="minor"/>
      </rPr>
      <t>) + (v24_SNO3 * r24 * -EEQ</t>
    </r>
    <r>
      <rPr>
        <vertAlign val="subscript"/>
        <sz val="11"/>
        <rFont val="Calibri"/>
        <family val="2"/>
        <charset val="238"/>
        <scheme val="minor"/>
      </rPr>
      <t>NO3</t>
    </r>
    <r>
      <rPr>
        <sz val="11"/>
        <rFont val="Calibri"/>
        <family val="2"/>
        <scheme val="minor"/>
      </rPr>
      <t>) + (v29_SNO3 * r29 * -EEQ</t>
    </r>
    <r>
      <rPr>
        <vertAlign val="subscript"/>
        <sz val="11"/>
        <rFont val="Calibri"/>
        <family val="2"/>
        <charset val="238"/>
        <scheme val="minor"/>
      </rPr>
      <t>NO3</t>
    </r>
    <r>
      <rPr>
        <sz val="11"/>
        <rFont val="Calibri"/>
        <family val="2"/>
        <scheme val="minor"/>
      </rPr>
      <t>) + (v69_SNO3 * r69 * -EEQ</t>
    </r>
    <r>
      <rPr>
        <vertAlign val="subscript"/>
        <sz val="11"/>
        <rFont val="Calibri"/>
        <family val="2"/>
        <charset val="238"/>
        <scheme val="minor"/>
      </rPr>
      <t>NO3</t>
    </r>
    <r>
      <rPr>
        <sz val="11"/>
        <rFont val="Calibri"/>
        <family val="2"/>
        <scheme val="minor"/>
      </rPr>
      <t>) + (v2_SNO2 * r2 * -EEQ</t>
    </r>
    <r>
      <rPr>
        <vertAlign val="subscript"/>
        <sz val="11"/>
        <rFont val="Calibri"/>
        <family val="2"/>
        <charset val="238"/>
        <scheme val="minor"/>
      </rPr>
      <t>NO2</t>
    </r>
    <r>
      <rPr>
        <sz val="11"/>
        <rFont val="Calibri"/>
        <family val="2"/>
        <scheme val="minor"/>
      </rPr>
      <t>) + (v3_SNO2 * r3 * -EEQ</t>
    </r>
    <r>
      <rPr>
        <vertAlign val="subscript"/>
        <sz val="11"/>
        <rFont val="Calibri"/>
        <family val="2"/>
        <charset val="238"/>
        <scheme val="minor"/>
      </rPr>
      <t>NO2</t>
    </r>
    <r>
      <rPr>
        <sz val="11"/>
        <rFont val="Calibri"/>
        <family val="2"/>
        <scheme val="minor"/>
      </rPr>
      <t>) + (v5_SNO2 * r5 * -EEQ</t>
    </r>
    <r>
      <rPr>
        <vertAlign val="subscript"/>
        <sz val="11"/>
        <rFont val="Calibri"/>
        <family val="2"/>
        <charset val="238"/>
        <scheme val="minor"/>
      </rPr>
      <t>NO2</t>
    </r>
    <r>
      <rPr>
        <sz val="11"/>
        <rFont val="Calibri"/>
        <family val="2"/>
        <scheme val="minor"/>
      </rPr>
      <t>) + (v6_SNO2 * r6 * -EEQ</t>
    </r>
    <r>
      <rPr>
        <vertAlign val="subscript"/>
        <sz val="11"/>
        <rFont val="Calibri"/>
        <family val="2"/>
        <charset val="238"/>
        <scheme val="minor"/>
      </rPr>
      <t>NO2</t>
    </r>
    <r>
      <rPr>
        <sz val="11"/>
        <rFont val="Calibri"/>
        <family val="2"/>
        <scheme val="minor"/>
      </rPr>
      <t>) + (v12_SNO2 * r12 * -EEQ</t>
    </r>
    <r>
      <rPr>
        <vertAlign val="subscript"/>
        <sz val="11"/>
        <rFont val="Calibri"/>
        <family val="2"/>
        <charset val="238"/>
        <scheme val="minor"/>
      </rPr>
      <t>NO2</t>
    </r>
    <r>
      <rPr>
        <sz val="11"/>
        <rFont val="Calibri"/>
        <family val="2"/>
        <scheme val="minor"/>
      </rPr>
      <t>) + (v13_SNO2 * r13 * -EEQ</t>
    </r>
    <r>
      <rPr>
        <vertAlign val="subscript"/>
        <sz val="11"/>
        <rFont val="Calibri"/>
        <family val="2"/>
        <charset val="238"/>
        <scheme val="minor"/>
      </rPr>
      <t>NO2</t>
    </r>
    <r>
      <rPr>
        <sz val="11"/>
        <rFont val="Calibri"/>
        <family val="2"/>
        <scheme val="minor"/>
      </rPr>
      <t>) + (v17_SNO2 * r17 * -EEQ</t>
    </r>
    <r>
      <rPr>
        <vertAlign val="subscript"/>
        <sz val="11"/>
        <rFont val="Calibri"/>
        <family val="2"/>
        <charset val="238"/>
        <scheme val="minor"/>
      </rPr>
      <t>NO2</t>
    </r>
    <r>
      <rPr>
        <sz val="11"/>
        <rFont val="Calibri"/>
        <family val="2"/>
        <scheme val="minor"/>
      </rPr>
      <t>) + (v18_SNO2 * r18 * -EEQ</t>
    </r>
    <r>
      <rPr>
        <vertAlign val="subscript"/>
        <sz val="11"/>
        <rFont val="Calibri"/>
        <family val="2"/>
        <charset val="238"/>
        <scheme val="minor"/>
      </rPr>
      <t>NO2</t>
    </r>
    <r>
      <rPr>
        <sz val="11"/>
        <rFont val="Calibri"/>
        <family val="2"/>
        <scheme val="minor"/>
      </rPr>
      <t>) + (v20_SNO2 * r20 * -EEQ</t>
    </r>
    <r>
      <rPr>
        <vertAlign val="subscript"/>
        <sz val="11"/>
        <rFont val="Calibri"/>
        <family val="2"/>
        <charset val="238"/>
        <scheme val="minor"/>
      </rPr>
      <t>NO2</t>
    </r>
    <r>
      <rPr>
        <sz val="11"/>
        <rFont val="Calibri"/>
        <family val="2"/>
        <scheme val="minor"/>
      </rPr>
      <t>) + (v21_SNO2 * r21 * -EEQ</t>
    </r>
    <r>
      <rPr>
        <vertAlign val="subscript"/>
        <sz val="11"/>
        <rFont val="Calibri"/>
        <family val="2"/>
        <charset val="238"/>
        <scheme val="minor"/>
      </rPr>
      <t>NO2</t>
    </r>
    <r>
      <rPr>
        <sz val="11"/>
        <rFont val="Calibri"/>
        <family val="2"/>
        <scheme val="minor"/>
      </rPr>
      <t>) + (v23_SNO2 * r23 * -EEQ</t>
    </r>
    <r>
      <rPr>
        <vertAlign val="subscript"/>
        <sz val="11"/>
        <rFont val="Calibri"/>
        <family val="2"/>
        <charset val="238"/>
        <scheme val="minor"/>
      </rPr>
      <t>NO2</t>
    </r>
    <r>
      <rPr>
        <sz val="11"/>
        <rFont val="Calibri"/>
        <family val="2"/>
        <scheme val="minor"/>
      </rPr>
      <t>) + (v24_SNO2 * r24 * -EEQ</t>
    </r>
    <r>
      <rPr>
        <vertAlign val="subscript"/>
        <sz val="11"/>
        <rFont val="Calibri"/>
        <family val="2"/>
        <charset val="238"/>
        <scheme val="minor"/>
      </rPr>
      <t>NO2</t>
    </r>
    <r>
      <rPr>
        <sz val="11"/>
        <rFont val="Calibri"/>
        <family val="2"/>
        <scheme val="minor"/>
      </rPr>
      <t>) + (v28_SNO2 * r28 * -EEQ</t>
    </r>
    <r>
      <rPr>
        <vertAlign val="subscript"/>
        <sz val="11"/>
        <rFont val="Calibri"/>
        <family val="2"/>
        <charset val="238"/>
        <scheme val="minor"/>
      </rPr>
      <t>NO2</t>
    </r>
    <r>
      <rPr>
        <sz val="11"/>
        <rFont val="Calibri"/>
        <family val="2"/>
        <scheme val="minor"/>
      </rPr>
      <t>) + (v29_SNO2 * r29 * -EEQ</t>
    </r>
    <r>
      <rPr>
        <vertAlign val="subscript"/>
        <sz val="11"/>
        <rFont val="Calibri"/>
        <family val="2"/>
        <charset val="238"/>
        <scheme val="minor"/>
      </rPr>
      <t>NO2</t>
    </r>
    <r>
      <rPr>
        <sz val="11"/>
        <rFont val="Calibri"/>
        <family val="2"/>
        <scheme val="minor"/>
      </rPr>
      <t>) + (v68_SNO2 * r68 * -EEQ</t>
    </r>
    <r>
      <rPr>
        <vertAlign val="subscript"/>
        <sz val="11"/>
        <rFont val="Calibri"/>
        <family val="2"/>
        <charset val="238"/>
        <scheme val="minor"/>
      </rPr>
      <t>NO2</t>
    </r>
    <r>
      <rPr>
        <sz val="11"/>
        <rFont val="Calibri"/>
        <family val="2"/>
        <scheme val="minor"/>
      </rPr>
      <t>) + (v2_SN2 * r2 * -EEQ</t>
    </r>
    <r>
      <rPr>
        <vertAlign val="subscript"/>
        <sz val="11"/>
        <rFont val="Calibri"/>
        <family val="2"/>
        <charset val="238"/>
        <scheme val="minor"/>
      </rPr>
      <t>N2</t>
    </r>
    <r>
      <rPr>
        <sz val="11"/>
        <rFont val="Calibri"/>
        <family val="2"/>
        <scheme val="minor"/>
      </rPr>
      <t>) + (v5_SN2 * r5 * -EEQ</t>
    </r>
    <r>
      <rPr>
        <vertAlign val="subscript"/>
        <sz val="11"/>
        <rFont val="Calibri"/>
        <family val="2"/>
        <charset val="238"/>
        <scheme val="minor"/>
      </rPr>
      <t>N2</t>
    </r>
    <r>
      <rPr>
        <sz val="11"/>
        <rFont val="Calibri"/>
        <family val="2"/>
        <scheme val="minor"/>
      </rPr>
      <t>) + (v12_SN2 * r12 * -EEQ</t>
    </r>
    <r>
      <rPr>
        <vertAlign val="subscript"/>
        <sz val="11"/>
        <rFont val="Calibri"/>
        <family val="2"/>
        <charset val="238"/>
        <scheme val="minor"/>
      </rPr>
      <t>N2</t>
    </r>
    <r>
      <rPr>
        <sz val="11"/>
        <rFont val="Calibri"/>
        <family val="2"/>
        <scheme val="minor"/>
      </rPr>
      <t>) + (v17_SN2 * r17 * -EEQ</t>
    </r>
    <r>
      <rPr>
        <vertAlign val="subscript"/>
        <sz val="11"/>
        <rFont val="Calibri"/>
        <family val="2"/>
        <charset val="238"/>
        <scheme val="minor"/>
      </rPr>
      <t>N2</t>
    </r>
    <r>
      <rPr>
        <sz val="11"/>
        <rFont val="Calibri"/>
        <family val="2"/>
        <scheme val="minor"/>
      </rPr>
      <t>) + (v20_SN2 * r20 * -EEQ</t>
    </r>
    <r>
      <rPr>
        <vertAlign val="subscript"/>
        <sz val="11"/>
        <rFont val="Calibri"/>
        <family val="2"/>
        <charset val="238"/>
        <scheme val="minor"/>
      </rPr>
      <t>N2</t>
    </r>
    <r>
      <rPr>
        <sz val="11"/>
        <rFont val="Calibri"/>
        <family val="2"/>
        <scheme val="minor"/>
      </rPr>
      <t>) + (v23_SN2 * r23 * -EEQ</t>
    </r>
    <r>
      <rPr>
        <vertAlign val="subscript"/>
        <sz val="11"/>
        <rFont val="Calibri"/>
        <family val="2"/>
        <charset val="238"/>
        <scheme val="minor"/>
      </rPr>
      <t>N2</t>
    </r>
    <r>
      <rPr>
        <sz val="11"/>
        <rFont val="Calibri"/>
        <family val="2"/>
        <scheme val="minor"/>
      </rPr>
      <t>) + (v28_SN2 * r28 * -EEQ</t>
    </r>
    <r>
      <rPr>
        <vertAlign val="subscript"/>
        <sz val="11"/>
        <rFont val="Calibri"/>
        <family val="2"/>
        <charset val="238"/>
        <scheme val="minor"/>
      </rPr>
      <t>N2</t>
    </r>
    <r>
      <rPr>
        <sz val="11"/>
        <rFont val="Calibri"/>
        <family val="2"/>
        <scheme val="minor"/>
      </rPr>
      <t>))</t>
    </r>
  </si>
  <si>
    <t>((v101_SCH4 * r101) + (v102_SH2 * r102))</t>
  </si>
  <si>
    <r>
      <t>(+(-v1_SO2*r1)+(-v4_SO2*r4)+(-v9_SO2*r9)+(-v16_SO2*r16)+(-v19_SO2*r19)+(-v22_SO2*r22)+(-v27_SO2*r27)+(-v37_SO2*r37)+(-v40_SO2*r40)+(-v52_SO2*r52)+(-v53_SO2*r53)+(-v54_SO2*r54)+(-v78_SO2*r78)+(+EEQ</t>
    </r>
    <r>
      <rPr>
        <vertAlign val="subscript"/>
        <sz val="11"/>
        <rFont val="Calibri"/>
        <family val="2"/>
        <charset val="238"/>
        <scheme val="minor"/>
      </rPr>
      <t>N2,NO3</t>
    </r>
    <r>
      <rPr>
        <sz val="11"/>
        <rFont val="Calibri"/>
        <family val="2"/>
        <scheme val="minor"/>
      </rPr>
      <t xml:space="preserve"> * v2_SN2*r2)+(+EEQ</t>
    </r>
    <r>
      <rPr>
        <vertAlign val="subscript"/>
        <sz val="11"/>
        <rFont val="Calibri"/>
        <family val="2"/>
        <charset val="238"/>
        <scheme val="minor"/>
      </rPr>
      <t>N2,NO3</t>
    </r>
    <r>
      <rPr>
        <sz val="11"/>
        <rFont val="Calibri"/>
        <family val="2"/>
        <scheme val="minor"/>
      </rPr>
      <t xml:space="preserve"> * v5_SN2*r5)+(+EEQ</t>
    </r>
    <r>
      <rPr>
        <vertAlign val="subscript"/>
        <sz val="11"/>
        <rFont val="Calibri"/>
        <family val="2"/>
        <charset val="238"/>
        <scheme val="minor"/>
      </rPr>
      <t>N2,NO3</t>
    </r>
    <r>
      <rPr>
        <sz val="11"/>
        <rFont val="Calibri"/>
        <family val="2"/>
        <scheme val="minor"/>
      </rPr>
      <t xml:space="preserve"> * v12_SN2*r12)+(+EEQ</t>
    </r>
    <r>
      <rPr>
        <vertAlign val="subscript"/>
        <sz val="11"/>
        <rFont val="Calibri"/>
        <family val="2"/>
        <charset val="238"/>
        <scheme val="minor"/>
      </rPr>
      <t>N2,NO3</t>
    </r>
    <r>
      <rPr>
        <sz val="11"/>
        <rFont val="Calibri"/>
        <family val="2"/>
        <scheme val="minor"/>
      </rPr>
      <t xml:space="preserve"> * v17_SN2*r17)+(+EEQ</t>
    </r>
    <r>
      <rPr>
        <vertAlign val="subscript"/>
        <sz val="11"/>
        <rFont val="Calibri"/>
        <family val="2"/>
        <charset val="238"/>
        <scheme val="minor"/>
      </rPr>
      <t>N2,NO3</t>
    </r>
    <r>
      <rPr>
        <sz val="11"/>
        <rFont val="Calibri"/>
        <family val="2"/>
        <scheme val="minor"/>
      </rPr>
      <t xml:space="preserve"> * v20_SN2*r20)+(+EEQ</t>
    </r>
    <r>
      <rPr>
        <vertAlign val="subscript"/>
        <sz val="11"/>
        <rFont val="Calibri"/>
        <family val="2"/>
        <charset val="238"/>
        <scheme val="minor"/>
      </rPr>
      <t>N2,NO3</t>
    </r>
    <r>
      <rPr>
        <sz val="11"/>
        <rFont val="Calibri"/>
        <family val="2"/>
        <scheme val="minor"/>
      </rPr>
      <t xml:space="preserve"> * v23_SN2*r23)+(+EEQ</t>
    </r>
    <r>
      <rPr>
        <vertAlign val="subscript"/>
        <sz val="11"/>
        <rFont val="Calibri"/>
        <family val="2"/>
        <charset val="238"/>
        <scheme val="minor"/>
      </rPr>
      <t>N2,NO3</t>
    </r>
    <r>
      <rPr>
        <sz val="11"/>
        <rFont val="Calibri"/>
        <family val="2"/>
        <scheme val="minor"/>
      </rPr>
      <t xml:space="preserve"> * v28_SN2*r28)+(+EEQ</t>
    </r>
    <r>
      <rPr>
        <vertAlign val="subscript"/>
        <sz val="11"/>
        <rFont val="Calibri"/>
        <family val="2"/>
        <charset val="238"/>
        <scheme val="minor"/>
      </rPr>
      <t>N2,NO3</t>
    </r>
    <r>
      <rPr>
        <sz val="11"/>
        <rFont val="Calibri"/>
        <family val="2"/>
        <scheme val="minor"/>
      </rPr>
      <t xml:space="preserve"> * v43_SN2*r43)) * DeltaHbio</t>
    </r>
  </si>
  <si>
    <t>Intracellular water of biomass in volatile solids</t>
  </si>
  <si>
    <t>Assuming 80% of biomass cytoplasm is water(wet mass0.8/ dry mass0.2)</t>
  </si>
  <si>
    <r>
      <t>%v.v</t>
    </r>
    <r>
      <rPr>
        <vertAlign val="superscript"/>
        <sz val="11"/>
        <rFont val="Calibri"/>
        <family val="2"/>
        <scheme val="minor"/>
      </rPr>
      <t>-1</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</si>
  <si>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SNO3,KNO3,MEOLO</t>
    </r>
    <r>
      <rPr>
        <sz val="11"/>
        <rFont val="Calibri"/>
        <family val="2"/>
      </rPr>
      <t>*</t>
    </r>
    <r>
      <rPr>
        <sz val="11"/>
        <color rgb="FFFF0000"/>
        <rFont val="Calibri"/>
        <family val="2"/>
      </rPr>
      <t>Logsat</t>
    </r>
    <r>
      <rPr>
        <vertAlign val="subscript"/>
        <sz val="11"/>
        <color rgb="FFFF0000"/>
        <rFont val="Calibri"/>
        <family val="2"/>
      </rPr>
      <t>SNO3,KNO3,MEOLO</t>
    </r>
    <r>
      <rPr>
        <sz val="11"/>
        <color rgb="FFFF0000"/>
        <rFont val="Calibri"/>
        <family val="2"/>
      </rPr>
      <t>*(Loginh</t>
    </r>
    <r>
      <rPr>
        <vertAlign val="subscript"/>
        <sz val="11"/>
        <color rgb="FFFF0000"/>
        <rFont val="Calibri"/>
        <family val="2"/>
      </rPr>
      <t>SMEOL,KMEOL,SNO2</t>
    </r>
    <r>
      <rPr>
        <sz val="11"/>
        <color rgb="FFFF0000"/>
        <rFont val="Calibri"/>
        <family val="2"/>
      </rPr>
      <t>+Minh</t>
    </r>
    <r>
      <rPr>
        <vertAlign val="subscript"/>
        <sz val="11"/>
        <color rgb="FFFF0000"/>
        <rFont val="Calibri"/>
        <family val="2"/>
      </rPr>
      <t>SNO2,KNO2,MEOLO</t>
    </r>
    <r>
      <rPr>
        <sz val="11"/>
        <color rgb="FFFF0000"/>
        <rFont val="Calibri"/>
        <family val="2"/>
      </rPr>
      <t>*Logsat</t>
    </r>
    <r>
      <rPr>
        <vertAlign val="subscript"/>
        <sz val="11"/>
        <color rgb="FFFF0000"/>
        <rFont val="Calibri"/>
        <family val="2"/>
      </rPr>
      <t>SMEOL,KMEOL,SNO2</t>
    </r>
    <r>
      <rPr>
        <sz val="11"/>
        <color rgb="FFFF0000"/>
        <rFont val="Calibri"/>
        <family val="2"/>
      </rPr>
      <t>)</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</si>
  <si>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OHO,anox</t>
    </r>
    <r>
      <rPr>
        <sz val="11"/>
        <rFont val="Calibri"/>
        <family val="2"/>
      </rPr>
      <t>*Msat</t>
    </r>
    <r>
      <rPr>
        <vertAlign val="subscript"/>
        <sz val="11"/>
        <rFont val="Calibri"/>
        <family val="2"/>
      </rPr>
      <t>SVFA,KVFA</t>
    </r>
    <r>
      <rPr>
        <sz val="11"/>
        <rFont val="Calibri"/>
        <family val="2"/>
      </rPr>
      <t>*</t>
    </r>
    <r>
      <rPr>
        <sz val="11"/>
        <color rgb="FFFF0000"/>
        <rFont val="Calibri"/>
        <family val="2"/>
      </rPr>
      <t>Logsat</t>
    </r>
    <r>
      <rPr>
        <vertAlign val="subscript"/>
        <sz val="11"/>
        <color rgb="FFFF0000"/>
        <rFont val="Calibri"/>
        <family val="2"/>
      </rPr>
      <t>SNO3,KNO3,OHO</t>
    </r>
    <r>
      <rPr>
        <sz val="11"/>
        <color rgb="FFFF0000"/>
        <rFont val="Calibri"/>
        <family val="2"/>
      </rPr>
      <t>*(Loginh</t>
    </r>
    <r>
      <rPr>
        <vertAlign val="subscript"/>
        <sz val="11"/>
        <color rgb="FFFF0000"/>
        <rFont val="Calibri"/>
        <family val="2"/>
      </rPr>
      <t>SVFA,KVFA,OHO,SNO2</t>
    </r>
    <r>
      <rPr>
        <sz val="11"/>
        <color rgb="FFFF0000"/>
        <rFont val="Calibri"/>
        <family val="2"/>
      </rPr>
      <t>+Minh</t>
    </r>
    <r>
      <rPr>
        <vertAlign val="subscript"/>
        <sz val="11"/>
        <color rgb="FFFF0000"/>
        <rFont val="Calibri"/>
        <family val="2"/>
      </rPr>
      <t>SNO2,KNO2,OHO</t>
    </r>
    <r>
      <rPr>
        <sz val="11"/>
        <color rgb="FFFF0000"/>
        <rFont val="Calibri"/>
        <family val="2"/>
      </rPr>
      <t>*Logsat</t>
    </r>
    <r>
      <rPr>
        <vertAlign val="subscript"/>
        <sz val="11"/>
        <color rgb="FFFF0000"/>
        <rFont val="Calibri"/>
        <family val="2"/>
      </rPr>
      <t>SVFA,KVFA,OHO,SNO2</t>
    </r>
    <r>
      <rPr>
        <sz val="11"/>
        <color rgb="FFFF0000"/>
        <rFont val="Calibri"/>
        <family val="2"/>
      </rPr>
      <t>)</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</si>
  <si>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X</t>
    </r>
    <r>
      <rPr>
        <vertAlign val="subscript"/>
        <sz val="11"/>
        <rFont val="Calibri"/>
        <family val="2"/>
        <scheme val="minor"/>
      </rPr>
      <t>N,Be</t>
    </r>
    <r>
      <rPr>
        <sz val="11"/>
        <rFont val="Calibri"/>
        <family val="2"/>
        <scheme val="minor"/>
      </rPr>
      <t>+i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r>
      <rPr>
        <sz val="11"/>
        <rFont val="Calibri"/>
        <family val="2"/>
        <scheme val="minor"/>
      </rPr>
      <t xml:space="preserve"> + X</t>
    </r>
    <r>
      <rPr>
        <vertAlign val="subscript"/>
        <sz val="11"/>
        <rFont val="Calibri"/>
        <family val="2"/>
        <scheme val="minor"/>
      </rPr>
      <t>N,U</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r>
      <rPr>
        <sz val="11"/>
        <rFont val="Calibri"/>
        <family val="2"/>
        <scheme val="minor"/>
      </rPr>
      <t>+i</t>
    </r>
    <r>
      <rPr>
        <vertAlign val="subscript"/>
        <sz val="11"/>
        <rFont val="Calibri"/>
        <family val="2"/>
        <scheme val="minor"/>
      </rPr>
      <t>N,XE</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i</t>
    </r>
    <r>
      <rPr>
        <vertAlign val="subscript"/>
        <sz val="11"/>
        <rFont val="Calibri"/>
        <family val="2"/>
        <scheme val="minor"/>
      </rPr>
      <t>N,XSTR</t>
    </r>
    <r>
      <rPr>
        <sz val="11"/>
        <rFont val="Calibri"/>
        <family val="2"/>
        <scheme val="minor"/>
      </rPr>
      <t xml:space="preserve"> * X</t>
    </r>
    <r>
      <rPr>
        <vertAlign val="subscript"/>
        <sz val="11"/>
        <rFont val="Calibri"/>
        <family val="2"/>
        <scheme val="minor"/>
      </rPr>
      <t>STR</t>
    </r>
    <r>
      <rPr>
        <sz val="11"/>
        <rFont val="Calibri"/>
        <family val="2"/>
        <scheme val="minor"/>
      </rPr>
      <t xml:space="preserve"> </t>
    </r>
  </si>
  <si>
    <r>
      <t>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X</t>
    </r>
    <r>
      <rPr>
        <vertAlign val="subscript"/>
        <sz val="11"/>
        <rFont val="Calibri"/>
        <family val="2"/>
        <scheme val="minor"/>
      </rPr>
      <t>N,Be</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</si>
  <si>
    <r>
      <t>i</t>
    </r>
    <r>
      <rPr>
        <vertAlign val="subscript"/>
        <sz val="11"/>
        <rFont val="Calibri"/>
        <family val="2"/>
        <scheme val="minor"/>
      </rPr>
      <t>P,BIO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 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P,B</t>
    </r>
    <r>
      <rPr>
        <sz val="11"/>
        <rFont val="Calibri"/>
        <family val="2"/>
        <scheme val="minor"/>
      </rPr>
      <t xml:space="preserve"> + X</t>
    </r>
    <r>
      <rPr>
        <vertAlign val="subscript"/>
        <sz val="11"/>
        <rFont val="Calibri"/>
        <family val="2"/>
        <scheme val="minor"/>
      </rPr>
      <t>P,Be</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X</t>
    </r>
    <r>
      <rPr>
        <vertAlign val="subscript"/>
        <sz val="11"/>
        <rFont val="Calibri"/>
        <family val="2"/>
        <scheme val="minor"/>
      </rPr>
      <t>P,U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r>
      <rPr>
        <sz val="11"/>
        <rFont val="Calibri"/>
        <family val="2"/>
        <scheme val="minor"/>
      </rPr>
      <t xml:space="preserve">  +X</t>
    </r>
    <r>
      <rPr>
        <vertAlign val="subscript"/>
        <sz val="11"/>
        <rFont val="Calibri"/>
        <family val="2"/>
        <scheme val="minor"/>
      </rPr>
      <t>PP</t>
    </r>
    <r>
      <rPr>
        <sz val="11"/>
        <rFont val="Calibri"/>
        <family val="2"/>
        <scheme val="minor"/>
      </rPr>
      <t xml:space="preserve"> + i</t>
    </r>
    <r>
      <rPr>
        <vertAlign val="subscript"/>
        <sz val="11"/>
        <rFont val="Calibri"/>
        <family val="2"/>
        <scheme val="minor"/>
      </rPr>
      <t>P,XSTR</t>
    </r>
    <r>
      <rPr>
        <sz val="11"/>
        <rFont val="Calibri"/>
        <family val="2"/>
        <scheme val="minor"/>
      </rPr>
      <t xml:space="preserve"> * X</t>
    </r>
    <r>
      <rPr>
        <vertAlign val="subscript"/>
        <sz val="11"/>
        <rFont val="Calibri"/>
        <family val="2"/>
        <scheme val="minor"/>
      </rPr>
      <t>STR</t>
    </r>
    <r>
      <rPr>
        <sz val="11"/>
        <rFont val="Calibri"/>
        <family val="2"/>
        <scheme val="minor"/>
      </rPr>
      <t xml:space="preserve"> +X</t>
    </r>
    <r>
      <rPr>
        <vertAlign val="subscript"/>
        <sz val="11"/>
        <rFont val="Calibri"/>
        <family val="2"/>
        <scheme val="minor"/>
      </rPr>
      <t>HFO,P</t>
    </r>
    <r>
      <rPr>
        <sz val="11"/>
        <rFont val="Calibri"/>
        <family val="2"/>
        <charset val="238"/>
        <scheme val="minor"/>
      </rPr>
      <t>+</t>
    </r>
    <r>
      <rPr>
        <sz val="11"/>
        <rFont val="Calibri"/>
        <family val="2"/>
        <scheme val="minor"/>
      </rPr>
      <t>X</t>
    </r>
    <r>
      <rPr>
        <vertAlign val="subscript"/>
        <sz val="11"/>
        <rFont val="Calibri"/>
        <family val="2"/>
        <scheme val="minor"/>
      </rPr>
      <t>HAO,P</t>
    </r>
    <r>
      <rPr>
        <sz val="11"/>
        <rFont val="Calibri"/>
        <family val="2"/>
        <scheme val="minor"/>
      </rPr>
      <t>+i</t>
    </r>
    <r>
      <rPr>
        <vertAlign val="subscript"/>
        <sz val="11"/>
        <rFont val="Calibri"/>
        <family val="2"/>
        <scheme val="minor"/>
      </rPr>
      <t>P,XACP</t>
    </r>
    <r>
      <rPr>
        <sz val="11"/>
        <rFont val="Calibri"/>
        <family val="2"/>
        <scheme val="minor"/>
      </rPr>
      <t xml:space="preserve"> * X</t>
    </r>
    <r>
      <rPr>
        <vertAlign val="subscript"/>
        <sz val="11"/>
        <rFont val="Calibri"/>
        <family val="2"/>
        <scheme val="minor"/>
      </rPr>
      <t>ACP</t>
    </r>
    <r>
      <rPr>
        <sz val="11"/>
        <rFont val="Calibri"/>
        <family val="2"/>
        <scheme val="minor"/>
      </rPr>
      <t>+i</t>
    </r>
    <r>
      <rPr>
        <vertAlign val="subscript"/>
        <sz val="11"/>
        <rFont val="Calibri"/>
        <family val="2"/>
        <scheme val="minor"/>
      </rPr>
      <t>P,XVivi</t>
    </r>
    <r>
      <rPr>
        <sz val="11"/>
        <rFont val="Calibri"/>
        <family val="2"/>
        <scheme val="minor"/>
      </rPr>
      <t xml:space="preserve"> * X</t>
    </r>
    <r>
      <rPr>
        <vertAlign val="subscript"/>
        <sz val="11"/>
        <rFont val="Calibri"/>
        <family val="2"/>
        <scheme val="minor"/>
      </rPr>
      <t>Vivi</t>
    </r>
    <r>
      <rPr>
        <sz val="11"/>
        <rFont val="Calibri"/>
        <family val="2"/>
        <scheme val="minor"/>
      </rPr>
      <t>+i</t>
    </r>
    <r>
      <rPr>
        <vertAlign val="subscript"/>
        <sz val="11"/>
        <rFont val="Calibri"/>
        <family val="2"/>
        <scheme val="minor"/>
      </rPr>
      <t>P,XBSH</t>
    </r>
    <r>
      <rPr>
        <sz val="11"/>
        <rFont val="Calibri"/>
        <family val="2"/>
        <scheme val="minor"/>
      </rPr>
      <t>*X</t>
    </r>
    <r>
      <rPr>
        <vertAlign val="subscript"/>
        <sz val="11"/>
        <rFont val="Calibri"/>
        <family val="2"/>
        <scheme val="minor"/>
      </rPr>
      <t>BSH</t>
    </r>
  </si>
  <si>
    <t>CASTO with Phosphorus accumulating metabolism (PAM)</t>
  </si>
  <si>
    <t>CASTO with Glycogen accumulating metabolism (GAM)</t>
  </si>
  <si>
    <r>
      <t>(i</t>
    </r>
    <r>
      <rPr>
        <vertAlign val="subscript"/>
        <sz val="11"/>
        <rFont val="Calibri"/>
        <family val="2"/>
        <scheme val="minor"/>
      </rPr>
      <t>CV,BIO</t>
    </r>
    <r>
      <rPr>
        <sz val="11"/>
        <rFont val="Calibri"/>
        <family val="2"/>
        <scheme val="minor"/>
      </rPr>
      <t>-i</t>
    </r>
    <r>
      <rPr>
        <vertAlign val="subscript"/>
        <sz val="11"/>
        <rFont val="Calibri"/>
        <family val="2"/>
        <scheme val="minor"/>
      </rPr>
      <t>CV,XE</t>
    </r>
    <r>
      <rPr>
        <sz val="11"/>
        <rFont val="Calibri"/>
        <family val="2"/>
        <scheme val="minor"/>
      </rPr>
      <t>*f</t>
    </r>
    <r>
      <rPr>
        <vertAlign val="subscript"/>
        <sz val="11"/>
        <rFont val="Calibri"/>
        <family val="2"/>
        <scheme val="minor"/>
      </rPr>
      <t>E</t>
    </r>
    <r>
      <rPr>
        <sz val="11"/>
        <rFont val="Calibri"/>
        <family val="2"/>
        <scheme val="minor"/>
      </rPr>
      <t>)/(1-f</t>
    </r>
    <r>
      <rPr>
        <vertAlign val="subscript"/>
        <sz val="11"/>
        <rFont val="Calibri"/>
        <family val="2"/>
        <scheme val="minor"/>
      </rPr>
      <t>E</t>
    </r>
    <r>
      <rPr>
        <sz val="11"/>
        <rFont val="Calibri"/>
        <family val="2"/>
        <scheme val="minor"/>
      </rPr>
      <t>)</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</si>
  <si>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</si>
  <si>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</si>
  <si>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t>previously 0,30</t>
  </si>
  <si>
    <t>Key(940)</t>
  </si>
  <si>
    <t>Rate of CH4 and H2 stripping (F)</t>
  </si>
  <si>
    <t>Rate of TCOD oxidized using oxygen (G)</t>
  </si>
  <si>
    <t>Rate of TCOD oxidized using nitrite and nitrate (H)</t>
  </si>
  <si>
    <t>Rate of TCOD produced by photosynthesis (I)</t>
  </si>
  <si>
    <t>Rate of TCOD in nitrifier growth (J)</t>
  </si>
  <si>
    <t>Rate of SNHx stripping (F)</t>
  </si>
  <si>
    <t>Rate of TN denitrified (G)</t>
  </si>
  <si>
    <t>Rate of SO2 transferred by mechanical aeration (D)</t>
  </si>
  <si>
    <t>Rate of SO2 transferred by natural aeration (E)</t>
  </si>
  <si>
    <t>Rate of SO2 consumed by carbon oxidation (F)</t>
  </si>
  <si>
    <t>Rate of SO2 consumed by nitrification (G)</t>
  </si>
  <si>
    <t>Rate of SO2 consumed by iron oxidation (H)</t>
  </si>
  <si>
    <t>Rate of SO2 produced by photosynthesis (I)</t>
  </si>
  <si>
    <t>Rate of SO2 produced by ALGAE respiration (J)</t>
  </si>
  <si>
    <t>Rate of SCO2 stripping</t>
  </si>
  <si>
    <t>Rate of ammonia from ordinary heterotrophic organisms</t>
  </si>
  <si>
    <t>Rate of ammonia from nitrification</t>
  </si>
  <si>
    <t>Rate of ammonia from algae</t>
  </si>
  <si>
    <t>Rate of nitrate from ordinary heterotrophic organisms</t>
  </si>
  <si>
    <t>Rate of ammonia from hydrolysis</t>
  </si>
  <si>
    <t>Rate of nitrate from nitrification</t>
  </si>
  <si>
    <t>Rate of nitrate from algae</t>
  </si>
  <si>
    <t>Rate of exchange of phosphate with sediments</t>
  </si>
  <si>
    <t>Rate of phosphate from ordinary heterotrophic organisms</t>
  </si>
  <si>
    <t>Rate of phosphate from nitrification</t>
  </si>
  <si>
    <t>Rate of phosphate from algae</t>
  </si>
  <si>
    <t>Rate of phosphate from precipitation reactions</t>
  </si>
  <si>
    <t>Rate of CO2 from ordinary heterotrophic organisms</t>
  </si>
  <si>
    <t>Rate of CO2 from nitrifying organisms</t>
  </si>
  <si>
    <t>Rate of CO2 from algae</t>
  </si>
  <si>
    <t>Rate of CO2 from hydrolysis processes</t>
  </si>
  <si>
    <t>Rate of CO2 from precipitation processes</t>
  </si>
  <si>
    <r>
      <t>K</t>
    </r>
    <r>
      <rPr>
        <vertAlign val="subscript"/>
        <sz val="11"/>
        <rFont val="Calibri"/>
        <family val="2"/>
        <scheme val="minor"/>
      </rPr>
      <t>ORP,ana</t>
    </r>
  </si>
  <si>
    <t>Half-saturation of anaerobic activity for anaerobic ORP</t>
  </si>
  <si>
    <t>rbCODDR to AAR ratio</t>
  </si>
  <si>
    <t>AAR/rbCODDR</t>
  </si>
  <si>
    <r>
      <t>ORP</t>
    </r>
    <r>
      <rPr>
        <vertAlign val="subscript"/>
        <sz val="11"/>
        <rFont val="Calibri"/>
        <family val="2"/>
      </rPr>
      <t>ana</t>
    </r>
  </si>
  <si>
    <t>Oxidation-reduction potential due to anaerobic activity</t>
  </si>
  <si>
    <r>
      <t>Max(ORP</t>
    </r>
    <r>
      <rPr>
        <vertAlign val="subscript"/>
        <sz val="11"/>
        <rFont val="Calibri"/>
        <family val="2"/>
        <scheme val="minor"/>
      </rPr>
      <t>O2;</t>
    </r>
    <r>
      <rPr>
        <sz val="11"/>
        <rFont val="Calibri"/>
        <family val="2"/>
        <scheme val="minor"/>
      </rPr>
      <t>ORP</t>
    </r>
    <r>
      <rPr>
        <vertAlign val="subscript"/>
        <sz val="11"/>
        <rFont val="Calibri"/>
        <family val="2"/>
        <scheme val="minor"/>
      </rPr>
      <t>NOx;</t>
    </r>
    <r>
      <rPr>
        <sz val="11"/>
        <rFont val="Calibri"/>
        <family val="2"/>
        <scheme val="minor"/>
      </rPr>
      <t>ORP</t>
    </r>
    <r>
      <rPr>
        <vertAlign val="subscript"/>
        <sz val="11"/>
        <rFont val="Calibri"/>
        <family val="2"/>
        <scheme val="minor"/>
      </rPr>
      <t>ana</t>
    </r>
    <r>
      <rPr>
        <sz val="11"/>
        <rFont val="Calibri"/>
        <family val="2"/>
        <scheme val="minor"/>
      </rPr>
      <t>)</t>
    </r>
  </si>
  <si>
    <r>
      <t>ratio</t>
    </r>
    <r>
      <rPr>
        <vertAlign val="subscript"/>
        <sz val="11"/>
        <rFont val="Calibri"/>
        <family val="2"/>
      </rPr>
      <t>AAR,rbCODDR</t>
    </r>
  </si>
  <si>
    <r>
      <t>ORP</t>
    </r>
    <r>
      <rPr>
        <vertAlign val="subscript"/>
        <sz val="11"/>
        <rFont val="Calibri"/>
        <family val="2"/>
        <scheme val="minor"/>
      </rPr>
      <t xml:space="preserve">base </t>
    </r>
    <r>
      <rPr>
        <sz val="11"/>
        <rFont val="Calibri"/>
        <family val="2"/>
        <scheme val="minor"/>
      </rPr>
      <t>* (ratio</t>
    </r>
    <r>
      <rPr>
        <vertAlign val="subscript"/>
        <sz val="11"/>
        <rFont val="Calibri"/>
        <family val="2"/>
        <scheme val="minor"/>
      </rPr>
      <t>AAR,rbCODDR</t>
    </r>
    <r>
      <rPr>
        <sz val="11"/>
        <rFont val="Calibri"/>
        <family val="2"/>
        <scheme val="minor"/>
      </rPr>
      <t>)/(K</t>
    </r>
    <r>
      <rPr>
        <vertAlign val="subscript"/>
        <sz val="11"/>
        <rFont val="Calibri"/>
        <family val="2"/>
        <scheme val="minor"/>
      </rPr>
      <t xml:space="preserve">ORP,ana </t>
    </r>
    <r>
      <rPr>
        <sz val="11"/>
        <rFont val="Calibri"/>
        <family val="2"/>
        <scheme val="minor"/>
      </rPr>
      <t>+ ratio</t>
    </r>
    <r>
      <rPr>
        <vertAlign val="subscript"/>
        <sz val="11"/>
        <rFont val="Calibri"/>
        <family val="2"/>
        <scheme val="minor"/>
      </rPr>
      <t>AAR,rbCODDR</t>
    </r>
    <r>
      <rPr>
        <sz val="11"/>
        <rFont val="Calibri"/>
        <family val="2"/>
        <scheme val="minor"/>
      </rPr>
      <t>)</t>
    </r>
  </si>
  <si>
    <t>rbCODDR</t>
  </si>
  <si>
    <t>rbCOD degradation rate (rbCODDR)</t>
  </si>
  <si>
    <r>
      <t>g COD.m</t>
    </r>
    <r>
      <rPr>
        <vertAlign val="superscript"/>
        <sz val="11"/>
        <rFont val="Calibri"/>
        <family val="2"/>
        <scheme val="minor"/>
      </rPr>
      <t>-3</t>
    </r>
    <r>
      <rPr>
        <sz val="11"/>
        <rFont val="Calibri"/>
        <family val="2"/>
        <scheme val="minor"/>
      </rPr>
      <t>.d</t>
    </r>
    <r>
      <rPr>
        <vertAlign val="superscript"/>
        <sz val="11"/>
        <rFont val="Calibri"/>
        <family val="2"/>
        <scheme val="minor"/>
      </rPr>
      <t>-1</t>
    </r>
  </si>
  <si>
    <t>AAR</t>
  </si>
  <si>
    <t>Anaerobic activity rate (AAR)</t>
  </si>
  <si>
    <r>
      <t>v7_S</t>
    </r>
    <r>
      <rPr>
        <vertAlign val="subscript"/>
        <sz val="11"/>
        <rFont val="Calibri"/>
        <family val="2"/>
        <scheme val="minor"/>
      </rPr>
      <t>H2</t>
    </r>
    <r>
      <rPr>
        <sz val="11"/>
        <rFont val="Calibri"/>
        <family val="2"/>
        <scheme val="minor"/>
      </rPr>
      <t xml:space="preserve"> * r7 + v8_S</t>
    </r>
    <r>
      <rPr>
        <vertAlign val="subscript"/>
        <sz val="11"/>
        <rFont val="Calibri"/>
        <family val="2"/>
        <scheme val="minor"/>
      </rPr>
      <t>H2</t>
    </r>
    <r>
      <rPr>
        <sz val="11"/>
        <rFont val="Calibri"/>
        <family val="2"/>
        <scheme val="minor"/>
      </rPr>
      <t xml:space="preserve"> * r8 + v32_S</t>
    </r>
    <r>
      <rPr>
        <vertAlign val="subscript"/>
        <sz val="11"/>
        <rFont val="Calibri"/>
        <family val="2"/>
        <scheme val="minor"/>
      </rPr>
      <t>H2</t>
    </r>
    <r>
      <rPr>
        <sz val="11"/>
        <rFont val="Calibri"/>
        <family val="2"/>
        <scheme val="minor"/>
      </rPr>
      <t xml:space="preserve"> * r32 + v33_S</t>
    </r>
    <r>
      <rPr>
        <vertAlign val="subscript"/>
        <sz val="11"/>
        <rFont val="Calibri"/>
        <family val="2"/>
        <scheme val="minor"/>
      </rPr>
      <t>H2</t>
    </r>
    <r>
      <rPr>
        <sz val="11"/>
        <rFont val="Calibri"/>
        <family val="2"/>
        <scheme val="minor"/>
      </rPr>
      <t xml:space="preserve"> * r33 + v46_S</t>
    </r>
    <r>
      <rPr>
        <vertAlign val="subscript"/>
        <sz val="11"/>
        <rFont val="Calibri"/>
        <family val="2"/>
        <scheme val="minor"/>
      </rPr>
      <t>CH4</t>
    </r>
    <r>
      <rPr>
        <sz val="11"/>
        <rFont val="Calibri"/>
        <family val="2"/>
        <scheme val="minor"/>
      </rPr>
      <t xml:space="preserve"> * r46 + v49_S</t>
    </r>
    <r>
      <rPr>
        <vertAlign val="subscript"/>
        <sz val="11"/>
        <rFont val="Calibri"/>
        <family val="2"/>
        <scheme val="minor"/>
      </rPr>
      <t>CH4</t>
    </r>
    <r>
      <rPr>
        <sz val="11"/>
        <rFont val="Calibri"/>
        <family val="2"/>
        <scheme val="minor"/>
      </rPr>
      <t xml:space="preserve"> * r49</t>
    </r>
  </si>
  <si>
    <r>
      <t>-(v1_S</t>
    </r>
    <r>
      <rPr>
        <vertAlign val="subscript"/>
        <sz val="11"/>
        <rFont val="Calibri"/>
        <family val="2"/>
        <scheme val="minor"/>
      </rPr>
      <t>VFA</t>
    </r>
    <r>
      <rPr>
        <sz val="11"/>
        <rFont val="Calibri"/>
        <family val="2"/>
        <scheme val="minor"/>
      </rPr>
      <t xml:space="preserve"> * r1 + v2_S</t>
    </r>
    <r>
      <rPr>
        <vertAlign val="subscript"/>
        <sz val="11"/>
        <rFont val="Calibri"/>
        <family val="2"/>
        <scheme val="minor"/>
      </rPr>
      <t>VFA</t>
    </r>
    <r>
      <rPr>
        <sz val="11"/>
        <rFont val="Calibri"/>
        <family val="2"/>
        <scheme val="minor"/>
      </rPr>
      <t xml:space="preserve"> * r2 + v3_S</t>
    </r>
    <r>
      <rPr>
        <vertAlign val="subscript"/>
        <sz val="11"/>
        <rFont val="Calibri"/>
        <family val="2"/>
        <scheme val="minor"/>
      </rPr>
      <t>VFA</t>
    </r>
    <r>
      <rPr>
        <sz val="11"/>
        <rFont val="Calibri"/>
        <family val="2"/>
        <scheme val="minor"/>
      </rPr>
      <t xml:space="preserve"> * r3 + v25_S</t>
    </r>
    <r>
      <rPr>
        <vertAlign val="subscript"/>
        <sz val="11"/>
        <rFont val="Calibri"/>
        <family val="2"/>
        <scheme val="minor"/>
      </rPr>
      <t>VFA</t>
    </r>
    <r>
      <rPr>
        <sz val="11"/>
        <rFont val="Calibri"/>
        <family val="2"/>
        <scheme val="minor"/>
      </rPr>
      <t xml:space="preserve"> * 25 + v26_S</t>
    </r>
    <r>
      <rPr>
        <vertAlign val="subscript"/>
        <sz val="11"/>
        <rFont val="Calibri"/>
        <family val="2"/>
        <scheme val="minor"/>
      </rPr>
      <t>VFA</t>
    </r>
    <r>
      <rPr>
        <sz val="11"/>
        <rFont val="Calibri"/>
        <family val="2"/>
        <scheme val="minor"/>
      </rPr>
      <t xml:space="preserve"> * r26 + v46_S</t>
    </r>
    <r>
      <rPr>
        <vertAlign val="subscript"/>
        <sz val="11"/>
        <rFont val="Calibri"/>
        <family val="2"/>
        <scheme val="minor"/>
      </rPr>
      <t>VFA</t>
    </r>
    <r>
      <rPr>
        <sz val="11"/>
        <rFont val="Calibri"/>
        <family val="2"/>
        <scheme val="minor"/>
      </rPr>
      <t xml:space="preserve"> * r46  + v4_S</t>
    </r>
    <r>
      <rPr>
        <vertAlign val="subscript"/>
        <sz val="11"/>
        <rFont val="Calibri"/>
        <family val="2"/>
        <scheme val="minor"/>
      </rPr>
      <t>B</t>
    </r>
    <r>
      <rPr>
        <sz val="11"/>
        <rFont val="Calibri"/>
        <family val="2"/>
        <scheme val="minor"/>
      </rPr>
      <t xml:space="preserve"> * r4 + v5_S</t>
    </r>
    <r>
      <rPr>
        <vertAlign val="subscript"/>
        <sz val="11"/>
        <rFont val="Calibri"/>
        <family val="2"/>
        <scheme val="minor"/>
      </rPr>
      <t>B</t>
    </r>
    <r>
      <rPr>
        <sz val="11"/>
        <rFont val="Calibri"/>
        <family val="2"/>
        <scheme val="minor"/>
      </rPr>
      <t xml:space="preserve"> * r5 + v6_S</t>
    </r>
    <r>
      <rPr>
        <vertAlign val="subscript"/>
        <sz val="11"/>
        <rFont val="Calibri"/>
        <family val="2"/>
        <scheme val="minor"/>
      </rPr>
      <t>B</t>
    </r>
    <r>
      <rPr>
        <sz val="11"/>
        <rFont val="Calibri"/>
        <family val="2"/>
        <scheme val="minor"/>
      </rPr>
      <t xml:space="preserve"> * r6 + v7_SB * r7 + v8_SB * r8 + v32_S</t>
    </r>
    <r>
      <rPr>
        <vertAlign val="subscript"/>
        <sz val="11"/>
        <rFont val="Calibri"/>
        <family val="2"/>
        <scheme val="minor"/>
      </rPr>
      <t>B</t>
    </r>
    <r>
      <rPr>
        <sz val="11"/>
        <rFont val="Calibri"/>
        <family val="2"/>
        <scheme val="minor"/>
      </rPr>
      <t xml:space="preserve"> * r32 + v33_S</t>
    </r>
    <r>
      <rPr>
        <vertAlign val="subscript"/>
        <sz val="11"/>
        <rFont val="Calibri"/>
        <family val="2"/>
        <scheme val="minor"/>
      </rPr>
      <t>B</t>
    </r>
    <r>
      <rPr>
        <sz val="11"/>
        <rFont val="Calibri"/>
        <family val="2"/>
        <scheme val="minor"/>
      </rPr>
      <t xml:space="preserve"> * r33 + v9_S</t>
    </r>
    <r>
      <rPr>
        <vertAlign val="subscript"/>
        <sz val="11"/>
        <rFont val="Calibri"/>
        <family val="2"/>
        <scheme val="minor"/>
      </rPr>
      <t>MEOL</t>
    </r>
    <r>
      <rPr>
        <sz val="11"/>
        <rFont val="Calibri"/>
        <family val="2"/>
        <scheme val="minor"/>
      </rPr>
      <t xml:space="preserve"> * r9 + v12_S</t>
    </r>
    <r>
      <rPr>
        <vertAlign val="subscript"/>
        <sz val="11"/>
        <rFont val="Calibri"/>
        <family val="2"/>
        <scheme val="minor"/>
      </rPr>
      <t>MEOL</t>
    </r>
    <r>
      <rPr>
        <sz val="11"/>
        <rFont val="Calibri"/>
        <family val="2"/>
        <scheme val="minor"/>
      </rPr>
      <t xml:space="preserve"> * r12 + v13_S</t>
    </r>
    <r>
      <rPr>
        <vertAlign val="subscript"/>
        <sz val="11"/>
        <rFont val="Calibri"/>
        <family val="2"/>
        <scheme val="minor"/>
      </rPr>
      <t>MEOL</t>
    </r>
    <r>
      <rPr>
        <sz val="11"/>
        <rFont val="Calibri"/>
        <family val="2"/>
        <scheme val="minor"/>
      </rPr>
      <t xml:space="preserve"> * r13 )</t>
    </r>
  </si>
  <si>
    <r>
      <t>X</t>
    </r>
    <r>
      <rPr>
        <vertAlign val="subscript"/>
        <sz val="11"/>
        <rFont val="Calibri"/>
        <family val="2"/>
      </rPr>
      <t>B</t>
    </r>
    <r>
      <rPr>
        <sz val="11"/>
        <rFont val="Calibri"/>
        <family val="2"/>
      </rPr>
      <t xml:space="preserve"> + X</t>
    </r>
    <r>
      <rPr>
        <vertAlign val="subscript"/>
        <sz val="11"/>
        <rFont val="Calibri"/>
        <family val="2"/>
      </rPr>
      <t>B,e</t>
    </r>
    <r>
      <rPr>
        <sz val="11"/>
        <rFont val="Calibri"/>
        <family val="2"/>
      </rPr>
      <t xml:space="preserve"> + C</t>
    </r>
    <r>
      <rPr>
        <vertAlign val="subscript"/>
        <sz val="11"/>
        <rFont val="Calibri"/>
        <family val="2"/>
      </rPr>
      <t>B</t>
    </r>
  </si>
  <si>
    <t>Half-saturation of MEOL for MEOLOs under nitrite reduction</t>
  </si>
  <si>
    <r>
      <t>µ</t>
    </r>
    <r>
      <rPr>
        <vertAlign val="subscript"/>
        <sz val="11"/>
        <rFont val="Calibri"/>
        <family val="2"/>
      </rPr>
      <t>OHO,T</t>
    </r>
    <r>
      <rPr>
        <sz val="11"/>
        <rFont val="Calibri"/>
        <family val="2"/>
      </rPr>
      <t>*X</t>
    </r>
    <r>
      <rPr>
        <vertAlign val="subscript"/>
        <sz val="11"/>
        <rFont val="Calibri"/>
        <family val="2"/>
      </rPr>
      <t>OHO</t>
    </r>
    <r>
      <rPr>
        <sz val="11"/>
        <rFont val="Calibri"/>
        <family val="2"/>
      </rPr>
      <t>*</t>
    </r>
    <r>
      <rPr>
        <sz val="11"/>
        <color rgb="FFFF0000"/>
        <rFont val="Calibri"/>
        <family val="2"/>
      </rPr>
      <t>η</t>
    </r>
    <r>
      <rPr>
        <vertAlign val="subscript"/>
        <sz val="11"/>
        <color rgb="FFFF0000"/>
        <rFont val="Calibri"/>
        <family val="2"/>
      </rPr>
      <t>OHO,anox,NO2red</t>
    </r>
    <r>
      <rPr>
        <sz val="11"/>
        <rFont val="Calibri"/>
        <family val="2"/>
      </rPr>
      <t>*Msat</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t>
    </r>
    <r>
      <rPr>
        <sz val="11"/>
        <color rgb="FFFF0000"/>
        <rFont val="Calibri"/>
        <family val="2"/>
      </rPr>
      <t>(Loginh</t>
    </r>
    <r>
      <rPr>
        <vertAlign val="subscript"/>
        <sz val="11"/>
        <color rgb="FFFF0000"/>
        <rFont val="Calibri"/>
        <family val="2"/>
      </rPr>
      <t>SNO3,KNO3,OHO</t>
    </r>
    <r>
      <rPr>
        <sz val="11"/>
        <color rgb="FFFF0000"/>
        <rFont val="Calibri"/>
        <family val="2"/>
      </rPr>
      <t>*Loginh</t>
    </r>
    <r>
      <rPr>
        <vertAlign val="subscript"/>
        <sz val="11"/>
        <color rgb="FFFF0000"/>
        <rFont val="Calibri"/>
        <family val="2"/>
      </rPr>
      <t>SVFA,KVFA,OHO,SNO2</t>
    </r>
    <r>
      <rPr>
        <sz val="11"/>
        <color rgb="FFFF0000"/>
        <rFont val="Calibri"/>
        <family val="2"/>
      </rPr>
      <t>+Logsat</t>
    </r>
    <r>
      <rPr>
        <vertAlign val="subscript"/>
        <sz val="11"/>
        <color rgb="FFFF0000"/>
        <rFont val="Calibri"/>
        <family val="2"/>
      </rPr>
      <t>SVFA,KVFA,OHO,SNO2</t>
    </r>
    <r>
      <rPr>
        <sz val="11"/>
        <color rgb="FFFF0000"/>
        <rFont val="Calibri"/>
        <family val="2"/>
      </rPr>
      <t>)</t>
    </r>
    <r>
      <rPr>
        <sz val="11"/>
        <rFont val="Calibri"/>
        <family val="2"/>
      </rPr>
      <t>*Minh</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</si>
  <si>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SNO2,KNO2,MEOLO</t>
    </r>
    <r>
      <rPr>
        <sz val="11"/>
        <rFont val="Calibri"/>
        <family val="2"/>
      </rPr>
      <t>*</t>
    </r>
    <r>
      <rPr>
        <sz val="11"/>
        <color rgb="FFFF0000"/>
        <rFont val="Calibri"/>
        <family val="2"/>
      </rPr>
      <t>(Loginh</t>
    </r>
    <r>
      <rPr>
        <vertAlign val="subscript"/>
        <sz val="11"/>
        <color rgb="FFFF0000"/>
        <rFont val="Calibri"/>
        <family val="2"/>
      </rPr>
      <t>SNO3,KNO3,MEOLO</t>
    </r>
    <r>
      <rPr>
        <sz val="11"/>
        <color rgb="FFFF0000"/>
        <rFont val="Calibri"/>
        <family val="2"/>
      </rPr>
      <t>*Loginh</t>
    </r>
    <r>
      <rPr>
        <vertAlign val="subscript"/>
        <sz val="11"/>
        <color rgb="FFFF0000"/>
        <rFont val="Calibri"/>
        <family val="2"/>
      </rPr>
      <t>SMEOL,KMEOL,SNO2</t>
    </r>
    <r>
      <rPr>
        <sz val="11"/>
        <color rgb="FFFF0000"/>
        <rFont val="Calibri"/>
        <family val="2"/>
      </rPr>
      <t>+Logsat</t>
    </r>
    <r>
      <rPr>
        <vertAlign val="subscript"/>
        <sz val="11"/>
        <color rgb="FFFF0000"/>
        <rFont val="Calibri"/>
        <family val="2"/>
      </rPr>
      <t>SMEOL,KMEOL,SNO2</t>
    </r>
    <r>
      <rPr>
        <sz val="11"/>
        <color rgb="FFFF0000"/>
        <rFont val="Calibri"/>
        <family val="2"/>
      </rPr>
      <t>)</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</si>
</sst>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0.00\ &quot;€&quot;;[Red]\-#,##0.00\ &quot;€&quot;"/>
    <numFmt numFmtId="164" formatCode="0.0"/>
    <numFmt numFmtId="165" formatCode="0.0000"/>
    <numFmt numFmtId="166" formatCode="0.000"/>
    <numFmt numFmtId="167" formatCode="0.000E+00"/>
    <numFmt numFmtId="168" formatCode="0.00000"/>
    <numFmt numFmtId="169" formatCode="0.000000"/>
  </numFmts>
  <fonts count="110"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vertAlign val="subscript"/>
      <sz val="11"/>
      <color indexed="8"/>
      <name val="Calibri"/>
      <family val="2"/>
    </font>
    <font>
      <vertAlign val="subscript"/>
      <sz val="11"/>
      <color indexed="8"/>
      <name val="Calibri"/>
      <family val="2"/>
      <scheme val="minor"/>
    </font>
    <font>
      <u/>
      <sz val="11"/>
      <color theme="10"/>
      <name val="Calibri"/>
      <family val="2"/>
    </font>
    <font>
      <sz val="11"/>
      <color indexed="8"/>
      <name val="Calibri"/>
      <family val="2"/>
      <scheme val="minor"/>
    </font>
    <font>
      <vertAlign val="subscript"/>
      <sz val="11"/>
      <name val="Calibri"/>
      <family val="2"/>
    </font>
    <font>
      <sz val="11"/>
      <color rgb="FF00B050"/>
      <name val="Calibri"/>
      <family val="2"/>
    </font>
    <font>
      <b/>
      <sz val="11"/>
      <color indexed="8"/>
      <name val="Calibri"/>
      <family val="2"/>
      <scheme val="minor"/>
    </font>
    <font>
      <b/>
      <sz val="11"/>
      <name val="Calibri"/>
      <family val="2"/>
      <scheme val="minor"/>
    </font>
    <font>
      <vertAlign val="subscript"/>
      <sz val="11"/>
      <name val="Calibri"/>
      <family val="2"/>
      <scheme val="minor"/>
    </font>
    <font>
      <vertAlign val="superscript"/>
      <sz val="11"/>
      <name val="Calibri"/>
      <family val="2"/>
    </font>
    <font>
      <vertAlign val="superscript"/>
      <sz val="11"/>
      <name val="Calibri"/>
      <family val="2"/>
      <scheme val="minor"/>
    </font>
    <font>
      <b/>
      <sz val="12"/>
      <name val="Calibri"/>
      <family val="2"/>
      <scheme val="minor"/>
    </font>
    <font>
      <b/>
      <vertAlign val="subscript"/>
      <sz val="12"/>
      <name val="Calibri"/>
      <family val="2"/>
      <scheme val="minor"/>
    </font>
    <font>
      <vertAlign val="subscript"/>
      <sz val="11"/>
      <name val="Calibri"/>
      <family val="2"/>
      <charset val="238"/>
      <scheme val="minor"/>
    </font>
    <font>
      <b/>
      <i/>
      <sz val="11"/>
      <name val="Calibri"/>
      <family val="2"/>
      <scheme val="minor"/>
    </font>
    <font>
      <b/>
      <vertAlign val="superscript"/>
      <sz val="11"/>
      <name val="Calibri"/>
      <family val="2"/>
    </font>
    <font>
      <b/>
      <vertAlign val="subscript"/>
      <sz val="11"/>
      <name val="Calibri"/>
      <family val="2"/>
    </font>
    <font>
      <b/>
      <sz val="11"/>
      <name val="Calibri"/>
      <family val="2"/>
      <charset val="238"/>
    </font>
    <font>
      <b/>
      <vertAlign val="subscript"/>
      <sz val="11"/>
      <name val="Calibri"/>
      <family val="2"/>
      <charset val="238"/>
    </font>
    <font>
      <vertAlign val="subscript"/>
      <sz val="11"/>
      <name val="Calibri"/>
      <family val="2"/>
      <charset val="238"/>
    </font>
    <font>
      <b/>
      <vertAlign val="subscript"/>
      <sz val="11"/>
      <name val="Calibri"/>
      <family val="2"/>
      <charset val="238"/>
      <scheme val="minor"/>
    </font>
    <font>
      <vertAlign val="superscript"/>
      <sz val="8"/>
      <name val="Arial"/>
      <family val="2"/>
    </font>
    <font>
      <b/>
      <vertAlign val="subscript"/>
      <sz val="11"/>
      <name val="Calibri"/>
      <family val="2"/>
      <scheme val="minor"/>
    </font>
    <font>
      <b/>
      <sz val="11"/>
      <name val="Calibri"/>
      <family val="2"/>
      <charset val="238"/>
      <scheme val="minor"/>
    </font>
    <font>
      <vertAlign val="superscript"/>
      <sz val="11"/>
      <color indexed="8"/>
      <name val="Calibri"/>
      <family val="2"/>
      <scheme val="minor"/>
    </font>
    <font>
      <sz val="11"/>
      <color rgb="FF0082C8"/>
      <name val="Calibri"/>
      <family val="2"/>
      <scheme val="minor"/>
    </font>
    <font>
      <sz val="11"/>
      <color rgb="FFFF0000"/>
      <name val="Calibri"/>
      <family val="2"/>
      <scheme val="minor"/>
    </font>
    <font>
      <vertAlign val="subscript"/>
      <sz val="11"/>
      <color theme="1"/>
      <name val="Calibri"/>
      <family val="2"/>
      <scheme val="minor"/>
    </font>
    <font>
      <vertAlign val="superscript"/>
      <sz val="11"/>
      <color theme="1"/>
      <name val="Calibri"/>
      <family val="2"/>
      <scheme val="minor"/>
    </font>
    <font>
      <i/>
      <vertAlign val="subscript"/>
      <sz val="11"/>
      <name val="Calibri"/>
      <family val="2"/>
    </font>
    <font>
      <b/>
      <sz val="11"/>
      <color indexed="9"/>
      <name val="Calibri"/>
      <family val="2"/>
      <scheme val="minor"/>
    </font>
    <font>
      <sz val="11"/>
      <color rgb="FF00B050"/>
      <name val="Calibri"/>
      <family val="2"/>
      <scheme val="minor"/>
    </font>
    <font>
      <i/>
      <sz val="11"/>
      <name val="Calibri"/>
      <family val="2"/>
      <scheme val="minor"/>
    </font>
    <font>
      <i/>
      <vertAlign val="subscript"/>
      <sz val="11"/>
      <name val="Calibri"/>
      <family val="2"/>
      <scheme val="minor"/>
    </font>
    <font>
      <vertAlign val="subscript"/>
      <sz val="12.65"/>
      <name val="Calibri"/>
      <family val="2"/>
    </font>
    <font>
      <vertAlign val="superscript"/>
      <sz val="11"/>
      <name val="Calibri"/>
      <family val="2"/>
      <charset val="238"/>
      <scheme val="minor"/>
    </font>
    <font>
      <vertAlign val="superscript"/>
      <sz val="11"/>
      <name val="Calibri"/>
      <family val="2"/>
      <charset val="238"/>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sz val="11"/>
      <color rgb="FF000000"/>
      <name val="Calibri"/>
      <family val="2"/>
    </font>
    <font>
      <sz val="11"/>
      <name val="Calibri"/>
      <family val="2"/>
      <charset val="238"/>
      <scheme val="minor"/>
    </font>
    <font>
      <vertAlign val="superscript"/>
      <sz val="11"/>
      <color theme="1"/>
      <name val="Calibri"/>
      <family val="2"/>
      <charset val="238"/>
      <scheme val="minor"/>
    </font>
    <font>
      <vertAlign val="subscript"/>
      <sz val="11"/>
      <color rgb="FF000000"/>
      <name val="Calibri"/>
      <family val="2"/>
      <charset val="238"/>
      <scheme val="minor"/>
    </font>
    <font>
      <vertAlign val="subscript"/>
      <sz val="11"/>
      <color rgb="FF000000"/>
      <name val="Calibri"/>
      <family val="2"/>
      <charset val="238"/>
    </font>
    <font>
      <sz val="11"/>
      <color rgb="FF000000"/>
      <name val="Calibri"/>
      <family val="2"/>
      <charset val="238"/>
    </font>
    <font>
      <sz val="11"/>
      <name val="Calibri"/>
      <family val="2"/>
      <charset val="238"/>
    </font>
    <font>
      <vertAlign val="subscript"/>
      <sz val="9.35"/>
      <name val="Calibri"/>
      <family val="2"/>
      <charset val="238"/>
    </font>
    <font>
      <b/>
      <vertAlign val="subscript"/>
      <sz val="12"/>
      <name val="Calibri"/>
      <family val="2"/>
      <charset val="238"/>
      <scheme val="minor"/>
    </font>
    <font>
      <vertAlign val="subscript"/>
      <sz val="11"/>
      <color rgb="FF000000"/>
      <name val="Calibri"/>
      <family val="2"/>
    </font>
    <font>
      <vertAlign val="subscript"/>
      <sz val="11"/>
      <color indexed="8"/>
      <name val="Calibri"/>
      <family val="2"/>
      <charset val="238"/>
      <scheme val="minor"/>
    </font>
    <font>
      <sz val="11"/>
      <color indexed="8"/>
      <name val="Calibri"/>
      <family val="2"/>
      <charset val="238"/>
      <scheme val="minor"/>
    </font>
    <font>
      <vertAlign val="superscript"/>
      <sz val="11"/>
      <color indexed="8"/>
      <name val="Calibri"/>
      <family val="2"/>
      <charset val="238"/>
      <scheme val="minor"/>
    </font>
    <font>
      <vertAlign val="superscript"/>
      <sz val="11"/>
      <color indexed="8"/>
      <name val="Calibri"/>
      <family val="2"/>
      <charset val="238"/>
    </font>
    <font>
      <sz val="11"/>
      <color rgb="FF000000"/>
      <name val="Calibri"/>
      <family val="2"/>
      <scheme val="minor"/>
    </font>
    <font>
      <vertAlign val="superscript"/>
      <sz val="11"/>
      <color indexed="8"/>
      <name val="Calibri"/>
      <family val="2"/>
    </font>
    <font>
      <b/>
      <i/>
      <sz val="11"/>
      <color theme="0" tint="-0.499984740745262"/>
      <name val="Calibri"/>
      <family val="2"/>
      <scheme val="minor"/>
    </font>
    <font>
      <vertAlign val="subscript"/>
      <sz val="11"/>
      <color rgb="FFFF0000"/>
      <name val="Calibri"/>
      <family val="2"/>
    </font>
    <font>
      <vertAlign val="subscript"/>
      <sz val="11"/>
      <color rgb="FFFF0000"/>
      <name val="Calibri"/>
      <family val="2"/>
      <scheme val="minor"/>
    </font>
    <font>
      <sz val="11"/>
      <color rgb="FF9C5700"/>
      <name val="Calibri"/>
      <family val="2"/>
      <charset val="238"/>
      <scheme val="minor"/>
    </font>
  </fonts>
  <fills count="50">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9" tint="0.79995117038483843"/>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99"/>
        <bgColor indexed="64"/>
      </patternFill>
    </fill>
    <fill>
      <patternFill patternType="solid">
        <fgColor rgb="FF2B8DD5"/>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indexed="9"/>
        <bgColor indexed="64"/>
      </patternFill>
    </fill>
    <fill>
      <patternFill patternType="solid">
        <fgColor theme="5" tint="0.59999389629810485"/>
        <bgColor indexed="64"/>
      </patternFill>
    </fill>
    <fill>
      <patternFill patternType="solid">
        <fgColor rgb="FFC0C0C0"/>
        <bgColor indexed="64"/>
      </patternFill>
    </fill>
    <fill>
      <patternFill patternType="solid">
        <fgColor indexed="11"/>
        <bgColor indexed="64"/>
      </patternFill>
    </fill>
    <fill>
      <patternFill patternType="solid">
        <fgColor rgb="FFDCE6F1"/>
        <bgColor indexed="64"/>
      </patternFill>
    </fill>
    <fill>
      <patternFill patternType="solid">
        <fgColor rgb="FFB8CCE4"/>
        <bgColor indexed="64"/>
      </patternFill>
    </fill>
    <fill>
      <patternFill patternType="solid">
        <fgColor rgb="FFF2F2F2"/>
        <bgColor indexed="64"/>
      </patternFill>
    </fill>
    <fill>
      <patternFill patternType="solid">
        <fgColor rgb="FFF2DCDB"/>
        <bgColor indexed="64"/>
      </patternFill>
    </fill>
    <fill>
      <patternFill patternType="solid">
        <fgColor rgb="FFDDD9C4"/>
        <bgColor indexed="64"/>
      </patternFill>
    </fill>
    <fill>
      <patternFill patternType="solid">
        <fgColor rgb="FFC4BD97"/>
        <bgColor indexed="64"/>
      </patternFill>
    </fill>
    <fill>
      <patternFill patternType="solid">
        <fgColor rgb="FFEBF1DE"/>
        <bgColor indexed="64"/>
      </patternFill>
    </fill>
    <fill>
      <patternFill patternType="solid">
        <fgColor rgb="FFFDE9D9"/>
        <bgColor indexed="64"/>
      </patternFill>
    </fill>
    <fill>
      <patternFill patternType="solid">
        <fgColor rgb="FFFCD5B4"/>
        <bgColor indexed="64"/>
      </patternFill>
    </fill>
    <fill>
      <patternFill patternType="solid">
        <fgColor rgb="FFC4D79B"/>
        <bgColor indexed="64"/>
      </patternFill>
    </fill>
    <fill>
      <patternFill patternType="solid">
        <fgColor rgb="FFB7DEE8"/>
        <bgColor indexed="64"/>
      </patternFill>
    </fill>
    <fill>
      <patternFill patternType="solid">
        <fgColor theme="0" tint="-0.249977111117893"/>
        <bgColor indexed="64"/>
      </patternFill>
    </fill>
    <fill>
      <patternFill patternType="solid">
        <fgColor theme="6" tint="-0.249977111117893"/>
        <bgColor indexed="64"/>
      </patternFill>
    </fill>
    <fill>
      <patternFill patternType="solid">
        <fgColor rgb="FF2B8DD5"/>
        <bgColor indexed="9"/>
      </patternFill>
    </fill>
    <fill>
      <patternFill patternType="solid">
        <fgColor rgb="FF76933C"/>
        <bgColor indexed="64"/>
      </patternFill>
    </fill>
    <fill>
      <patternFill patternType="solid">
        <fgColor theme="7" tint="0.79998168889431442"/>
        <bgColor indexed="64"/>
      </patternFill>
    </fill>
    <fill>
      <patternFill patternType="solid">
        <fgColor rgb="FFE4DFEC"/>
        <bgColor indexed="64"/>
      </patternFill>
    </fill>
    <fill>
      <patternFill patternType="solid">
        <fgColor indexed="13"/>
        <bgColor indexed="64"/>
      </patternFill>
    </fill>
    <fill>
      <patternFill patternType="solid">
        <fgColor rgb="FFFFEB9C"/>
      </patternFill>
    </fill>
    <fill>
      <patternFill patternType="solid">
        <fgColor theme="9"/>
        <bgColor indexed="64"/>
      </patternFill>
    </fill>
  </fills>
  <borders count="247">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8"/>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8"/>
      </left>
      <right style="medium">
        <color indexed="8"/>
      </right>
      <top style="medium">
        <color indexed="8"/>
      </top>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medium">
        <color indexed="64"/>
      </right>
      <top style="medium">
        <color auto="1"/>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auto="1"/>
      </left>
      <right style="thin">
        <color auto="1"/>
      </right>
      <top style="medium">
        <color auto="1"/>
      </top>
      <bottom style="medium">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23"/>
      </left>
      <right style="thin">
        <color indexed="23"/>
      </right>
      <top/>
      <bottom style="thin">
        <color indexed="23"/>
      </bottom>
      <diagonal/>
    </border>
    <border>
      <left style="thin">
        <color auto="1"/>
      </left>
      <right style="thin">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medium">
        <color auto="1"/>
      </top>
      <bottom style="thin">
        <color auto="1"/>
      </bottom>
      <diagonal/>
    </border>
    <border>
      <left/>
      <right style="medium">
        <color indexed="64"/>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8"/>
      </left>
      <right style="medium">
        <color indexed="8"/>
      </right>
      <top style="medium">
        <color indexed="8"/>
      </top>
      <bottom/>
      <diagonal/>
    </border>
    <border>
      <left style="thin">
        <color auto="1"/>
      </left>
      <right style="thin">
        <color auto="1"/>
      </right>
      <top style="thin">
        <color auto="1"/>
      </top>
      <bottom style="medium">
        <color auto="1"/>
      </bottom>
      <diagonal/>
    </border>
    <border>
      <left/>
      <right style="thin">
        <color indexed="64"/>
      </right>
      <top style="thin">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medium">
        <color auto="1"/>
      </bottom>
      <diagonal/>
    </border>
    <border>
      <left style="medium">
        <color auto="1"/>
      </left>
      <right style="thin">
        <color auto="1"/>
      </right>
      <top/>
      <bottom style="medium">
        <color auto="1"/>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medium">
        <color auto="1"/>
      </bottom>
      <diagonal/>
    </border>
    <border>
      <left style="medium">
        <color auto="1"/>
      </left>
      <right style="medium">
        <color indexed="64"/>
      </right>
      <top style="medium">
        <color auto="1"/>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thin">
        <color indexed="64"/>
      </left>
      <right style="thin">
        <color indexed="64"/>
      </right>
      <top style="thin">
        <color indexed="64"/>
      </top>
      <bottom style="thin">
        <color indexed="64"/>
      </bottom>
      <diagonal/>
    </border>
    <border>
      <left style="medium">
        <color indexed="9"/>
      </left>
      <right style="medium">
        <color indexed="9"/>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thin">
        <color indexed="64"/>
      </right>
      <top style="medium">
        <color indexed="64"/>
      </top>
      <bottom style="thin">
        <color indexed="64"/>
      </bottom>
      <diagonal/>
    </border>
    <border>
      <left style="medium">
        <color indexed="8"/>
      </left>
      <right style="medium">
        <color indexed="8"/>
      </right>
      <top style="medium">
        <color indexed="8"/>
      </top>
      <bottom/>
      <diagonal/>
    </border>
    <border>
      <left style="thin">
        <color auto="1"/>
      </left>
      <right style="thin">
        <color auto="1"/>
      </right>
      <top style="medium">
        <color auto="1"/>
      </top>
      <bottom style="medium">
        <color auto="1"/>
      </bottom>
      <diagonal/>
    </border>
    <border>
      <left style="medium">
        <color auto="1"/>
      </left>
      <right style="thin">
        <color indexed="64"/>
      </right>
      <top style="medium">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medium">
        <color auto="1"/>
      </bottom>
      <diagonal/>
    </border>
    <border>
      <left style="thin">
        <color indexed="64"/>
      </left>
      <right style="medium">
        <color indexed="64"/>
      </right>
      <top style="medium">
        <color indexed="64"/>
      </top>
      <bottom style="thin">
        <color indexed="64"/>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thin">
        <color indexed="64"/>
      </right>
      <top style="medium">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medium">
        <color indexed="9"/>
      </right>
      <top style="thin">
        <color indexed="9"/>
      </top>
      <bottom/>
      <diagonal/>
    </border>
    <border>
      <left style="medium">
        <color indexed="9"/>
      </left>
      <right style="medium">
        <color indexed="9"/>
      </right>
      <top style="thin">
        <color indexed="9"/>
      </top>
      <bottom/>
      <diagonal/>
    </border>
    <border>
      <left style="medium">
        <color indexed="9"/>
      </left>
      <right style="thin">
        <color indexed="23"/>
      </right>
      <top style="thin">
        <color indexed="9"/>
      </top>
      <bottom/>
      <diagonal/>
    </border>
    <border>
      <left style="thin">
        <color indexed="23"/>
      </left>
      <right style="thin">
        <color indexed="23"/>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thin">
        <color auto="1"/>
      </right>
      <top style="thin">
        <color auto="1"/>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auto="1"/>
      </left>
      <right style="medium">
        <color indexed="64"/>
      </right>
      <top style="medium">
        <color auto="1"/>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medium">
        <color indexed="9"/>
      </left>
      <right style="medium">
        <color indexed="9"/>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medium">
        <color auto="1"/>
      </bottom>
      <diagonal/>
    </border>
    <border>
      <left style="thin">
        <color indexed="64"/>
      </left>
      <right style="thin">
        <color indexed="64"/>
      </right>
      <top style="medium">
        <color indexed="64"/>
      </top>
      <bottom style="thin">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medium">
        <color indexed="64"/>
      </right>
      <top style="thin">
        <color indexed="64"/>
      </top>
      <bottom style="thin">
        <color indexed="64"/>
      </bottom>
      <diagonal/>
    </border>
  </borders>
  <cellStyleXfs count="95">
    <xf numFmtId="0" fontId="0" fillId="0" borderId="0"/>
    <xf numFmtId="0" fontId="28" fillId="0" borderId="0"/>
    <xf numFmtId="0" fontId="45" fillId="0" borderId="0"/>
    <xf numFmtId="0" fontId="27" fillId="0" borderId="0"/>
    <xf numFmtId="0" fontId="52" fillId="0" borderId="0" applyNumberFormat="0" applyFill="0" applyBorder="0" applyAlignment="0" applyProtection="0">
      <alignment vertical="top"/>
      <protection locked="0"/>
    </xf>
    <xf numFmtId="0" fontId="26" fillId="0" borderId="0"/>
    <xf numFmtId="0" fontId="43" fillId="0" borderId="0"/>
    <xf numFmtId="0" fontId="25" fillId="0" borderId="0"/>
    <xf numFmtId="0" fontId="25" fillId="0" borderId="0"/>
    <xf numFmtId="0" fontId="25" fillId="0" borderId="0"/>
    <xf numFmtId="0" fontId="24" fillId="0" borderId="0"/>
    <xf numFmtId="0" fontId="23" fillId="0" borderId="0"/>
    <xf numFmtId="0" fontId="22" fillId="0" borderId="0"/>
    <xf numFmtId="0" fontId="22" fillId="0" borderId="0"/>
    <xf numFmtId="0" fontId="22" fillId="0" borderId="0"/>
    <xf numFmtId="0" fontId="21" fillId="0" borderId="0"/>
    <xf numFmtId="0" fontId="20" fillId="0" borderId="0"/>
    <xf numFmtId="0" fontId="20" fillId="0" borderId="0"/>
    <xf numFmtId="0" fontId="20" fillId="0" borderId="0"/>
    <xf numFmtId="0" fontId="19" fillId="0" borderId="0"/>
    <xf numFmtId="0" fontId="19" fillId="0" borderId="0"/>
    <xf numFmtId="0" fontId="19" fillId="0" borderId="0"/>
    <xf numFmtId="0" fontId="43" fillId="0" borderId="0"/>
    <xf numFmtId="0" fontId="18" fillId="0" borderId="0"/>
    <xf numFmtId="0" fontId="18" fillId="0" borderId="0"/>
    <xf numFmtId="0" fontId="18" fillId="0" borderId="0"/>
    <xf numFmtId="0" fontId="18" fillId="0" borderId="0"/>
    <xf numFmtId="0" fontId="17" fillId="0" borderId="0"/>
    <xf numFmtId="0" fontId="17" fillId="0" borderId="0"/>
    <xf numFmtId="0" fontId="16" fillId="0" borderId="0"/>
    <xf numFmtId="0" fontId="16" fillId="0" borderId="0"/>
    <xf numFmtId="0" fontId="16" fillId="0" borderId="0"/>
    <xf numFmtId="0" fontId="16" fillId="0" borderId="0"/>
    <xf numFmtId="0" fontId="16" fillId="0" borderId="0"/>
    <xf numFmtId="0" fontId="43"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3" fillId="0" borderId="0"/>
    <xf numFmtId="0" fontId="12" fillId="0" borderId="0"/>
    <xf numFmtId="0" fontId="12" fillId="0" borderId="0"/>
    <xf numFmtId="0" fontId="10" fillId="0" borderId="0"/>
    <xf numFmtId="0" fontId="10"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9" fillId="48" borderId="0" applyNumberFormat="0" applyBorder="0" applyAlignment="0" applyProtection="0"/>
  </cellStyleXfs>
  <cellXfs count="2826">
    <xf numFmtId="0" fontId="0" fillId="0" borderId="0" xfId="0"/>
    <xf numFmtId="0" fontId="29" fillId="0" borderId="0" xfId="0" applyFont="1"/>
    <xf numFmtId="0" fontId="29"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33" fillId="0" borderId="0" xfId="0" applyFont="1" applyAlignment="1">
      <alignment horizontal="center" vertical="center"/>
    </xf>
    <xf numFmtId="0" fontId="0" fillId="0" borderId="6" xfId="0" applyBorder="1"/>
    <xf numFmtId="0" fontId="0" fillId="0" borderId="0" xfId="0" applyAlignment="1">
      <alignment horizontal="center" vertical="center" wrapText="1"/>
    </xf>
    <xf numFmtId="0" fontId="37" fillId="0" borderId="0" xfId="0" applyFont="1"/>
    <xf numFmtId="0" fontId="0" fillId="0" borderId="0" xfId="0" applyAlignment="1">
      <alignment vertical="top"/>
    </xf>
    <xf numFmtId="0" fontId="0" fillId="2" borderId="0" xfId="0" applyFill="1"/>
    <xf numFmtId="0" fontId="34" fillId="3" borderId="17" xfId="0" applyFont="1" applyFill="1" applyBorder="1"/>
    <xf numFmtId="0" fontId="34" fillId="3" borderId="18" xfId="0" applyFont="1" applyFill="1" applyBorder="1"/>
    <xf numFmtId="0" fontId="34" fillId="3" borderId="19" xfId="0" applyFont="1" applyFill="1" applyBorder="1"/>
    <xf numFmtId="0" fontId="35" fillId="0" borderId="0" xfId="0" applyFont="1" applyAlignment="1">
      <alignment horizontal="left" vertical="center"/>
    </xf>
    <xf numFmtId="0" fontId="35" fillId="0" borderId="31" xfId="0" applyFont="1" applyBorder="1" applyAlignment="1">
      <alignment horizontal="left" vertical="center"/>
    </xf>
    <xf numFmtId="0" fontId="35" fillId="0" borderId="4" xfId="0" applyFont="1" applyBorder="1" applyAlignment="1">
      <alignment horizontal="left" vertical="center"/>
    </xf>
    <xf numFmtId="0" fontId="35" fillId="0" borderId="18" xfId="0" applyFont="1" applyBorder="1" applyAlignment="1">
      <alignment horizontal="left" vertical="center"/>
    </xf>
    <xf numFmtId="0" fontId="35" fillId="0" borderId="29" xfId="0" applyFont="1" applyBorder="1" applyAlignment="1">
      <alignment horizontal="left" vertical="center"/>
    </xf>
    <xf numFmtId="0" fontId="35" fillId="0" borderId="28" xfId="0" applyFont="1" applyBorder="1" applyAlignment="1">
      <alignment horizontal="left" vertical="center"/>
    </xf>
    <xf numFmtId="0" fontId="35" fillId="0" borderId="0" xfId="1" applyFont="1"/>
    <xf numFmtId="0" fontId="28" fillId="0" borderId="0" xfId="1"/>
    <xf numFmtId="0" fontId="44" fillId="4" borderId="2" xfId="1" applyFont="1" applyFill="1" applyBorder="1"/>
    <xf numFmtId="0" fontId="35" fillId="4" borderId="12" xfId="1" applyFont="1" applyFill="1" applyBorder="1" applyAlignment="1">
      <alignment horizontal="center" vertical="center"/>
    </xf>
    <xf numFmtId="0" fontId="35" fillId="4" borderId="3" xfId="1" applyFont="1" applyFill="1" applyBorder="1" applyAlignment="1">
      <alignment horizontal="center" vertical="center"/>
    </xf>
    <xf numFmtId="0" fontId="35" fillId="4" borderId="2" xfId="1" applyFont="1" applyFill="1" applyBorder="1"/>
    <xf numFmtId="0" fontId="28" fillId="4" borderId="12" xfId="1" applyFill="1" applyBorder="1" applyAlignment="1">
      <alignment horizontal="center" vertical="center"/>
    </xf>
    <xf numFmtId="0" fontId="28" fillId="4" borderId="3" xfId="1" applyFill="1" applyBorder="1" applyAlignment="1">
      <alignment horizontal="center" vertical="center"/>
    </xf>
    <xf numFmtId="0" fontId="28" fillId="0" borderId="0" xfId="1" applyAlignment="1">
      <alignment horizontal="center" vertical="center"/>
    </xf>
    <xf numFmtId="0" fontId="35" fillId="4" borderId="32" xfId="1" applyFont="1" applyFill="1" applyBorder="1"/>
    <xf numFmtId="0" fontId="28" fillId="4" borderId="0" xfId="1" applyFill="1" applyAlignment="1">
      <alignment horizontal="center" vertical="center"/>
    </xf>
    <xf numFmtId="0" fontId="28" fillId="4" borderId="21" xfId="1" applyFill="1" applyBorder="1" applyAlignment="1">
      <alignment horizontal="center" vertical="center"/>
    </xf>
    <xf numFmtId="0" fontId="35" fillId="4" borderId="33" xfId="1" applyFont="1" applyFill="1" applyBorder="1"/>
    <xf numFmtId="0" fontId="28" fillId="4" borderId="23" xfId="1" applyFill="1" applyBorder="1" applyAlignment="1">
      <alignment horizontal="center" vertical="center"/>
    </xf>
    <xf numFmtId="0" fontId="28" fillId="4" borderId="24" xfId="1" applyFill="1" applyBorder="1" applyAlignment="1">
      <alignment horizontal="center" vertical="center"/>
    </xf>
    <xf numFmtId="0" fontId="28" fillId="4" borderId="4" xfId="1" applyFill="1" applyBorder="1" applyAlignment="1">
      <alignment horizontal="center" vertical="center"/>
    </xf>
    <xf numFmtId="0" fontId="28" fillId="4" borderId="33" xfId="1" applyFill="1" applyBorder="1" applyAlignment="1">
      <alignment horizontal="center" vertical="center"/>
    </xf>
    <xf numFmtId="0" fontId="35" fillId="4" borderId="4" xfId="1" applyFont="1" applyFill="1" applyBorder="1"/>
    <xf numFmtId="0" fontId="28" fillId="4" borderId="28" xfId="1" applyFill="1" applyBorder="1" applyAlignment="1">
      <alignment horizontal="center" vertical="center"/>
    </xf>
    <xf numFmtId="11" fontId="28" fillId="4" borderId="23" xfId="1" applyNumberFormat="1" applyFill="1" applyBorder="1" applyAlignment="1">
      <alignment horizontal="center" vertical="center"/>
    </xf>
    <xf numFmtId="0" fontId="28" fillId="4" borderId="35" xfId="1" applyFill="1" applyBorder="1" applyAlignment="1">
      <alignment horizontal="center" vertical="center"/>
    </xf>
    <xf numFmtId="0" fontId="47" fillId="0" borderId="15" xfId="2" applyFont="1" applyBorder="1" applyAlignment="1">
      <alignment horizontal="left" vertical="center" wrapText="1"/>
    </xf>
    <xf numFmtId="0" fontId="47" fillId="0" borderId="15" xfId="2" applyFont="1" applyBorder="1" applyAlignment="1">
      <alignment horizontal="center" vertical="center" wrapText="1"/>
    </xf>
    <xf numFmtId="0" fontId="0" fillId="0" borderId="15" xfId="0" applyBorder="1" applyAlignment="1">
      <alignment horizontal="center" vertical="center" wrapText="1"/>
    </xf>
    <xf numFmtId="0" fontId="43" fillId="0" borderId="15" xfId="0" applyFont="1" applyBorder="1" applyAlignment="1">
      <alignment horizontal="center" vertical="center"/>
    </xf>
    <xf numFmtId="0" fontId="49" fillId="0" borderId="0" xfId="0" applyFont="1" applyAlignment="1">
      <alignment vertical="center"/>
    </xf>
    <xf numFmtId="0" fontId="49" fillId="0" borderId="0" xfId="0" applyFont="1"/>
    <xf numFmtId="0" fontId="0" fillId="6" borderId="0" xfId="0" applyFill="1"/>
    <xf numFmtId="0" fontId="33" fillId="6" borderId="0" xfId="0" applyFont="1" applyFill="1" applyAlignment="1">
      <alignment horizontal="center" vertical="center" wrapText="1"/>
    </xf>
    <xf numFmtId="0" fontId="39" fillId="6" borderId="0" xfId="0" applyFont="1" applyFill="1" applyAlignment="1">
      <alignment horizontal="center" vertical="center" wrapText="1"/>
    </xf>
    <xf numFmtId="0" fontId="33" fillId="6" borderId="0" xfId="0" applyFont="1" applyFill="1" applyAlignment="1">
      <alignment horizontal="center" vertical="center"/>
    </xf>
    <xf numFmtId="0" fontId="32" fillId="6" borderId="0" xfId="0" applyFont="1" applyFill="1" applyAlignment="1">
      <alignment horizontal="center" vertical="center"/>
    </xf>
    <xf numFmtId="0" fontId="40" fillId="7" borderId="0" xfId="0" applyFont="1" applyFill="1"/>
    <xf numFmtId="0" fontId="0" fillId="7" borderId="0" xfId="0" applyFill="1"/>
    <xf numFmtId="0" fontId="29" fillId="7" borderId="4" xfId="0" applyFont="1" applyFill="1" applyBorder="1" applyAlignment="1">
      <alignment horizontal="center" vertical="center"/>
    </xf>
    <xf numFmtId="0" fontId="29" fillId="7" borderId="34" xfId="0" applyFont="1" applyFill="1" applyBorder="1" applyAlignment="1">
      <alignment horizontal="center" vertical="center" wrapText="1"/>
    </xf>
    <xf numFmtId="0" fontId="35" fillId="7" borderId="31" xfId="0" applyFont="1" applyFill="1" applyBorder="1" applyAlignment="1">
      <alignment horizontal="left" vertical="center"/>
    </xf>
    <xf numFmtId="0" fontId="35" fillId="7" borderId="4" xfId="0" applyFont="1" applyFill="1" applyBorder="1" applyAlignment="1">
      <alignment horizontal="left" vertical="center"/>
    </xf>
    <xf numFmtId="0" fontId="35" fillId="7" borderId="18" xfId="0" applyFont="1" applyFill="1" applyBorder="1" applyAlignment="1">
      <alignment horizontal="left" vertical="center"/>
    </xf>
    <xf numFmtId="0" fontId="35" fillId="7" borderId="29" xfId="0" applyFont="1" applyFill="1" applyBorder="1" applyAlignment="1">
      <alignment horizontal="left" vertical="center"/>
    </xf>
    <xf numFmtId="0" fontId="35" fillId="7" borderId="28" xfId="0" applyFont="1" applyFill="1" applyBorder="1" applyAlignment="1">
      <alignment horizontal="left" vertical="center"/>
    </xf>
    <xf numFmtId="0" fontId="35" fillId="7" borderId="25" xfId="0" applyFont="1" applyFill="1" applyBorder="1" applyAlignment="1">
      <alignment horizontal="left" vertical="center" wrapText="1"/>
    </xf>
    <xf numFmtId="0" fontId="35" fillId="7" borderId="0" xfId="0" applyFont="1" applyFill="1" applyAlignment="1">
      <alignment horizontal="left" vertical="center"/>
    </xf>
    <xf numFmtId="0" fontId="29" fillId="7" borderId="5" xfId="0" applyFont="1" applyFill="1" applyBorder="1" applyAlignment="1">
      <alignment vertical="top" wrapText="1"/>
    </xf>
    <xf numFmtId="0" fontId="35" fillId="7" borderId="26" xfId="0" applyFont="1" applyFill="1" applyBorder="1" applyAlignment="1">
      <alignment horizontal="left" vertical="center"/>
    </xf>
    <xf numFmtId="0" fontId="35" fillId="7" borderId="2" xfId="0" applyFont="1" applyFill="1" applyBorder="1" applyAlignment="1">
      <alignment horizontal="left" vertical="center"/>
    </xf>
    <xf numFmtId="0" fontId="35" fillId="7" borderId="3" xfId="0" applyFont="1" applyFill="1" applyBorder="1" applyAlignment="1">
      <alignment horizontal="left" vertical="center"/>
    </xf>
    <xf numFmtId="0" fontId="35" fillId="7" borderId="12" xfId="0" applyFont="1" applyFill="1" applyBorder="1" applyAlignment="1">
      <alignment horizontal="left" vertical="center"/>
    </xf>
    <xf numFmtId="0" fontId="35" fillId="7" borderId="16" xfId="0" applyFont="1" applyFill="1" applyBorder="1" applyAlignment="1">
      <alignment horizontal="left" vertical="center"/>
    </xf>
    <xf numFmtId="0" fontId="0" fillId="0" borderId="0" xfId="0" applyAlignment="1">
      <alignment horizontal="left"/>
    </xf>
    <xf numFmtId="0" fontId="29" fillId="7" borderId="28" xfId="0" applyFont="1" applyFill="1" applyBorder="1" applyAlignment="1">
      <alignment horizontal="center" vertical="center" wrapText="1"/>
    </xf>
    <xf numFmtId="0" fontId="29" fillId="0" borderId="0" xfId="0" applyFont="1" applyAlignment="1">
      <alignment horizontal="center" vertical="center"/>
    </xf>
    <xf numFmtId="0" fontId="0" fillId="6" borderId="0" xfId="0" applyFill="1" applyAlignment="1">
      <alignment horizontal="left"/>
    </xf>
    <xf numFmtId="0" fontId="49" fillId="0" borderId="6" xfId="0" applyFont="1" applyBorder="1"/>
    <xf numFmtId="0" fontId="49" fillId="0" borderId="6" xfId="0" applyFont="1" applyBorder="1" applyAlignment="1">
      <alignment wrapText="1"/>
    </xf>
    <xf numFmtId="0" fontId="50" fillId="6" borderId="0" xfId="0" applyFont="1" applyFill="1"/>
    <xf numFmtId="0" fontId="29" fillId="7" borderId="27" xfId="0" applyFont="1" applyFill="1" applyBorder="1" applyAlignment="1">
      <alignment horizontal="center" vertical="center" wrapText="1"/>
    </xf>
    <xf numFmtId="0" fontId="49" fillId="0" borderId="6" xfId="0" applyFont="1" applyBorder="1" applyAlignment="1">
      <alignment vertical="center"/>
    </xf>
    <xf numFmtId="0" fontId="35" fillId="0" borderId="0" xfId="3" applyFont="1" applyAlignment="1">
      <alignment horizontal="center" vertical="center" wrapText="1"/>
    </xf>
    <xf numFmtId="0" fontId="46" fillId="6" borderId="0" xfId="0" applyFont="1" applyFill="1"/>
    <xf numFmtId="0" fontId="46" fillId="0" borderId="0" xfId="0" applyFont="1"/>
    <xf numFmtId="0" fontId="49" fillId="0" borderId="6" xfId="0" applyFont="1" applyBorder="1" applyAlignment="1">
      <alignment horizontal="left" vertical="center"/>
    </xf>
    <xf numFmtId="11" fontId="49" fillId="0" borderId="15" xfId="0" applyNumberFormat="1" applyFont="1" applyBorder="1" applyAlignment="1">
      <alignment horizontal="center" vertical="center"/>
    </xf>
    <xf numFmtId="0" fontId="46" fillId="0" borderId="6" xfId="0" applyFont="1" applyBorder="1"/>
    <xf numFmtId="0" fontId="46" fillId="0" borderId="8" xfId="0" applyFont="1" applyBorder="1"/>
    <xf numFmtId="0" fontId="46" fillId="0" borderId="11" xfId="0" applyFont="1" applyBorder="1"/>
    <xf numFmtId="0" fontId="49" fillId="0" borderId="15" xfId="0" applyFont="1" applyBorder="1" applyAlignment="1">
      <alignment horizontal="center" vertical="center"/>
    </xf>
    <xf numFmtId="0" fontId="46" fillId="0" borderId="38" xfId="0" applyFont="1" applyBorder="1"/>
    <xf numFmtId="0" fontId="49" fillId="0" borderId="15" xfId="0" applyFont="1" applyBorder="1" applyAlignment="1">
      <alignment horizontal="left" vertical="center"/>
    </xf>
    <xf numFmtId="0" fontId="49" fillId="0" borderId="38" xfId="0" applyFont="1" applyBorder="1" applyAlignment="1">
      <alignment horizontal="center" vertical="center"/>
    </xf>
    <xf numFmtId="0" fontId="48" fillId="0" borderId="7" xfId="0" applyFont="1" applyBorder="1" applyAlignment="1">
      <alignment horizontal="center" vertical="center"/>
    </xf>
    <xf numFmtId="0" fontId="49" fillId="0" borderId="6" xfId="0" applyFont="1" applyBorder="1" applyAlignment="1">
      <alignment horizontal="center" vertical="center"/>
    </xf>
    <xf numFmtId="0" fontId="49" fillId="0" borderId="8" xfId="0" applyFont="1" applyBorder="1" applyAlignment="1">
      <alignment horizontal="center" vertical="center"/>
    </xf>
    <xf numFmtId="0" fontId="48" fillId="0" borderId="7" xfId="0" applyFont="1" applyBorder="1" applyAlignment="1">
      <alignment horizontal="center" vertical="center" wrapText="1"/>
    </xf>
    <xf numFmtId="0" fontId="48" fillId="0" borderId="9" xfId="0" applyFont="1" applyBorder="1" applyAlignment="1">
      <alignment horizontal="center" vertical="center" wrapText="1"/>
    </xf>
    <xf numFmtId="0" fontId="46" fillId="0" borderId="10" xfId="0" applyFont="1" applyBorder="1"/>
    <xf numFmtId="0" fontId="49" fillId="0" borderId="10" xfId="0" applyFont="1" applyBorder="1" applyAlignment="1">
      <alignment horizontal="center" vertical="center"/>
    </xf>
    <xf numFmtId="0" fontId="46" fillId="0" borderId="6" xfId="0" applyFont="1" applyBorder="1" applyAlignment="1">
      <alignment horizontal="center"/>
    </xf>
    <xf numFmtId="0" fontId="46" fillId="0" borderId="10" xfId="0" applyFont="1" applyBorder="1" applyAlignment="1">
      <alignment horizontal="center"/>
    </xf>
    <xf numFmtId="0" fontId="46" fillId="0" borderId="15" xfId="0" applyFont="1" applyBorder="1"/>
    <xf numFmtId="0" fontId="29" fillId="6" borderId="0" xfId="0" applyFont="1" applyFill="1" applyAlignment="1">
      <alignment horizontal="center" vertical="center" wrapText="1"/>
    </xf>
    <xf numFmtId="0" fontId="56" fillId="6" borderId="0" xfId="0" applyFont="1" applyFill="1" applyAlignment="1">
      <alignment horizontal="center" vertical="center" wrapText="1"/>
    </xf>
    <xf numFmtId="0" fontId="53" fillId="6" borderId="0" xfId="0" applyFont="1" applyFill="1" applyAlignment="1">
      <alignment horizontal="center" vertical="center"/>
    </xf>
    <xf numFmtId="0" fontId="56" fillId="0" borderId="0" xfId="0" applyFont="1" applyAlignment="1">
      <alignment horizontal="center" vertical="center"/>
    </xf>
    <xf numFmtId="0" fontId="53" fillId="0" borderId="0" xfId="0" applyFont="1" applyAlignment="1">
      <alignment horizontal="center" vertical="center"/>
    </xf>
    <xf numFmtId="0" fontId="53" fillId="12" borderId="6" xfId="0" applyFont="1" applyFill="1" applyBorder="1" applyAlignment="1">
      <alignment horizontal="left" vertical="center"/>
    </xf>
    <xf numFmtId="0" fontId="53" fillId="9" borderId="6" xfId="0" applyFont="1" applyFill="1" applyBorder="1" applyAlignment="1">
      <alignment horizontal="center" vertical="center" wrapText="1"/>
    </xf>
    <xf numFmtId="0" fontId="53" fillId="9" borderId="6" xfId="0" applyFont="1" applyFill="1" applyBorder="1" applyAlignment="1">
      <alignment horizontal="left" vertical="center" wrapText="1"/>
    </xf>
    <xf numFmtId="164" fontId="53" fillId="9" borderId="6" xfId="0" applyNumberFormat="1" applyFont="1" applyFill="1" applyBorder="1" applyAlignment="1">
      <alignment horizontal="center" vertical="center" wrapText="1"/>
    </xf>
    <xf numFmtId="166" fontId="53" fillId="9" borderId="6" xfId="0" applyNumberFormat="1" applyFont="1" applyFill="1" applyBorder="1" applyAlignment="1">
      <alignment horizontal="center" vertical="center" wrapText="1"/>
    </xf>
    <xf numFmtId="2" fontId="53" fillId="9" borderId="6" xfId="0" applyNumberFormat="1" applyFont="1" applyFill="1" applyBorder="1" applyAlignment="1">
      <alignment horizontal="center" vertical="center" wrapText="1"/>
    </xf>
    <xf numFmtId="0" fontId="53" fillId="9" borderId="6" xfId="0" quotePrefix="1" applyFont="1" applyFill="1" applyBorder="1" applyAlignment="1">
      <alignment horizontal="center" vertical="center" wrapText="1"/>
    </xf>
    <xf numFmtId="165" fontId="53" fillId="9" borderId="6" xfId="0" applyNumberFormat="1" applyFont="1" applyFill="1" applyBorder="1" applyAlignment="1">
      <alignment horizontal="center" vertical="center" wrapText="1"/>
    </xf>
    <xf numFmtId="0" fontId="53" fillId="0" borderId="0" xfId="0" applyFont="1" applyAlignment="1">
      <alignment horizontal="left" vertical="center"/>
    </xf>
    <xf numFmtId="0" fontId="56" fillId="7" borderId="44" xfId="0" applyFont="1" applyFill="1" applyBorder="1" applyAlignment="1">
      <alignment horizontal="center" vertical="center" wrapText="1"/>
    </xf>
    <xf numFmtId="0" fontId="46" fillId="0" borderId="0" xfId="0" applyFont="1" applyAlignment="1">
      <alignment horizontal="center" vertical="center"/>
    </xf>
    <xf numFmtId="0" fontId="53" fillId="0" borderId="0" xfId="0" applyFont="1"/>
    <xf numFmtId="0" fontId="56" fillId="7" borderId="41" xfId="0" applyFont="1" applyFill="1" applyBorder="1" applyAlignment="1">
      <alignment horizontal="center" vertical="center" wrapText="1"/>
    </xf>
    <xf numFmtId="0" fontId="0" fillId="6" borderId="0" xfId="0" applyFill="1" applyAlignment="1">
      <alignment horizontal="left" vertical="center"/>
    </xf>
    <xf numFmtId="0" fontId="40" fillId="0" borderId="0" xfId="0" applyFont="1"/>
    <xf numFmtId="0" fontId="0" fillId="0" borderId="0" xfId="0" quotePrefix="1" applyAlignment="1">
      <alignment horizontal="right"/>
    </xf>
    <xf numFmtId="0" fontId="41" fillId="0" borderId="0" xfId="0" quotePrefix="1" applyFont="1"/>
    <xf numFmtId="0" fontId="30" fillId="0" borderId="0" xfId="0" applyFont="1"/>
    <xf numFmtId="0" fontId="0" fillId="0" borderId="14" xfId="0" applyBorder="1"/>
    <xf numFmtId="0" fontId="0" fillId="0" borderId="15" xfId="0" applyBorder="1"/>
    <xf numFmtId="0" fontId="34" fillId="0" borderId="0" xfId="0" applyFont="1"/>
    <xf numFmtId="0" fontId="38" fillId="0" borderId="0" xfId="0" applyFont="1"/>
    <xf numFmtId="0" fontId="57" fillId="7" borderId="47" xfId="0" applyFont="1" applyFill="1" applyBorder="1" applyAlignment="1">
      <alignment horizontal="center" vertical="center" wrapText="1"/>
    </xf>
    <xf numFmtId="0" fontId="29" fillId="0" borderId="0" xfId="0" applyFont="1" applyAlignment="1">
      <alignment vertical="top" wrapText="1"/>
    </xf>
    <xf numFmtId="0" fontId="57" fillId="7" borderId="47" xfId="0" applyFont="1" applyFill="1" applyBorder="1" applyAlignment="1">
      <alignment horizontal="center" vertical="center"/>
    </xf>
    <xf numFmtId="0" fontId="43" fillId="0" borderId="0" xfId="22"/>
    <xf numFmtId="0" fontId="46" fillId="0" borderId="0" xfId="0" applyFont="1" applyAlignment="1">
      <alignment horizontal="center" vertical="center" wrapText="1"/>
    </xf>
    <xf numFmtId="0" fontId="48" fillId="7" borderId="31" xfId="0" applyFont="1" applyFill="1" applyBorder="1" applyAlignment="1">
      <alignment horizontal="center" vertical="center" wrapText="1"/>
    </xf>
    <xf numFmtId="0" fontId="49" fillId="0" borderId="37" xfId="0" applyFont="1" applyBorder="1" applyAlignment="1">
      <alignment horizontal="left" vertical="center"/>
    </xf>
    <xf numFmtId="0" fontId="49" fillId="11" borderId="6" xfId="0" applyFont="1" applyFill="1" applyBorder="1" applyAlignment="1">
      <alignment horizontal="center" vertical="center" wrapText="1"/>
    </xf>
    <xf numFmtId="0" fontId="49" fillId="0" borderId="0" xfId="0" applyFont="1" applyAlignment="1">
      <alignment horizontal="left" vertical="center"/>
    </xf>
    <xf numFmtId="164" fontId="49" fillId="0" borderId="0" xfId="0" applyNumberFormat="1" applyFont="1" applyAlignment="1">
      <alignment horizontal="center" vertical="center" wrapText="1"/>
    </xf>
    <xf numFmtId="0" fontId="49" fillId="0" borderId="0" xfId="0" applyFont="1" applyAlignment="1">
      <alignment horizontal="center" vertical="center" wrapText="1"/>
    </xf>
    <xf numFmtId="0" fontId="53" fillId="6" borderId="0" xfId="0" applyFont="1" applyFill="1" applyAlignment="1">
      <alignment horizontal="left" vertical="center"/>
    </xf>
    <xf numFmtId="0" fontId="56" fillId="7" borderId="34" xfId="0" applyFont="1" applyFill="1" applyBorder="1" applyAlignment="1">
      <alignment horizontal="left" vertical="center" wrapText="1"/>
    </xf>
    <xf numFmtId="0" fontId="49" fillId="0" borderId="0" xfId="0" applyFont="1" applyAlignment="1">
      <alignment horizontal="left" vertical="center" wrapText="1"/>
    </xf>
    <xf numFmtId="0" fontId="56" fillId="7" borderId="44" xfId="0" applyFont="1" applyFill="1" applyBorder="1" applyAlignment="1">
      <alignment horizontal="left" vertical="center" wrapText="1"/>
    </xf>
    <xf numFmtId="0" fontId="57" fillId="7" borderId="47" xfId="0" applyFont="1" applyFill="1" applyBorder="1" applyAlignment="1">
      <alignment horizontal="left" vertical="center" wrapText="1"/>
    </xf>
    <xf numFmtId="0" fontId="56" fillId="7" borderId="40" xfId="0" applyFont="1" applyFill="1" applyBorder="1" applyAlignment="1">
      <alignment horizontal="left" vertical="center" wrapText="1"/>
    </xf>
    <xf numFmtId="0" fontId="56" fillId="7" borderId="42" xfId="0" applyFont="1" applyFill="1" applyBorder="1" applyAlignment="1">
      <alignment horizontal="left" vertical="center" wrapText="1"/>
    </xf>
    <xf numFmtId="0" fontId="53" fillId="8" borderId="7" xfId="0" applyFont="1" applyFill="1" applyBorder="1" applyAlignment="1">
      <alignment horizontal="left" vertical="center"/>
    </xf>
    <xf numFmtId="0" fontId="53" fillId="12" borderId="7" xfId="0" applyFont="1" applyFill="1" applyBorder="1" applyAlignment="1">
      <alignment horizontal="left" vertical="center"/>
    </xf>
    <xf numFmtId="0" fontId="49" fillId="11" borderId="7" xfId="0" applyFont="1" applyFill="1" applyBorder="1" applyAlignment="1">
      <alignment horizontal="left" vertical="center"/>
    </xf>
    <xf numFmtId="0" fontId="0" fillId="6" borderId="0" xfId="0" applyFill="1" applyAlignment="1">
      <alignment horizontal="center"/>
    </xf>
    <xf numFmtId="0" fontId="53" fillId="0" borderId="0" xfId="0" applyFont="1" applyAlignment="1">
      <alignment horizontal="center"/>
    </xf>
    <xf numFmtId="0" fontId="0" fillId="0" borderId="0" xfId="0" applyAlignment="1">
      <alignment horizontal="center"/>
    </xf>
    <xf numFmtId="0" fontId="48" fillId="0" borderId="37" xfId="0" applyFont="1" applyBorder="1" applyAlignment="1">
      <alignment horizontal="center" vertical="center"/>
    </xf>
    <xf numFmtId="0" fontId="22" fillId="0" borderId="0" xfId="12"/>
    <xf numFmtId="0" fontId="46" fillId="0" borderId="37" xfId="0" applyFont="1" applyBorder="1"/>
    <xf numFmtId="0" fontId="46" fillId="0" borderId="15" xfId="0" applyFont="1" applyBorder="1" applyAlignment="1">
      <alignment horizontal="center"/>
    </xf>
    <xf numFmtId="0" fontId="49" fillId="0" borderId="0" xfId="0" applyFont="1" applyAlignment="1">
      <alignment horizontal="left"/>
    </xf>
    <xf numFmtId="0" fontId="49" fillId="0" borderId="0" xfId="0" applyFont="1" applyAlignment="1">
      <alignment horizontal="center"/>
    </xf>
    <xf numFmtId="0" fontId="49" fillId="0" borderId="0" xfId="0" quotePrefix="1" applyFont="1" applyAlignment="1">
      <alignment horizontal="center"/>
    </xf>
    <xf numFmtId="11" fontId="49" fillId="0" borderId="0" xfId="0" applyNumberFormat="1" applyFont="1" applyAlignment="1">
      <alignment horizontal="center"/>
    </xf>
    <xf numFmtId="0" fontId="46" fillId="0" borderId="0" xfId="22" applyFont="1"/>
    <xf numFmtId="0" fontId="43" fillId="0" borderId="0" xfId="6"/>
    <xf numFmtId="0" fontId="49" fillId="8" borderId="7" xfId="0" applyFont="1" applyFill="1" applyBorder="1" applyAlignment="1">
      <alignment horizontal="left" vertical="center"/>
    </xf>
    <xf numFmtId="164" fontId="49" fillId="8" borderId="6" xfId="0" applyNumberFormat="1" applyFont="1" applyFill="1" applyBorder="1" applyAlignment="1">
      <alignment horizontal="center" vertical="center" wrapText="1"/>
    </xf>
    <xf numFmtId="0" fontId="49" fillId="8" borderId="6" xfId="0" applyFont="1" applyFill="1" applyBorder="1" applyAlignment="1">
      <alignment horizontal="center" vertical="center" wrapText="1"/>
    </xf>
    <xf numFmtId="2" fontId="49" fillId="8" borderId="6" xfId="0" applyNumberFormat="1" applyFont="1" applyFill="1" applyBorder="1" applyAlignment="1">
      <alignment horizontal="center" vertical="center" wrapText="1"/>
    </xf>
    <xf numFmtId="0" fontId="49" fillId="10" borderId="7" xfId="0" applyFont="1" applyFill="1" applyBorder="1" applyAlignment="1">
      <alignment horizontal="left" vertical="center"/>
    </xf>
    <xf numFmtId="0" fontId="49" fillId="10" borderId="6" xfId="0" applyFont="1" applyFill="1" applyBorder="1" applyAlignment="1">
      <alignment horizontal="center" vertical="center" wrapText="1"/>
    </xf>
    <xf numFmtId="0" fontId="49" fillId="12" borderId="7" xfId="0" applyFont="1" applyFill="1" applyBorder="1" applyAlignment="1">
      <alignment horizontal="left" vertical="center"/>
    </xf>
    <xf numFmtId="0" fontId="49" fillId="12" borderId="6" xfId="0" applyFont="1" applyFill="1" applyBorder="1" applyAlignment="1">
      <alignment horizontal="left" vertical="center"/>
    </xf>
    <xf numFmtId="0" fontId="49" fillId="12" borderId="6" xfId="0" applyFont="1" applyFill="1" applyBorder="1" applyAlignment="1">
      <alignment horizontal="center" vertical="center"/>
    </xf>
    <xf numFmtId="0" fontId="49" fillId="12" borderId="10" xfId="0" applyFont="1" applyFill="1" applyBorder="1" applyAlignment="1">
      <alignment horizontal="left" vertical="center"/>
    </xf>
    <xf numFmtId="0" fontId="49" fillId="12" borderId="10" xfId="0" applyFont="1" applyFill="1" applyBorder="1" applyAlignment="1">
      <alignment horizontal="center" vertical="center"/>
    </xf>
    <xf numFmtId="0" fontId="44" fillId="0" borderId="0" xfId="0" applyFont="1" applyAlignment="1">
      <alignment horizontal="center" vertical="center"/>
    </xf>
    <xf numFmtId="0" fontId="49" fillId="15" borderId="6" xfId="0" applyFont="1" applyFill="1" applyBorder="1" applyAlignment="1">
      <alignment horizontal="center" vertical="center" wrapText="1"/>
    </xf>
    <xf numFmtId="0" fontId="49" fillId="12" borderId="8" xfId="0" applyFont="1" applyFill="1" applyBorder="1" applyAlignment="1">
      <alignment horizontal="left" vertical="center"/>
    </xf>
    <xf numFmtId="0" fontId="49" fillId="12" borderId="11" xfId="0" applyFont="1" applyFill="1" applyBorder="1" applyAlignment="1">
      <alignment horizontal="left" vertical="center"/>
    </xf>
    <xf numFmtId="0" fontId="56" fillId="0" borderId="0" xfId="0" applyFont="1"/>
    <xf numFmtId="0" fontId="53" fillId="10" borderId="6" xfId="0" applyFont="1" applyFill="1" applyBorder="1" applyAlignment="1">
      <alignment horizontal="left" vertical="center" wrapText="1"/>
    </xf>
    <xf numFmtId="0" fontId="53" fillId="10" borderId="6" xfId="0" applyFont="1" applyFill="1" applyBorder="1" applyAlignment="1">
      <alignment horizontal="center" vertical="center" wrapText="1"/>
    </xf>
    <xf numFmtId="0" fontId="49" fillId="12" borderId="60" xfId="0" applyFont="1" applyFill="1" applyBorder="1" applyAlignment="1">
      <alignment horizontal="center" vertical="center"/>
    </xf>
    <xf numFmtId="0" fontId="49" fillId="15" borderId="60" xfId="0" applyFont="1" applyFill="1" applyBorder="1" applyAlignment="1">
      <alignment horizontal="center" vertical="center" wrapText="1"/>
    </xf>
    <xf numFmtId="0" fontId="49" fillId="15" borderId="6" xfId="0" applyFont="1" applyFill="1" applyBorder="1" applyAlignment="1">
      <alignment horizontal="center" vertical="center"/>
    </xf>
    <xf numFmtId="0" fontId="49" fillId="15" borderId="10" xfId="0" applyFont="1" applyFill="1" applyBorder="1" applyAlignment="1">
      <alignment horizontal="center" vertical="center"/>
    </xf>
    <xf numFmtId="0" fontId="53" fillId="16" borderId="6" xfId="0" applyFont="1" applyFill="1" applyBorder="1" applyAlignment="1">
      <alignment horizontal="left" vertical="center" wrapText="1"/>
    </xf>
    <xf numFmtId="166" fontId="53" fillId="8" borderId="6" xfId="0" applyNumberFormat="1" applyFont="1" applyFill="1" applyBorder="1" applyAlignment="1">
      <alignment horizontal="center" vertical="center" wrapText="1"/>
    </xf>
    <xf numFmtId="0" fontId="53" fillId="8" borderId="6" xfId="0" quotePrefix="1" applyFont="1" applyFill="1" applyBorder="1" applyAlignment="1">
      <alignment horizontal="center" vertical="center" wrapText="1"/>
    </xf>
    <xf numFmtId="0" fontId="53" fillId="8" borderId="6" xfId="0" applyFont="1" applyFill="1" applyBorder="1" applyAlignment="1">
      <alignment horizontal="left" vertical="center" wrapText="1"/>
    </xf>
    <xf numFmtId="0" fontId="53" fillId="9" borderId="7" xfId="0" applyFont="1" applyFill="1" applyBorder="1" applyAlignment="1">
      <alignment horizontal="left" vertical="center"/>
    </xf>
    <xf numFmtId="166" fontId="53" fillId="9" borderId="6" xfId="0" applyNumberFormat="1" applyFont="1" applyFill="1" applyBorder="1" applyAlignment="1">
      <alignment horizontal="center" vertical="center"/>
    </xf>
    <xf numFmtId="0" fontId="53" fillId="16" borderId="7" xfId="0" applyFont="1" applyFill="1" applyBorder="1" applyAlignment="1">
      <alignment horizontal="left" vertical="center"/>
    </xf>
    <xf numFmtId="166" fontId="53" fillId="16" borderId="6" xfId="0" applyNumberFormat="1" applyFont="1" applyFill="1" applyBorder="1" applyAlignment="1">
      <alignment horizontal="center" vertical="center" wrapText="1"/>
    </xf>
    <xf numFmtId="0" fontId="53" fillId="16" borderId="6" xfId="0" quotePrefix="1" applyFont="1" applyFill="1" applyBorder="1" applyAlignment="1">
      <alignment horizontal="center" vertical="center" wrapText="1"/>
    </xf>
    <xf numFmtId="166" fontId="53" fillId="10" borderId="6" xfId="0" applyNumberFormat="1" applyFont="1" applyFill="1" applyBorder="1" applyAlignment="1">
      <alignment horizontal="center" vertical="center" wrapText="1"/>
    </xf>
    <xf numFmtId="0" fontId="53" fillId="10" borderId="6" xfId="0" quotePrefix="1" applyFont="1" applyFill="1" applyBorder="1" applyAlignment="1">
      <alignment horizontal="center" vertical="center" wrapText="1"/>
    </xf>
    <xf numFmtId="0" fontId="53" fillId="19" borderId="6" xfId="0" applyFont="1" applyFill="1" applyBorder="1" applyAlignment="1">
      <alignment horizontal="left" vertical="center" wrapText="1"/>
    </xf>
    <xf numFmtId="166" fontId="53" fillId="19" borderId="6" xfId="0" applyNumberFormat="1" applyFont="1" applyFill="1" applyBorder="1" applyAlignment="1">
      <alignment horizontal="center" vertical="center" wrapText="1"/>
    </xf>
    <xf numFmtId="0" fontId="53" fillId="19" borderId="6" xfId="0" quotePrefix="1" applyFont="1" applyFill="1" applyBorder="1" applyAlignment="1">
      <alignment horizontal="center" vertical="center" wrapText="1"/>
    </xf>
    <xf numFmtId="0" fontId="53" fillId="8" borderId="60" xfId="0" applyFont="1" applyFill="1" applyBorder="1" applyAlignment="1">
      <alignment horizontal="left" vertical="center" wrapText="1"/>
    </xf>
    <xf numFmtId="166" fontId="53" fillId="8" borderId="60" xfId="0" applyNumberFormat="1" applyFont="1" applyFill="1" applyBorder="1" applyAlignment="1">
      <alignment horizontal="center" vertical="center" wrapText="1"/>
    </xf>
    <xf numFmtId="0" fontId="53" fillId="8" borderId="60" xfId="0" quotePrefix="1" applyFont="1" applyFill="1" applyBorder="1" applyAlignment="1">
      <alignment horizontal="center" vertical="center" wrapText="1"/>
    </xf>
    <xf numFmtId="0" fontId="49" fillId="18" borderId="7" xfId="0" applyFont="1" applyFill="1" applyBorder="1" applyAlignment="1">
      <alignment horizontal="left" vertical="center"/>
    </xf>
    <xf numFmtId="0" fontId="49" fillId="5" borderId="6" xfId="0" applyFont="1" applyFill="1" applyBorder="1" applyAlignment="1">
      <alignment horizontal="center" vertical="center"/>
    </xf>
    <xf numFmtId="0" fontId="46" fillId="5" borderId="6" xfId="0" applyFont="1" applyFill="1" applyBorder="1" applyAlignment="1">
      <alignment horizontal="center" vertical="center"/>
    </xf>
    <xf numFmtId="0" fontId="46" fillId="11" borderId="6" xfId="0" quotePrefix="1" applyFont="1" applyFill="1" applyBorder="1" applyAlignment="1">
      <alignment horizontal="left" vertical="center"/>
    </xf>
    <xf numFmtId="0" fontId="49" fillId="15" borderId="61" xfId="0" applyFont="1" applyFill="1" applyBorder="1" applyAlignment="1">
      <alignment horizontal="left" vertical="center"/>
    </xf>
    <xf numFmtId="0" fontId="49" fillId="15" borderId="8" xfId="0" applyFont="1" applyFill="1" applyBorder="1" applyAlignment="1">
      <alignment horizontal="left" vertical="center"/>
    </xf>
    <xf numFmtId="0" fontId="53" fillId="15" borderId="6" xfId="0" applyFont="1" applyFill="1" applyBorder="1" applyAlignment="1">
      <alignment horizontal="center" vertical="center" wrapText="1"/>
    </xf>
    <xf numFmtId="0" fontId="53" fillId="15" borderId="8" xfId="0" applyFont="1" applyFill="1" applyBorder="1" applyAlignment="1">
      <alignment horizontal="left" vertical="center" wrapText="1"/>
    </xf>
    <xf numFmtId="0" fontId="53" fillId="15" borderId="10" xfId="0" applyFont="1" applyFill="1" applyBorder="1" applyAlignment="1">
      <alignment horizontal="left" vertical="center" wrapText="1"/>
    </xf>
    <xf numFmtId="0" fontId="53" fillId="15" borderId="10" xfId="0" applyFont="1" applyFill="1" applyBorder="1" applyAlignment="1">
      <alignment horizontal="center" vertical="center" wrapText="1"/>
    </xf>
    <xf numFmtId="0" fontId="53" fillId="15" borderId="11" xfId="0" applyFont="1" applyFill="1" applyBorder="1" applyAlignment="1">
      <alignment horizontal="left" vertical="center" wrapText="1"/>
    </xf>
    <xf numFmtId="0" fontId="49" fillId="11" borderId="6" xfId="0" applyFont="1" applyFill="1" applyBorder="1" applyAlignment="1">
      <alignment horizontal="left" vertical="center"/>
    </xf>
    <xf numFmtId="0" fontId="49" fillId="11" borderId="9" xfId="0" applyFont="1" applyFill="1" applyBorder="1" applyAlignment="1">
      <alignment horizontal="left" vertical="center"/>
    </xf>
    <xf numFmtId="0" fontId="49" fillId="11" borderId="10" xfId="0" applyFont="1" applyFill="1" applyBorder="1" applyAlignment="1">
      <alignment horizontal="left" vertical="center"/>
    </xf>
    <xf numFmtId="0" fontId="49" fillId="12" borderId="6" xfId="0" applyFont="1" applyFill="1" applyBorder="1" applyAlignment="1">
      <alignment horizontal="center" vertical="center" wrapText="1"/>
    </xf>
    <xf numFmtId="0" fontId="49" fillId="8" borderId="7" xfId="0" quotePrefix="1" applyFont="1" applyFill="1" applyBorder="1" applyAlignment="1">
      <alignment horizontal="left" vertical="center"/>
    </xf>
    <xf numFmtId="0" fontId="49" fillId="8" borderId="6" xfId="0" applyFont="1" applyFill="1" applyBorder="1" applyAlignment="1">
      <alignment horizontal="left" vertical="center"/>
    </xf>
    <xf numFmtId="0" fontId="49" fillId="8" borderId="37" xfId="0" quotePrefix="1" applyFont="1" applyFill="1" applyBorder="1" applyAlignment="1">
      <alignment horizontal="left" vertical="center"/>
    </xf>
    <xf numFmtId="0" fontId="49" fillId="11" borderId="7" xfId="0" quotePrefix="1" applyFont="1" applyFill="1" applyBorder="1" applyAlignment="1">
      <alignment horizontal="left" vertical="center"/>
    </xf>
    <xf numFmtId="0" fontId="49" fillId="12" borderId="7" xfId="0" quotePrefix="1" applyFont="1" applyFill="1" applyBorder="1" applyAlignment="1">
      <alignment horizontal="left" vertical="center"/>
    </xf>
    <xf numFmtId="0" fontId="49" fillId="12" borderId="15" xfId="0" applyFont="1" applyFill="1" applyBorder="1" applyAlignment="1">
      <alignment horizontal="left" vertical="center"/>
    </xf>
    <xf numFmtId="0" fontId="49" fillId="12" borderId="37" xfId="0" quotePrefix="1" applyFont="1" applyFill="1" applyBorder="1" applyAlignment="1">
      <alignment horizontal="left" vertical="center"/>
    </xf>
    <xf numFmtId="0" fontId="49" fillId="12" borderId="9" xfId="0" quotePrefix="1" applyFont="1" applyFill="1" applyBorder="1" applyAlignment="1">
      <alignment horizontal="left" vertical="center"/>
    </xf>
    <xf numFmtId="0" fontId="53" fillId="8" borderId="6" xfId="0" applyFont="1" applyFill="1" applyBorder="1" applyAlignment="1">
      <alignment horizontal="left" vertical="center"/>
    </xf>
    <xf numFmtId="0" fontId="53" fillId="11" borderId="7" xfId="0" applyFont="1" applyFill="1" applyBorder="1" applyAlignment="1">
      <alignment horizontal="left" vertical="center"/>
    </xf>
    <xf numFmtId="0" fontId="53" fillId="11" borderId="6" xfId="0" applyFont="1" applyFill="1" applyBorder="1" applyAlignment="1">
      <alignment horizontal="left" vertical="center"/>
    </xf>
    <xf numFmtId="0" fontId="53" fillId="9" borderId="6" xfId="0" applyFont="1" applyFill="1" applyBorder="1" applyAlignment="1">
      <alignment horizontal="left" vertical="center"/>
    </xf>
    <xf numFmtId="0" fontId="53" fillId="16" borderId="6" xfId="0" applyFont="1" applyFill="1" applyBorder="1" applyAlignment="1">
      <alignment horizontal="left" vertical="center"/>
    </xf>
    <xf numFmtId="164" fontId="53" fillId="0" borderId="0" xfId="0" applyNumberFormat="1" applyFont="1" applyAlignment="1">
      <alignment horizontal="left" vertical="center"/>
    </xf>
    <xf numFmtId="0" fontId="46" fillId="20" borderId="6" xfId="0" applyFont="1" applyFill="1" applyBorder="1" applyAlignment="1">
      <alignment horizontal="center" vertical="center"/>
    </xf>
    <xf numFmtId="0" fontId="46" fillId="20" borderId="6" xfId="0" applyFont="1" applyFill="1" applyBorder="1" applyAlignment="1">
      <alignment horizontal="center" vertical="center" wrapText="1"/>
    </xf>
    <xf numFmtId="0" fontId="46" fillId="20" borderId="6" xfId="0" applyFont="1" applyFill="1" applyBorder="1"/>
    <xf numFmtId="0" fontId="0" fillId="20" borderId="6" xfId="0" applyFill="1" applyBorder="1"/>
    <xf numFmtId="0" fontId="46" fillId="20" borderId="15" xfId="0" applyFont="1" applyFill="1" applyBorder="1" applyAlignment="1">
      <alignment horizontal="center" vertical="center"/>
    </xf>
    <xf numFmtId="0" fontId="46" fillId="20" borderId="15" xfId="0" applyFont="1" applyFill="1" applyBorder="1" applyAlignment="1">
      <alignment horizontal="center" vertical="center" wrapText="1"/>
    </xf>
    <xf numFmtId="0" fontId="46" fillId="20" borderId="15" xfId="0" applyFont="1" applyFill="1" applyBorder="1"/>
    <xf numFmtId="0" fontId="46" fillId="20" borderId="37" xfId="0" applyFont="1" applyFill="1" applyBorder="1" applyAlignment="1">
      <alignment horizontal="center" vertical="center"/>
    </xf>
    <xf numFmtId="0" fontId="46" fillId="20" borderId="38" xfId="0" applyFont="1" applyFill="1" applyBorder="1"/>
    <xf numFmtId="0" fontId="46" fillId="20" borderId="9" xfId="0" applyFont="1" applyFill="1" applyBorder="1" applyAlignment="1">
      <alignment horizontal="center" vertical="center"/>
    </xf>
    <xf numFmtId="0" fontId="46" fillId="20" borderId="10" xfId="0" applyFont="1" applyFill="1" applyBorder="1" applyAlignment="1">
      <alignment horizontal="center" vertical="center" wrapText="1"/>
    </xf>
    <xf numFmtId="0" fontId="46" fillId="20" borderId="10" xfId="0" applyFont="1" applyFill="1" applyBorder="1"/>
    <xf numFmtId="0" fontId="46" fillId="20" borderId="11" xfId="0" applyFont="1" applyFill="1" applyBorder="1"/>
    <xf numFmtId="0" fontId="49" fillId="20" borderId="37" xfId="0" applyFont="1" applyFill="1" applyBorder="1" applyAlignment="1">
      <alignment horizontal="left" vertical="center"/>
    </xf>
    <xf numFmtId="0" fontId="49" fillId="20" borderId="15" xfId="0" applyFont="1" applyFill="1" applyBorder="1" applyAlignment="1">
      <alignment horizontal="left" vertical="center"/>
    </xf>
    <xf numFmtId="0" fontId="49" fillId="20" borderId="37" xfId="0" applyFont="1" applyFill="1" applyBorder="1" applyAlignment="1">
      <alignment horizontal="left" vertical="center" wrapText="1"/>
    </xf>
    <xf numFmtId="0" fontId="49" fillId="20" borderId="6" xfId="0" applyFont="1" applyFill="1" applyBorder="1" applyAlignment="1">
      <alignment horizontal="left" vertical="center"/>
    </xf>
    <xf numFmtId="0" fontId="49" fillId="20" borderId="9" xfId="0" applyFont="1" applyFill="1" applyBorder="1" applyAlignment="1">
      <alignment horizontal="left" vertical="center" wrapText="1"/>
    </xf>
    <xf numFmtId="0" fontId="49" fillId="20" borderId="10" xfId="0" applyFont="1" applyFill="1" applyBorder="1" applyAlignment="1">
      <alignment horizontal="left" vertical="center"/>
    </xf>
    <xf numFmtId="0" fontId="49" fillId="20" borderId="7" xfId="0" applyFont="1" applyFill="1" applyBorder="1" applyAlignment="1">
      <alignment horizontal="left" vertical="center"/>
    </xf>
    <xf numFmtId="0" fontId="49" fillId="20" borderId="9" xfId="0" applyFont="1" applyFill="1" applyBorder="1" applyAlignment="1">
      <alignment horizontal="left" vertical="center"/>
    </xf>
    <xf numFmtId="0" fontId="49" fillId="20" borderId="59" xfId="0" applyFont="1" applyFill="1" applyBorder="1" applyAlignment="1">
      <alignment horizontal="left" vertical="center" wrapText="1"/>
    </xf>
    <xf numFmtId="0" fontId="49" fillId="20" borderId="60" xfId="0" applyFont="1" applyFill="1" applyBorder="1" applyAlignment="1">
      <alignment horizontal="left" vertical="center"/>
    </xf>
    <xf numFmtId="0" fontId="49" fillId="20" borderId="53" xfId="24" applyFont="1" applyFill="1" applyBorder="1" applyAlignment="1">
      <alignment horizontal="left" vertical="center"/>
    </xf>
    <xf numFmtId="0" fontId="49" fillId="20" borderId="7" xfId="24" applyFont="1" applyFill="1" applyBorder="1" applyAlignment="1">
      <alignment horizontal="left" vertical="center"/>
    </xf>
    <xf numFmtId="0" fontId="49" fillId="5" borderId="10" xfId="0" applyFont="1" applyFill="1" applyBorder="1" applyAlignment="1">
      <alignment horizontal="center" vertical="center"/>
    </xf>
    <xf numFmtId="0" fontId="46" fillId="5" borderId="10" xfId="0" applyFont="1" applyFill="1" applyBorder="1" applyAlignment="1">
      <alignment horizontal="center" vertical="center"/>
    </xf>
    <xf numFmtId="0" fontId="57" fillId="13" borderId="69" xfId="0" applyFont="1" applyFill="1" applyBorder="1" applyAlignment="1">
      <alignment horizontal="center" vertical="center"/>
    </xf>
    <xf numFmtId="0" fontId="57" fillId="7" borderId="69" xfId="0" applyFont="1" applyFill="1" applyBorder="1" applyAlignment="1">
      <alignment horizontal="center" vertical="center"/>
    </xf>
    <xf numFmtId="0" fontId="57" fillId="7" borderId="69" xfId="0" applyFont="1" applyFill="1" applyBorder="1" applyAlignment="1">
      <alignment horizontal="center"/>
    </xf>
    <xf numFmtId="0" fontId="57" fillId="7" borderId="50" xfId="0" applyFont="1" applyFill="1" applyBorder="1" applyAlignment="1">
      <alignment horizontal="left" vertical="center"/>
    </xf>
    <xf numFmtId="0" fontId="49" fillId="7" borderId="69" xfId="0" applyFont="1" applyFill="1" applyBorder="1" applyAlignment="1">
      <alignment horizontal="left" vertical="center" wrapText="1"/>
    </xf>
    <xf numFmtId="0" fontId="57" fillId="7" borderId="51" xfId="0" applyFont="1" applyFill="1" applyBorder="1" applyAlignment="1">
      <alignment horizontal="left" vertical="center" wrapText="1"/>
    </xf>
    <xf numFmtId="0" fontId="57" fillId="7" borderId="64" xfId="0" applyFont="1" applyFill="1" applyBorder="1" applyAlignment="1">
      <alignment horizontal="left" vertical="center" wrapText="1"/>
    </xf>
    <xf numFmtId="0" fontId="57" fillId="7" borderId="51" xfId="0" applyFont="1" applyFill="1" applyBorder="1" applyAlignment="1">
      <alignment horizontal="center" vertical="center" wrapText="1"/>
    </xf>
    <xf numFmtId="0" fontId="57" fillId="7" borderId="57" xfId="0" applyFont="1" applyFill="1" applyBorder="1" applyAlignment="1">
      <alignment horizontal="center" vertical="center" wrapText="1"/>
    </xf>
    <xf numFmtId="164" fontId="49" fillId="7" borderId="69" xfId="0" applyNumberFormat="1" applyFont="1" applyFill="1" applyBorder="1" applyAlignment="1">
      <alignment horizontal="center" vertical="center" wrapText="1"/>
    </xf>
    <xf numFmtId="0" fontId="49" fillId="7" borderId="69" xfId="0" applyFont="1" applyFill="1" applyBorder="1" applyAlignment="1">
      <alignment horizontal="center" vertical="center" wrapText="1"/>
    </xf>
    <xf numFmtId="0" fontId="57" fillId="7" borderId="52" xfId="0" applyFont="1" applyFill="1" applyBorder="1" applyAlignment="1">
      <alignment horizontal="left" vertical="center"/>
    </xf>
    <xf numFmtId="0" fontId="49" fillId="21" borderId="7" xfId="0" applyFont="1" applyFill="1" applyBorder="1" applyAlignment="1">
      <alignment horizontal="left" vertical="center"/>
    </xf>
    <xf numFmtId="164" fontId="53" fillId="18" borderId="6" xfId="0" applyNumberFormat="1" applyFont="1" applyFill="1" applyBorder="1" applyAlignment="1">
      <alignment horizontal="center" vertical="center"/>
    </xf>
    <xf numFmtId="0" fontId="53" fillId="18" borderId="15" xfId="0" applyFont="1" applyFill="1" applyBorder="1" applyAlignment="1">
      <alignment horizontal="center" vertical="center"/>
    </xf>
    <xf numFmtId="0" fontId="53" fillId="18" borderId="6" xfId="0" applyFont="1" applyFill="1" applyBorder="1" applyAlignment="1">
      <alignment horizontal="center" vertical="center"/>
    </xf>
    <xf numFmtId="0" fontId="49" fillId="18" borderId="10" xfId="0" applyFont="1" applyFill="1" applyBorder="1" applyAlignment="1">
      <alignment horizontal="left" vertical="center"/>
    </xf>
    <xf numFmtId="0" fontId="49" fillId="18" borderId="10" xfId="0" applyFont="1" applyFill="1" applyBorder="1" applyAlignment="1">
      <alignment horizontal="center" vertical="center"/>
    </xf>
    <xf numFmtId="0" fontId="46" fillId="0" borderId="0" xfId="0" applyFont="1" applyAlignment="1">
      <alignment horizontal="left"/>
    </xf>
    <xf numFmtId="0" fontId="49" fillId="9" borderId="7" xfId="0" applyFont="1" applyFill="1" applyBorder="1" applyAlignment="1">
      <alignment horizontal="left" vertical="center"/>
    </xf>
    <xf numFmtId="0" fontId="49" fillId="9" borderId="6" xfId="0" applyFont="1" applyFill="1" applyBorder="1" applyAlignment="1">
      <alignment horizontal="left" vertical="center"/>
    </xf>
    <xf numFmtId="0" fontId="49" fillId="8" borderId="6" xfId="0" quotePrefix="1" applyFont="1" applyFill="1" applyBorder="1" applyAlignment="1">
      <alignment horizontal="left" vertical="center"/>
    </xf>
    <xf numFmtId="0" fontId="49" fillId="21" borderId="6" xfId="0" quotePrefix="1" applyFont="1" applyFill="1" applyBorder="1" applyAlignment="1">
      <alignment horizontal="left" vertical="center"/>
    </xf>
    <xf numFmtId="0" fontId="49" fillId="21" borderId="6" xfId="0" applyFont="1" applyFill="1" applyBorder="1" applyAlignment="1">
      <alignment horizontal="left" vertical="center"/>
    </xf>
    <xf numFmtId="0" fontId="49" fillId="18" borderId="6" xfId="0" applyFont="1" applyFill="1" applyBorder="1" applyAlignment="1">
      <alignment horizontal="left" vertical="center"/>
    </xf>
    <xf numFmtId="0" fontId="49" fillId="18" borderId="6" xfId="0" quotePrefix="1" applyFont="1" applyFill="1" applyBorder="1" applyAlignment="1">
      <alignment horizontal="left" vertical="center"/>
    </xf>
    <xf numFmtId="0" fontId="49" fillId="7" borderId="7" xfId="0" applyFont="1" applyFill="1" applyBorder="1" applyAlignment="1">
      <alignment horizontal="left" vertical="center"/>
    </xf>
    <xf numFmtId="0" fontId="49" fillId="7" borderId="6" xfId="0" applyFont="1" applyFill="1" applyBorder="1" applyAlignment="1">
      <alignment horizontal="left" vertical="center"/>
    </xf>
    <xf numFmtId="0" fontId="58" fillId="7" borderId="7" xfId="0" applyFont="1" applyFill="1" applyBorder="1" applyAlignment="1">
      <alignment horizontal="left" vertical="center"/>
    </xf>
    <xf numFmtId="0" fontId="49" fillId="7" borderId="6" xfId="0" quotePrefix="1" applyFont="1" applyFill="1" applyBorder="1" applyAlignment="1">
      <alignment horizontal="left" vertical="center"/>
    </xf>
    <xf numFmtId="0" fontId="49" fillId="20" borderId="75" xfId="0" applyFont="1" applyFill="1" applyBorder="1" applyAlignment="1">
      <alignment horizontal="left" vertical="center"/>
    </xf>
    <xf numFmtId="0" fontId="49" fillId="5" borderId="6" xfId="0" quotePrefix="1" applyFont="1" applyFill="1" applyBorder="1" applyAlignment="1">
      <alignment horizontal="center" vertical="center"/>
    </xf>
    <xf numFmtId="0" fontId="49" fillId="5" borderId="75" xfId="0" applyFont="1" applyFill="1" applyBorder="1" applyAlignment="1">
      <alignment horizontal="center" vertical="center"/>
    </xf>
    <xf numFmtId="0" fontId="49" fillId="5" borderId="75" xfId="0" quotePrefix="1" applyFont="1" applyFill="1" applyBorder="1" applyAlignment="1">
      <alignment horizontal="center" vertical="center"/>
    </xf>
    <xf numFmtId="0" fontId="46" fillId="5" borderId="75" xfId="0" applyFont="1" applyFill="1" applyBorder="1" applyAlignment="1">
      <alignment horizontal="center" vertical="center"/>
    </xf>
    <xf numFmtId="0" fontId="49" fillId="5" borderId="8" xfId="0" applyFont="1" applyFill="1" applyBorder="1" applyAlignment="1">
      <alignment horizontal="center" vertical="center"/>
    </xf>
    <xf numFmtId="0" fontId="49" fillId="5" borderId="11" xfId="0" applyFont="1" applyFill="1" applyBorder="1" applyAlignment="1">
      <alignment horizontal="center" vertical="center"/>
    </xf>
    <xf numFmtId="0" fontId="53" fillId="8" borderId="74" xfId="0" applyFont="1" applyFill="1" applyBorder="1" applyAlignment="1">
      <alignment horizontal="left" vertical="center"/>
    </xf>
    <xf numFmtId="0" fontId="53" fillId="8" borderId="75" xfId="0" applyFont="1" applyFill="1" applyBorder="1" applyAlignment="1">
      <alignment horizontal="left" vertical="center"/>
    </xf>
    <xf numFmtId="0" fontId="53" fillId="16" borderId="9" xfId="0" applyFont="1" applyFill="1" applyBorder="1" applyAlignment="1">
      <alignment horizontal="left" vertical="center"/>
    </xf>
    <xf numFmtId="0" fontId="53" fillId="16" borderId="10" xfId="0" applyFont="1" applyFill="1" applyBorder="1" applyAlignment="1">
      <alignment horizontal="left" vertical="center"/>
    </xf>
    <xf numFmtId="0" fontId="49" fillId="9" borderId="9" xfId="0" applyFont="1" applyFill="1" applyBorder="1" applyAlignment="1">
      <alignment horizontal="left" vertical="center"/>
    </xf>
    <xf numFmtId="0" fontId="49" fillId="9" borderId="10" xfId="0" applyFont="1" applyFill="1" applyBorder="1" applyAlignment="1">
      <alignment horizontal="left" vertical="center"/>
    </xf>
    <xf numFmtId="0" fontId="49" fillId="20" borderId="74" xfId="0" applyFont="1" applyFill="1" applyBorder="1" applyAlignment="1">
      <alignment horizontal="left" vertical="center" wrapText="1"/>
    </xf>
    <xf numFmtId="0" fontId="48" fillId="17" borderId="0" xfId="0" applyFont="1" applyFill="1" applyAlignment="1">
      <alignment horizontal="center" vertical="center"/>
    </xf>
    <xf numFmtId="0" fontId="57" fillId="17" borderId="0" xfId="0" applyFont="1" applyFill="1" applyAlignment="1">
      <alignment horizontal="center" vertical="center"/>
    </xf>
    <xf numFmtId="0" fontId="64" fillId="7" borderId="46" xfId="0" applyFont="1" applyFill="1" applyBorder="1" applyAlignment="1">
      <alignment horizontal="center" vertical="center" wrapText="1"/>
    </xf>
    <xf numFmtId="0" fontId="64" fillId="7" borderId="47" xfId="0" applyFont="1" applyFill="1" applyBorder="1" applyAlignment="1">
      <alignment horizontal="center" vertical="center" wrapText="1"/>
    </xf>
    <xf numFmtId="0" fontId="64" fillId="7" borderId="48" xfId="0" applyFont="1" applyFill="1" applyBorder="1" applyAlignment="1">
      <alignment horizontal="center" vertical="center" wrapText="1"/>
    </xf>
    <xf numFmtId="0" fontId="48" fillId="7" borderId="78" xfId="0" applyFont="1" applyFill="1" applyBorder="1" applyAlignment="1">
      <alignment horizontal="center" vertical="center"/>
    </xf>
    <xf numFmtId="0" fontId="48" fillId="7" borderId="79" xfId="0" applyFont="1" applyFill="1" applyBorder="1" applyAlignment="1">
      <alignment horizontal="left" vertical="center" wrapText="1"/>
    </xf>
    <xf numFmtId="0" fontId="48" fillId="7" borderId="78" xfId="0" applyFont="1" applyFill="1" applyBorder="1" applyAlignment="1">
      <alignment horizontal="center" vertical="center" wrapText="1"/>
    </xf>
    <xf numFmtId="0" fontId="57" fillId="7" borderId="78" xfId="0" applyFont="1" applyFill="1" applyBorder="1" applyAlignment="1">
      <alignment horizontal="center" vertical="center" wrapText="1"/>
    </xf>
    <xf numFmtId="0" fontId="48" fillId="7" borderId="80" xfId="0" applyFont="1" applyFill="1" applyBorder="1" applyAlignment="1">
      <alignment horizontal="center" vertical="center" wrapText="1"/>
    </xf>
    <xf numFmtId="0" fontId="48" fillId="7" borderId="79" xfId="0" applyFont="1" applyFill="1" applyBorder="1" applyAlignment="1">
      <alignment horizontal="center" vertical="center"/>
    </xf>
    <xf numFmtId="0" fontId="57" fillId="7" borderId="78" xfId="0" applyFont="1" applyFill="1" applyBorder="1" applyAlignment="1">
      <alignment horizontal="center" vertical="center"/>
    </xf>
    <xf numFmtId="0" fontId="57" fillId="7" borderId="80" xfId="0" applyFont="1" applyFill="1" applyBorder="1" applyAlignment="1">
      <alignment horizontal="center" vertical="center"/>
    </xf>
    <xf numFmtId="0" fontId="46" fillId="20" borderId="7" xfId="0" applyFont="1" applyFill="1" applyBorder="1" applyAlignment="1">
      <alignment horizontal="center" vertical="center"/>
    </xf>
    <xf numFmtId="0" fontId="46" fillId="20" borderId="8" xfId="0" applyFont="1" applyFill="1" applyBorder="1"/>
    <xf numFmtId="0" fontId="46" fillId="20" borderId="10" xfId="0" applyFont="1" applyFill="1" applyBorder="1" applyAlignment="1">
      <alignment horizontal="center" vertical="center"/>
    </xf>
    <xf numFmtId="0" fontId="46" fillId="20" borderId="36" xfId="0" applyFont="1" applyFill="1" applyBorder="1"/>
    <xf numFmtId="0" fontId="46" fillId="20" borderId="74" xfId="0" applyFont="1" applyFill="1" applyBorder="1" applyAlignment="1">
      <alignment horizontal="center" vertical="center"/>
    </xf>
    <xf numFmtId="0" fontId="46" fillId="20" borderId="75" xfId="0" applyFont="1" applyFill="1" applyBorder="1" applyAlignment="1">
      <alignment horizontal="center" vertical="center" wrapText="1"/>
    </xf>
    <xf numFmtId="0" fontId="46" fillId="20" borderId="75" xfId="0" applyFont="1" applyFill="1" applyBorder="1"/>
    <xf numFmtId="0" fontId="46" fillId="20" borderId="76" xfId="0" applyFont="1" applyFill="1" applyBorder="1"/>
    <xf numFmtId="0" fontId="53" fillId="18" borderId="6" xfId="0" applyFont="1" applyFill="1" applyBorder="1" applyAlignment="1">
      <alignment horizontal="left" vertical="center" wrapText="1"/>
    </xf>
    <xf numFmtId="166" fontId="53" fillId="18" borderId="6" xfId="0" applyNumberFormat="1" applyFont="1" applyFill="1" applyBorder="1" applyAlignment="1">
      <alignment horizontal="center" vertical="center" wrapText="1"/>
    </xf>
    <xf numFmtId="0" fontId="53" fillId="18" borderId="6" xfId="0" quotePrefix="1" applyFont="1" applyFill="1" applyBorder="1" applyAlignment="1">
      <alignment horizontal="center" vertical="center" wrapText="1"/>
    </xf>
    <xf numFmtId="0" fontId="53" fillId="12" borderId="6" xfId="0" applyFont="1" applyFill="1" applyBorder="1" applyAlignment="1">
      <alignment horizontal="left" vertical="center" wrapText="1"/>
    </xf>
    <xf numFmtId="166" fontId="53" fillId="12" borderId="6" xfId="0" applyNumberFormat="1" applyFont="1" applyFill="1" applyBorder="1" applyAlignment="1">
      <alignment horizontal="center" vertical="center" wrapText="1"/>
    </xf>
    <xf numFmtId="0" fontId="53" fillId="12" borderId="6" xfId="0" quotePrefix="1" applyFont="1" applyFill="1" applyBorder="1" applyAlignment="1">
      <alignment horizontal="center" vertical="center" wrapText="1"/>
    </xf>
    <xf numFmtId="0" fontId="49" fillId="12" borderId="6" xfId="0" applyFont="1" applyFill="1" applyBorder="1" applyAlignment="1">
      <alignment horizontal="left" vertical="center" wrapText="1"/>
    </xf>
    <xf numFmtId="2" fontId="49" fillId="12" borderId="6" xfId="0" applyNumberFormat="1" applyFont="1" applyFill="1" applyBorder="1" applyAlignment="1">
      <alignment horizontal="center" vertical="center" wrapText="1"/>
    </xf>
    <xf numFmtId="2" fontId="49" fillId="8" borderId="71" xfId="0" applyNumberFormat="1" applyFont="1" applyFill="1" applyBorder="1" applyAlignment="1">
      <alignment horizontal="center" vertical="center" wrapText="1"/>
    </xf>
    <xf numFmtId="0" fontId="49" fillId="8" borderId="71" xfId="0" applyFont="1" applyFill="1" applyBorder="1" applyAlignment="1">
      <alignment horizontal="center" vertical="center" wrapText="1"/>
    </xf>
    <xf numFmtId="0" fontId="48" fillId="7" borderId="67" xfId="0" applyFont="1" applyFill="1" applyBorder="1" applyAlignment="1">
      <alignment horizontal="center" vertical="center"/>
    </xf>
    <xf numFmtId="164" fontId="53" fillId="9" borderId="15" xfId="0" applyNumberFormat="1" applyFont="1" applyFill="1" applyBorder="1" applyAlignment="1">
      <alignment horizontal="center" vertical="center" wrapText="1"/>
    </xf>
    <xf numFmtId="0" fontId="53" fillId="9" borderId="15" xfId="0" applyFont="1" applyFill="1" applyBorder="1" applyAlignment="1">
      <alignment horizontal="center" vertical="center" wrapText="1"/>
    </xf>
    <xf numFmtId="166" fontId="0" fillId="0" borderId="0" xfId="0" applyNumberFormat="1"/>
    <xf numFmtId="166" fontId="0" fillId="0" borderId="0" xfId="0" applyNumberFormat="1" applyAlignment="1">
      <alignment horizontal="center" vertical="center"/>
    </xf>
    <xf numFmtId="0" fontId="46" fillId="10" borderId="6" xfId="0" applyFont="1" applyFill="1" applyBorder="1" applyAlignment="1">
      <alignment horizontal="left" vertical="center"/>
    </xf>
    <xf numFmtId="0" fontId="46" fillId="9" borderId="6" xfId="0" applyFont="1" applyFill="1" applyBorder="1" applyAlignment="1">
      <alignment horizontal="left" vertical="center"/>
    </xf>
    <xf numFmtId="0" fontId="46" fillId="7" borderId="6" xfId="0" applyFont="1" applyFill="1" applyBorder="1" applyAlignment="1">
      <alignment horizontal="left" vertical="center"/>
    </xf>
    <xf numFmtId="164" fontId="53" fillId="6" borderId="0" xfId="0" applyNumberFormat="1" applyFont="1" applyFill="1" applyAlignment="1">
      <alignment horizontal="left" vertical="center"/>
    </xf>
    <xf numFmtId="0" fontId="57" fillId="7" borderId="77" xfId="0" applyFont="1" applyFill="1" applyBorder="1" applyAlignment="1">
      <alignment horizontal="left" vertical="center"/>
    </xf>
    <xf numFmtId="164" fontId="49" fillId="8" borderId="6" xfId="0" applyNumberFormat="1" applyFont="1" applyFill="1" applyBorder="1" applyAlignment="1">
      <alignment horizontal="left" vertical="center"/>
    </xf>
    <xf numFmtId="2" fontId="49" fillId="8" borderId="6" xfId="0" applyNumberFormat="1" applyFont="1" applyFill="1" applyBorder="1" applyAlignment="1">
      <alignment horizontal="left" vertical="center"/>
    </xf>
    <xf numFmtId="166" fontId="49" fillId="8" borderId="6" xfId="0" applyNumberFormat="1" applyFont="1" applyFill="1" applyBorder="1" applyAlignment="1">
      <alignment horizontal="left" vertical="center"/>
    </xf>
    <xf numFmtId="0" fontId="49" fillId="8" borderId="15" xfId="0" quotePrefix="1" applyFont="1" applyFill="1" applyBorder="1" applyAlignment="1">
      <alignment horizontal="left" vertical="center"/>
    </xf>
    <xf numFmtId="2" fontId="49" fillId="8" borderId="15" xfId="0" applyNumberFormat="1" applyFont="1" applyFill="1" applyBorder="1" applyAlignment="1">
      <alignment horizontal="left" vertical="center"/>
    </xf>
    <xf numFmtId="165" fontId="49" fillId="8" borderId="6" xfId="0" applyNumberFormat="1" applyFont="1" applyFill="1" applyBorder="1" applyAlignment="1">
      <alignment horizontal="left" vertical="center"/>
    </xf>
    <xf numFmtId="0" fontId="49" fillId="11" borderId="6" xfId="0" quotePrefix="1" applyFont="1" applyFill="1" applyBorder="1" applyAlignment="1">
      <alignment horizontal="left" vertical="center"/>
    </xf>
    <xf numFmtId="0" fontId="49" fillId="11" borderId="10" xfId="0" quotePrefix="1" applyFont="1" applyFill="1" applyBorder="1" applyAlignment="1">
      <alignment horizontal="left" vertical="center"/>
    </xf>
    <xf numFmtId="0" fontId="49" fillId="12" borderId="6" xfId="0" quotePrefix="1" applyFont="1" applyFill="1" applyBorder="1" applyAlignment="1">
      <alignment horizontal="left" vertical="center"/>
    </xf>
    <xf numFmtId="0" fontId="49" fillId="12" borderId="10" xfId="0" applyFont="1" applyFill="1" applyBorder="1" applyAlignment="1">
      <alignment horizontal="left" vertical="center" wrapText="1"/>
    </xf>
    <xf numFmtId="0" fontId="49" fillId="12" borderId="10" xfId="0" quotePrefix="1" applyFont="1" applyFill="1" applyBorder="1" applyAlignment="1">
      <alignment horizontal="left" vertical="center"/>
    </xf>
    <xf numFmtId="0" fontId="49" fillId="12" borderId="15" xfId="0" quotePrefix="1" applyFont="1" applyFill="1" applyBorder="1" applyAlignment="1">
      <alignment horizontal="left" vertical="center"/>
    </xf>
    <xf numFmtId="0" fontId="49" fillId="12" borderId="15" xfId="0" applyFont="1" applyFill="1" applyBorder="1" applyAlignment="1">
      <alignment horizontal="left" vertical="center" wrapText="1"/>
    </xf>
    <xf numFmtId="166" fontId="49" fillId="12" borderId="6" xfId="0" applyNumberFormat="1" applyFont="1" applyFill="1" applyBorder="1" applyAlignment="1">
      <alignment horizontal="left" vertical="center"/>
    </xf>
    <xf numFmtId="165" fontId="49" fillId="12" borderId="6" xfId="0" applyNumberFormat="1" applyFont="1" applyFill="1" applyBorder="1" applyAlignment="1">
      <alignment horizontal="left" vertical="center"/>
    </xf>
    <xf numFmtId="0" fontId="49" fillId="8" borderId="8" xfId="0" applyFont="1" applyFill="1" applyBorder="1" applyAlignment="1">
      <alignment horizontal="left" vertical="center"/>
    </xf>
    <xf numFmtId="0" fontId="49" fillId="21" borderId="8" xfId="0" applyFont="1" applyFill="1" applyBorder="1" applyAlignment="1">
      <alignment horizontal="left" vertical="center"/>
    </xf>
    <xf numFmtId="0" fontId="49" fillId="11" borderId="8" xfId="0" applyFont="1" applyFill="1" applyBorder="1" applyAlignment="1">
      <alignment horizontal="left" vertical="center"/>
    </xf>
    <xf numFmtId="0" fontId="49" fillId="18" borderId="8" xfId="0" applyFont="1" applyFill="1" applyBorder="1" applyAlignment="1">
      <alignment horizontal="left" vertical="center"/>
    </xf>
    <xf numFmtId="0" fontId="49" fillId="7" borderId="8" xfId="0" applyFont="1" applyFill="1" applyBorder="1" applyAlignment="1">
      <alignment horizontal="left" vertical="center"/>
    </xf>
    <xf numFmtId="0" fontId="49" fillId="9" borderId="6" xfId="0" quotePrefix="1" applyFont="1" applyFill="1" applyBorder="1" applyAlignment="1">
      <alignment horizontal="left" vertical="center"/>
    </xf>
    <xf numFmtId="0" fontId="49" fillId="9" borderId="8" xfId="0" quotePrefix="1" applyFont="1" applyFill="1" applyBorder="1" applyAlignment="1">
      <alignment horizontal="left" vertical="center"/>
    </xf>
    <xf numFmtId="0" fontId="49" fillId="9" borderId="8" xfId="0" applyFont="1" applyFill="1" applyBorder="1" applyAlignment="1">
      <alignment horizontal="left" vertical="center"/>
    </xf>
    <xf numFmtId="0" fontId="49" fillId="9" borderId="10" xfId="0" quotePrefix="1" applyFont="1" applyFill="1" applyBorder="1" applyAlignment="1">
      <alignment horizontal="left" vertical="center"/>
    </xf>
    <xf numFmtId="0" fontId="49" fillId="9" borderId="11" xfId="0" quotePrefix="1" applyFont="1" applyFill="1" applyBorder="1" applyAlignment="1">
      <alignment horizontal="left" vertical="center"/>
    </xf>
    <xf numFmtId="0" fontId="49" fillId="8" borderId="75" xfId="0" applyFont="1" applyFill="1" applyBorder="1" applyAlignment="1">
      <alignment horizontal="left" vertical="center"/>
    </xf>
    <xf numFmtId="0" fontId="53" fillId="8" borderId="76" xfId="0" applyFont="1" applyFill="1" applyBorder="1" applyAlignment="1">
      <alignment horizontal="left" vertical="center"/>
    </xf>
    <xf numFmtId="0" fontId="53" fillId="8" borderId="8" xfId="0" applyFont="1" applyFill="1" applyBorder="1" applyAlignment="1">
      <alignment horizontal="left" vertical="center"/>
    </xf>
    <xf numFmtId="0" fontId="53" fillId="11" borderId="8" xfId="0" applyFont="1" applyFill="1" applyBorder="1" applyAlignment="1">
      <alignment horizontal="left" vertical="center"/>
    </xf>
    <xf numFmtId="0" fontId="53" fillId="12" borderId="8" xfId="0" applyFont="1" applyFill="1" applyBorder="1" applyAlignment="1">
      <alignment horizontal="left" vertical="center"/>
    </xf>
    <xf numFmtId="0" fontId="53" fillId="9" borderId="8" xfId="0" applyFont="1" applyFill="1" applyBorder="1" applyAlignment="1">
      <alignment horizontal="left" vertical="center"/>
    </xf>
    <xf numFmtId="0" fontId="49" fillId="16" borderId="6" xfId="0" applyFont="1" applyFill="1" applyBorder="1" applyAlignment="1">
      <alignment horizontal="left" vertical="center"/>
    </xf>
    <xf numFmtId="0" fontId="53" fillId="16" borderId="8" xfId="0" applyFont="1" applyFill="1" applyBorder="1" applyAlignment="1">
      <alignment horizontal="left" vertical="center"/>
    </xf>
    <xf numFmtId="0" fontId="49" fillId="16" borderId="10" xfId="0" applyFont="1" applyFill="1" applyBorder="1" applyAlignment="1">
      <alignment horizontal="left" vertical="center"/>
    </xf>
    <xf numFmtId="0" fontId="53" fillId="16" borderId="11" xfId="0" applyFont="1" applyFill="1" applyBorder="1" applyAlignment="1">
      <alignment horizontal="left" vertical="center"/>
    </xf>
    <xf numFmtId="166" fontId="49" fillId="20" borderId="15" xfId="0" applyNumberFormat="1" applyFont="1" applyFill="1" applyBorder="1" applyAlignment="1">
      <alignment horizontal="left" vertical="center"/>
    </xf>
    <xf numFmtId="0" fontId="49" fillId="20" borderId="38" xfId="0" applyFont="1" applyFill="1" applyBorder="1" applyAlignment="1">
      <alignment horizontal="left" vertical="center"/>
    </xf>
    <xf numFmtId="167" fontId="49" fillId="20" borderId="6" xfId="0" applyNumberFormat="1" applyFont="1" applyFill="1" applyBorder="1" applyAlignment="1">
      <alignment horizontal="left" vertical="center"/>
    </xf>
    <xf numFmtId="0" fontId="49" fillId="20" borderId="6" xfId="0" quotePrefix="1" applyFont="1" applyFill="1" applyBorder="1" applyAlignment="1">
      <alignment horizontal="left" vertical="center"/>
    </xf>
    <xf numFmtId="0" fontId="49" fillId="20" borderId="8" xfId="0" applyFont="1" applyFill="1" applyBorder="1" applyAlignment="1">
      <alignment horizontal="left" vertical="center"/>
    </xf>
    <xf numFmtId="0" fontId="49" fillId="20" borderId="10" xfId="0" quotePrefix="1" applyFont="1" applyFill="1" applyBorder="1" applyAlignment="1">
      <alignment horizontal="left" vertical="center"/>
    </xf>
    <xf numFmtId="0" fontId="49" fillId="20" borderId="11" xfId="0" applyFont="1" applyFill="1" applyBorder="1" applyAlignment="1">
      <alignment horizontal="left" vertical="center"/>
    </xf>
    <xf numFmtId="0" fontId="49" fillId="20" borderId="60" xfId="0" quotePrefix="1" applyFont="1" applyFill="1" applyBorder="1" applyAlignment="1">
      <alignment horizontal="left" vertical="center"/>
    </xf>
    <xf numFmtId="0" fontId="49" fillId="20" borderId="61" xfId="0" applyFont="1" applyFill="1" applyBorder="1" applyAlignment="1">
      <alignment horizontal="left" vertical="center"/>
    </xf>
    <xf numFmtId="167" fontId="49" fillId="20" borderId="10" xfId="0" applyNumberFormat="1" applyFont="1" applyFill="1" applyBorder="1" applyAlignment="1">
      <alignment horizontal="left" vertical="center"/>
    </xf>
    <xf numFmtId="0" fontId="49" fillId="20" borderId="75" xfId="0" quotePrefix="1" applyFont="1" applyFill="1" applyBorder="1" applyAlignment="1">
      <alignment horizontal="left" vertical="center"/>
    </xf>
    <xf numFmtId="0" fontId="49" fillId="20" borderId="76" xfId="0" applyFont="1" applyFill="1" applyBorder="1" applyAlignment="1">
      <alignment horizontal="left" vertical="center"/>
    </xf>
    <xf numFmtId="167" fontId="49" fillId="20" borderId="54" xfId="0" applyNumberFormat="1" applyFont="1" applyFill="1" applyBorder="1" applyAlignment="1">
      <alignment horizontal="left" vertical="center"/>
    </xf>
    <xf numFmtId="0" fontId="49" fillId="20" borderId="54" xfId="0" quotePrefix="1" applyFont="1" applyFill="1" applyBorder="1" applyAlignment="1">
      <alignment horizontal="left" vertical="center"/>
    </xf>
    <xf numFmtId="0" fontId="49" fillId="20" borderId="54" xfId="0" applyFont="1" applyFill="1" applyBorder="1" applyAlignment="1">
      <alignment horizontal="left" vertical="center"/>
    </xf>
    <xf numFmtId="0" fontId="49" fillId="20" borderId="55" xfId="0" applyFont="1" applyFill="1" applyBorder="1" applyAlignment="1">
      <alignment horizontal="left" vertical="center"/>
    </xf>
    <xf numFmtId="165" fontId="49" fillId="20" borderId="10" xfId="0" applyNumberFormat="1" applyFont="1" applyFill="1" applyBorder="1" applyAlignment="1">
      <alignment horizontal="left" vertical="center"/>
    </xf>
    <xf numFmtId="0" fontId="49" fillId="8" borderId="6" xfId="0" quotePrefix="1" applyFont="1" applyFill="1" applyBorder="1" applyAlignment="1">
      <alignment horizontal="center" vertical="center" wrapText="1"/>
    </xf>
    <xf numFmtId="0" fontId="49" fillId="18" borderId="10" xfId="0" applyFont="1" applyFill="1" applyBorder="1" applyAlignment="1">
      <alignment horizontal="center" vertical="center" wrapText="1"/>
    </xf>
    <xf numFmtId="2" fontId="53" fillId="10" borderId="6" xfId="0" applyNumberFormat="1" applyFont="1" applyFill="1" applyBorder="1" applyAlignment="1">
      <alignment horizontal="center" vertical="center" wrapText="1"/>
    </xf>
    <xf numFmtId="0" fontId="53" fillId="10" borderId="10" xfId="0" applyFont="1" applyFill="1" applyBorder="1" applyAlignment="1">
      <alignment horizontal="center" vertical="center" wrapText="1"/>
    </xf>
    <xf numFmtId="1" fontId="49" fillId="15" borderId="60" xfId="0" applyNumberFormat="1" applyFont="1" applyFill="1" applyBorder="1" applyAlignment="1">
      <alignment horizontal="center" vertical="center" wrapText="1"/>
    </xf>
    <xf numFmtId="1" fontId="49" fillId="15" borderId="6" xfId="0" applyNumberFormat="1" applyFont="1" applyFill="1" applyBorder="1" applyAlignment="1">
      <alignment horizontal="center" vertical="center" wrapText="1"/>
    </xf>
    <xf numFmtId="0" fontId="49" fillId="18" borderId="10" xfId="0" applyFont="1" applyFill="1" applyBorder="1" applyAlignment="1">
      <alignment horizontal="left" vertical="center" wrapText="1"/>
    </xf>
    <xf numFmtId="2" fontId="49" fillId="18" borderId="10" xfId="0" applyNumberFormat="1" applyFont="1" applyFill="1" applyBorder="1" applyAlignment="1">
      <alignment horizontal="center" vertical="center" wrapText="1"/>
    </xf>
    <xf numFmtId="164" fontId="49" fillId="11" borderId="6" xfId="0" applyNumberFormat="1" applyFont="1" applyFill="1" applyBorder="1" applyAlignment="1">
      <alignment horizontal="center" vertical="center" wrapText="1"/>
    </xf>
    <xf numFmtId="0" fontId="50" fillId="6" borderId="0" xfId="0" applyFont="1" applyFill="1" applyAlignment="1">
      <alignment horizontal="left"/>
    </xf>
    <xf numFmtId="0" fontId="46" fillId="8" borderId="6" xfId="0" quotePrefix="1" applyFont="1" applyFill="1" applyBorder="1" applyAlignment="1">
      <alignment horizontal="left" vertical="center"/>
    </xf>
    <xf numFmtId="0" fontId="46" fillId="10" borderId="6" xfId="0" quotePrefix="1" applyFont="1" applyFill="1" applyBorder="1" applyAlignment="1">
      <alignment horizontal="left" vertical="center"/>
    </xf>
    <xf numFmtId="0" fontId="46" fillId="7" borderId="6" xfId="0" quotePrefix="1" applyFont="1" applyFill="1" applyBorder="1" applyAlignment="1">
      <alignment horizontal="left" vertical="center"/>
    </xf>
    <xf numFmtId="167" fontId="49" fillId="20" borderId="60" xfId="0" applyNumberFormat="1" applyFont="1" applyFill="1" applyBorder="1" applyAlignment="1">
      <alignment horizontal="left" vertical="center"/>
    </xf>
    <xf numFmtId="167" fontId="49" fillId="20" borderId="75" xfId="0" applyNumberFormat="1" applyFont="1" applyFill="1" applyBorder="1" applyAlignment="1">
      <alignment horizontal="left" vertical="center"/>
    </xf>
    <xf numFmtId="0" fontId="49" fillId="20" borderId="10" xfId="0" applyFont="1" applyFill="1" applyBorder="1" applyAlignment="1">
      <alignment horizontal="left" vertical="center" wrapText="1"/>
    </xf>
    <xf numFmtId="167" fontId="49" fillId="20" borderId="15" xfId="0" applyNumberFormat="1" applyFont="1" applyFill="1" applyBorder="1" applyAlignment="1">
      <alignment horizontal="left" vertical="center"/>
    </xf>
    <xf numFmtId="0" fontId="56" fillId="7" borderId="73" xfId="0" applyFont="1" applyFill="1" applyBorder="1" applyAlignment="1">
      <alignment horizontal="left" vertical="center" wrapText="1"/>
    </xf>
    <xf numFmtId="0" fontId="57" fillId="7" borderId="79" xfId="0" applyFont="1" applyFill="1" applyBorder="1" applyAlignment="1">
      <alignment horizontal="left" vertical="center"/>
    </xf>
    <xf numFmtId="0" fontId="46" fillId="8" borderId="84" xfId="0" applyFont="1" applyFill="1" applyBorder="1" applyAlignment="1">
      <alignment horizontal="center" vertical="center"/>
    </xf>
    <xf numFmtId="0" fontId="49" fillId="19" borderId="6" xfId="0" applyFont="1" applyFill="1" applyBorder="1" applyAlignment="1">
      <alignment horizontal="left" vertical="center"/>
    </xf>
    <xf numFmtId="0" fontId="49" fillId="19" borderId="6" xfId="0" quotePrefix="1" applyFont="1" applyFill="1" applyBorder="1" applyAlignment="1">
      <alignment horizontal="left" vertical="center"/>
    </xf>
    <xf numFmtId="0" fontId="49" fillId="19" borderId="8" xfId="0" applyFont="1" applyFill="1" applyBorder="1" applyAlignment="1">
      <alignment horizontal="left" vertical="center"/>
    </xf>
    <xf numFmtId="0" fontId="49" fillId="19" borderId="6" xfId="0" applyFont="1" applyFill="1" applyBorder="1" applyAlignment="1">
      <alignment horizontal="center" vertical="center" wrapText="1"/>
    </xf>
    <xf numFmtId="0" fontId="53" fillId="19" borderId="6" xfId="0" applyFont="1" applyFill="1" applyBorder="1" applyAlignment="1">
      <alignment horizontal="left" vertical="center"/>
    </xf>
    <xf numFmtId="0" fontId="53" fillId="19" borderId="8" xfId="0" applyFont="1" applyFill="1" applyBorder="1" applyAlignment="1">
      <alignment horizontal="left" vertical="center"/>
    </xf>
    <xf numFmtId="0" fontId="53" fillId="11" borderId="6" xfId="0" applyFont="1" applyFill="1" applyBorder="1" applyAlignment="1">
      <alignment horizontal="left" vertical="center" wrapText="1"/>
    </xf>
    <xf numFmtId="166" fontId="53" fillId="11" borderId="6" xfId="0" applyNumberFormat="1" applyFont="1" applyFill="1" applyBorder="1" applyAlignment="1">
      <alignment horizontal="center" vertical="center" wrapText="1"/>
    </xf>
    <xf numFmtId="0" fontId="53" fillId="11" borderId="6" xfId="0" quotePrefix="1" applyFont="1" applyFill="1" applyBorder="1" applyAlignment="1">
      <alignment horizontal="center" vertical="center" wrapText="1"/>
    </xf>
    <xf numFmtId="0" fontId="49" fillId="19" borderId="63" xfId="0" applyFont="1" applyFill="1" applyBorder="1" applyAlignment="1">
      <alignment horizontal="left" vertical="center"/>
    </xf>
    <xf numFmtId="2" fontId="49" fillId="19" borderId="6" xfId="0" applyNumberFormat="1" applyFont="1" applyFill="1" applyBorder="1" applyAlignment="1">
      <alignment horizontal="left" vertical="center"/>
    </xf>
    <xf numFmtId="2" fontId="49" fillId="11" borderId="6" xfId="0" applyNumberFormat="1" applyFont="1" applyFill="1" applyBorder="1" applyAlignment="1">
      <alignment horizontal="left" vertical="center"/>
    </xf>
    <xf numFmtId="0" fontId="49" fillId="11" borderId="83" xfId="0" applyFont="1" applyFill="1" applyBorder="1" applyAlignment="1">
      <alignment horizontal="left" vertical="center"/>
    </xf>
    <xf numFmtId="164" fontId="53" fillId="9" borderId="75" xfId="0" applyNumberFormat="1" applyFont="1" applyFill="1" applyBorder="1" applyAlignment="1">
      <alignment horizontal="center" vertical="center" wrapText="1"/>
    </xf>
    <xf numFmtId="0" fontId="53" fillId="9" borderId="75" xfId="0" applyFont="1" applyFill="1" applyBorder="1" applyAlignment="1">
      <alignment horizontal="center" vertical="center" wrapText="1"/>
    </xf>
    <xf numFmtId="0" fontId="56" fillId="7" borderId="5" xfId="0" applyFont="1" applyFill="1" applyBorder="1" applyAlignment="1">
      <alignment horizontal="left" vertical="center" wrapText="1"/>
    </xf>
    <xf numFmtId="0" fontId="46" fillId="20" borderId="84" xfId="0" applyFont="1" applyFill="1" applyBorder="1" applyAlignment="1">
      <alignment horizontal="center" vertical="center" wrapText="1"/>
    </xf>
    <xf numFmtId="0" fontId="46" fillId="20" borderId="71" xfId="0" applyFont="1" applyFill="1" applyBorder="1" applyAlignment="1">
      <alignment horizontal="center" vertical="center" wrapText="1"/>
    </xf>
    <xf numFmtId="0" fontId="46" fillId="8" borderId="84" xfId="0" quotePrefix="1" applyFont="1" applyFill="1" applyBorder="1" applyAlignment="1">
      <alignment horizontal="center" vertical="center"/>
    </xf>
    <xf numFmtId="0" fontId="46" fillId="8" borderId="84" xfId="0" applyFont="1" applyFill="1" applyBorder="1" applyAlignment="1">
      <alignment horizontal="left" vertical="center"/>
    </xf>
    <xf numFmtId="0" fontId="46" fillId="20" borderId="6" xfId="0" quotePrefix="1" applyFont="1" applyFill="1" applyBorder="1" applyAlignment="1">
      <alignment horizontal="left" vertical="center"/>
    </xf>
    <xf numFmtId="0" fontId="56" fillId="7" borderId="67" xfId="0" applyFont="1" applyFill="1" applyBorder="1" applyAlignment="1">
      <alignment horizontal="center" vertical="center" wrapText="1"/>
    </xf>
    <xf numFmtId="2" fontId="53" fillId="10" borderId="71" xfId="0" applyNumberFormat="1" applyFont="1" applyFill="1" applyBorder="1" applyAlignment="1">
      <alignment horizontal="center" vertical="center" wrapText="1"/>
    </xf>
    <xf numFmtId="0" fontId="53" fillId="10" borderId="71" xfId="0" applyFont="1" applyFill="1" applyBorder="1" applyAlignment="1">
      <alignment horizontal="center" vertical="center" wrapText="1"/>
    </xf>
    <xf numFmtId="164" fontId="53" fillId="10" borderId="6" xfId="0" applyNumberFormat="1" applyFont="1" applyFill="1" applyBorder="1" applyAlignment="1">
      <alignment horizontal="center" vertical="center" wrapText="1"/>
    </xf>
    <xf numFmtId="0" fontId="53" fillId="10" borderId="84" xfId="0" applyFont="1" applyFill="1" applyBorder="1" applyAlignment="1">
      <alignment horizontal="left" vertical="center" wrapText="1"/>
    </xf>
    <xf numFmtId="2" fontId="53" fillId="10" borderId="84" xfId="0" applyNumberFormat="1" applyFont="1" applyFill="1" applyBorder="1" applyAlignment="1">
      <alignment horizontal="center" vertical="center" wrapText="1"/>
    </xf>
    <xf numFmtId="0" fontId="53" fillId="10" borderId="84" xfId="0" applyFont="1" applyFill="1" applyBorder="1" applyAlignment="1">
      <alignment horizontal="center" vertical="center" wrapText="1"/>
    </xf>
    <xf numFmtId="0" fontId="53" fillId="20" borderId="71" xfId="0" applyFont="1" applyFill="1" applyBorder="1" applyAlignment="1">
      <alignment horizontal="center" vertical="center" wrapText="1"/>
    </xf>
    <xf numFmtId="0" fontId="53" fillId="20" borderId="6" xfId="0" applyFont="1" applyFill="1" applyBorder="1" applyAlignment="1">
      <alignment horizontal="left" vertical="center" wrapText="1"/>
    </xf>
    <xf numFmtId="0" fontId="53" fillId="20" borderId="6" xfId="0" applyFont="1" applyFill="1" applyBorder="1" applyAlignment="1">
      <alignment horizontal="center" vertical="center" wrapText="1"/>
    </xf>
    <xf numFmtId="0" fontId="53" fillId="20" borderId="10" xfId="0" applyFont="1" applyFill="1" applyBorder="1" applyAlignment="1">
      <alignment horizontal="left" vertical="center" wrapText="1"/>
    </xf>
    <xf numFmtId="0" fontId="53" fillId="20" borderId="10" xfId="0" applyFont="1" applyFill="1" applyBorder="1" applyAlignment="1">
      <alignment horizontal="center" vertical="center" wrapText="1"/>
    </xf>
    <xf numFmtId="166" fontId="53" fillId="20" borderId="6" xfId="0" applyNumberFormat="1" applyFont="1" applyFill="1" applyBorder="1" applyAlignment="1">
      <alignment horizontal="center" vertical="center" wrapText="1"/>
    </xf>
    <xf numFmtId="0" fontId="53" fillId="20" borderId="6" xfId="0" quotePrefix="1" applyFont="1" applyFill="1" applyBorder="1" applyAlignment="1">
      <alignment horizontal="center" vertical="center" wrapText="1"/>
    </xf>
    <xf numFmtId="0" fontId="49" fillId="10" borderId="84" xfId="0" applyFont="1" applyFill="1" applyBorder="1" applyAlignment="1">
      <alignment horizontal="center" vertical="center" wrapText="1"/>
    </xf>
    <xf numFmtId="0" fontId="56" fillId="2" borderId="0" xfId="0" applyFont="1" applyFill="1" applyAlignment="1">
      <alignment horizontal="center" vertical="center"/>
    </xf>
    <xf numFmtId="0" fontId="49" fillId="20" borderId="6" xfId="0" applyFont="1" applyFill="1" applyBorder="1" applyAlignment="1">
      <alignment horizontal="center" vertical="center" wrapText="1"/>
    </xf>
    <xf numFmtId="0" fontId="49" fillId="20" borderId="6" xfId="0" applyFont="1" applyFill="1" applyBorder="1" applyAlignment="1">
      <alignment horizontal="center" vertical="center"/>
    </xf>
    <xf numFmtId="0" fontId="46" fillId="10" borderId="84" xfId="0" applyFont="1" applyFill="1" applyBorder="1" applyAlignment="1">
      <alignment horizontal="left" vertical="center"/>
    </xf>
    <xf numFmtId="0" fontId="46" fillId="10" borderId="10" xfId="0" applyFont="1" applyFill="1" applyBorder="1" applyAlignment="1">
      <alignment horizontal="left" vertical="center"/>
    </xf>
    <xf numFmtId="0" fontId="46" fillId="7" borderId="84" xfId="0" applyFont="1" applyFill="1" applyBorder="1" applyAlignment="1">
      <alignment horizontal="left" vertical="center"/>
    </xf>
    <xf numFmtId="0" fontId="46" fillId="7" borderId="10" xfId="0" applyFont="1" applyFill="1" applyBorder="1" applyAlignment="1">
      <alignment horizontal="left" vertical="center"/>
    </xf>
    <xf numFmtId="0" fontId="46" fillId="10" borderId="84" xfId="0" quotePrefix="1" applyFont="1" applyFill="1" applyBorder="1" applyAlignment="1">
      <alignment horizontal="left" vertical="center"/>
    </xf>
    <xf numFmtId="0" fontId="46" fillId="10" borderId="10" xfId="0" quotePrefix="1" applyFont="1" applyFill="1" applyBorder="1" applyAlignment="1">
      <alignment horizontal="left" vertical="center"/>
    </xf>
    <xf numFmtId="0" fontId="46" fillId="7" borderId="84" xfId="0" quotePrefix="1" applyFont="1" applyFill="1" applyBorder="1" applyAlignment="1">
      <alignment horizontal="left" vertical="center"/>
    </xf>
    <xf numFmtId="0" fontId="46" fillId="7" borderId="10" xfId="0" quotePrefix="1" applyFont="1" applyFill="1" applyBorder="1" applyAlignment="1">
      <alignment horizontal="left" vertical="center"/>
    </xf>
    <xf numFmtId="0" fontId="53" fillId="0" borderId="0" xfId="0" applyFont="1" applyAlignment="1">
      <alignment vertical="center"/>
    </xf>
    <xf numFmtId="2" fontId="49" fillId="9" borderId="6" xfId="0" applyNumberFormat="1" applyFont="1" applyFill="1" applyBorder="1" applyAlignment="1">
      <alignment horizontal="left" vertical="center"/>
    </xf>
    <xf numFmtId="164" fontId="46" fillId="9" borderId="6" xfId="0" applyNumberFormat="1" applyFont="1" applyFill="1" applyBorder="1" applyAlignment="1">
      <alignment horizontal="left" vertical="center"/>
    </xf>
    <xf numFmtId="0" fontId="49" fillId="20" borderId="84" xfId="0" applyFont="1" applyFill="1" applyBorder="1" applyAlignment="1">
      <alignment horizontal="left" vertical="center"/>
    </xf>
    <xf numFmtId="0" fontId="46" fillId="20" borderId="91" xfId="0" applyFont="1" applyFill="1" applyBorder="1" applyAlignment="1">
      <alignment horizontal="center" vertical="center"/>
    </xf>
    <xf numFmtId="0" fontId="49" fillId="9" borderId="91" xfId="0" applyFont="1" applyFill="1" applyBorder="1" applyAlignment="1">
      <alignment horizontal="left" vertical="center"/>
    </xf>
    <xf numFmtId="166" fontId="49" fillId="9" borderId="83" xfId="0" applyNumberFormat="1" applyFont="1" applyFill="1" applyBorder="1" applyAlignment="1">
      <alignment horizontal="left" vertical="center" wrapText="1"/>
    </xf>
    <xf numFmtId="166" fontId="49" fillId="9" borderId="83" xfId="0" applyNumberFormat="1" applyFont="1" applyFill="1" applyBorder="1" applyAlignment="1">
      <alignment horizontal="center" vertical="center" wrapText="1"/>
    </xf>
    <xf numFmtId="0" fontId="49" fillId="9" borderId="83" xfId="0" applyFont="1" applyFill="1" applyBorder="1" applyAlignment="1">
      <alignment horizontal="center" vertical="center" wrapText="1"/>
    </xf>
    <xf numFmtId="2" fontId="49" fillId="9" borderId="83" xfId="0" applyNumberFormat="1" applyFont="1" applyFill="1" applyBorder="1" applyAlignment="1">
      <alignment horizontal="left" vertical="center" wrapText="1"/>
    </xf>
    <xf numFmtId="2" fontId="49" fillId="9" borderId="83" xfId="0" applyNumberFormat="1" applyFont="1" applyFill="1" applyBorder="1" applyAlignment="1">
      <alignment horizontal="center" vertical="center" wrapText="1"/>
    </xf>
    <xf numFmtId="166" fontId="49" fillId="24" borderId="83" xfId="0" applyNumberFormat="1" applyFont="1" applyFill="1" applyBorder="1" applyAlignment="1">
      <alignment horizontal="left" vertical="center" wrapText="1"/>
    </xf>
    <xf numFmtId="166" fontId="49" fillId="24" borderId="83" xfId="0" applyNumberFormat="1" applyFont="1" applyFill="1" applyBorder="1" applyAlignment="1">
      <alignment horizontal="center" vertical="center" wrapText="1"/>
    </xf>
    <xf numFmtId="0" fontId="49" fillId="24" borderId="83" xfId="0" applyFont="1" applyFill="1" applyBorder="1" applyAlignment="1">
      <alignment horizontal="center" vertical="center" wrapText="1"/>
    </xf>
    <xf numFmtId="2" fontId="49" fillId="24" borderId="83" xfId="0" applyNumberFormat="1" applyFont="1" applyFill="1" applyBorder="1" applyAlignment="1">
      <alignment horizontal="left" vertical="center" wrapText="1"/>
    </xf>
    <xf numFmtId="2" fontId="49" fillId="24" borderId="83" xfId="0" applyNumberFormat="1" applyFont="1" applyFill="1" applyBorder="1" applyAlignment="1">
      <alignment horizontal="center" vertical="center" wrapText="1"/>
    </xf>
    <xf numFmtId="0" fontId="46" fillId="24" borderId="83" xfId="0" applyFont="1" applyFill="1" applyBorder="1" applyAlignment="1">
      <alignment horizontal="center"/>
    </xf>
    <xf numFmtId="166" fontId="49" fillId="24" borderId="83" xfId="0" applyNumberFormat="1" applyFont="1" applyFill="1" applyBorder="1" applyAlignment="1">
      <alignment horizontal="left" vertical="center"/>
    </xf>
    <xf numFmtId="165" fontId="49" fillId="24" borderId="83" xfId="0" applyNumberFormat="1" applyFont="1" applyFill="1" applyBorder="1" applyAlignment="1">
      <alignment horizontal="center" vertical="center"/>
    </xf>
    <xf numFmtId="0" fontId="49" fillId="8" borderId="83" xfId="0" applyFont="1" applyFill="1" applyBorder="1" applyAlignment="1">
      <alignment horizontal="left" vertical="center" wrapText="1"/>
    </xf>
    <xf numFmtId="0" fontId="49" fillId="21" borderId="83" xfId="0" applyFont="1" applyFill="1" applyBorder="1" applyAlignment="1">
      <alignment horizontal="left" vertical="center" wrapText="1"/>
    </xf>
    <xf numFmtId="0" fontId="53" fillId="21" borderId="83" xfId="0" applyFont="1" applyFill="1" applyBorder="1" applyAlignment="1">
      <alignment horizontal="left" vertical="center"/>
    </xf>
    <xf numFmtId="0" fontId="49" fillId="21" borderId="10" xfId="0" applyFont="1" applyFill="1" applyBorder="1" applyAlignment="1">
      <alignment horizontal="left" vertical="center" wrapText="1"/>
    </xf>
    <xf numFmtId="164" fontId="49" fillId="21" borderId="84" xfId="0" applyNumberFormat="1" applyFont="1" applyFill="1" applyBorder="1" applyAlignment="1">
      <alignment horizontal="center" vertical="center" wrapText="1"/>
    </xf>
    <xf numFmtId="0" fontId="49" fillId="21" borderId="84" xfId="0" applyFont="1" applyFill="1" applyBorder="1" applyAlignment="1">
      <alignment horizontal="center" vertical="center" wrapText="1"/>
    </xf>
    <xf numFmtId="164" fontId="53" fillId="21" borderId="83" xfId="0" applyNumberFormat="1" applyFont="1" applyFill="1" applyBorder="1" applyAlignment="1">
      <alignment horizontal="center" vertical="center"/>
    </xf>
    <xf numFmtId="0" fontId="53" fillId="21" borderId="83" xfId="0" applyFont="1" applyFill="1" applyBorder="1" applyAlignment="1">
      <alignment horizontal="center" vertical="center"/>
    </xf>
    <xf numFmtId="0" fontId="49" fillId="21" borderId="94" xfId="0" applyFont="1" applyFill="1" applyBorder="1" applyAlignment="1">
      <alignment horizontal="left" vertical="center" wrapText="1"/>
    </xf>
    <xf numFmtId="164" fontId="49" fillId="21" borderId="94" xfId="0" applyNumberFormat="1" applyFont="1" applyFill="1" applyBorder="1" applyAlignment="1">
      <alignment horizontal="center" vertical="center" wrapText="1"/>
    </xf>
    <xf numFmtId="0" fontId="49" fillId="21" borderId="94" xfId="0" applyFont="1" applyFill="1" applyBorder="1" applyAlignment="1">
      <alignment horizontal="center" vertical="center" wrapText="1"/>
    </xf>
    <xf numFmtId="2" fontId="49" fillId="21" borderId="83" xfId="0" applyNumberFormat="1" applyFont="1" applyFill="1" applyBorder="1" applyAlignment="1">
      <alignment horizontal="center" vertical="center" wrapText="1"/>
    </xf>
    <xf numFmtId="0" fontId="49" fillId="21" borderId="83" xfId="0" applyFont="1" applyFill="1" applyBorder="1" applyAlignment="1">
      <alignment horizontal="center" vertical="center" wrapText="1"/>
    </xf>
    <xf numFmtId="0" fontId="49" fillId="21" borderId="10" xfId="0" applyFont="1" applyFill="1" applyBorder="1" applyAlignment="1">
      <alignment horizontal="center" vertical="center" wrapText="1"/>
    </xf>
    <xf numFmtId="0" fontId="49" fillId="11" borderId="91" xfId="0" applyFont="1" applyFill="1" applyBorder="1" applyAlignment="1">
      <alignment horizontal="left" vertical="center"/>
    </xf>
    <xf numFmtId="0" fontId="49" fillId="11" borderId="83" xfId="0" applyFont="1" applyFill="1" applyBorder="1" applyAlignment="1">
      <alignment horizontal="left" vertical="center" wrapText="1"/>
    </xf>
    <xf numFmtId="0" fontId="49" fillId="11" borderId="83" xfId="0" applyFont="1" applyFill="1" applyBorder="1" applyAlignment="1">
      <alignment horizontal="center" vertical="center" wrapText="1"/>
    </xf>
    <xf numFmtId="2" fontId="49" fillId="11" borderId="83" xfId="0" applyNumberFormat="1" applyFont="1" applyFill="1" applyBorder="1" applyAlignment="1">
      <alignment horizontal="center" vertical="center" wrapText="1"/>
    </xf>
    <xf numFmtId="0" fontId="53" fillId="11" borderId="83" xfId="0" applyFont="1" applyFill="1" applyBorder="1" applyAlignment="1">
      <alignment horizontal="left" vertical="center" wrapText="1"/>
    </xf>
    <xf numFmtId="0" fontId="49" fillId="11" borderId="84" xfId="0" applyFont="1" applyFill="1" applyBorder="1" applyAlignment="1">
      <alignment horizontal="left" vertical="center"/>
    </xf>
    <xf numFmtId="0" fontId="49" fillId="11" borderId="84" xfId="0" quotePrefix="1" applyFont="1" applyFill="1" applyBorder="1" applyAlignment="1">
      <alignment horizontal="center" vertical="center" wrapText="1"/>
    </xf>
    <xf numFmtId="0" fontId="49" fillId="11" borderId="84" xfId="0" applyFont="1" applyFill="1" applyBorder="1" applyAlignment="1">
      <alignment horizontal="center" vertical="center" wrapText="1"/>
    </xf>
    <xf numFmtId="0" fontId="53" fillId="10" borderId="94" xfId="0" applyFont="1" applyFill="1" applyBorder="1" applyAlignment="1">
      <alignment horizontal="left" vertical="center" wrapText="1"/>
    </xf>
    <xf numFmtId="164" fontId="53" fillId="10" borderId="83" xfId="0" applyNumberFormat="1" applyFont="1" applyFill="1" applyBorder="1" applyAlignment="1">
      <alignment horizontal="left" vertical="center" wrapText="1"/>
    </xf>
    <xf numFmtId="165" fontId="53" fillId="10" borderId="83" xfId="0" applyNumberFormat="1" applyFont="1" applyFill="1" applyBorder="1" applyAlignment="1">
      <alignment horizontal="left" vertical="center" wrapText="1"/>
    </xf>
    <xf numFmtId="2" fontId="53" fillId="10" borderId="83" xfId="0" applyNumberFormat="1" applyFont="1" applyFill="1" applyBorder="1" applyAlignment="1">
      <alignment horizontal="left" vertical="center" wrapText="1"/>
    </xf>
    <xf numFmtId="2" fontId="53" fillId="10" borderId="10" xfId="0" applyNumberFormat="1" applyFont="1" applyFill="1" applyBorder="1" applyAlignment="1">
      <alignment horizontal="left" vertical="center" wrapText="1"/>
    </xf>
    <xf numFmtId="0" fontId="53" fillId="20" borderId="94" xfId="0" applyFont="1" applyFill="1" applyBorder="1" applyAlignment="1">
      <alignment horizontal="left" vertical="center" wrapText="1"/>
    </xf>
    <xf numFmtId="0" fontId="53" fillId="20" borderId="83" xfId="0" applyFont="1" applyFill="1" applyBorder="1" applyAlignment="1">
      <alignment horizontal="left" vertical="center" wrapText="1"/>
    </xf>
    <xf numFmtId="0" fontId="49" fillId="12" borderId="94" xfId="0" applyFont="1" applyFill="1" applyBorder="1" applyAlignment="1">
      <alignment horizontal="left" vertical="center"/>
    </xf>
    <xf numFmtId="0" fontId="49" fillId="12" borderId="83" xfId="0" applyFont="1" applyFill="1" applyBorder="1" applyAlignment="1">
      <alignment horizontal="left" vertical="center"/>
    </xf>
    <xf numFmtId="0" fontId="53" fillId="18" borderId="84" xfId="0" applyFont="1" applyFill="1" applyBorder="1" applyAlignment="1">
      <alignment horizontal="left" vertical="center"/>
    </xf>
    <xf numFmtId="0" fontId="53" fillId="18" borderId="83" xfId="0" applyFont="1" applyFill="1" applyBorder="1" applyAlignment="1">
      <alignment horizontal="left" vertical="center"/>
    </xf>
    <xf numFmtId="0" fontId="49" fillId="15" borderId="94" xfId="0" applyFont="1" applyFill="1" applyBorder="1" applyAlignment="1">
      <alignment horizontal="left" vertical="center" wrapText="1"/>
    </xf>
    <xf numFmtId="0" fontId="49" fillId="15" borderId="83" xfId="0" applyFont="1" applyFill="1" applyBorder="1" applyAlignment="1">
      <alignment horizontal="left" vertical="center" wrapText="1"/>
    </xf>
    <xf numFmtId="0" fontId="53" fillId="15" borderId="83" xfId="0" applyFont="1" applyFill="1" applyBorder="1" applyAlignment="1">
      <alignment horizontal="left" vertical="center" wrapText="1"/>
    </xf>
    <xf numFmtId="0" fontId="49" fillId="7" borderId="83" xfId="0" applyFont="1" applyFill="1" applyBorder="1" applyAlignment="1">
      <alignment horizontal="left" vertical="center" wrapText="1"/>
    </xf>
    <xf numFmtId="164" fontId="53" fillId="9" borderId="94" xfId="0" applyNumberFormat="1" applyFont="1" applyFill="1" applyBorder="1" applyAlignment="1">
      <alignment horizontal="left" vertical="center" wrapText="1"/>
    </xf>
    <xf numFmtId="164" fontId="53" fillId="9" borderId="83" xfId="0" applyNumberFormat="1" applyFont="1" applyFill="1" applyBorder="1" applyAlignment="1">
      <alignment horizontal="left" vertical="center" wrapText="1"/>
    </xf>
    <xf numFmtId="165" fontId="53" fillId="9" borderId="83" xfId="0" applyNumberFormat="1" applyFont="1" applyFill="1" applyBorder="1" applyAlignment="1">
      <alignment horizontal="left" vertical="center" wrapText="1"/>
    </xf>
    <xf numFmtId="2" fontId="53" fillId="9" borderId="83" xfId="0" applyNumberFormat="1" applyFont="1" applyFill="1" applyBorder="1" applyAlignment="1">
      <alignment horizontal="left" vertical="center" wrapText="1"/>
    </xf>
    <xf numFmtId="166" fontId="53" fillId="9" borderId="83" xfId="0" applyNumberFormat="1" applyFont="1" applyFill="1" applyBorder="1" applyAlignment="1">
      <alignment horizontal="left" vertical="center" wrapText="1"/>
    </xf>
    <xf numFmtId="0" fontId="53" fillId="11" borderId="91" xfId="0" applyFont="1" applyFill="1" applyBorder="1" applyAlignment="1">
      <alignment horizontal="left" vertical="center"/>
    </xf>
    <xf numFmtId="166" fontId="53" fillId="11" borderId="83" xfId="0" applyNumberFormat="1" applyFont="1" applyFill="1" applyBorder="1" applyAlignment="1">
      <alignment horizontal="center" vertical="center" wrapText="1"/>
    </xf>
    <xf numFmtId="0" fontId="53" fillId="11" borderId="83" xfId="0" quotePrefix="1" applyFont="1" applyFill="1" applyBorder="1" applyAlignment="1">
      <alignment horizontal="center" vertical="center" wrapText="1"/>
    </xf>
    <xf numFmtId="0" fontId="49" fillId="8" borderId="94" xfId="0" applyFont="1" applyFill="1" applyBorder="1" applyAlignment="1">
      <alignment horizontal="left" vertical="center" wrapText="1"/>
    </xf>
    <xf numFmtId="0" fontId="49" fillId="12" borderId="83" xfId="0" applyFont="1" applyFill="1" applyBorder="1" applyAlignment="1">
      <alignment horizontal="left" vertical="center" wrapText="1"/>
    </xf>
    <xf numFmtId="0" fontId="49" fillId="10" borderId="83" xfId="0" applyFont="1" applyFill="1" applyBorder="1" applyAlignment="1">
      <alignment horizontal="left" vertical="center" wrapText="1"/>
    </xf>
    <xf numFmtId="0" fontId="49" fillId="20" borderId="83" xfId="0" applyFont="1" applyFill="1" applyBorder="1" applyAlignment="1">
      <alignment horizontal="left" vertical="center" wrapText="1"/>
    </xf>
    <xf numFmtId="0" fontId="49" fillId="25" borderId="37" xfId="0" quotePrefix="1" applyFont="1" applyFill="1" applyBorder="1" applyAlignment="1">
      <alignment horizontal="left" vertical="center"/>
    </xf>
    <xf numFmtId="0" fontId="49" fillId="25" borderId="15" xfId="0" applyFont="1" applyFill="1" applyBorder="1" applyAlignment="1">
      <alignment horizontal="left" vertical="center"/>
    </xf>
    <xf numFmtId="0" fontId="49" fillId="25" borderId="15" xfId="0" quotePrefix="1" applyFont="1" applyFill="1" applyBorder="1" applyAlignment="1">
      <alignment horizontal="left" vertical="center"/>
    </xf>
    <xf numFmtId="0" fontId="49" fillId="25" borderId="15" xfId="0" applyFont="1" applyFill="1" applyBorder="1" applyAlignment="1">
      <alignment horizontal="left" vertical="center" wrapText="1"/>
    </xf>
    <xf numFmtId="0" fontId="49" fillId="25" borderId="7" xfId="0" quotePrefix="1" applyFont="1" applyFill="1" applyBorder="1" applyAlignment="1">
      <alignment horizontal="left" vertical="center"/>
    </xf>
    <xf numFmtId="0" fontId="49" fillId="25" borderId="6" xfId="0" applyFont="1" applyFill="1" applyBorder="1" applyAlignment="1">
      <alignment horizontal="left" vertical="center"/>
    </xf>
    <xf numFmtId="0" fontId="49" fillId="25" borderId="6" xfId="0" quotePrefix="1" applyFont="1" applyFill="1" applyBorder="1" applyAlignment="1">
      <alignment horizontal="left" vertical="center"/>
    </xf>
    <xf numFmtId="0" fontId="49" fillId="25" borderId="6" xfId="0" applyFont="1" applyFill="1" applyBorder="1" applyAlignment="1">
      <alignment horizontal="left" vertical="center" wrapText="1"/>
    </xf>
    <xf numFmtId="166" fontId="49" fillId="25" borderId="6" xfId="0" applyNumberFormat="1" applyFont="1" applyFill="1" applyBorder="1" applyAlignment="1">
      <alignment horizontal="left" vertical="center"/>
    </xf>
    <xf numFmtId="165" fontId="49" fillId="25" borderId="6" xfId="0" applyNumberFormat="1" applyFont="1" applyFill="1" applyBorder="1" applyAlignment="1">
      <alignment horizontal="left" vertical="center"/>
    </xf>
    <xf numFmtId="0" fontId="49" fillId="25" borderId="9" xfId="0" quotePrefix="1" applyFont="1" applyFill="1" applyBorder="1" applyAlignment="1">
      <alignment horizontal="left" vertical="center"/>
    </xf>
    <xf numFmtId="0" fontId="49" fillId="25" borderId="10" xfId="0" applyFont="1" applyFill="1" applyBorder="1" applyAlignment="1">
      <alignment horizontal="left" vertical="center"/>
    </xf>
    <xf numFmtId="0" fontId="49" fillId="25" borderId="10" xfId="0" quotePrefix="1" applyFont="1" applyFill="1" applyBorder="1" applyAlignment="1">
      <alignment horizontal="left" vertical="center"/>
    </xf>
    <xf numFmtId="0" fontId="49" fillId="25" borderId="10" xfId="0" applyFont="1" applyFill="1" applyBorder="1" applyAlignment="1">
      <alignment horizontal="left" vertical="center" wrapText="1"/>
    </xf>
    <xf numFmtId="0" fontId="56" fillId="7" borderId="96" xfId="0" applyFont="1" applyFill="1" applyBorder="1" applyAlignment="1">
      <alignment horizontal="left" vertical="center" wrapText="1"/>
    </xf>
    <xf numFmtId="0" fontId="49" fillId="8" borderId="83" xfId="0" quotePrefix="1" applyFont="1" applyFill="1" applyBorder="1" applyAlignment="1">
      <alignment horizontal="left" vertical="center"/>
    </xf>
    <xf numFmtId="0" fontId="49" fillId="8" borderId="84" xfId="0" quotePrefix="1" applyFont="1" applyFill="1" applyBorder="1" applyAlignment="1">
      <alignment horizontal="left" vertical="center"/>
    </xf>
    <xf numFmtId="0" fontId="49" fillId="8" borderId="91" xfId="0" applyFont="1" applyFill="1" applyBorder="1" applyAlignment="1">
      <alignment horizontal="left" vertical="center"/>
    </xf>
    <xf numFmtId="0" fontId="49" fillId="8" borderId="83" xfId="0" applyFont="1" applyFill="1" applyBorder="1" applyAlignment="1">
      <alignment horizontal="left" vertical="center"/>
    </xf>
    <xf numFmtId="0" fontId="49" fillId="8" borderId="92" xfId="0" applyFont="1" applyFill="1" applyBorder="1" applyAlignment="1">
      <alignment horizontal="left" vertical="center"/>
    </xf>
    <xf numFmtId="0" fontId="49" fillId="8" borderId="87" xfId="0" applyFont="1" applyFill="1" applyBorder="1" applyAlignment="1">
      <alignment horizontal="left" vertical="center"/>
    </xf>
    <xf numFmtId="0" fontId="49" fillId="8" borderId="84" xfId="0" applyFont="1" applyFill="1" applyBorder="1" applyAlignment="1">
      <alignment horizontal="left" vertical="center"/>
    </xf>
    <xf numFmtId="0" fontId="49" fillId="8" borderId="88" xfId="0" applyFont="1" applyFill="1" applyBorder="1" applyAlignment="1">
      <alignment horizontal="left" vertical="center"/>
    </xf>
    <xf numFmtId="0" fontId="49" fillId="20" borderId="91" xfId="0" applyFont="1" applyFill="1" applyBorder="1" applyAlignment="1">
      <alignment horizontal="left" vertical="center"/>
    </xf>
    <xf numFmtId="0" fontId="49" fillId="7" borderId="91" xfId="0" applyFont="1" applyFill="1" applyBorder="1" applyAlignment="1">
      <alignment horizontal="left" vertical="center"/>
    </xf>
    <xf numFmtId="0" fontId="53" fillId="11" borderId="83" xfId="0" applyFont="1" applyFill="1" applyBorder="1" applyAlignment="1">
      <alignment horizontal="left" vertical="center"/>
    </xf>
    <xf numFmtId="0" fontId="53" fillId="11" borderId="92" xfId="0" applyFont="1" applyFill="1" applyBorder="1" applyAlignment="1">
      <alignment horizontal="left" vertical="center"/>
    </xf>
    <xf numFmtId="0" fontId="49" fillId="20" borderId="30" xfId="0" applyFont="1" applyFill="1" applyBorder="1" applyAlignment="1">
      <alignment horizontal="left" vertical="center"/>
    </xf>
    <xf numFmtId="0" fontId="53" fillId="10" borderId="97" xfId="0" applyFont="1" applyFill="1" applyBorder="1" applyAlignment="1">
      <alignment horizontal="center" vertical="center" wrapText="1"/>
    </xf>
    <xf numFmtId="0" fontId="53" fillId="20" borderId="97" xfId="0" applyFont="1" applyFill="1" applyBorder="1" applyAlignment="1">
      <alignment horizontal="center" vertical="center" wrapText="1"/>
    </xf>
    <xf numFmtId="0" fontId="46" fillId="16" borderId="108" xfId="0" quotePrefix="1" applyFont="1" applyFill="1" applyBorder="1" applyAlignment="1">
      <alignment horizontal="left" vertical="center"/>
    </xf>
    <xf numFmtId="164" fontId="53" fillId="7" borderId="108" xfId="0" applyNumberFormat="1" applyFont="1" applyFill="1" applyBorder="1" applyAlignment="1">
      <alignment horizontal="left" vertical="center" wrapText="1"/>
    </xf>
    <xf numFmtId="164" fontId="53" fillId="7" borderId="108" xfId="0" applyNumberFormat="1" applyFont="1" applyFill="1" applyBorder="1" applyAlignment="1">
      <alignment horizontal="center" vertical="center" wrapText="1"/>
    </xf>
    <xf numFmtId="0" fontId="53" fillId="7" borderId="108" xfId="0" applyFont="1" applyFill="1" applyBorder="1" applyAlignment="1">
      <alignment horizontal="center" vertical="center" wrapText="1"/>
    </xf>
    <xf numFmtId="0" fontId="49" fillId="7" borderId="108" xfId="0" applyFont="1" applyFill="1" applyBorder="1" applyAlignment="1">
      <alignment horizontal="left" vertical="center" wrapText="1"/>
    </xf>
    <xf numFmtId="0" fontId="49" fillId="7" borderId="108" xfId="0" applyFont="1" applyFill="1" applyBorder="1" applyAlignment="1">
      <alignment horizontal="center" vertical="center" wrapText="1"/>
    </xf>
    <xf numFmtId="0" fontId="49" fillId="7" borderId="108" xfId="0" applyFont="1" applyFill="1" applyBorder="1" applyAlignment="1">
      <alignment horizontal="center" vertical="center"/>
    </xf>
    <xf numFmtId="0" fontId="57" fillId="7" borderId="103" xfId="0" applyFont="1" applyFill="1" applyBorder="1" applyAlignment="1">
      <alignment horizontal="center" vertical="center" wrapText="1"/>
    </xf>
    <xf numFmtId="0" fontId="48" fillId="7" borderId="102" xfId="0" applyFont="1" applyFill="1" applyBorder="1" applyAlignment="1">
      <alignment horizontal="center" vertical="center"/>
    </xf>
    <xf numFmtId="0" fontId="48" fillId="7" borderId="103" xfId="0" applyFont="1" applyFill="1" applyBorder="1" applyAlignment="1">
      <alignment horizontal="center" vertical="center"/>
    </xf>
    <xf numFmtId="0" fontId="57" fillId="7" borderId="103" xfId="3" applyFont="1" applyFill="1" applyBorder="1" applyAlignment="1">
      <alignment horizontal="center" vertical="center" wrapText="1"/>
    </xf>
    <xf numFmtId="0" fontId="61" fillId="7" borderId="103" xfId="3" applyFont="1" applyFill="1" applyBorder="1" applyAlignment="1">
      <alignment horizontal="center" vertical="center" wrapText="1"/>
    </xf>
    <xf numFmtId="0" fontId="48" fillId="7" borderId="103" xfId="0" applyFont="1" applyFill="1" applyBorder="1" applyAlignment="1">
      <alignment horizontal="left" vertical="center"/>
    </xf>
    <xf numFmtId="0" fontId="48" fillId="7" borderId="103" xfId="0" applyFont="1" applyFill="1" applyBorder="1" applyAlignment="1">
      <alignment horizontal="left" vertical="center" wrapText="1"/>
    </xf>
    <xf numFmtId="0" fontId="48" fillId="7" borderId="104" xfId="0" applyFont="1" applyFill="1" applyBorder="1" applyAlignment="1">
      <alignment horizontal="left" vertical="center" wrapText="1"/>
    </xf>
    <xf numFmtId="0" fontId="46" fillId="8" borderId="84" xfId="0" quotePrefix="1" applyFont="1" applyFill="1" applyBorder="1" applyAlignment="1">
      <alignment horizontal="left" vertical="center"/>
    </xf>
    <xf numFmtId="0" fontId="46" fillId="8" borderId="88" xfId="0" applyFont="1" applyFill="1" applyBorder="1" applyAlignment="1">
      <alignment horizontal="left" vertical="center"/>
    </xf>
    <xf numFmtId="0" fontId="46" fillId="8" borderId="108" xfId="0" quotePrefix="1" applyFont="1" applyFill="1" applyBorder="1" applyAlignment="1">
      <alignment horizontal="center" vertical="center"/>
    </xf>
    <xf numFmtId="0" fontId="46" fillId="8" borderId="108" xfId="0" quotePrefix="1" applyFont="1" applyFill="1" applyBorder="1" applyAlignment="1">
      <alignment horizontal="left" vertical="center"/>
    </xf>
    <xf numFmtId="0" fontId="46" fillId="8" borderId="108" xfId="0" applyFont="1" applyFill="1" applyBorder="1" applyAlignment="1">
      <alignment horizontal="left" vertical="center"/>
    </xf>
    <xf numFmtId="0" fontId="46" fillId="8" borderId="108" xfId="0" applyFont="1" applyFill="1" applyBorder="1" applyAlignment="1">
      <alignment horizontal="center" vertical="center"/>
    </xf>
    <xf numFmtId="0" fontId="46" fillId="8" borderId="92" xfId="0" applyFont="1" applyFill="1" applyBorder="1" applyAlignment="1">
      <alignment horizontal="left" vertical="center"/>
    </xf>
    <xf numFmtId="0" fontId="46" fillId="8" borderId="92" xfId="0" quotePrefix="1" applyFont="1" applyFill="1" applyBorder="1" applyAlignment="1">
      <alignment horizontal="left" vertical="center"/>
    </xf>
    <xf numFmtId="0" fontId="46" fillId="21" borderId="108" xfId="0" applyFont="1" applyFill="1" applyBorder="1" applyAlignment="1">
      <alignment horizontal="center" vertical="center"/>
    </xf>
    <xf numFmtId="0" fontId="46" fillId="21" borderId="108" xfId="0" quotePrefix="1" applyFont="1" applyFill="1" applyBorder="1" applyAlignment="1">
      <alignment horizontal="center" vertical="center"/>
    </xf>
    <xf numFmtId="0" fontId="46" fillId="21" borderId="108" xfId="0" quotePrefix="1" applyFont="1" applyFill="1" applyBorder="1" applyAlignment="1">
      <alignment horizontal="left" vertical="center"/>
    </xf>
    <xf numFmtId="0" fontId="46" fillId="21" borderId="108" xfId="0" applyFont="1" applyFill="1" applyBorder="1" applyAlignment="1">
      <alignment horizontal="left" vertical="center"/>
    </xf>
    <xf numFmtId="0" fontId="46" fillId="21" borderId="92" xfId="0" applyFont="1" applyFill="1" applyBorder="1" applyAlignment="1">
      <alignment horizontal="left" vertical="center"/>
    </xf>
    <xf numFmtId="0" fontId="48" fillId="11" borderId="108" xfId="0" applyFont="1" applyFill="1" applyBorder="1" applyAlignment="1">
      <alignment horizontal="center" vertical="center"/>
    </xf>
    <xf numFmtId="0" fontId="46" fillId="11" borderId="108" xfId="0" applyFont="1" applyFill="1" applyBorder="1" applyAlignment="1">
      <alignment horizontal="left" vertical="center"/>
    </xf>
    <xf numFmtId="0" fontId="46" fillId="11" borderId="108" xfId="0" applyFont="1" applyFill="1" applyBorder="1" applyAlignment="1">
      <alignment horizontal="center" vertical="center"/>
    </xf>
    <xf numFmtId="0" fontId="46" fillId="11" borderId="108" xfId="0" quotePrefix="1" applyFont="1" applyFill="1" applyBorder="1" applyAlignment="1">
      <alignment horizontal="center" vertical="center"/>
    </xf>
    <xf numFmtId="0" fontId="46" fillId="11" borderId="92" xfId="0" quotePrefix="1" applyFont="1" applyFill="1" applyBorder="1" applyAlignment="1">
      <alignment horizontal="left" vertical="center"/>
    </xf>
    <xf numFmtId="0" fontId="46" fillId="11" borderId="92" xfId="0" applyFont="1" applyFill="1" applyBorder="1" applyAlignment="1">
      <alignment horizontal="left" vertical="center"/>
    </xf>
    <xf numFmtId="0" fontId="46" fillId="10" borderId="108" xfId="0" quotePrefix="1" applyFont="1" applyFill="1" applyBorder="1" applyAlignment="1">
      <alignment horizontal="center" vertical="center"/>
    </xf>
    <xf numFmtId="0" fontId="46" fillId="10" borderId="108" xfId="0" applyFont="1" applyFill="1" applyBorder="1" applyAlignment="1">
      <alignment horizontal="center" vertical="center"/>
    </xf>
    <xf numFmtId="0" fontId="46" fillId="10" borderId="108" xfId="0" applyFont="1" applyFill="1" applyBorder="1" applyAlignment="1">
      <alignment horizontal="left" vertical="center"/>
    </xf>
    <xf numFmtId="0" fontId="46" fillId="10" borderId="92" xfId="0" applyFont="1" applyFill="1" applyBorder="1" applyAlignment="1">
      <alignment horizontal="left" vertical="center"/>
    </xf>
    <xf numFmtId="0" fontId="46" fillId="22" borderId="108" xfId="0" applyFont="1" applyFill="1" applyBorder="1" applyAlignment="1">
      <alignment horizontal="center" vertical="center"/>
    </xf>
    <xf numFmtId="0" fontId="46" fillId="22" borderId="108" xfId="0" applyFont="1" applyFill="1" applyBorder="1" applyAlignment="1">
      <alignment horizontal="left" vertical="center"/>
    </xf>
    <xf numFmtId="0" fontId="46" fillId="22" borderId="92" xfId="0" applyFont="1" applyFill="1" applyBorder="1" applyAlignment="1">
      <alignment horizontal="left" vertical="center"/>
    </xf>
    <xf numFmtId="0" fontId="46" fillId="20" borderId="108" xfId="0" quotePrefix="1" applyFont="1" applyFill="1" applyBorder="1" applyAlignment="1">
      <alignment horizontal="center" vertical="center"/>
    </xf>
    <xf numFmtId="0" fontId="46" fillId="20" borderId="108" xfId="0" quotePrefix="1" applyFont="1" applyFill="1" applyBorder="1" applyAlignment="1">
      <alignment horizontal="left" vertical="center"/>
    </xf>
    <xf numFmtId="0" fontId="46" fillId="20" borderId="92" xfId="0" quotePrefix="1" applyFont="1" applyFill="1" applyBorder="1" applyAlignment="1">
      <alignment horizontal="left" vertical="center"/>
    </xf>
    <xf numFmtId="0" fontId="46" fillId="20" borderId="108" xfId="0" applyFont="1" applyFill="1" applyBorder="1" applyAlignment="1">
      <alignment horizontal="center" vertical="center"/>
    </xf>
    <xf numFmtId="0" fontId="46" fillId="20" borderId="108" xfId="0" applyFont="1" applyFill="1" applyBorder="1" applyAlignment="1">
      <alignment horizontal="left" vertical="center"/>
    </xf>
    <xf numFmtId="0" fontId="46" fillId="20" borderId="92" xfId="0" applyFont="1" applyFill="1" applyBorder="1" applyAlignment="1">
      <alignment horizontal="left" vertical="center"/>
    </xf>
    <xf numFmtId="0" fontId="46" fillId="12" borderId="108" xfId="0" quotePrefix="1" applyFont="1" applyFill="1" applyBorder="1" applyAlignment="1">
      <alignment horizontal="center" vertical="center"/>
    </xf>
    <xf numFmtId="0" fontId="46" fillId="12" borderId="108" xfId="0" applyFont="1" applyFill="1" applyBorder="1" applyAlignment="1">
      <alignment horizontal="center" vertical="center"/>
    </xf>
    <xf numFmtId="0" fontId="46" fillId="12" borderId="108" xfId="0" quotePrefix="1" applyFont="1" applyFill="1" applyBorder="1" applyAlignment="1">
      <alignment horizontal="left" vertical="center"/>
    </xf>
    <xf numFmtId="0" fontId="46" fillId="12" borderId="108" xfId="0" applyFont="1" applyFill="1" applyBorder="1" applyAlignment="1">
      <alignment horizontal="left" vertical="center"/>
    </xf>
    <xf numFmtId="0" fontId="46" fillId="12" borderId="92" xfId="0" applyFont="1" applyFill="1" applyBorder="1" applyAlignment="1">
      <alignment horizontal="left" vertical="center"/>
    </xf>
    <xf numFmtId="0" fontId="46" fillId="18" borderId="108" xfId="0" applyFont="1" applyFill="1" applyBorder="1" applyAlignment="1">
      <alignment horizontal="center" vertical="center"/>
    </xf>
    <xf numFmtId="0" fontId="46" fillId="18" borderId="108" xfId="0" quotePrefix="1" applyFont="1" applyFill="1" applyBorder="1" applyAlignment="1">
      <alignment horizontal="center" vertical="center"/>
    </xf>
    <xf numFmtId="0" fontId="46" fillId="18" borderId="108" xfId="0" quotePrefix="1" applyFont="1" applyFill="1" applyBorder="1" applyAlignment="1">
      <alignment horizontal="left" vertical="center"/>
    </xf>
    <xf numFmtId="0" fontId="46" fillId="18" borderId="108" xfId="0" applyFont="1" applyFill="1" applyBorder="1" applyAlignment="1">
      <alignment horizontal="left" vertical="center"/>
    </xf>
    <xf numFmtId="0" fontId="46" fillId="18" borderId="92" xfId="0" applyFont="1" applyFill="1" applyBorder="1" applyAlignment="1">
      <alignment horizontal="left" vertical="center"/>
    </xf>
    <xf numFmtId="0" fontId="46" fillId="9" borderId="108" xfId="0" applyFont="1" applyFill="1" applyBorder="1" applyAlignment="1">
      <alignment horizontal="center" vertical="center"/>
    </xf>
    <xf numFmtId="0" fontId="46" fillId="9" borderId="108" xfId="0" applyFont="1" applyFill="1" applyBorder="1" applyAlignment="1">
      <alignment horizontal="left" vertical="center"/>
    </xf>
    <xf numFmtId="0" fontId="46" fillId="9" borderId="92" xfId="0" applyFont="1" applyFill="1" applyBorder="1" applyAlignment="1">
      <alignment horizontal="left" vertical="center"/>
    </xf>
    <xf numFmtId="16" fontId="46" fillId="9" borderId="108" xfId="0" quotePrefix="1" applyNumberFormat="1" applyFont="1" applyFill="1" applyBorder="1" applyAlignment="1">
      <alignment horizontal="center" vertical="center"/>
    </xf>
    <xf numFmtId="0" fontId="46" fillId="9" borderId="108" xfId="0" quotePrefix="1" applyFont="1" applyFill="1" applyBorder="1" applyAlignment="1">
      <alignment horizontal="center" vertical="center"/>
    </xf>
    <xf numFmtId="0" fontId="46" fillId="7" borderId="108" xfId="0" applyFont="1" applyFill="1" applyBorder="1" applyAlignment="1">
      <alignment horizontal="center" vertical="center"/>
    </xf>
    <xf numFmtId="0" fontId="46" fillId="7" borderId="108" xfId="0" quotePrefix="1" applyFont="1" applyFill="1" applyBorder="1" applyAlignment="1">
      <alignment horizontal="center" vertical="center"/>
    </xf>
    <xf numFmtId="0" fontId="46" fillId="7" borderId="108" xfId="0" applyFont="1" applyFill="1" applyBorder="1" applyAlignment="1">
      <alignment horizontal="left" vertical="center"/>
    </xf>
    <xf numFmtId="0" fontId="46" fillId="7" borderId="92" xfId="0" applyFont="1" applyFill="1" applyBorder="1" applyAlignment="1">
      <alignment horizontal="left" vertical="center"/>
    </xf>
    <xf numFmtId="0" fontId="46" fillId="16" borderId="108" xfId="0" applyFont="1" applyFill="1" applyBorder="1" applyAlignment="1">
      <alignment horizontal="left" vertical="center"/>
    </xf>
    <xf numFmtId="0" fontId="46" fillId="16" borderId="108" xfId="0" quotePrefix="1" applyFont="1" applyFill="1" applyBorder="1" applyAlignment="1">
      <alignment horizontal="center" vertical="center"/>
    </xf>
    <xf numFmtId="0" fontId="46" fillId="16" borderId="108" xfId="0" applyFont="1" applyFill="1" applyBorder="1" applyAlignment="1">
      <alignment horizontal="center" vertical="center"/>
    </xf>
    <xf numFmtId="0" fontId="46" fillId="16" borderId="92" xfId="0" applyFont="1" applyFill="1" applyBorder="1" applyAlignment="1">
      <alignment horizontal="left" vertical="center"/>
    </xf>
    <xf numFmtId="0" fontId="46" fillId="15" borderId="108" xfId="0" applyFont="1" applyFill="1" applyBorder="1" applyAlignment="1">
      <alignment horizontal="center" vertical="center"/>
    </xf>
    <xf numFmtId="0" fontId="46" fillId="15" borderId="108" xfId="0" quotePrefix="1" applyFont="1" applyFill="1" applyBorder="1" applyAlignment="1">
      <alignment horizontal="center" vertical="center"/>
    </xf>
    <xf numFmtId="0" fontId="46" fillId="15" borderId="108" xfId="0" quotePrefix="1" applyFont="1" applyFill="1" applyBorder="1" applyAlignment="1">
      <alignment horizontal="left" vertical="center"/>
    </xf>
    <xf numFmtId="0" fontId="46" fillId="15" borderId="108" xfId="0" applyFont="1" applyFill="1" applyBorder="1" applyAlignment="1">
      <alignment horizontal="left" vertical="center"/>
    </xf>
    <xf numFmtId="0" fontId="46" fillId="15" borderId="92" xfId="0" applyFont="1" applyFill="1" applyBorder="1" applyAlignment="1">
      <alignment horizontal="left" vertical="center"/>
    </xf>
    <xf numFmtId="0" fontId="46" fillId="4" borderId="108" xfId="0" applyFont="1" applyFill="1" applyBorder="1" applyAlignment="1">
      <alignment horizontal="left" vertical="center"/>
    </xf>
    <xf numFmtId="0" fontId="46" fillId="4" borderId="108" xfId="0" applyFont="1" applyFill="1" applyBorder="1" applyAlignment="1">
      <alignment horizontal="center" vertical="center"/>
    </xf>
    <xf numFmtId="0" fontId="46" fillId="4" borderId="108" xfId="0" quotePrefix="1" applyFont="1" applyFill="1" applyBorder="1" applyAlignment="1">
      <alignment horizontal="center" vertical="center"/>
    </xf>
    <xf numFmtId="0" fontId="46" fillId="4" borderId="92" xfId="0" applyFont="1" applyFill="1" applyBorder="1" applyAlignment="1">
      <alignment horizontal="left" vertical="center"/>
    </xf>
    <xf numFmtId="0" fontId="49" fillId="10" borderId="6" xfId="0" applyFont="1" applyFill="1" applyBorder="1" applyAlignment="1">
      <alignment horizontal="left" vertical="center" wrapText="1"/>
    </xf>
    <xf numFmtId="166" fontId="46" fillId="10" borderId="6" xfId="0" applyNumberFormat="1" applyFont="1" applyFill="1" applyBorder="1" applyAlignment="1">
      <alignment horizontal="left" vertical="center"/>
    </xf>
    <xf numFmtId="0" fontId="49" fillId="10" borderId="6" xfId="0" applyFont="1" applyFill="1" applyBorder="1" applyAlignment="1">
      <alignment horizontal="left" vertical="center"/>
    </xf>
    <xf numFmtId="166" fontId="46" fillId="10" borderId="83" xfId="0" applyNumberFormat="1" applyFont="1" applyFill="1" applyBorder="1" applyAlignment="1">
      <alignment horizontal="left" vertical="center"/>
    </xf>
    <xf numFmtId="166" fontId="46" fillId="10" borderId="10" xfId="0" applyNumberFormat="1" applyFont="1" applyFill="1" applyBorder="1" applyAlignment="1">
      <alignment horizontal="left" vertical="center"/>
    </xf>
    <xf numFmtId="166" fontId="46" fillId="10" borderId="97" xfId="0" applyNumberFormat="1" applyFont="1" applyFill="1" applyBorder="1" applyAlignment="1">
      <alignment horizontal="left" vertical="center"/>
    </xf>
    <xf numFmtId="0" fontId="49" fillId="7" borderId="6" xfId="0" applyFont="1" applyFill="1" applyBorder="1" applyAlignment="1">
      <alignment horizontal="left" vertical="center" wrapText="1"/>
    </xf>
    <xf numFmtId="166" fontId="46" fillId="7" borderId="6" xfId="0" applyNumberFormat="1" applyFont="1" applyFill="1" applyBorder="1" applyAlignment="1">
      <alignment horizontal="left" vertical="center"/>
    </xf>
    <xf numFmtId="166" fontId="46" fillId="7" borderId="83" xfId="0" applyNumberFormat="1" applyFont="1" applyFill="1" applyBorder="1" applyAlignment="1">
      <alignment horizontal="left" vertical="center"/>
    </xf>
    <xf numFmtId="166" fontId="46" fillId="7" borderId="10" xfId="0" applyNumberFormat="1" applyFont="1" applyFill="1" applyBorder="1" applyAlignment="1">
      <alignment horizontal="left" vertical="center"/>
    </xf>
    <xf numFmtId="166" fontId="46" fillId="7" borderId="97" xfId="0" applyNumberFormat="1" applyFont="1" applyFill="1" applyBorder="1" applyAlignment="1">
      <alignment horizontal="left" vertical="center"/>
    </xf>
    <xf numFmtId="2" fontId="49" fillId="21" borderId="6" xfId="0" applyNumberFormat="1" applyFont="1" applyFill="1" applyBorder="1" applyAlignment="1">
      <alignment horizontal="left" vertical="center"/>
    </xf>
    <xf numFmtId="164" fontId="46" fillId="21" borderId="6" xfId="0" applyNumberFormat="1" applyFont="1" applyFill="1" applyBorder="1" applyAlignment="1">
      <alignment horizontal="left" vertical="center"/>
    </xf>
    <xf numFmtId="164" fontId="46" fillId="10" borderId="6" xfId="0" applyNumberFormat="1" applyFont="1" applyFill="1" applyBorder="1" applyAlignment="1">
      <alignment horizontal="left" vertical="center"/>
    </xf>
    <xf numFmtId="164" fontId="46" fillId="22" borderId="6" xfId="0" applyNumberFormat="1" applyFont="1" applyFill="1" applyBorder="1" applyAlignment="1">
      <alignment horizontal="left" vertical="center"/>
    </xf>
    <xf numFmtId="0" fontId="46" fillId="22" borderId="6" xfId="0" quotePrefix="1" applyFont="1" applyFill="1" applyBorder="1" applyAlignment="1">
      <alignment horizontal="left" vertical="center"/>
    </xf>
    <xf numFmtId="0" fontId="49" fillId="22" borderId="6" xfId="0" applyFont="1" applyFill="1" applyBorder="1" applyAlignment="1">
      <alignment horizontal="left" vertical="center"/>
    </xf>
    <xf numFmtId="164" fontId="46" fillId="20" borderId="6" xfId="0" applyNumberFormat="1" applyFont="1" applyFill="1" applyBorder="1" applyAlignment="1">
      <alignment horizontal="left" vertical="center"/>
    </xf>
    <xf numFmtId="164" fontId="46" fillId="11" borderId="6" xfId="0" applyNumberFormat="1" applyFont="1" applyFill="1" applyBorder="1" applyAlignment="1">
      <alignment horizontal="left" vertical="center"/>
    </xf>
    <xf numFmtId="0" fontId="49" fillId="15" borderId="108" xfId="0" applyFont="1" applyFill="1" applyBorder="1" applyAlignment="1">
      <alignment horizontal="center" vertical="center" wrapText="1"/>
    </xf>
    <xf numFmtId="0" fontId="49" fillId="5" borderId="113" xfId="0" applyFont="1" applyFill="1" applyBorder="1" applyAlignment="1">
      <alignment horizontal="center" vertical="center"/>
    </xf>
    <xf numFmtId="0" fontId="49" fillId="5" borderId="114" xfId="0" applyFont="1" applyFill="1" applyBorder="1" applyAlignment="1">
      <alignment horizontal="center" vertical="center"/>
    </xf>
    <xf numFmtId="0" fontId="56" fillId="7" borderId="115" xfId="0" applyFont="1" applyFill="1" applyBorder="1" applyAlignment="1">
      <alignment horizontal="left" vertical="center" wrapText="1"/>
    </xf>
    <xf numFmtId="0" fontId="57" fillId="7" borderId="102" xfId="0" applyFont="1" applyFill="1" applyBorder="1" applyAlignment="1">
      <alignment horizontal="left" vertical="center"/>
    </xf>
    <xf numFmtId="0" fontId="57" fillId="7" borderId="104" xfId="0" applyFont="1" applyFill="1" applyBorder="1" applyAlignment="1">
      <alignment horizontal="left" vertical="center"/>
    </xf>
    <xf numFmtId="0" fontId="49" fillId="20" borderId="117" xfId="0" applyFont="1" applyFill="1" applyBorder="1" applyAlignment="1">
      <alignment horizontal="left" vertical="center"/>
    </xf>
    <xf numFmtId="0" fontId="49" fillId="20" borderId="108" xfId="0" applyFont="1" applyFill="1" applyBorder="1" applyAlignment="1">
      <alignment horizontal="left" vertical="center"/>
    </xf>
    <xf numFmtId="0" fontId="49" fillId="20" borderId="92" xfId="0" applyFont="1" applyFill="1" applyBorder="1" applyAlignment="1">
      <alignment horizontal="left" vertical="center"/>
    </xf>
    <xf numFmtId="0" fontId="49" fillId="20" borderId="105" xfId="0" applyFont="1" applyFill="1" applyBorder="1" applyAlignment="1">
      <alignment horizontal="left" vertical="center"/>
    </xf>
    <xf numFmtId="0" fontId="49" fillId="5" borderId="100" xfId="0" applyFont="1" applyFill="1" applyBorder="1" applyAlignment="1">
      <alignment horizontal="center" vertical="center"/>
    </xf>
    <xf numFmtId="0" fontId="49" fillId="5" borderId="100" xfId="0" quotePrefix="1" applyFont="1" applyFill="1" applyBorder="1" applyAlignment="1">
      <alignment horizontal="center" vertical="center"/>
    </xf>
    <xf numFmtId="0" fontId="49" fillId="5" borderId="108" xfId="0" quotePrefix="1" applyFont="1" applyFill="1" applyBorder="1" applyAlignment="1">
      <alignment horizontal="center" vertical="center"/>
    </xf>
    <xf numFmtId="0" fontId="49" fillId="5" borderId="108" xfId="0" applyFont="1" applyFill="1" applyBorder="1" applyAlignment="1">
      <alignment horizontal="center" vertical="center"/>
    </xf>
    <xf numFmtId="0" fontId="49" fillId="20" borderId="119" xfId="0" applyFont="1" applyFill="1" applyBorder="1" applyAlignment="1">
      <alignment horizontal="left" vertical="center"/>
    </xf>
    <xf numFmtId="166" fontId="49" fillId="20" borderId="84" xfId="0" applyNumberFormat="1" applyFont="1" applyFill="1" applyBorder="1" applyAlignment="1">
      <alignment horizontal="left" vertical="center"/>
    </xf>
    <xf numFmtId="0" fontId="49" fillId="20" borderId="84" xfId="0" quotePrefix="1" applyFont="1" applyFill="1" applyBorder="1" applyAlignment="1">
      <alignment horizontal="left" vertical="center"/>
    </xf>
    <xf numFmtId="0" fontId="49" fillId="20" borderId="88" xfId="0" applyFont="1" applyFill="1" applyBorder="1" applyAlignment="1">
      <alignment horizontal="left" vertical="center"/>
    </xf>
    <xf numFmtId="0" fontId="49" fillId="20" borderId="121" xfId="0" applyFont="1" applyFill="1" applyBorder="1" applyAlignment="1">
      <alignment horizontal="left" vertical="center" wrapText="1"/>
    </xf>
    <xf numFmtId="166" fontId="49" fillId="20" borderId="119" xfId="0" applyNumberFormat="1" applyFont="1" applyFill="1" applyBorder="1" applyAlignment="1">
      <alignment horizontal="left" vertical="center"/>
    </xf>
    <xf numFmtId="167" fontId="49" fillId="20" borderId="119" xfId="0" applyNumberFormat="1" applyFont="1" applyFill="1" applyBorder="1" applyAlignment="1">
      <alignment horizontal="left" vertical="center"/>
    </xf>
    <xf numFmtId="0" fontId="49" fillId="20" borderId="119" xfId="0" quotePrefix="1" applyFont="1" applyFill="1" applyBorder="1" applyAlignment="1">
      <alignment horizontal="left" vertical="center"/>
    </xf>
    <xf numFmtId="0" fontId="49" fillId="20" borderId="122" xfId="0" applyFont="1" applyFill="1" applyBorder="1" applyAlignment="1">
      <alignment horizontal="left" vertical="center"/>
    </xf>
    <xf numFmtId="0" fontId="49" fillId="20" borderId="123" xfId="0" applyFont="1" applyFill="1" applyBorder="1" applyAlignment="1">
      <alignment horizontal="left" vertical="center" wrapText="1"/>
    </xf>
    <xf numFmtId="0" fontId="49" fillId="20" borderId="120" xfId="0" applyFont="1" applyFill="1" applyBorder="1" applyAlignment="1">
      <alignment horizontal="left" vertical="center"/>
    </xf>
    <xf numFmtId="166" fontId="49" fillId="20" borderId="120" xfId="0" applyNumberFormat="1" applyFont="1" applyFill="1" applyBorder="1" applyAlignment="1">
      <alignment horizontal="left" vertical="center"/>
    </xf>
    <xf numFmtId="0" fontId="49" fillId="20" borderId="120" xfId="0" quotePrefix="1" applyFont="1" applyFill="1" applyBorder="1" applyAlignment="1">
      <alignment horizontal="left" vertical="center"/>
    </xf>
    <xf numFmtId="0" fontId="49" fillId="20" borderId="124" xfId="0" applyFont="1" applyFill="1" applyBorder="1" applyAlignment="1">
      <alignment horizontal="left" vertical="center"/>
    </xf>
    <xf numFmtId="0" fontId="49" fillId="20" borderId="120" xfId="0" applyFont="1" applyFill="1" applyBorder="1" applyAlignment="1">
      <alignment horizontal="center" vertical="center"/>
    </xf>
    <xf numFmtId="166" fontId="49" fillId="20" borderId="120" xfId="0" applyNumberFormat="1" applyFont="1" applyFill="1" applyBorder="1" applyAlignment="1">
      <alignment horizontal="center" vertical="center"/>
    </xf>
    <xf numFmtId="0" fontId="49" fillId="20" borderId="120" xfId="0" quotePrefix="1" applyFont="1" applyFill="1" applyBorder="1" applyAlignment="1">
      <alignment horizontal="center" vertical="center"/>
    </xf>
    <xf numFmtId="0" fontId="46" fillId="9" borderId="119" xfId="0" applyFont="1" applyFill="1" applyBorder="1" applyAlignment="1">
      <alignment horizontal="left" vertical="center"/>
    </xf>
    <xf numFmtId="0" fontId="46" fillId="9" borderId="122" xfId="0" applyFont="1" applyFill="1" applyBorder="1" applyAlignment="1">
      <alignment horizontal="left" vertical="center"/>
    </xf>
    <xf numFmtId="0" fontId="46" fillId="18" borderId="119" xfId="0" applyFont="1" applyFill="1" applyBorder="1" applyAlignment="1">
      <alignment horizontal="left" vertical="center"/>
    </xf>
    <xf numFmtId="0" fontId="46" fillId="18" borderId="119" xfId="0" applyFont="1" applyFill="1" applyBorder="1" applyAlignment="1">
      <alignment horizontal="center" vertical="center"/>
    </xf>
    <xf numFmtId="0" fontId="46" fillId="18" borderId="119" xfId="0" quotePrefix="1" applyFont="1" applyFill="1" applyBorder="1" applyAlignment="1">
      <alignment horizontal="center" vertical="center"/>
    </xf>
    <xf numFmtId="0" fontId="48" fillId="26" borderId="78" xfId="0" applyFont="1" applyFill="1" applyBorder="1" applyAlignment="1">
      <alignment horizontal="center" vertical="center"/>
    </xf>
    <xf numFmtId="0" fontId="48" fillId="26" borderId="67" xfId="0" applyFont="1" applyFill="1" applyBorder="1" applyAlignment="1">
      <alignment horizontal="center" vertical="center"/>
    </xf>
    <xf numFmtId="0" fontId="57" fillId="26" borderId="78" xfId="0" applyFont="1" applyFill="1" applyBorder="1" applyAlignment="1">
      <alignment horizontal="center" vertical="center"/>
    </xf>
    <xf numFmtId="0" fontId="49" fillId="7" borderId="117" xfId="0" applyFont="1" applyFill="1" applyBorder="1" applyAlignment="1">
      <alignment horizontal="left" vertical="center" wrapText="1"/>
    </xf>
    <xf numFmtId="0" fontId="49" fillId="7" borderId="117" xfId="0" applyFont="1" applyFill="1" applyBorder="1" applyAlignment="1">
      <alignment horizontal="center" vertical="center" wrapText="1"/>
    </xf>
    <xf numFmtId="0" fontId="53" fillId="7" borderId="117" xfId="0" applyFont="1" applyFill="1" applyBorder="1" applyAlignment="1">
      <alignment horizontal="center" vertical="center" wrapText="1"/>
    </xf>
    <xf numFmtId="0" fontId="49" fillId="7" borderId="118" xfId="0" applyFont="1" applyFill="1" applyBorder="1" applyAlignment="1">
      <alignment horizontal="left" vertical="center"/>
    </xf>
    <xf numFmtId="0" fontId="49" fillId="7" borderId="121" xfId="0" applyFont="1" applyFill="1" applyBorder="1" applyAlignment="1">
      <alignment horizontal="left" vertical="center"/>
    </xf>
    <xf numFmtId="2" fontId="49" fillId="7" borderId="108" xfId="0" applyNumberFormat="1" applyFont="1" applyFill="1" applyBorder="1" applyAlignment="1">
      <alignment horizontal="left" vertical="center" wrapText="1"/>
    </xf>
    <xf numFmtId="2" fontId="49" fillId="7" borderId="108" xfId="0" applyNumberFormat="1" applyFont="1" applyFill="1" applyBorder="1" applyAlignment="1">
      <alignment horizontal="center" vertical="center" wrapText="1"/>
    </xf>
    <xf numFmtId="0" fontId="49" fillId="7" borderId="122" xfId="0" applyFont="1" applyFill="1" applyBorder="1" applyAlignment="1">
      <alignment horizontal="left" vertical="center"/>
    </xf>
    <xf numFmtId="0" fontId="51" fillId="7" borderId="121" xfId="0" applyFont="1" applyFill="1" applyBorder="1" applyAlignment="1">
      <alignment horizontal="left" vertical="center" wrapText="1"/>
    </xf>
    <xf numFmtId="0" fontId="51" fillId="7" borderId="122" xfId="0" applyFont="1" applyFill="1" applyBorder="1" applyAlignment="1">
      <alignment horizontal="left" vertical="center" wrapText="1"/>
    </xf>
    <xf numFmtId="0" fontId="53" fillId="7" borderId="121" xfId="0" applyFont="1" applyFill="1" applyBorder="1" applyAlignment="1">
      <alignment horizontal="left" vertical="center" wrapText="1"/>
    </xf>
    <xf numFmtId="0" fontId="53" fillId="7" borderId="122" xfId="0" applyFont="1" applyFill="1" applyBorder="1" applyAlignment="1">
      <alignment horizontal="left" vertical="center" wrapText="1"/>
    </xf>
    <xf numFmtId="166" fontId="49" fillId="7" borderId="108" xfId="0" applyNumberFormat="1" applyFont="1" applyFill="1" applyBorder="1" applyAlignment="1">
      <alignment horizontal="left" vertical="center" wrapText="1"/>
    </xf>
    <xf numFmtId="166" fontId="49" fillId="7" borderId="108" xfId="0" applyNumberFormat="1" applyFont="1" applyFill="1" applyBorder="1" applyAlignment="1">
      <alignment horizontal="center" vertical="center" wrapText="1"/>
    </xf>
    <xf numFmtId="0" fontId="49" fillId="7" borderId="123" xfId="0" applyFont="1" applyFill="1" applyBorder="1" applyAlignment="1">
      <alignment horizontal="left" vertical="center"/>
    </xf>
    <xf numFmtId="2" fontId="49" fillId="7" borderId="120" xfId="0" applyNumberFormat="1" applyFont="1" applyFill="1" applyBorder="1" applyAlignment="1">
      <alignment horizontal="left" vertical="center" wrapText="1"/>
    </xf>
    <xf numFmtId="2" fontId="49" fillId="7" borderId="120" xfId="0" applyNumberFormat="1" applyFont="1" applyFill="1" applyBorder="1" applyAlignment="1">
      <alignment horizontal="center" vertical="center" wrapText="1"/>
    </xf>
    <xf numFmtId="0" fontId="53" fillId="7" borderId="120" xfId="0" applyFont="1" applyFill="1" applyBorder="1" applyAlignment="1">
      <alignment horizontal="center" vertical="center" wrapText="1"/>
    </xf>
    <xf numFmtId="0" fontId="49" fillId="7" borderId="120" xfId="0" applyFont="1" applyFill="1" applyBorder="1" applyAlignment="1">
      <alignment horizontal="center" vertical="center"/>
    </xf>
    <xf numFmtId="0" fontId="49" fillId="7" borderId="124" xfId="0" applyFont="1" applyFill="1" applyBorder="1" applyAlignment="1">
      <alignment horizontal="left" vertical="center"/>
    </xf>
    <xf numFmtId="0" fontId="46" fillId="7" borderId="122" xfId="0" applyFont="1" applyFill="1" applyBorder="1" applyAlignment="1">
      <alignment horizontal="left" vertical="center"/>
    </xf>
    <xf numFmtId="0" fontId="49" fillId="9" borderId="121" xfId="0" applyFont="1" applyFill="1" applyBorder="1" applyAlignment="1">
      <alignment horizontal="left" vertical="center"/>
    </xf>
    <xf numFmtId="0" fontId="49" fillId="9" borderId="108" xfId="0" applyFont="1" applyFill="1" applyBorder="1" applyAlignment="1">
      <alignment horizontal="left" vertical="center"/>
    </xf>
    <xf numFmtId="0" fontId="49" fillId="9" borderId="108" xfId="0" quotePrefix="1" applyFont="1" applyFill="1" applyBorder="1" applyAlignment="1">
      <alignment horizontal="left" vertical="center"/>
    </xf>
    <xf numFmtId="0" fontId="49" fillId="9" borderId="122" xfId="0" quotePrefix="1" applyFont="1" applyFill="1" applyBorder="1" applyAlignment="1">
      <alignment horizontal="left" vertical="center"/>
    </xf>
    <xf numFmtId="0" fontId="57" fillId="7" borderId="125" xfId="0" applyFont="1" applyFill="1" applyBorder="1" applyAlignment="1">
      <alignment horizontal="left" vertical="center"/>
    </xf>
    <xf numFmtId="0" fontId="49" fillId="4" borderId="87" xfId="0" applyFont="1" applyFill="1" applyBorder="1" applyAlignment="1">
      <alignment horizontal="left" vertical="center"/>
    </xf>
    <xf numFmtId="0" fontId="49" fillId="4" borderId="84" xfId="0" applyFont="1" applyFill="1" applyBorder="1" applyAlignment="1">
      <alignment horizontal="left" vertical="center"/>
    </xf>
    <xf numFmtId="11" fontId="49" fillId="4" borderId="84" xfId="0" applyNumberFormat="1" applyFont="1" applyFill="1" applyBorder="1" applyAlignment="1">
      <alignment horizontal="left" vertical="center"/>
    </xf>
    <xf numFmtId="0" fontId="49" fillId="4" borderId="106" xfId="0" applyFont="1" applyFill="1" applyBorder="1" applyAlignment="1">
      <alignment horizontal="left" vertical="center"/>
    </xf>
    <xf numFmtId="0" fontId="49" fillId="4" borderId="82" xfId="0" applyFont="1" applyFill="1" applyBorder="1" applyAlignment="1">
      <alignment horizontal="left" vertical="center"/>
    </xf>
    <xf numFmtId="11" fontId="49" fillId="4" borderId="82" xfId="0" applyNumberFormat="1" applyFont="1" applyFill="1" applyBorder="1" applyAlignment="1">
      <alignment horizontal="left" vertical="center"/>
    </xf>
    <xf numFmtId="166" fontId="49" fillId="11" borderId="6" xfId="0" applyNumberFormat="1" applyFont="1" applyFill="1" applyBorder="1" applyAlignment="1">
      <alignment horizontal="center" vertical="center" wrapText="1"/>
    </xf>
    <xf numFmtId="166" fontId="49" fillId="19" borderId="6" xfId="0" applyNumberFormat="1" applyFont="1" applyFill="1" applyBorder="1" applyAlignment="1">
      <alignment horizontal="center" vertical="center" wrapText="1"/>
    </xf>
    <xf numFmtId="0" fontId="81" fillId="12" borderId="6" xfId="0" applyFont="1" applyFill="1" applyBorder="1" applyAlignment="1">
      <alignment horizontal="center" vertical="center"/>
    </xf>
    <xf numFmtId="164" fontId="49" fillId="11" borderId="120" xfId="0" applyNumberFormat="1" applyFont="1" applyFill="1" applyBorder="1" applyAlignment="1">
      <alignment horizontal="center" vertical="center"/>
    </xf>
    <xf numFmtId="164" fontId="49" fillId="19" borderId="110" xfId="0" applyNumberFormat="1" applyFont="1" applyFill="1" applyBorder="1" applyAlignment="1">
      <alignment horizontal="center" vertical="center"/>
    </xf>
    <xf numFmtId="0" fontId="57" fillId="7" borderId="102" xfId="0" applyFont="1" applyFill="1" applyBorder="1" applyAlignment="1">
      <alignment horizontal="left" vertical="center" wrapText="1"/>
    </xf>
    <xf numFmtId="0" fontId="49" fillId="20" borderId="116" xfId="0" applyFont="1" applyFill="1" applyBorder="1" applyAlignment="1">
      <alignment horizontal="left" vertical="center"/>
    </xf>
    <xf numFmtId="0" fontId="49" fillId="20" borderId="117" xfId="0" quotePrefix="1" applyFont="1" applyFill="1" applyBorder="1" applyAlignment="1">
      <alignment horizontal="left" vertical="center"/>
    </xf>
    <xf numFmtId="0" fontId="49" fillId="20" borderId="123" xfId="0" applyFont="1" applyFill="1" applyBorder="1" applyAlignment="1">
      <alignment horizontal="left" vertical="center"/>
    </xf>
    <xf numFmtId="0" fontId="56" fillId="7" borderId="126" xfId="0" applyFont="1" applyFill="1" applyBorder="1" applyAlignment="1">
      <alignment horizontal="left" vertical="center"/>
    </xf>
    <xf numFmtId="11" fontId="49" fillId="20" borderId="117" xfId="0" applyNumberFormat="1" applyFont="1" applyFill="1" applyBorder="1" applyAlignment="1">
      <alignment horizontal="left" vertical="center"/>
    </xf>
    <xf numFmtId="11" fontId="49" fillId="20" borderId="108" xfId="0" applyNumberFormat="1" applyFont="1" applyFill="1" applyBorder="1" applyAlignment="1">
      <alignment horizontal="left" vertical="center"/>
    </xf>
    <xf numFmtId="0" fontId="49" fillId="20" borderId="108" xfId="0" quotePrefix="1" applyFont="1" applyFill="1" applyBorder="1" applyAlignment="1">
      <alignment horizontal="left" vertical="center"/>
    </xf>
    <xf numFmtId="0" fontId="49" fillId="20" borderId="106" xfId="0" applyFont="1" applyFill="1" applyBorder="1" applyAlignment="1">
      <alignment horizontal="left" vertical="center"/>
    </xf>
    <xf numFmtId="11" fontId="49" fillId="20" borderId="82" xfId="0" applyNumberFormat="1" applyFont="1" applyFill="1" applyBorder="1" applyAlignment="1">
      <alignment horizontal="left" vertical="center"/>
    </xf>
    <xf numFmtId="0" fontId="49" fillId="20" borderId="82" xfId="0" quotePrefix="1" applyFont="1" applyFill="1" applyBorder="1" applyAlignment="1">
      <alignment horizontal="left" vertical="center"/>
    </xf>
    <xf numFmtId="0" fontId="49" fillId="15" borderId="117" xfId="0" applyFont="1" applyFill="1" applyBorder="1" applyAlignment="1">
      <alignment horizontal="center" vertical="center" wrapText="1"/>
    </xf>
    <xf numFmtId="0" fontId="49" fillId="0" borderId="82" xfId="0" applyFont="1" applyBorder="1" applyAlignment="1">
      <alignment horizontal="left" vertical="center" wrapText="1"/>
    </xf>
    <xf numFmtId="0" fontId="49" fillId="20" borderId="87" xfId="0" applyFont="1" applyFill="1" applyBorder="1" applyAlignment="1">
      <alignment horizontal="left" vertical="center"/>
    </xf>
    <xf numFmtId="0" fontId="49" fillId="12" borderId="116" xfId="0" quotePrefix="1" applyFont="1" applyFill="1" applyBorder="1" applyAlignment="1">
      <alignment horizontal="left" vertical="center"/>
    </xf>
    <xf numFmtId="0" fontId="49" fillId="12" borderId="117" xfId="0" quotePrefix="1" applyFont="1" applyFill="1" applyBorder="1" applyAlignment="1">
      <alignment horizontal="left" vertical="center"/>
    </xf>
    <xf numFmtId="0" fontId="49" fillId="12" borderId="117" xfId="0" applyFont="1" applyFill="1" applyBorder="1" applyAlignment="1">
      <alignment horizontal="left" vertical="center" wrapText="1"/>
    </xf>
    <xf numFmtId="0" fontId="49" fillId="12" borderId="117" xfId="0" applyFont="1" applyFill="1" applyBorder="1" applyAlignment="1">
      <alignment horizontal="left" vertical="center"/>
    </xf>
    <xf numFmtId="0" fontId="49" fillId="12" borderId="121" xfId="0" quotePrefix="1" applyFont="1" applyFill="1" applyBorder="1" applyAlignment="1">
      <alignment horizontal="left" vertical="center"/>
    </xf>
    <xf numFmtId="0" fontId="49" fillId="12" borderId="108" xfId="0" quotePrefix="1" applyFont="1" applyFill="1" applyBorder="1" applyAlignment="1">
      <alignment horizontal="left" vertical="center"/>
    </xf>
    <xf numFmtId="0" fontId="49" fillId="12" borderId="108" xfId="0" applyFont="1" applyFill="1" applyBorder="1" applyAlignment="1">
      <alignment horizontal="left" vertical="center" wrapText="1"/>
    </xf>
    <xf numFmtId="0" fontId="49" fillId="12" borderId="108" xfId="0" applyFont="1" applyFill="1" applyBorder="1" applyAlignment="1">
      <alignment horizontal="left" vertical="center"/>
    </xf>
    <xf numFmtId="0" fontId="49" fillId="12" borderId="123" xfId="0" quotePrefix="1" applyFont="1" applyFill="1" applyBorder="1" applyAlignment="1">
      <alignment horizontal="left" vertical="center"/>
    </xf>
    <xf numFmtId="0" fontId="49" fillId="12" borderId="120" xfId="0" quotePrefix="1" applyFont="1" applyFill="1" applyBorder="1" applyAlignment="1">
      <alignment horizontal="left" vertical="center"/>
    </xf>
    <xf numFmtId="0" fontId="49" fillId="12" borderId="120" xfId="0" applyFont="1" applyFill="1" applyBorder="1" applyAlignment="1">
      <alignment horizontal="left" vertical="center" wrapText="1"/>
    </xf>
    <xf numFmtId="0" fontId="49" fillId="12" borderId="120" xfId="0" applyFont="1" applyFill="1" applyBorder="1" applyAlignment="1">
      <alignment horizontal="left" vertical="center"/>
    </xf>
    <xf numFmtId="0" fontId="58" fillId="0" borderId="106" xfId="0" applyFont="1" applyBorder="1" applyAlignment="1">
      <alignment horizontal="left" vertical="center"/>
    </xf>
    <xf numFmtId="0" fontId="49" fillId="0" borderId="82" xfId="0" applyFont="1" applyBorder="1" applyAlignment="1">
      <alignment horizontal="center" vertical="center" wrapText="1"/>
    </xf>
    <xf numFmtId="0" fontId="49" fillId="0" borderId="82" xfId="0" quotePrefix="1" applyFont="1" applyBorder="1" applyAlignment="1">
      <alignment horizontal="center" vertical="center" wrapText="1"/>
    </xf>
    <xf numFmtId="0" fontId="57" fillId="0" borderId="105" xfId="0" applyFont="1" applyBorder="1" applyAlignment="1">
      <alignment horizontal="center" vertical="center"/>
    </xf>
    <xf numFmtId="0" fontId="49" fillId="0" borderId="121" xfId="0" applyFont="1" applyBorder="1" applyAlignment="1">
      <alignment horizontal="left" vertical="center"/>
    </xf>
    <xf numFmtId="0" fontId="49" fillId="0" borderId="132" xfId="0" applyFont="1" applyBorder="1" applyAlignment="1">
      <alignment horizontal="left" vertical="center"/>
    </xf>
    <xf numFmtId="2" fontId="49" fillId="19" borderId="132" xfId="0" applyNumberFormat="1" applyFont="1" applyFill="1" applyBorder="1" applyAlignment="1">
      <alignment horizontal="center" vertical="center" wrapText="1"/>
    </xf>
    <xf numFmtId="0" fontId="49" fillId="19" borderId="132" xfId="0" applyFont="1" applyFill="1" applyBorder="1" applyAlignment="1">
      <alignment horizontal="center" vertical="center" wrapText="1"/>
    </xf>
    <xf numFmtId="0" fontId="49" fillId="19" borderId="132" xfId="0" applyFont="1" applyFill="1" applyBorder="1" applyAlignment="1">
      <alignment horizontal="center" vertical="center"/>
    </xf>
    <xf numFmtId="0" fontId="49" fillId="19" borderId="120" xfId="0" applyFont="1" applyFill="1" applyBorder="1" applyAlignment="1">
      <alignment horizontal="center" vertical="center" wrapText="1"/>
    </xf>
    <xf numFmtId="0" fontId="49" fillId="19" borderId="120" xfId="0" applyFont="1" applyFill="1" applyBorder="1" applyAlignment="1">
      <alignment horizontal="center" vertical="center"/>
    </xf>
    <xf numFmtId="2" fontId="49" fillId="11" borderId="100" xfId="0" applyNumberFormat="1" applyFont="1" applyFill="1" applyBorder="1" applyAlignment="1">
      <alignment horizontal="center" vertical="center" wrapText="1"/>
    </xf>
    <xf numFmtId="0" fontId="49" fillId="11" borderId="100" xfId="0" applyFont="1" applyFill="1" applyBorder="1" applyAlignment="1">
      <alignment horizontal="center" vertical="center" wrapText="1"/>
    </xf>
    <xf numFmtId="0" fontId="49" fillId="11" borderId="132" xfId="0" applyFont="1" applyFill="1" applyBorder="1" applyAlignment="1">
      <alignment horizontal="left" vertical="center" wrapText="1"/>
    </xf>
    <xf numFmtId="2" fontId="49" fillId="11" borderId="132" xfId="0" applyNumberFormat="1" applyFont="1" applyFill="1" applyBorder="1" applyAlignment="1">
      <alignment horizontal="center" vertical="center"/>
    </xf>
    <xf numFmtId="0" fontId="49" fillId="11" borderId="132" xfId="0" applyFont="1" applyFill="1" applyBorder="1" applyAlignment="1">
      <alignment horizontal="center" vertical="center" wrapText="1"/>
    </xf>
    <xf numFmtId="2" fontId="49" fillId="11" borderId="132" xfId="0" applyNumberFormat="1" applyFont="1" applyFill="1" applyBorder="1" applyAlignment="1">
      <alignment horizontal="left" vertical="center"/>
    </xf>
    <xf numFmtId="0" fontId="49" fillId="11" borderId="132" xfId="0" applyFont="1" applyFill="1" applyBorder="1" applyAlignment="1">
      <alignment horizontal="center" vertical="center"/>
    </xf>
    <xf numFmtId="0" fontId="49" fillId="11" borderId="62" xfId="0" applyFont="1" applyFill="1" applyBorder="1" applyAlignment="1">
      <alignment horizontal="left" vertical="center"/>
    </xf>
    <xf numFmtId="2" fontId="49" fillId="11" borderId="132" xfId="0" applyNumberFormat="1" applyFont="1" applyFill="1" applyBorder="1" applyAlignment="1">
      <alignment horizontal="left" vertical="center" wrapText="1"/>
    </xf>
    <xf numFmtId="2" fontId="49" fillId="11" borderId="132" xfId="0" applyNumberFormat="1" applyFont="1" applyFill="1" applyBorder="1" applyAlignment="1">
      <alignment horizontal="center" vertical="center" wrapText="1"/>
    </xf>
    <xf numFmtId="164" fontId="49" fillId="11" borderId="132" xfId="0" applyNumberFormat="1" applyFont="1" applyFill="1" applyBorder="1" applyAlignment="1">
      <alignment horizontal="center" vertical="center"/>
    </xf>
    <xf numFmtId="0" fontId="49" fillId="11" borderId="132" xfId="0" applyFont="1" applyFill="1" applyBorder="1" applyAlignment="1">
      <alignment horizontal="left" vertical="center"/>
    </xf>
    <xf numFmtId="0" fontId="53" fillId="11" borderId="132" xfId="0" applyFont="1" applyFill="1" applyBorder="1" applyAlignment="1">
      <alignment horizontal="left" vertical="center" wrapText="1"/>
    </xf>
    <xf numFmtId="0" fontId="0" fillId="11" borderId="132" xfId="0" applyFill="1" applyBorder="1" applyAlignment="1">
      <alignment horizontal="left"/>
    </xf>
    <xf numFmtId="0" fontId="49" fillId="11" borderId="120" xfId="0" applyFont="1" applyFill="1" applyBorder="1" applyAlignment="1">
      <alignment horizontal="left" vertical="center"/>
    </xf>
    <xf numFmtId="0" fontId="49" fillId="11" borderId="120" xfId="0" applyFont="1" applyFill="1" applyBorder="1" applyAlignment="1">
      <alignment horizontal="center" vertical="center" wrapText="1"/>
    </xf>
    <xf numFmtId="0" fontId="49" fillId="11" borderId="124" xfId="0" applyFont="1" applyFill="1" applyBorder="1" applyAlignment="1">
      <alignment horizontal="left" vertical="center"/>
    </xf>
    <xf numFmtId="0" fontId="49" fillId="20" borderId="120" xfId="0" applyFont="1" applyFill="1" applyBorder="1" applyAlignment="1">
      <alignment horizontal="left" vertical="center" wrapText="1"/>
    </xf>
    <xf numFmtId="0" fontId="30" fillId="0" borderId="0" xfId="0" applyFont="1" applyAlignment="1">
      <alignment horizontal="right"/>
    </xf>
    <xf numFmtId="0" fontId="0" fillId="0" borderId="132" xfId="0" applyBorder="1"/>
    <xf numFmtId="0" fontId="0" fillId="0" borderId="110" xfId="0" applyBorder="1"/>
    <xf numFmtId="0" fontId="0" fillId="14" borderId="99" xfId="0" applyFill="1" applyBorder="1"/>
    <xf numFmtId="0" fontId="0" fillId="14" borderId="100" xfId="0" applyFill="1" applyBorder="1"/>
    <xf numFmtId="2" fontId="0" fillId="14" borderId="101" xfId="0" applyNumberFormat="1" applyFill="1" applyBorder="1"/>
    <xf numFmtId="0" fontId="0" fillId="0" borderId="98" xfId="0" applyBorder="1"/>
    <xf numFmtId="0" fontId="0" fillId="14" borderId="121" xfId="0" applyFill="1" applyBorder="1"/>
    <xf numFmtId="0" fontId="0" fillId="14" borderId="132" xfId="0" applyFill="1" applyBorder="1"/>
    <xf numFmtId="2" fontId="0" fillId="14" borderId="122" xfId="0" applyNumberFormat="1" applyFill="1" applyBorder="1"/>
    <xf numFmtId="0" fontId="0" fillId="14" borderId="123" xfId="0" applyFill="1" applyBorder="1"/>
    <xf numFmtId="0" fontId="0" fillId="14" borderId="120" xfId="0" applyFill="1" applyBorder="1"/>
    <xf numFmtId="2" fontId="0" fillId="14" borderId="124" xfId="0" applyNumberFormat="1" applyFill="1" applyBorder="1"/>
    <xf numFmtId="0" fontId="57" fillId="7" borderId="129" xfId="0" applyFont="1" applyFill="1" applyBorder="1" applyAlignment="1">
      <alignment horizontal="left" vertical="center"/>
    </xf>
    <xf numFmtId="0" fontId="57" fillId="7" borderId="130" xfId="0" applyFont="1" applyFill="1" applyBorder="1" applyAlignment="1">
      <alignment horizontal="left" vertical="center" wrapText="1"/>
    </xf>
    <xf numFmtId="0" fontId="49" fillId="0" borderId="123" xfId="0" applyFont="1" applyBorder="1" applyAlignment="1">
      <alignment horizontal="left" vertical="center"/>
    </xf>
    <xf numFmtId="0" fontId="49" fillId="0" borderId="120" xfId="0" applyFont="1" applyBorder="1" applyAlignment="1">
      <alignment horizontal="left" vertical="center"/>
    </xf>
    <xf numFmtId="0" fontId="57" fillId="7" borderId="65" xfId="0" applyFont="1" applyFill="1" applyBorder="1" applyAlignment="1">
      <alignment vertical="center" wrapText="1"/>
    </xf>
    <xf numFmtId="0" fontId="49" fillId="0" borderId="99" xfId="0" applyFont="1" applyBorder="1" applyAlignment="1">
      <alignment vertical="center"/>
    </xf>
    <xf numFmtId="0" fontId="49" fillId="0" borderId="100" xfId="0" applyFont="1" applyBorder="1"/>
    <xf numFmtId="0" fontId="49" fillId="0" borderId="101" xfId="0" applyFont="1" applyBorder="1"/>
    <xf numFmtId="0" fontId="49" fillId="0" borderId="121" xfId="0" applyFont="1" applyBorder="1" applyAlignment="1">
      <alignment vertical="center"/>
    </xf>
    <xf numFmtId="0" fontId="49" fillId="0" borderId="132" xfId="0" applyFont="1" applyBorder="1"/>
    <xf numFmtId="0" fontId="49" fillId="0" borderId="122" xfId="0" applyFont="1" applyBorder="1"/>
    <xf numFmtId="0" fontId="49" fillId="0" borderId="132" xfId="0" applyFont="1" applyBorder="1" applyAlignment="1">
      <alignment vertical="center"/>
    </xf>
    <xf numFmtId="0" fontId="49" fillId="0" borderId="122" xfId="0" applyFont="1" applyBorder="1" applyAlignment="1">
      <alignment vertical="center"/>
    </xf>
    <xf numFmtId="0" fontId="49" fillId="0" borderId="123" xfId="0" applyFont="1" applyBorder="1" applyAlignment="1">
      <alignment vertical="center"/>
    </xf>
    <xf numFmtId="0" fontId="49" fillId="0" borderId="120" xfId="0" applyFont="1" applyBorder="1" applyAlignment="1">
      <alignment vertical="center"/>
    </xf>
    <xf numFmtId="0" fontId="49" fillId="0" borderId="124" xfId="0" applyFont="1" applyBorder="1" applyAlignment="1">
      <alignment vertical="center"/>
    </xf>
    <xf numFmtId="2" fontId="49" fillId="8" borderId="132" xfId="0" applyNumberFormat="1" applyFont="1" applyFill="1" applyBorder="1" applyAlignment="1">
      <alignment horizontal="center" vertical="center" wrapText="1"/>
    </xf>
    <xf numFmtId="0" fontId="46" fillId="8" borderId="71" xfId="0" quotePrefix="1" applyFont="1" applyFill="1" applyBorder="1" applyAlignment="1">
      <alignment horizontal="center" vertical="center"/>
    </xf>
    <xf numFmtId="0" fontId="46" fillId="8" borderId="132" xfId="0" quotePrefix="1" applyFont="1" applyFill="1" applyBorder="1" applyAlignment="1">
      <alignment horizontal="center" vertical="center"/>
    </xf>
    <xf numFmtId="0" fontId="46" fillId="8" borderId="132" xfId="0" applyFont="1" applyFill="1" applyBorder="1" applyAlignment="1">
      <alignment horizontal="center" vertical="center"/>
    </xf>
    <xf numFmtId="0" fontId="46" fillId="21" borderId="132" xfId="0" quotePrefix="1" applyFont="1" applyFill="1" applyBorder="1" applyAlignment="1">
      <alignment horizontal="center" vertical="center"/>
    </xf>
    <xf numFmtId="0" fontId="46" fillId="11" borderId="132" xfId="0" quotePrefix="1" applyFont="1" applyFill="1" applyBorder="1" applyAlignment="1">
      <alignment horizontal="center" vertical="center"/>
    </xf>
    <xf numFmtId="0" fontId="53" fillId="0" borderId="0" xfId="6" applyFont="1" applyAlignment="1">
      <alignment horizontal="center" vertical="center"/>
    </xf>
    <xf numFmtId="0" fontId="56" fillId="7" borderId="134" xfId="6" applyFont="1" applyFill="1" applyBorder="1" applyAlignment="1">
      <alignment horizontal="left" vertical="center" wrapText="1"/>
    </xf>
    <xf numFmtId="0" fontId="56" fillId="0" borderId="0" xfId="6" applyFont="1" applyAlignment="1">
      <alignment horizontal="center" vertical="center"/>
    </xf>
    <xf numFmtId="0" fontId="57" fillId="13" borderId="135" xfId="6" applyFont="1" applyFill="1" applyBorder="1" applyAlignment="1">
      <alignment horizontal="center" vertical="center"/>
    </xf>
    <xf numFmtId="0" fontId="57" fillId="13" borderId="136" xfId="6" applyFont="1" applyFill="1" applyBorder="1" applyAlignment="1">
      <alignment horizontal="left" vertical="center" wrapText="1"/>
    </xf>
    <xf numFmtId="0" fontId="57" fillId="13" borderId="136" xfId="6" applyFont="1" applyFill="1" applyBorder="1" applyAlignment="1">
      <alignment horizontal="center" vertical="center" wrapText="1"/>
    </xf>
    <xf numFmtId="0" fontId="57" fillId="13" borderId="137" xfId="6" applyFont="1" applyFill="1" applyBorder="1" applyAlignment="1">
      <alignment vertical="center"/>
    </xf>
    <xf numFmtId="0" fontId="46" fillId="0" borderId="138" xfId="6" applyFont="1" applyBorder="1" applyAlignment="1">
      <alignment horizontal="left"/>
    </xf>
    <xf numFmtId="0" fontId="49" fillId="0" borderId="139" xfId="6" applyFont="1" applyBorder="1" applyAlignment="1">
      <alignment horizontal="left" vertical="center" wrapText="1"/>
    </xf>
    <xf numFmtId="0" fontId="49" fillId="0" borderId="139" xfId="6" applyFont="1" applyBorder="1" applyAlignment="1">
      <alignment horizontal="center" vertical="center" wrapText="1"/>
    </xf>
    <xf numFmtId="0" fontId="46" fillId="0" borderId="139" xfId="6" applyFont="1" applyBorder="1" applyAlignment="1">
      <alignment horizontal="center"/>
    </xf>
    <xf numFmtId="0" fontId="49" fillId="0" borderId="140" xfId="6" applyFont="1" applyBorder="1" applyAlignment="1">
      <alignment horizontal="center" vertical="center" wrapText="1"/>
    </xf>
    <xf numFmtId="0" fontId="46" fillId="0" borderId="121" xfId="6" applyFont="1" applyBorder="1" applyAlignment="1">
      <alignment horizontal="left"/>
    </xf>
    <xf numFmtId="0" fontId="49" fillId="0" borderId="132" xfId="6" applyFont="1" applyBorder="1" applyAlignment="1">
      <alignment horizontal="left" vertical="center" wrapText="1"/>
    </xf>
    <xf numFmtId="0" fontId="49" fillId="0" borderId="132" xfId="6" applyFont="1" applyBorder="1" applyAlignment="1">
      <alignment horizontal="center" vertical="center" wrapText="1"/>
    </xf>
    <xf numFmtId="0" fontId="46" fillId="0" borderId="132" xfId="6" applyFont="1" applyBorder="1" applyAlignment="1">
      <alignment horizontal="center"/>
    </xf>
    <xf numFmtId="0" fontId="49" fillId="0" borderId="122" xfId="6" applyFont="1" applyBorder="1" applyAlignment="1">
      <alignment horizontal="center" vertical="center" wrapText="1"/>
    </xf>
    <xf numFmtId="0" fontId="46" fillId="0" borderId="132" xfId="6" applyFont="1" applyBorder="1" applyAlignment="1">
      <alignment horizontal="center" vertical="center" wrapText="1"/>
    </xf>
    <xf numFmtId="0" fontId="46" fillId="0" borderId="123" xfId="6" applyFont="1" applyBorder="1" applyAlignment="1">
      <alignment horizontal="left"/>
    </xf>
    <xf numFmtId="0" fontId="49" fillId="0" borderId="120" xfId="6" applyFont="1" applyBorder="1" applyAlignment="1">
      <alignment horizontal="left" vertical="center" wrapText="1"/>
    </xf>
    <xf numFmtId="0" fontId="49" fillId="0" borderId="120" xfId="6" applyFont="1" applyBorder="1" applyAlignment="1">
      <alignment horizontal="center" vertical="center" wrapText="1"/>
    </xf>
    <xf numFmtId="0" fontId="46" fillId="0" borderId="120" xfId="6" applyFont="1" applyBorder="1" applyAlignment="1">
      <alignment horizontal="center"/>
    </xf>
    <xf numFmtId="0" fontId="49" fillId="0" borderId="124" xfId="6" applyFont="1" applyBorder="1" applyAlignment="1">
      <alignment horizontal="center" vertical="center" wrapText="1"/>
    </xf>
    <xf numFmtId="0" fontId="56" fillId="7" borderId="141" xfId="0" applyFont="1" applyFill="1" applyBorder="1" applyAlignment="1">
      <alignment horizontal="left" vertical="center" wrapText="1"/>
    </xf>
    <xf numFmtId="0" fontId="57" fillId="7" borderId="142" xfId="0" applyFont="1" applyFill="1" applyBorder="1" applyAlignment="1">
      <alignment horizontal="left" vertical="center"/>
    </xf>
    <xf numFmtId="0" fontId="57" fillId="7" borderId="143" xfId="0" applyFont="1" applyFill="1" applyBorder="1" applyAlignment="1">
      <alignment horizontal="left" vertical="center" wrapText="1"/>
    </xf>
    <xf numFmtId="0" fontId="57" fillId="7" borderId="143" xfId="0" applyFont="1" applyFill="1" applyBorder="1" applyAlignment="1">
      <alignment horizontal="center" vertical="center" wrapText="1"/>
    </xf>
    <xf numFmtId="0" fontId="46" fillId="0" borderId="145" xfId="6" applyFont="1" applyBorder="1" applyAlignment="1">
      <alignment horizontal="center"/>
    </xf>
    <xf numFmtId="0" fontId="46" fillId="0" borderId="145" xfId="6" applyFont="1" applyBorder="1" applyAlignment="1">
      <alignment horizontal="center" vertical="center" wrapText="1"/>
    </xf>
    <xf numFmtId="0" fontId="57" fillId="7" borderId="143" xfId="6" applyFont="1" applyFill="1" applyBorder="1" applyAlignment="1">
      <alignment horizontal="center" vertical="center" wrapText="1"/>
    </xf>
    <xf numFmtId="0" fontId="46" fillId="0" borderId="84" xfId="6" applyFont="1" applyBorder="1" applyAlignment="1">
      <alignment horizontal="center"/>
    </xf>
    <xf numFmtId="0" fontId="53" fillId="8" borderId="120" xfId="0" applyFont="1" applyFill="1" applyBorder="1" applyAlignment="1">
      <alignment horizontal="left" vertical="center" wrapText="1"/>
    </xf>
    <xf numFmtId="164" fontId="53" fillId="8" borderId="120" xfId="0" applyNumberFormat="1" applyFont="1" applyFill="1" applyBorder="1" applyAlignment="1">
      <alignment horizontal="center" vertical="center" wrapText="1"/>
    </xf>
    <xf numFmtId="0" fontId="49" fillId="8" borderId="120" xfId="0" applyFont="1" applyFill="1" applyBorder="1" applyAlignment="1">
      <alignment horizontal="center" vertical="center" wrapText="1"/>
    </xf>
    <xf numFmtId="0" fontId="53" fillId="8" borderId="120" xfId="0" applyFont="1" applyFill="1" applyBorder="1" applyAlignment="1">
      <alignment horizontal="center" vertical="center" wrapText="1"/>
    </xf>
    <xf numFmtId="0" fontId="49" fillId="8" borderId="145" xfId="0" applyFont="1" applyFill="1" applyBorder="1" applyAlignment="1">
      <alignment horizontal="left" vertical="center" wrapText="1"/>
    </xf>
    <xf numFmtId="164" fontId="49" fillId="8" borderId="145" xfId="0" applyNumberFormat="1" applyFont="1" applyFill="1" applyBorder="1" applyAlignment="1">
      <alignment horizontal="center" vertical="center" wrapText="1"/>
    </xf>
    <xf numFmtId="0" fontId="49" fillId="8" borderId="145" xfId="0" applyFont="1" applyFill="1" applyBorder="1" applyAlignment="1">
      <alignment horizontal="center" vertical="center" wrapText="1"/>
    </xf>
    <xf numFmtId="2" fontId="49" fillId="11" borderId="84" xfId="0" applyNumberFormat="1" applyFont="1" applyFill="1" applyBorder="1" applyAlignment="1">
      <alignment horizontal="center" vertical="center" wrapText="1"/>
    </xf>
    <xf numFmtId="0" fontId="49" fillId="11" borderId="145" xfId="0" applyFont="1" applyFill="1" applyBorder="1" applyAlignment="1">
      <alignment horizontal="center" vertical="center" wrapText="1"/>
    </xf>
    <xf numFmtId="0" fontId="49" fillId="15" borderId="145" xfId="0" applyFont="1" applyFill="1" applyBorder="1" applyAlignment="1">
      <alignment horizontal="left" vertical="center" wrapText="1"/>
    </xf>
    <xf numFmtId="0" fontId="49" fillId="15" borderId="145" xfId="0" applyFont="1" applyFill="1" applyBorder="1" applyAlignment="1">
      <alignment horizontal="center" vertical="center" wrapText="1"/>
    </xf>
    <xf numFmtId="1" fontId="49" fillId="15" borderId="145" xfId="0" applyNumberFormat="1" applyFont="1" applyFill="1" applyBorder="1" applyAlignment="1">
      <alignment horizontal="center" vertical="center" wrapText="1"/>
    </xf>
    <xf numFmtId="0" fontId="56" fillId="7" borderId="146" xfId="0" applyFont="1" applyFill="1" applyBorder="1" applyAlignment="1">
      <alignment horizontal="left" vertical="center" wrapText="1"/>
    </xf>
    <xf numFmtId="0" fontId="49" fillId="9" borderId="147" xfId="0" applyFont="1" applyFill="1" applyBorder="1" applyAlignment="1">
      <alignment horizontal="left" vertical="center"/>
    </xf>
    <xf numFmtId="0" fontId="49" fillId="9" borderId="148" xfId="0" applyFont="1" applyFill="1" applyBorder="1" applyAlignment="1">
      <alignment horizontal="left" vertical="center" wrapText="1"/>
    </xf>
    <xf numFmtId="0" fontId="49" fillId="9" borderId="148" xfId="0" applyFont="1" applyFill="1" applyBorder="1" applyAlignment="1">
      <alignment horizontal="center" vertical="center" wrapText="1"/>
    </xf>
    <xf numFmtId="0" fontId="53" fillId="9" borderId="148" xfId="0" applyFont="1" applyFill="1" applyBorder="1" applyAlignment="1">
      <alignment horizontal="center" vertical="center" wrapText="1"/>
    </xf>
    <xf numFmtId="0" fontId="49" fillId="9" borderId="148" xfId="0" applyFont="1" applyFill="1" applyBorder="1" applyAlignment="1">
      <alignment horizontal="center" vertical="center"/>
    </xf>
    <xf numFmtId="0" fontId="49" fillId="9" borderId="149" xfId="0" applyFont="1" applyFill="1" applyBorder="1" applyAlignment="1">
      <alignment horizontal="left" vertical="center"/>
    </xf>
    <xf numFmtId="2" fontId="49" fillId="9" borderId="145" xfId="0" applyNumberFormat="1" applyFont="1" applyFill="1" applyBorder="1" applyAlignment="1">
      <alignment horizontal="left" vertical="center" wrapText="1"/>
    </xf>
    <xf numFmtId="2" fontId="49" fillId="9" borderId="145" xfId="0" applyNumberFormat="1" applyFont="1" applyFill="1" applyBorder="1" applyAlignment="1">
      <alignment horizontal="center" vertical="center" wrapText="1"/>
    </xf>
    <xf numFmtId="0" fontId="49" fillId="9" borderId="145" xfId="0" applyFont="1" applyFill="1" applyBorder="1" applyAlignment="1">
      <alignment horizontal="center" vertical="center"/>
    </xf>
    <xf numFmtId="0" fontId="49" fillId="9" borderId="145" xfId="0" applyFont="1" applyFill="1" applyBorder="1" applyAlignment="1">
      <alignment horizontal="center" vertical="center" wrapText="1"/>
    </xf>
    <xf numFmtId="0" fontId="53" fillId="9" borderId="145" xfId="0" applyFont="1" applyFill="1" applyBorder="1" applyAlignment="1">
      <alignment horizontal="center" vertical="center" wrapText="1"/>
    </xf>
    <xf numFmtId="0" fontId="49" fillId="9" borderId="122" xfId="0" applyFont="1" applyFill="1" applyBorder="1" applyAlignment="1">
      <alignment horizontal="left" vertical="center"/>
    </xf>
    <xf numFmtId="0" fontId="49" fillId="9" borderId="145" xfId="0" applyFont="1" applyFill="1" applyBorder="1" applyAlignment="1">
      <alignment horizontal="left" vertical="center" wrapText="1"/>
    </xf>
    <xf numFmtId="166" fontId="49" fillId="9" borderId="145" xfId="0" applyNumberFormat="1" applyFont="1" applyFill="1" applyBorder="1" applyAlignment="1">
      <alignment horizontal="left" vertical="center" wrapText="1"/>
    </xf>
    <xf numFmtId="166" fontId="49" fillId="9" borderId="145" xfId="0" applyNumberFormat="1" applyFont="1" applyFill="1" applyBorder="1" applyAlignment="1">
      <alignment horizontal="center" vertical="center" wrapText="1"/>
    </xf>
    <xf numFmtId="0" fontId="49" fillId="9" borderId="123" xfId="0" applyFont="1" applyFill="1" applyBorder="1" applyAlignment="1">
      <alignment horizontal="left" vertical="center"/>
    </xf>
    <xf numFmtId="166" fontId="49" fillId="9" borderId="120" xfId="0" applyNumberFormat="1" applyFont="1" applyFill="1" applyBorder="1" applyAlignment="1">
      <alignment horizontal="left" vertical="center" wrapText="1"/>
    </xf>
    <xf numFmtId="166" fontId="49" fillId="9" borderId="120" xfId="0" applyNumberFormat="1" applyFont="1" applyFill="1" applyBorder="1" applyAlignment="1">
      <alignment horizontal="center" vertical="center" wrapText="1"/>
    </xf>
    <xf numFmtId="0" fontId="53" fillId="9" borderId="120" xfId="0" applyFont="1" applyFill="1" applyBorder="1" applyAlignment="1">
      <alignment horizontal="center" vertical="center" wrapText="1"/>
    </xf>
    <xf numFmtId="0" fontId="49" fillId="9" borderId="120" xfId="0" applyFont="1" applyFill="1" applyBorder="1" applyAlignment="1">
      <alignment horizontal="center" vertical="center"/>
    </xf>
    <xf numFmtId="0" fontId="49" fillId="9" borderId="124" xfId="0" applyFont="1" applyFill="1" applyBorder="1" applyAlignment="1">
      <alignment horizontal="left" vertical="center"/>
    </xf>
    <xf numFmtId="0" fontId="53" fillId="11" borderId="145" xfId="0" applyFont="1" applyFill="1" applyBorder="1" applyAlignment="1">
      <alignment horizontal="left" vertical="center" wrapText="1"/>
    </xf>
    <xf numFmtId="166" fontId="53" fillId="11" borderId="145" xfId="0" applyNumberFormat="1" applyFont="1" applyFill="1" applyBorder="1" applyAlignment="1">
      <alignment horizontal="center" vertical="center" wrapText="1"/>
    </xf>
    <xf numFmtId="0" fontId="53" fillId="11" borderId="145" xfId="0" quotePrefix="1" applyFont="1" applyFill="1" applyBorder="1" applyAlignment="1">
      <alignment horizontal="center" vertical="center" wrapText="1"/>
    </xf>
    <xf numFmtId="0" fontId="53" fillId="11" borderId="121" xfId="0" applyFont="1" applyFill="1" applyBorder="1" applyAlignment="1">
      <alignment horizontal="left" vertical="center"/>
    </xf>
    <xf numFmtId="166" fontId="49" fillId="11" borderId="145" xfId="0" applyNumberFormat="1" applyFont="1" applyFill="1" applyBorder="1" applyAlignment="1">
      <alignment horizontal="center" vertical="center" wrapText="1"/>
    </xf>
    <xf numFmtId="2" fontId="49" fillId="24" borderId="145" xfId="0" applyNumberFormat="1" applyFont="1" applyFill="1" applyBorder="1" applyAlignment="1">
      <alignment horizontal="left" vertical="center" wrapText="1"/>
    </xf>
    <xf numFmtId="2" fontId="49" fillId="24" borderId="145" xfId="0" applyNumberFormat="1" applyFont="1" applyFill="1" applyBorder="1" applyAlignment="1">
      <alignment horizontal="center" vertical="center" wrapText="1"/>
    </xf>
    <xf numFmtId="0" fontId="49" fillId="24" borderId="145" xfId="0" applyFont="1" applyFill="1" applyBorder="1" applyAlignment="1">
      <alignment horizontal="center" vertical="center" wrapText="1"/>
    </xf>
    <xf numFmtId="0" fontId="49" fillId="9" borderId="148" xfId="0" applyFont="1" applyFill="1" applyBorder="1" applyAlignment="1">
      <alignment horizontal="left" vertical="center"/>
    </xf>
    <xf numFmtId="0" fontId="49" fillId="9" borderId="145" xfId="0" applyFont="1" applyFill="1" applyBorder="1" applyAlignment="1">
      <alignment horizontal="left" vertical="center"/>
    </xf>
    <xf numFmtId="0" fontId="49" fillId="9" borderId="87" xfId="0" applyFont="1" applyFill="1" applyBorder="1" applyAlignment="1">
      <alignment horizontal="left" vertical="center"/>
    </xf>
    <xf numFmtId="0" fontId="49" fillId="9" borderId="84" xfId="0" applyFont="1" applyFill="1" applyBorder="1" applyAlignment="1">
      <alignment horizontal="left" vertical="center"/>
    </xf>
    <xf numFmtId="0" fontId="49" fillId="9" borderId="84" xfId="0" applyFont="1" applyFill="1" applyBorder="1" applyAlignment="1">
      <alignment horizontal="center" vertical="center"/>
    </xf>
    <xf numFmtId="0" fontId="56" fillId="2" borderId="0" xfId="0" applyFont="1" applyFill="1" applyAlignment="1">
      <alignment horizontal="left" vertical="center"/>
    </xf>
    <xf numFmtId="0" fontId="49" fillId="9" borderId="120" xfId="0" applyFont="1" applyFill="1" applyBorder="1" applyAlignment="1">
      <alignment horizontal="left" vertical="center"/>
    </xf>
    <xf numFmtId="165" fontId="56" fillId="2" borderId="0" xfId="0" applyNumberFormat="1" applyFont="1" applyFill="1" applyAlignment="1">
      <alignment horizontal="center" vertical="center"/>
    </xf>
    <xf numFmtId="0" fontId="49" fillId="20" borderId="147" xfId="0" applyFont="1" applyFill="1" applyBorder="1" applyAlignment="1">
      <alignment horizontal="left" vertical="center" wrapText="1"/>
    </xf>
    <xf numFmtId="0" fontId="49" fillId="20" borderId="148" xfId="0" applyFont="1" applyFill="1" applyBorder="1" applyAlignment="1">
      <alignment horizontal="left" vertical="center"/>
    </xf>
    <xf numFmtId="0" fontId="49" fillId="20" borderId="148" xfId="0" applyFont="1" applyFill="1" applyBorder="1" applyAlignment="1">
      <alignment horizontal="center" vertical="center"/>
    </xf>
    <xf numFmtId="166" fontId="49" fillId="20" borderId="148" xfId="0" applyNumberFormat="1" applyFont="1" applyFill="1" applyBorder="1" applyAlignment="1">
      <alignment horizontal="center" vertical="center"/>
    </xf>
    <xf numFmtId="0" fontId="49" fillId="20" borderId="148" xfId="0" quotePrefix="1" applyFont="1" applyFill="1" applyBorder="1" applyAlignment="1">
      <alignment horizontal="center" vertical="center"/>
    </xf>
    <xf numFmtId="0" fontId="49" fillId="20" borderId="149" xfId="0" applyFont="1" applyFill="1" applyBorder="1" applyAlignment="1">
      <alignment horizontal="left" vertical="center"/>
    </xf>
    <xf numFmtId="0" fontId="48" fillId="11" borderId="145" xfId="0" applyFont="1" applyFill="1" applyBorder="1" applyAlignment="1">
      <alignment horizontal="center" vertical="center"/>
    </xf>
    <xf numFmtId="0" fontId="46" fillId="11" borderId="145" xfId="0" applyFont="1" applyFill="1" applyBorder="1" applyAlignment="1">
      <alignment horizontal="left" vertical="center"/>
    </xf>
    <xf numFmtId="0" fontId="46" fillId="11" borderId="145" xfId="0" quotePrefix="1" applyFont="1" applyFill="1" applyBorder="1" applyAlignment="1">
      <alignment horizontal="center" vertical="center"/>
    </xf>
    <xf numFmtId="0" fontId="46" fillId="11" borderId="122" xfId="0" applyFont="1" applyFill="1" applyBorder="1" applyAlignment="1">
      <alignment horizontal="left" vertical="center"/>
    </xf>
    <xf numFmtId="166" fontId="0" fillId="0" borderId="0" xfId="0" applyNumberFormat="1" applyAlignment="1">
      <alignment horizontal="left"/>
    </xf>
    <xf numFmtId="0" fontId="57" fillId="7" borderId="143" xfId="3" applyFont="1" applyFill="1" applyBorder="1" applyAlignment="1">
      <alignment horizontal="center" vertical="center" wrapText="1"/>
    </xf>
    <xf numFmtId="0" fontId="0" fillId="9" borderId="145" xfId="0" applyFill="1" applyBorder="1" applyAlignment="1">
      <alignment horizontal="left" vertical="center"/>
    </xf>
    <xf numFmtId="0" fontId="46" fillId="15" borderId="145" xfId="0" quotePrefix="1" applyFont="1" applyFill="1" applyBorder="1" applyAlignment="1">
      <alignment horizontal="center" vertical="center"/>
    </xf>
    <xf numFmtId="0" fontId="61" fillId="7" borderId="143" xfId="3" applyFont="1" applyFill="1" applyBorder="1" applyAlignment="1">
      <alignment horizontal="left" vertical="center" wrapText="1"/>
    </xf>
    <xf numFmtId="0" fontId="46" fillId="7" borderId="145" xfId="0" quotePrefix="1" applyFont="1" applyFill="1" applyBorder="1" applyAlignment="1">
      <alignment horizontal="left" vertical="center"/>
    </xf>
    <xf numFmtId="0" fontId="46" fillId="9" borderId="145" xfId="0" quotePrefix="1" applyFont="1" applyFill="1" applyBorder="1" applyAlignment="1">
      <alignment horizontal="left" vertical="center"/>
    </xf>
    <xf numFmtId="0" fontId="46" fillId="15" borderId="145" xfId="0" quotePrefix="1" applyFont="1" applyFill="1" applyBorder="1" applyAlignment="1">
      <alignment horizontal="left" vertical="center"/>
    </xf>
    <xf numFmtId="0" fontId="0" fillId="9" borderId="145" xfId="0" quotePrefix="1" applyFill="1" applyBorder="1" applyAlignment="1">
      <alignment horizontal="center" vertical="center"/>
    </xf>
    <xf numFmtId="0" fontId="0" fillId="9" borderId="145" xfId="0" applyFill="1" applyBorder="1" applyAlignment="1">
      <alignment horizontal="center" vertical="center"/>
    </xf>
    <xf numFmtId="0" fontId="46" fillId="15" borderId="122" xfId="0" applyFont="1" applyFill="1" applyBorder="1" applyAlignment="1">
      <alignment horizontal="left" vertical="center"/>
    </xf>
    <xf numFmtId="0" fontId="49" fillId="8" borderId="145" xfId="0" quotePrefix="1" applyFont="1" applyFill="1" applyBorder="1" applyAlignment="1">
      <alignment horizontal="left" vertical="center"/>
    </xf>
    <xf numFmtId="0" fontId="49" fillId="8" borderId="145" xfId="0" applyFont="1" applyFill="1" applyBorder="1" applyAlignment="1">
      <alignment horizontal="left" vertical="center"/>
    </xf>
    <xf numFmtId="0" fontId="49" fillId="8" borderId="121" xfId="0" quotePrefix="1" applyFont="1" applyFill="1" applyBorder="1" applyAlignment="1">
      <alignment horizontal="left" vertical="center"/>
    </xf>
    <xf numFmtId="1" fontId="49" fillId="8" borderId="145" xfId="0" applyNumberFormat="1" applyFont="1" applyFill="1" applyBorder="1" applyAlignment="1">
      <alignment horizontal="left" vertical="center"/>
    </xf>
    <xf numFmtId="2" fontId="49" fillId="8" borderId="145" xfId="0" applyNumberFormat="1" applyFont="1" applyFill="1" applyBorder="1" applyAlignment="1">
      <alignment horizontal="left" vertical="center"/>
    </xf>
    <xf numFmtId="0" fontId="49" fillId="8" borderId="123" xfId="0" quotePrefix="1" applyFont="1" applyFill="1" applyBorder="1" applyAlignment="1">
      <alignment horizontal="left" vertical="center"/>
    </xf>
    <xf numFmtId="0" fontId="49" fillId="8" borderId="120" xfId="0" quotePrefix="1" applyFont="1" applyFill="1" applyBorder="1" applyAlignment="1">
      <alignment horizontal="left" vertical="center"/>
    </xf>
    <xf numFmtId="1" fontId="49" fillId="8" borderId="120" xfId="0" applyNumberFormat="1" applyFont="1" applyFill="1" applyBorder="1" applyAlignment="1">
      <alignment horizontal="left" vertical="center"/>
    </xf>
    <xf numFmtId="0" fontId="49" fillId="8" borderId="120" xfId="0" applyFont="1" applyFill="1" applyBorder="1" applyAlignment="1">
      <alignment horizontal="left" vertical="center"/>
    </xf>
    <xf numFmtId="0" fontId="49" fillId="9" borderId="145" xfId="0" quotePrefix="1" applyFont="1" applyFill="1" applyBorder="1" applyAlignment="1">
      <alignment horizontal="left" vertical="center"/>
    </xf>
    <xf numFmtId="0" fontId="49" fillId="20" borderId="123" xfId="24" applyFont="1" applyFill="1" applyBorder="1" applyAlignment="1">
      <alignment horizontal="left" vertical="center"/>
    </xf>
    <xf numFmtId="167" fontId="49" fillId="20" borderId="120" xfId="0" applyNumberFormat="1" applyFont="1" applyFill="1" applyBorder="1" applyAlignment="1">
      <alignment horizontal="left" vertical="center"/>
    </xf>
    <xf numFmtId="0" fontId="53" fillId="11" borderId="145" xfId="0" applyFont="1" applyFill="1" applyBorder="1" applyAlignment="1">
      <alignment horizontal="left" vertical="center"/>
    </xf>
    <xf numFmtId="0" fontId="49" fillId="11" borderId="145" xfId="0" applyFont="1" applyFill="1" applyBorder="1" applyAlignment="1">
      <alignment horizontal="left" vertical="center"/>
    </xf>
    <xf numFmtId="0" fontId="53" fillId="11" borderId="122" xfId="0" applyFont="1" applyFill="1" applyBorder="1" applyAlignment="1">
      <alignment horizontal="left" vertical="center"/>
    </xf>
    <xf numFmtId="0" fontId="49" fillId="7" borderId="147" xfId="0" applyFont="1" applyFill="1" applyBorder="1" applyAlignment="1">
      <alignment horizontal="left" vertical="center"/>
    </xf>
    <xf numFmtId="0" fontId="18" fillId="0" borderId="0" xfId="24" applyAlignment="1">
      <alignment horizontal="left" vertical="center"/>
    </xf>
    <xf numFmtId="0" fontId="46" fillId="0" borderId="81" xfId="0" applyFont="1" applyBorder="1" applyAlignment="1">
      <alignment horizontal="left" vertical="center"/>
    </xf>
    <xf numFmtId="0" fontId="49" fillId="0" borderId="81" xfId="0" applyFont="1" applyBorder="1" applyAlignment="1">
      <alignment horizontal="left" vertical="center"/>
    </xf>
    <xf numFmtId="0" fontId="49" fillId="0" borderId="81" xfId="0" applyFont="1" applyBorder="1" applyAlignment="1">
      <alignment horizontal="left"/>
    </xf>
    <xf numFmtId="0" fontId="49" fillId="0" borderId="81" xfId="0" applyFont="1" applyBorder="1" applyAlignment="1">
      <alignment horizontal="center" vertical="center"/>
    </xf>
    <xf numFmtId="0" fontId="80" fillId="23" borderId="150" xfId="24" applyFont="1" applyFill="1" applyBorder="1" applyAlignment="1">
      <alignment horizontal="left" vertical="center"/>
    </xf>
    <xf numFmtId="0" fontId="80" fillId="23" borderId="151" xfId="24" applyFont="1" applyFill="1" applyBorder="1" applyAlignment="1">
      <alignment horizontal="left" vertical="center"/>
    </xf>
    <xf numFmtId="0" fontId="80" fillId="23" borderId="152" xfId="24" applyFont="1" applyFill="1" applyBorder="1" applyAlignment="1">
      <alignment horizontal="left" vertical="center"/>
    </xf>
    <xf numFmtId="0" fontId="80" fillId="23" borderId="153" xfId="24" applyFont="1" applyFill="1" applyBorder="1" applyAlignment="1">
      <alignment horizontal="left" vertical="center"/>
    </xf>
    <xf numFmtId="0" fontId="53" fillId="15" borderId="154" xfId="0" applyFont="1" applyFill="1" applyBorder="1" applyAlignment="1">
      <alignment horizontal="left" vertical="center" wrapText="1"/>
    </xf>
    <xf numFmtId="0" fontId="53" fillId="15" borderId="154" xfId="0" applyFont="1" applyFill="1" applyBorder="1" applyAlignment="1">
      <alignment horizontal="center" vertical="center" wrapText="1"/>
    </xf>
    <xf numFmtId="0" fontId="49" fillId="15" borderId="154" xfId="0" applyFont="1" applyFill="1" applyBorder="1" applyAlignment="1">
      <alignment horizontal="center" vertical="center"/>
    </xf>
    <xf numFmtId="0" fontId="53" fillId="15" borderId="122" xfId="0" applyFont="1" applyFill="1" applyBorder="1" applyAlignment="1">
      <alignment horizontal="left" vertical="center" wrapText="1"/>
    </xf>
    <xf numFmtId="0" fontId="46" fillId="11" borderId="154" xfId="0" quotePrefix="1" applyFont="1" applyFill="1" applyBorder="1" applyAlignment="1">
      <alignment horizontal="left" vertical="center"/>
    </xf>
    <xf numFmtId="0" fontId="18" fillId="0" borderId="0" xfId="24" applyAlignment="1">
      <alignment horizontal="left" vertical="center" wrapText="1"/>
    </xf>
    <xf numFmtId="0" fontId="80" fillId="23" borderId="153" xfId="24" applyFont="1" applyFill="1" applyBorder="1" applyAlignment="1">
      <alignment horizontal="left" vertical="center" wrapText="1"/>
    </xf>
    <xf numFmtId="0" fontId="49" fillId="0" borderId="81" xfId="0" applyFont="1" applyBorder="1" applyAlignment="1">
      <alignment horizontal="left" vertical="center" wrapText="1"/>
    </xf>
    <xf numFmtId="0" fontId="0" fillId="0" borderId="0" xfId="0" applyAlignment="1">
      <alignment wrapText="1"/>
    </xf>
    <xf numFmtId="0" fontId="46" fillId="15" borderId="154" xfId="0" applyFont="1" applyFill="1" applyBorder="1" applyAlignment="1">
      <alignment horizontal="left" vertical="center"/>
    </xf>
    <xf numFmtId="0" fontId="49" fillId="11" borderId="156" xfId="0" applyFont="1" applyFill="1" applyBorder="1" applyAlignment="1">
      <alignment horizontal="left" vertical="center" wrapText="1"/>
    </xf>
    <xf numFmtId="0" fontId="49" fillId="11" borderId="154" xfId="0" applyFont="1" applyFill="1" applyBorder="1" applyAlignment="1">
      <alignment horizontal="center" vertical="center" wrapText="1"/>
    </xf>
    <xf numFmtId="0" fontId="57" fillId="7" borderId="69" xfId="0" applyFont="1" applyFill="1" applyBorder="1" applyAlignment="1">
      <alignment horizontal="left"/>
    </xf>
    <xf numFmtId="0" fontId="49" fillId="8" borderId="121" xfId="0" applyFont="1" applyFill="1" applyBorder="1" applyAlignment="1">
      <alignment horizontal="left" vertical="center"/>
    </xf>
    <xf numFmtId="0" fontId="53" fillId="8" borderId="123" xfId="0" applyFont="1" applyFill="1" applyBorder="1" applyAlignment="1">
      <alignment horizontal="left"/>
    </xf>
    <xf numFmtId="0" fontId="49" fillId="21" borderId="93" xfId="0" applyFont="1" applyFill="1" applyBorder="1" applyAlignment="1">
      <alignment horizontal="left" vertical="center"/>
    </xf>
    <xf numFmtId="0" fontId="49" fillId="21" borderId="91" xfId="0" applyFont="1" applyFill="1" applyBorder="1" applyAlignment="1">
      <alignment horizontal="left" vertical="center"/>
    </xf>
    <xf numFmtId="0" fontId="53" fillId="21" borderId="91" xfId="0" applyFont="1" applyFill="1" applyBorder="1" applyAlignment="1">
      <alignment horizontal="left" vertical="center"/>
    </xf>
    <xf numFmtId="0" fontId="49" fillId="21" borderId="87" xfId="0" applyFont="1" applyFill="1" applyBorder="1" applyAlignment="1">
      <alignment horizontal="left" vertical="center"/>
    </xf>
    <xf numFmtId="0" fontId="49" fillId="11" borderId="99" xfId="0" applyFont="1" applyFill="1" applyBorder="1" applyAlignment="1">
      <alignment horizontal="left" vertical="center"/>
    </xf>
    <xf numFmtId="0" fontId="49" fillId="11" borderId="87" xfId="0" applyFont="1" applyFill="1" applyBorder="1" applyAlignment="1">
      <alignment horizontal="left" vertical="center"/>
    </xf>
    <xf numFmtId="0" fontId="49" fillId="11" borderId="121" xfId="0" applyFont="1" applyFill="1" applyBorder="1" applyAlignment="1">
      <alignment horizontal="left" vertical="center"/>
    </xf>
    <xf numFmtId="0" fontId="49" fillId="11" borderId="123" xfId="0" applyFont="1" applyFill="1" applyBorder="1" applyAlignment="1">
      <alignment horizontal="left" vertical="center"/>
    </xf>
    <xf numFmtId="0" fontId="56" fillId="7" borderId="66" xfId="0" applyFont="1" applyFill="1" applyBorder="1" applyAlignment="1">
      <alignment horizontal="left" vertical="center"/>
    </xf>
    <xf numFmtId="0" fontId="53" fillId="10" borderId="70" xfId="0" applyFont="1" applyFill="1" applyBorder="1" applyAlignment="1">
      <alignment horizontal="left"/>
    </xf>
    <xf numFmtId="0" fontId="53" fillId="10" borderId="87" xfId="0" applyFont="1" applyFill="1" applyBorder="1" applyAlignment="1">
      <alignment horizontal="left"/>
    </xf>
    <xf numFmtId="0" fontId="53" fillId="10" borderId="7" xfId="0" applyFont="1" applyFill="1" applyBorder="1" applyAlignment="1">
      <alignment horizontal="left"/>
    </xf>
    <xf numFmtId="0" fontId="53" fillId="10" borderId="7" xfId="0" applyFont="1" applyFill="1" applyBorder="1" applyAlignment="1">
      <alignment horizontal="left" vertical="center"/>
    </xf>
    <xf numFmtId="0" fontId="53" fillId="10" borderId="9" xfId="0" applyFont="1" applyFill="1" applyBorder="1" applyAlignment="1">
      <alignment horizontal="left"/>
    </xf>
    <xf numFmtId="0" fontId="53" fillId="20" borderId="70" xfId="0" applyFont="1" applyFill="1" applyBorder="1" applyAlignment="1">
      <alignment horizontal="left"/>
    </xf>
    <xf numFmtId="0" fontId="53" fillId="20" borderId="7" xfId="0" applyFont="1" applyFill="1" applyBorder="1" applyAlignment="1">
      <alignment horizontal="left"/>
    </xf>
    <xf numFmtId="0" fontId="53" fillId="20" borderId="7" xfId="0" applyFont="1" applyFill="1" applyBorder="1" applyAlignment="1">
      <alignment horizontal="left" vertical="center"/>
    </xf>
    <xf numFmtId="0" fontId="53" fillId="20" borderId="9" xfId="0" applyFont="1" applyFill="1" applyBorder="1" applyAlignment="1">
      <alignment horizontal="left"/>
    </xf>
    <xf numFmtId="0" fontId="49" fillId="12" borderId="59" xfId="0" applyFont="1" applyFill="1" applyBorder="1" applyAlignment="1">
      <alignment horizontal="left" vertical="center"/>
    </xf>
    <xf numFmtId="0" fontId="49" fillId="12" borderId="91" xfId="0" applyFont="1" applyFill="1" applyBorder="1" applyAlignment="1">
      <alignment horizontal="left" vertical="center"/>
    </xf>
    <xf numFmtId="0" fontId="49" fillId="12" borderId="9" xfId="0" applyFont="1" applyFill="1" applyBorder="1" applyAlignment="1">
      <alignment horizontal="left" vertical="center"/>
    </xf>
    <xf numFmtId="0" fontId="56" fillId="7" borderId="43" xfId="0" applyFont="1" applyFill="1" applyBorder="1" applyAlignment="1">
      <alignment horizontal="left" vertical="center"/>
    </xf>
    <xf numFmtId="0" fontId="53" fillId="18" borderId="37" xfId="0" applyFont="1" applyFill="1" applyBorder="1" applyAlignment="1">
      <alignment horizontal="left" vertical="center"/>
    </xf>
    <xf numFmtId="0" fontId="53" fillId="18" borderId="7" xfId="0" applyFont="1" applyFill="1" applyBorder="1" applyAlignment="1">
      <alignment horizontal="left" vertical="center"/>
    </xf>
    <xf numFmtId="0" fontId="49" fillId="18" borderId="9" xfId="0" applyFont="1" applyFill="1" applyBorder="1" applyAlignment="1">
      <alignment horizontal="left" vertical="center"/>
    </xf>
    <xf numFmtId="0" fontId="49" fillId="15" borderId="59" xfId="0" applyFont="1" applyFill="1" applyBorder="1" applyAlignment="1">
      <alignment horizontal="left" vertical="center"/>
    </xf>
    <xf numFmtId="0" fontId="49" fillId="15" borderId="7" xfId="0" applyFont="1" applyFill="1" applyBorder="1" applyAlignment="1">
      <alignment horizontal="left" vertical="center"/>
    </xf>
    <xf numFmtId="0" fontId="49" fillId="15" borderId="121" xfId="0" applyFont="1" applyFill="1" applyBorder="1" applyAlignment="1">
      <alignment horizontal="left" vertical="center"/>
    </xf>
    <xf numFmtId="0" fontId="53" fillId="15" borderId="91" xfId="0" applyFont="1" applyFill="1" applyBorder="1" applyAlignment="1">
      <alignment horizontal="left" vertical="center" wrapText="1"/>
    </xf>
    <xf numFmtId="0" fontId="53" fillId="15" borderId="121" xfId="0" applyFont="1" applyFill="1" applyBorder="1" applyAlignment="1">
      <alignment horizontal="left" vertical="center" wrapText="1"/>
    </xf>
    <xf numFmtId="0" fontId="53" fillId="15" borderId="9" xfId="0" applyFont="1" applyFill="1" applyBorder="1" applyAlignment="1">
      <alignment horizontal="left" vertical="center" wrapText="1"/>
    </xf>
    <xf numFmtId="0" fontId="53" fillId="9" borderId="37" xfId="0" applyFont="1" applyFill="1" applyBorder="1" applyAlignment="1">
      <alignment horizontal="left" vertical="center" wrapText="1"/>
    </xf>
    <xf numFmtId="0" fontId="53" fillId="9" borderId="7" xfId="0" applyFont="1" applyFill="1" applyBorder="1" applyAlignment="1">
      <alignment horizontal="left" vertical="center" wrapText="1"/>
    </xf>
    <xf numFmtId="0" fontId="51" fillId="8" borderId="59" xfId="0" applyFont="1" applyFill="1" applyBorder="1" applyAlignment="1">
      <alignment horizontal="left" vertical="center"/>
    </xf>
    <xf numFmtId="0" fontId="49" fillId="8" borderId="70" xfId="0" applyFont="1" applyFill="1" applyBorder="1" applyAlignment="1">
      <alignment horizontal="left" vertical="center"/>
    </xf>
    <xf numFmtId="0" fontId="49" fillId="10" borderId="87" xfId="0" applyFont="1" applyFill="1" applyBorder="1" applyAlignment="1">
      <alignment horizontal="left" vertical="center"/>
    </xf>
    <xf numFmtId="0" fontId="49" fillId="20" borderId="7" xfId="0" applyFont="1" applyFill="1" applyBorder="1" applyAlignment="1">
      <alignment horizontal="left" vertical="center" wrapText="1"/>
    </xf>
    <xf numFmtId="0" fontId="57" fillId="7" borderId="46" xfId="0" applyFont="1" applyFill="1" applyBorder="1" applyAlignment="1">
      <alignment horizontal="left" vertical="center"/>
    </xf>
    <xf numFmtId="0" fontId="49" fillId="24" borderId="91" xfId="0" applyFont="1" applyFill="1" applyBorder="1" applyAlignment="1">
      <alignment horizontal="left" vertical="center"/>
    </xf>
    <xf numFmtId="0" fontId="49" fillId="24" borderId="121" xfId="0" applyFont="1" applyFill="1" applyBorder="1" applyAlignment="1">
      <alignment horizontal="left" vertical="center"/>
    </xf>
    <xf numFmtId="0" fontId="49" fillId="9" borderId="91" xfId="0" applyFont="1" applyFill="1" applyBorder="1" applyAlignment="1">
      <alignment horizontal="left" vertical="center" wrapText="1"/>
    </xf>
    <xf numFmtId="0" fontId="49" fillId="24" borderId="91" xfId="0" applyFont="1" applyFill="1" applyBorder="1" applyAlignment="1">
      <alignment horizontal="left" vertical="center" wrapText="1"/>
    </xf>
    <xf numFmtId="0" fontId="57" fillId="7" borderId="56" xfId="0" applyFont="1" applyFill="1" applyBorder="1" applyAlignment="1">
      <alignment horizontal="left" vertical="center"/>
    </xf>
    <xf numFmtId="0" fontId="56" fillId="0" borderId="0" xfId="0" applyFont="1" applyAlignment="1">
      <alignment horizontal="left" vertical="center"/>
    </xf>
    <xf numFmtId="0" fontId="49" fillId="0" borderId="59" xfId="0" applyFont="1" applyBorder="1" applyAlignment="1">
      <alignment horizontal="left" vertical="center"/>
    </xf>
    <xf numFmtId="0" fontId="49" fillId="0" borderId="7" xfId="0" applyFont="1" applyBorder="1" applyAlignment="1">
      <alignment horizontal="left" vertical="center"/>
    </xf>
    <xf numFmtId="0" fontId="49" fillId="0" borderId="9" xfId="0" applyFont="1" applyBorder="1" applyAlignment="1">
      <alignment horizontal="left" vertical="center"/>
    </xf>
    <xf numFmtId="0" fontId="49" fillId="0" borderId="87" xfId="0" applyFont="1" applyBorder="1" applyAlignment="1">
      <alignment horizontal="left" vertical="center"/>
    </xf>
    <xf numFmtId="0" fontId="53" fillId="0" borderId="0" xfId="0" applyFont="1" applyAlignment="1">
      <alignment horizontal="left" vertical="center" wrapText="1"/>
    </xf>
    <xf numFmtId="0" fontId="49" fillId="0" borderId="83" xfId="0" applyFont="1" applyBorder="1" applyAlignment="1">
      <alignment horizontal="left" vertical="center"/>
    </xf>
    <xf numFmtId="0" fontId="49" fillId="0" borderId="84" xfId="0" applyFont="1" applyBorder="1" applyAlignment="1">
      <alignment horizontal="left" vertical="center" wrapText="1"/>
    </xf>
    <xf numFmtId="0" fontId="49" fillId="0" borderId="90" xfId="0" applyFont="1" applyBorder="1" applyAlignment="1">
      <alignment horizontal="left" vertical="center"/>
    </xf>
    <xf numFmtId="0" fontId="49" fillId="0" borderId="84" xfId="0" applyFont="1" applyBorder="1" applyAlignment="1">
      <alignment horizontal="left" vertical="center"/>
    </xf>
    <xf numFmtId="0" fontId="49" fillId="0" borderId="100" xfId="0" applyFont="1" applyBorder="1" applyAlignment="1">
      <alignment horizontal="left" vertical="center" wrapText="1"/>
    </xf>
    <xf numFmtId="0" fontId="49" fillId="0" borderId="132" xfId="0" applyFont="1" applyBorder="1" applyAlignment="1">
      <alignment horizontal="left" vertical="center" wrapText="1"/>
    </xf>
    <xf numFmtId="0" fontId="49" fillId="0" borderId="108" xfId="0" applyFont="1" applyBorder="1" applyAlignment="1">
      <alignment horizontal="left" vertical="center" wrapText="1"/>
    </xf>
    <xf numFmtId="0" fontId="29" fillId="0" borderId="0" xfId="0" applyFont="1" applyAlignment="1">
      <alignment horizontal="left" vertical="center"/>
    </xf>
    <xf numFmtId="0" fontId="29" fillId="0" borderId="0" xfId="0" applyFont="1" applyAlignment="1">
      <alignment horizontal="center" vertical="center" wrapText="1"/>
    </xf>
    <xf numFmtId="0" fontId="29" fillId="0" borderId="0" xfId="0" applyFont="1" applyAlignment="1">
      <alignment horizontal="left" vertical="center" wrapText="1"/>
    </xf>
    <xf numFmtId="0" fontId="48" fillId="0" borderId="0" xfId="0" applyFont="1"/>
    <xf numFmtId="0" fontId="55" fillId="0" borderId="0" xfId="0" applyFont="1"/>
    <xf numFmtId="0" fontId="46" fillId="0" borderId="0" xfId="0" applyFont="1" applyAlignment="1">
      <alignment horizontal="center"/>
    </xf>
    <xf numFmtId="0" fontId="49" fillId="0" borderId="93" xfId="0" applyFont="1" applyBorder="1" applyAlignment="1">
      <alignment horizontal="left" vertical="center"/>
    </xf>
    <xf numFmtId="0" fontId="49" fillId="0" borderId="91" xfId="0" applyFont="1" applyBorder="1" applyAlignment="1">
      <alignment horizontal="left" vertical="center"/>
    </xf>
    <xf numFmtId="0" fontId="46" fillId="0" borderId="91" xfId="0" applyFont="1" applyBorder="1" applyAlignment="1">
      <alignment horizontal="left" vertical="center"/>
    </xf>
    <xf numFmtId="0" fontId="49" fillId="0" borderId="109" xfId="0" applyFont="1" applyBorder="1" applyAlignment="1">
      <alignment horizontal="left" vertical="center"/>
    </xf>
    <xf numFmtId="0" fontId="46" fillId="0" borderId="121" xfId="0" applyFont="1" applyBorder="1" applyAlignment="1">
      <alignment horizontal="left" vertical="center"/>
    </xf>
    <xf numFmtId="0" fontId="46" fillId="0" borderId="7" xfId="0" applyFont="1" applyBorder="1" applyAlignment="1">
      <alignment horizontal="left" vertical="center"/>
    </xf>
    <xf numFmtId="0" fontId="49" fillId="0" borderId="121" xfId="0" quotePrefix="1" applyFont="1" applyBorder="1" applyAlignment="1">
      <alignment horizontal="left" vertical="center"/>
    </xf>
    <xf numFmtId="0" fontId="49" fillId="0" borderId="121" xfId="0" applyFont="1" applyBorder="1" applyAlignment="1">
      <alignment horizontal="left" vertical="center" wrapText="1"/>
    </xf>
    <xf numFmtId="0" fontId="49" fillId="0" borderId="94" xfId="0" applyFont="1" applyBorder="1" applyAlignment="1">
      <alignment horizontal="left" vertical="center"/>
    </xf>
    <xf numFmtId="0" fontId="46" fillId="0" borderId="83" xfId="0" applyFont="1" applyBorder="1" applyAlignment="1">
      <alignment horizontal="left" vertical="center"/>
    </xf>
    <xf numFmtId="0" fontId="49" fillId="0" borderId="145" xfId="0" applyFont="1" applyBorder="1" applyAlignment="1">
      <alignment horizontal="left" vertical="center"/>
    </xf>
    <xf numFmtId="0" fontId="49" fillId="0" borderId="133" xfId="0" applyFont="1" applyBorder="1" applyAlignment="1">
      <alignment horizontal="left" vertical="center"/>
    </xf>
    <xf numFmtId="0" fontId="46" fillId="0" borderId="145" xfId="0" applyFont="1" applyBorder="1" applyAlignment="1">
      <alignment horizontal="left" vertical="center"/>
    </xf>
    <xf numFmtId="0" fontId="46" fillId="0" borderId="120" xfId="0" applyFont="1" applyBorder="1" applyAlignment="1">
      <alignment horizontal="left" vertical="center"/>
    </xf>
    <xf numFmtId="0" fontId="46" fillId="0" borderId="6" xfId="0" applyFont="1" applyBorder="1" applyAlignment="1">
      <alignment horizontal="left" vertical="center"/>
    </xf>
    <xf numFmtId="0" fontId="49" fillId="0" borderId="94" xfId="0" applyFont="1" applyBorder="1" applyAlignment="1">
      <alignment horizontal="left" vertical="center" wrapText="1"/>
    </xf>
    <xf numFmtId="0" fontId="49" fillId="0" borderId="10" xfId="0" applyFont="1" applyBorder="1" applyAlignment="1">
      <alignment horizontal="left" vertical="center" wrapText="1"/>
    </xf>
    <xf numFmtId="0" fontId="49" fillId="0" borderId="128" xfId="0" quotePrefix="1" applyFont="1" applyBorder="1" applyAlignment="1">
      <alignment horizontal="left" vertical="center"/>
    </xf>
    <xf numFmtId="0" fontId="49" fillId="0" borderId="128" xfId="0" applyFont="1" applyBorder="1" applyAlignment="1">
      <alignment horizontal="left" vertical="center"/>
    </xf>
    <xf numFmtId="0" fontId="49" fillId="0" borderId="128" xfId="0" applyFont="1" applyBorder="1" applyAlignment="1">
      <alignment horizontal="left" vertical="center" wrapText="1"/>
    </xf>
    <xf numFmtId="0" fontId="49" fillId="0" borderId="120" xfId="0" applyFont="1" applyBorder="1" applyAlignment="1">
      <alignment horizontal="left" vertical="center" wrapText="1"/>
    </xf>
    <xf numFmtId="0" fontId="49" fillId="0" borderId="84" xfId="0" quotePrefix="1" applyFont="1" applyBorder="1" applyAlignment="1">
      <alignment horizontal="left" vertical="center"/>
    </xf>
    <xf numFmtId="0" fontId="49" fillId="0" borderId="132" xfId="0" quotePrefix="1" applyFont="1" applyBorder="1" applyAlignment="1">
      <alignment horizontal="left" vertical="center"/>
    </xf>
    <xf numFmtId="0" fontId="49" fillId="0" borderId="83" xfId="0" applyFont="1" applyBorder="1" applyAlignment="1">
      <alignment horizontal="left" vertical="center" wrapText="1"/>
    </xf>
    <xf numFmtId="0" fontId="49" fillId="0" borderId="145" xfId="0" applyFont="1" applyBorder="1" applyAlignment="1">
      <alignment horizontal="left" vertical="center" wrapText="1"/>
    </xf>
    <xf numFmtId="0" fontId="49" fillId="0" borderId="84" xfId="0" quotePrefix="1" applyFont="1" applyBorder="1" applyAlignment="1">
      <alignment horizontal="left" vertical="center" wrapText="1"/>
    </xf>
    <xf numFmtId="0" fontId="49" fillId="0" borderId="6" xfId="0" quotePrefix="1" applyFont="1" applyBorder="1" applyAlignment="1">
      <alignment horizontal="left" vertical="center" wrapText="1"/>
    </xf>
    <xf numFmtId="0" fontId="49" fillId="0" borderId="6" xfId="0" quotePrefix="1" applyFont="1" applyBorder="1" applyAlignment="1">
      <alignment horizontal="left" vertical="center"/>
    </xf>
    <xf numFmtId="164" fontId="49" fillId="0" borderId="94" xfId="0" applyNumberFormat="1" applyFont="1" applyBorder="1" applyAlignment="1">
      <alignment horizontal="left" vertical="center"/>
    </xf>
    <xf numFmtId="164" fontId="49" fillId="0" borderId="83" xfId="0" applyNumberFormat="1" applyFont="1" applyBorder="1" applyAlignment="1">
      <alignment horizontal="left" vertical="center"/>
    </xf>
    <xf numFmtId="164" fontId="46" fillId="0" borderId="83" xfId="0" applyNumberFormat="1" applyFont="1" applyBorder="1" applyAlignment="1">
      <alignment horizontal="left" vertical="center"/>
    </xf>
    <xf numFmtId="164" fontId="49" fillId="0" borderId="145" xfId="0" applyNumberFormat="1" applyFont="1" applyBorder="1" applyAlignment="1">
      <alignment horizontal="left" vertical="center"/>
    </xf>
    <xf numFmtId="164" fontId="49" fillId="0" borderId="90" xfId="0" applyNumberFormat="1" applyFont="1" applyBorder="1" applyAlignment="1">
      <alignment horizontal="left" vertical="center"/>
    </xf>
    <xf numFmtId="164" fontId="49" fillId="0" borderId="132" xfId="0" applyNumberFormat="1" applyFont="1" applyBorder="1" applyAlignment="1">
      <alignment horizontal="left" vertical="center"/>
    </xf>
    <xf numFmtId="164" fontId="49" fillId="0" borderId="133" xfId="0" applyNumberFormat="1" applyFont="1" applyBorder="1" applyAlignment="1">
      <alignment horizontal="left" vertical="center"/>
    </xf>
    <xf numFmtId="164" fontId="46" fillId="0" borderId="145" xfId="0" applyNumberFormat="1" applyFont="1" applyBorder="1" applyAlignment="1">
      <alignment horizontal="left" vertical="center"/>
    </xf>
    <xf numFmtId="164" fontId="49" fillId="0" borderId="15" xfId="0" quotePrefix="1" applyNumberFormat="1" applyFont="1" applyBorder="1" applyAlignment="1">
      <alignment horizontal="left" vertical="center"/>
    </xf>
    <xf numFmtId="164" fontId="46" fillId="0" borderId="6" xfId="0" applyNumberFormat="1" applyFont="1" applyBorder="1" applyAlignment="1">
      <alignment horizontal="left" vertical="center"/>
    </xf>
    <xf numFmtId="164" fontId="49" fillId="0" borderId="60" xfId="0" quotePrefix="1" applyNumberFormat="1" applyFont="1" applyBorder="1" applyAlignment="1">
      <alignment horizontal="left" vertical="center"/>
    </xf>
    <xf numFmtId="164" fontId="49" fillId="0" borderId="84" xfId="0" quotePrefix="1" applyNumberFormat="1" applyFont="1" applyBorder="1" applyAlignment="1">
      <alignment horizontal="left" vertical="center"/>
    </xf>
    <xf numFmtId="164" fontId="49" fillId="0" borderId="6" xfId="0" applyNumberFormat="1" applyFont="1" applyBorder="1" applyAlignment="1">
      <alignment horizontal="left" vertical="center"/>
    </xf>
    <xf numFmtId="164" fontId="49" fillId="0" borderId="13" xfId="0" applyNumberFormat="1" applyFont="1" applyBorder="1" applyAlignment="1">
      <alignment horizontal="left" vertical="center"/>
    </xf>
    <xf numFmtId="0" fontId="49" fillId="0" borderId="71" xfId="0" applyFont="1" applyBorder="1" applyAlignment="1">
      <alignment horizontal="left" vertical="center" wrapText="1"/>
    </xf>
    <xf numFmtId="2" fontId="49" fillId="0" borderId="83" xfId="0" applyNumberFormat="1" applyFont="1" applyBorder="1" applyAlignment="1">
      <alignment horizontal="left" vertical="center"/>
    </xf>
    <xf numFmtId="0" fontId="49" fillId="0" borderId="64" xfId="0" applyFont="1" applyBorder="1" applyAlignment="1">
      <alignment horizontal="left" vertical="center"/>
    </xf>
    <xf numFmtId="0" fontId="49" fillId="0" borderId="71" xfId="0" quotePrefix="1" applyFont="1" applyBorder="1" applyAlignment="1">
      <alignment horizontal="left" vertical="center" wrapText="1"/>
    </xf>
    <xf numFmtId="0" fontId="49" fillId="0" borderId="10" xfId="0" quotePrefix="1" applyFont="1" applyBorder="1" applyAlignment="1">
      <alignment horizontal="left" vertical="center" wrapText="1"/>
    </xf>
    <xf numFmtId="0" fontId="49" fillId="0" borderId="100" xfId="0" quotePrefix="1" applyFont="1" applyBorder="1" applyAlignment="1">
      <alignment horizontal="left" vertical="center"/>
    </xf>
    <xf numFmtId="0" fontId="49" fillId="0" borderId="120" xfId="0" quotePrefix="1" applyFont="1" applyBorder="1" applyAlignment="1">
      <alignment horizontal="left" vertical="center"/>
    </xf>
    <xf numFmtId="0" fontId="49" fillId="0" borderId="100" xfId="0" applyFont="1" applyBorder="1" applyAlignment="1">
      <alignment horizontal="left" vertical="center"/>
    </xf>
    <xf numFmtId="0" fontId="49" fillId="0" borderId="95" xfId="0" applyFont="1" applyBorder="1" applyAlignment="1">
      <alignment horizontal="left" vertical="center"/>
    </xf>
    <xf numFmtId="0" fontId="49" fillId="0" borderId="92" xfId="0" applyFont="1" applyBorder="1" applyAlignment="1">
      <alignment horizontal="left" vertical="center"/>
    </xf>
    <xf numFmtId="0" fontId="49" fillId="0" borderId="122" xfId="0" applyFont="1" applyBorder="1" applyAlignment="1">
      <alignment horizontal="left" vertical="center"/>
    </xf>
    <xf numFmtId="0" fontId="49" fillId="0" borderId="111" xfId="0" applyFont="1" applyBorder="1" applyAlignment="1">
      <alignment horizontal="left" vertical="center"/>
    </xf>
    <xf numFmtId="0" fontId="49" fillId="0" borderId="61" xfId="0" quotePrefix="1" applyFont="1" applyBorder="1" applyAlignment="1">
      <alignment horizontal="left" vertical="center"/>
    </xf>
    <xf numFmtId="0" fontId="49" fillId="0" borderId="88" xfId="0" applyFont="1" applyBorder="1" applyAlignment="1">
      <alignment horizontal="left" vertical="center"/>
    </xf>
    <xf numFmtId="0" fontId="49" fillId="0" borderId="8" xfId="0" applyFont="1" applyBorder="1" applyAlignment="1">
      <alignment horizontal="left" vertical="center"/>
    </xf>
    <xf numFmtId="0" fontId="57" fillId="7" borderId="68" xfId="0" applyFont="1" applyFill="1" applyBorder="1" applyAlignment="1">
      <alignment horizontal="left" vertical="center"/>
    </xf>
    <xf numFmtId="0" fontId="49" fillId="11" borderId="156" xfId="0" applyFont="1" applyFill="1" applyBorder="1" applyAlignment="1">
      <alignment horizontal="left" vertical="center"/>
    </xf>
    <xf numFmtId="0" fontId="49" fillId="11" borderId="145" xfId="0" quotePrefix="1" applyFont="1" applyFill="1" applyBorder="1" applyAlignment="1">
      <alignment horizontal="left" vertical="center"/>
    </xf>
    <xf numFmtId="0" fontId="49" fillId="11" borderId="122" xfId="0" applyFont="1" applyFill="1" applyBorder="1" applyAlignment="1">
      <alignment horizontal="left" vertical="center"/>
    </xf>
    <xf numFmtId="2" fontId="49" fillId="11" borderId="145" xfId="0" applyNumberFormat="1" applyFont="1" applyFill="1" applyBorder="1" applyAlignment="1">
      <alignment horizontal="center" vertical="center" wrapText="1"/>
    </xf>
    <xf numFmtId="0" fontId="49" fillId="11" borderId="145" xfId="0" applyFont="1" applyFill="1" applyBorder="1" applyAlignment="1">
      <alignment horizontal="left" vertical="center" wrapText="1"/>
    </xf>
    <xf numFmtId="0" fontId="29" fillId="7" borderId="164" xfId="0" applyFont="1" applyFill="1" applyBorder="1" applyAlignment="1">
      <alignment horizontal="left" vertical="center" wrapText="1"/>
    </xf>
    <xf numFmtId="0" fontId="49" fillId="27" borderId="87" xfId="2" applyFont="1" applyFill="1" applyBorder="1" applyAlignment="1">
      <alignment horizontal="left" vertical="center" wrapText="1"/>
    </xf>
    <xf numFmtId="0" fontId="46" fillId="8" borderId="154" xfId="0" quotePrefix="1" applyFont="1" applyFill="1" applyBorder="1" applyAlignment="1">
      <alignment horizontal="center" vertical="center"/>
    </xf>
    <xf numFmtId="0" fontId="46" fillId="21" borderId="154" xfId="0" quotePrefix="1" applyFont="1" applyFill="1" applyBorder="1" applyAlignment="1">
      <alignment horizontal="center" vertical="center"/>
    </xf>
    <xf numFmtId="0" fontId="46" fillId="11" borderId="154" xfId="0" quotePrefix="1" applyFont="1" applyFill="1" applyBorder="1" applyAlignment="1">
      <alignment horizontal="center" vertical="center"/>
    </xf>
    <xf numFmtId="0" fontId="46" fillId="11" borderId="154" xfId="0" applyFont="1" applyFill="1" applyBorder="1" applyAlignment="1">
      <alignment horizontal="center" vertical="center"/>
    </xf>
    <xf numFmtId="0" fontId="46" fillId="10" borderId="154" xfId="0" applyFont="1" applyFill="1" applyBorder="1" applyAlignment="1">
      <alignment horizontal="center" vertical="center"/>
    </xf>
    <xf numFmtId="0" fontId="46" fillId="22" borderId="154" xfId="0" applyFont="1" applyFill="1" applyBorder="1" applyAlignment="1">
      <alignment horizontal="center" vertical="center"/>
    </xf>
    <xf numFmtId="0" fontId="46" fillId="20" borderId="154" xfId="0" quotePrefix="1" applyFont="1" applyFill="1" applyBorder="1" applyAlignment="1">
      <alignment horizontal="center" vertical="center"/>
    </xf>
    <xf numFmtId="0" fontId="46" fillId="20" borderId="154" xfId="0" applyFont="1" applyFill="1" applyBorder="1" applyAlignment="1">
      <alignment horizontal="center" vertical="center"/>
    </xf>
    <xf numFmtId="0" fontId="46" fillId="12" borderId="154" xfId="0" quotePrefix="1" applyFont="1" applyFill="1" applyBorder="1" applyAlignment="1">
      <alignment horizontal="center" vertical="center"/>
    </xf>
    <xf numFmtId="0" fontId="46" fillId="12" borderId="154" xfId="0" applyFont="1" applyFill="1" applyBorder="1" applyAlignment="1">
      <alignment horizontal="center" vertical="center"/>
    </xf>
    <xf numFmtId="0" fontId="46" fillId="18" borderId="154" xfId="0" quotePrefix="1" applyFont="1" applyFill="1" applyBorder="1" applyAlignment="1">
      <alignment horizontal="center" vertical="center"/>
    </xf>
    <xf numFmtId="0" fontId="46" fillId="18" borderId="154" xfId="0" applyFont="1" applyFill="1" applyBorder="1" applyAlignment="1">
      <alignment horizontal="center" vertical="center"/>
    </xf>
    <xf numFmtId="0" fontId="46" fillId="9" borderId="154" xfId="0" applyFont="1" applyFill="1" applyBorder="1" applyAlignment="1">
      <alignment horizontal="center" vertical="center"/>
    </xf>
    <xf numFmtId="0" fontId="46" fillId="7" borderId="154" xfId="0" applyFont="1" applyFill="1" applyBorder="1" applyAlignment="1">
      <alignment horizontal="center" vertical="center"/>
    </xf>
    <xf numFmtId="0" fontId="46" fillId="7" borderId="154" xfId="0" quotePrefix="1" applyFont="1" applyFill="1" applyBorder="1" applyAlignment="1">
      <alignment horizontal="center" vertical="center"/>
    </xf>
    <xf numFmtId="0" fontId="46" fillId="16" borderId="154" xfId="0" quotePrefix="1" applyFont="1" applyFill="1" applyBorder="1" applyAlignment="1">
      <alignment horizontal="center" vertical="center"/>
    </xf>
    <xf numFmtId="0" fontId="46" fillId="15" borderId="154" xfId="0" quotePrefix="1" applyFont="1" applyFill="1" applyBorder="1" applyAlignment="1">
      <alignment horizontal="center" vertical="center"/>
    </xf>
    <xf numFmtId="0" fontId="46" fillId="4" borderId="154" xfId="0" quotePrefix="1" applyFont="1" applyFill="1" applyBorder="1" applyAlignment="1">
      <alignment horizontal="center" vertical="center"/>
    </xf>
    <xf numFmtId="0" fontId="46" fillId="5" borderId="168" xfId="0" applyFont="1" applyFill="1" applyBorder="1" applyAlignment="1">
      <alignment horizontal="center" vertical="center"/>
    </xf>
    <xf numFmtId="0" fontId="46" fillId="5" borderId="154" xfId="0" applyFont="1" applyFill="1" applyBorder="1" applyAlignment="1">
      <alignment horizontal="center" vertical="center"/>
    </xf>
    <xf numFmtId="0" fontId="49" fillId="5" borderId="154" xfId="0" applyFont="1" applyFill="1" applyBorder="1" applyAlignment="1">
      <alignment horizontal="center" vertical="center"/>
    </xf>
    <xf numFmtId="0" fontId="46" fillId="5" borderId="159" xfId="0" applyFont="1" applyFill="1" applyBorder="1" applyAlignment="1">
      <alignment horizontal="center" vertical="center"/>
    </xf>
    <xf numFmtId="0" fontId="0" fillId="28" borderId="154" xfId="0" applyFill="1" applyBorder="1" applyAlignment="1">
      <alignment horizontal="left" vertical="center"/>
    </xf>
    <xf numFmtId="0" fontId="46" fillId="28" borderId="154" xfId="0" applyFont="1" applyFill="1" applyBorder="1" applyAlignment="1">
      <alignment horizontal="left" vertical="center"/>
    </xf>
    <xf numFmtId="0" fontId="61" fillId="7" borderId="166" xfId="3" applyFont="1" applyFill="1" applyBorder="1" applyAlignment="1">
      <alignment horizontal="center" vertical="center" wrapText="1"/>
    </xf>
    <xf numFmtId="0" fontId="49" fillId="11" borderId="15" xfId="0" applyFont="1" applyFill="1" applyBorder="1" applyAlignment="1">
      <alignment horizontal="left" vertical="center" wrapText="1"/>
    </xf>
    <xf numFmtId="2" fontId="49" fillId="11" borderId="145" xfId="0" applyNumberFormat="1" applyFont="1" applyFill="1" applyBorder="1" applyAlignment="1">
      <alignment horizontal="left" vertical="center" wrapText="1"/>
    </xf>
    <xf numFmtId="164" fontId="49" fillId="11" borderId="145" xfId="0" applyNumberFormat="1" applyFont="1" applyFill="1" applyBorder="1" applyAlignment="1">
      <alignment horizontal="left" vertical="center"/>
    </xf>
    <xf numFmtId="164" fontId="49" fillId="11" borderId="145" xfId="0" applyNumberFormat="1" applyFont="1" applyFill="1" applyBorder="1" applyAlignment="1">
      <alignment horizontal="center" vertical="center"/>
    </xf>
    <xf numFmtId="0" fontId="49" fillId="11" borderId="145" xfId="0" applyFont="1" applyFill="1" applyBorder="1" applyAlignment="1">
      <alignment horizontal="center" vertical="center"/>
    </xf>
    <xf numFmtId="0" fontId="49" fillId="11" borderId="15" xfId="0" applyFont="1" applyFill="1" applyBorder="1" applyAlignment="1">
      <alignment horizontal="center" vertical="center"/>
    </xf>
    <xf numFmtId="0" fontId="49" fillId="11" borderId="145" xfId="0" quotePrefix="1" applyFont="1" applyFill="1" applyBorder="1" applyAlignment="1">
      <alignment horizontal="center" vertical="center" wrapText="1"/>
    </xf>
    <xf numFmtId="0" fontId="49" fillId="19" borderId="145" xfId="0" applyFont="1" applyFill="1" applyBorder="1" applyAlignment="1">
      <alignment horizontal="center" vertical="center"/>
    </xf>
    <xf numFmtId="1" fontId="49" fillId="19" borderId="133" xfId="0" applyNumberFormat="1" applyFont="1" applyFill="1" applyBorder="1" applyAlignment="1">
      <alignment horizontal="center" vertical="center"/>
    </xf>
    <xf numFmtId="0" fontId="49" fillId="19" borderId="145" xfId="0" quotePrefix="1" applyFont="1" applyFill="1" applyBorder="1" applyAlignment="1">
      <alignment horizontal="center" vertical="center" wrapText="1"/>
    </xf>
    <xf numFmtId="0" fontId="49" fillId="19" borderId="145" xfId="0" applyFont="1" applyFill="1" applyBorder="1" applyAlignment="1">
      <alignment horizontal="center" vertical="center" wrapText="1"/>
    </xf>
    <xf numFmtId="0" fontId="91" fillId="19" borderId="121" xfId="0" applyFont="1" applyFill="1" applyBorder="1" applyAlignment="1">
      <alignment horizontal="left" vertical="center"/>
    </xf>
    <xf numFmtId="0" fontId="49" fillId="19" borderId="158" xfId="0" applyFont="1" applyFill="1" applyBorder="1" applyAlignment="1">
      <alignment horizontal="left" vertical="center"/>
    </xf>
    <xf numFmtId="166" fontId="49" fillId="19" borderId="120" xfId="0" applyNumberFormat="1" applyFont="1" applyFill="1" applyBorder="1" applyAlignment="1">
      <alignment horizontal="center" vertical="center"/>
    </xf>
    <xf numFmtId="0" fontId="56" fillId="7" borderId="169" xfId="0" applyFont="1" applyFill="1" applyBorder="1" applyAlignment="1">
      <alignment horizontal="left" vertical="center" wrapText="1"/>
    </xf>
    <xf numFmtId="0" fontId="57" fillId="7" borderId="170" xfId="0" applyFont="1" applyFill="1" applyBorder="1" applyAlignment="1">
      <alignment horizontal="left" vertical="center"/>
    </xf>
    <xf numFmtId="0" fontId="49" fillId="0" borderId="156" xfId="0" applyFont="1" applyBorder="1" applyAlignment="1">
      <alignment horizontal="left" vertical="center"/>
    </xf>
    <xf numFmtId="0" fontId="49" fillId="0" borderId="154" xfId="0" applyFont="1" applyBorder="1" applyAlignment="1">
      <alignment horizontal="left" vertical="center"/>
    </xf>
    <xf numFmtId="0" fontId="49" fillId="0" borderId="154" xfId="0" applyFont="1" applyBorder="1" applyAlignment="1">
      <alignment horizontal="left" vertical="center" wrapText="1"/>
    </xf>
    <xf numFmtId="164" fontId="49" fillId="0" borderId="154" xfId="0" applyNumberFormat="1" applyFont="1" applyBorder="1" applyAlignment="1">
      <alignment horizontal="left" vertical="center"/>
    </xf>
    <xf numFmtId="0" fontId="49" fillId="0" borderId="157" xfId="0" applyFont="1" applyBorder="1" applyAlignment="1">
      <alignment horizontal="left" vertical="center"/>
    </xf>
    <xf numFmtId="0" fontId="46" fillId="0" borderId="156" xfId="0" applyFont="1" applyBorder="1" applyAlignment="1">
      <alignment horizontal="left" vertical="center"/>
    </xf>
    <xf numFmtId="0" fontId="46" fillId="0" borderId="154" xfId="0" applyFont="1" applyBorder="1" applyAlignment="1">
      <alignment horizontal="left" vertical="center"/>
    </xf>
    <xf numFmtId="164" fontId="46" fillId="0" borderId="154" xfId="0" applyNumberFormat="1" applyFont="1" applyBorder="1" applyAlignment="1">
      <alignment horizontal="left" vertical="center"/>
    </xf>
    <xf numFmtId="0" fontId="11" fillId="0" borderId="15" xfId="0" applyFont="1" applyBorder="1" applyAlignment="1">
      <alignment horizontal="left" vertical="center" wrapText="1"/>
    </xf>
    <xf numFmtId="0" fontId="49" fillId="0" borderId="156" xfId="0" applyFont="1" applyBorder="1" applyAlignment="1">
      <alignment horizontal="left" vertical="center" wrapText="1"/>
    </xf>
    <xf numFmtId="0" fontId="49" fillId="0" borderId="158" xfId="0" applyFont="1" applyBorder="1" applyAlignment="1">
      <alignment horizontal="left" vertical="center" wrapText="1"/>
    </xf>
    <xf numFmtId="0" fontId="49" fillId="0" borderId="159" xfId="0" applyFont="1" applyBorder="1" applyAlignment="1">
      <alignment horizontal="left" vertical="center" wrapText="1"/>
    </xf>
    <xf numFmtId="0" fontId="49" fillId="0" borderId="159" xfId="0" applyFont="1" applyBorder="1" applyAlignment="1">
      <alignment horizontal="left" vertical="center"/>
    </xf>
    <xf numFmtId="0" fontId="46" fillId="0" borderId="158" xfId="0" applyFont="1" applyBorder="1" applyAlignment="1">
      <alignment horizontal="left" vertical="center"/>
    </xf>
    <xf numFmtId="0" fontId="46" fillId="0" borderId="159" xfId="0" applyFont="1" applyBorder="1" applyAlignment="1">
      <alignment horizontal="left" vertical="center"/>
    </xf>
    <xf numFmtId="0" fontId="46" fillId="0" borderId="154" xfId="0" quotePrefix="1" applyFont="1" applyBorder="1" applyAlignment="1">
      <alignment horizontal="left" vertical="center"/>
    </xf>
    <xf numFmtId="2" fontId="46" fillId="0" borderId="154" xfId="0" applyNumberFormat="1" applyFont="1" applyBorder="1" applyAlignment="1">
      <alignment horizontal="left" vertical="center"/>
    </xf>
    <xf numFmtId="0" fontId="46" fillId="0" borderId="159" xfId="0" quotePrefix="1" applyFont="1" applyBorder="1" applyAlignment="1">
      <alignment horizontal="left" vertical="center"/>
    </xf>
    <xf numFmtId="2" fontId="46" fillId="0" borderId="159" xfId="0" applyNumberFormat="1" applyFont="1" applyBorder="1" applyAlignment="1">
      <alignment horizontal="left" vertical="center"/>
    </xf>
    <xf numFmtId="0" fontId="49" fillId="20" borderId="154" xfId="0" applyFont="1" applyFill="1" applyBorder="1" applyAlignment="1">
      <alignment horizontal="left" vertical="center"/>
    </xf>
    <xf numFmtId="0" fontId="49" fillId="11" borderId="154" xfId="0" quotePrefix="1" applyFont="1" applyFill="1" applyBorder="1" applyAlignment="1">
      <alignment horizontal="left" vertical="center"/>
    </xf>
    <xf numFmtId="0" fontId="49" fillId="11" borderId="154" xfId="0" applyFont="1" applyFill="1" applyBorder="1" applyAlignment="1">
      <alignment horizontal="left" vertical="center"/>
    </xf>
    <xf numFmtId="0" fontId="49" fillId="11" borderId="157" xfId="0" applyFont="1" applyFill="1" applyBorder="1" applyAlignment="1">
      <alignment horizontal="left" vertical="center"/>
    </xf>
    <xf numFmtId="0" fontId="46" fillId="11" borderId="145" xfId="0" applyFont="1" applyFill="1" applyBorder="1" applyAlignment="1">
      <alignment horizontal="center" vertical="center"/>
    </xf>
    <xf numFmtId="2" fontId="49" fillId="9" borderId="145" xfId="0" applyNumberFormat="1" applyFont="1" applyFill="1" applyBorder="1" applyAlignment="1">
      <alignment horizontal="left" vertical="center"/>
    </xf>
    <xf numFmtId="0" fontId="46" fillId="0" borderId="90" xfId="0" applyFont="1" applyBorder="1" applyAlignment="1">
      <alignment horizontal="left" vertical="center" wrapText="1"/>
    </xf>
    <xf numFmtId="0" fontId="46" fillId="0" borderId="83" xfId="0" applyFont="1" applyBorder="1" applyAlignment="1">
      <alignment horizontal="left" vertical="center" wrapText="1"/>
    </xf>
    <xf numFmtId="0" fontId="49" fillId="0" borderId="90" xfId="0" applyFont="1" applyBorder="1" applyAlignment="1">
      <alignment horizontal="left" vertical="center" wrapText="1"/>
    </xf>
    <xf numFmtId="0" fontId="49" fillId="0" borderId="133" xfId="0" applyFont="1" applyBorder="1" applyAlignment="1">
      <alignment horizontal="left" vertical="center" wrapText="1"/>
    </xf>
    <xf numFmtId="8" fontId="49" fillId="0" borderId="145" xfId="0" applyNumberFormat="1" applyFont="1" applyBorder="1" applyAlignment="1">
      <alignment horizontal="left" vertical="center" wrapText="1"/>
    </xf>
    <xf numFmtId="0" fontId="49" fillId="0" borderId="70" xfId="0" applyFont="1" applyBorder="1" applyAlignment="1">
      <alignment horizontal="left" vertical="center"/>
    </xf>
    <xf numFmtId="0" fontId="49" fillId="10" borderId="84" xfId="0" applyFont="1" applyFill="1" applyBorder="1" applyAlignment="1">
      <alignment horizontal="left" vertical="center"/>
    </xf>
    <xf numFmtId="0" fontId="49" fillId="10" borderId="91" xfId="0" applyFont="1" applyFill="1" applyBorder="1" applyAlignment="1">
      <alignment horizontal="left" vertical="center"/>
    </xf>
    <xf numFmtId="0" fontId="49" fillId="10" borderId="9" xfId="0" applyFont="1" applyFill="1" applyBorder="1" applyAlignment="1">
      <alignment horizontal="left" vertical="center"/>
    </xf>
    <xf numFmtId="0" fontId="49" fillId="7" borderId="87" xfId="0" applyFont="1" applyFill="1" applyBorder="1" applyAlignment="1">
      <alignment horizontal="left" vertical="center"/>
    </xf>
    <xf numFmtId="0" fontId="49" fillId="7" borderId="84" xfId="0" applyFont="1" applyFill="1" applyBorder="1" applyAlignment="1">
      <alignment horizontal="left" vertical="center"/>
    </xf>
    <xf numFmtId="0" fontId="49" fillId="7" borderId="9" xfId="0" applyFont="1" applyFill="1" applyBorder="1" applyAlignment="1">
      <alignment horizontal="left" vertical="center"/>
    </xf>
    <xf numFmtId="164" fontId="49" fillId="11" borderId="6" xfId="0" applyNumberFormat="1" applyFont="1" applyFill="1" applyBorder="1" applyAlignment="1">
      <alignment horizontal="left" vertical="center"/>
    </xf>
    <xf numFmtId="166" fontId="49" fillId="11" borderId="6" xfId="0" applyNumberFormat="1" applyFont="1" applyFill="1" applyBorder="1" applyAlignment="1">
      <alignment horizontal="left" vertical="center"/>
    </xf>
    <xf numFmtId="0" fontId="49" fillId="0" borderId="99" xfId="0" applyFont="1" applyBorder="1" applyAlignment="1">
      <alignment horizontal="left" vertical="center"/>
    </xf>
    <xf numFmtId="0" fontId="46" fillId="9" borderId="7" xfId="0" applyFont="1" applyFill="1" applyBorder="1" applyAlignment="1">
      <alignment horizontal="left" vertical="center"/>
    </xf>
    <xf numFmtId="0" fontId="46" fillId="8" borderId="7" xfId="0" applyFont="1" applyFill="1" applyBorder="1" applyAlignment="1">
      <alignment horizontal="left" vertical="center"/>
    </xf>
    <xf numFmtId="0" fontId="46" fillId="21" borderId="7" xfId="0" applyFont="1" applyFill="1" applyBorder="1" applyAlignment="1">
      <alignment horizontal="left" vertical="center"/>
    </xf>
    <xf numFmtId="0" fontId="46" fillId="10" borderId="7" xfId="0" applyFont="1" applyFill="1" applyBorder="1" applyAlignment="1">
      <alignment horizontal="left" vertical="center"/>
    </xf>
    <xf numFmtId="0" fontId="46" fillId="22" borderId="7" xfId="0" applyFont="1" applyFill="1" applyBorder="1" applyAlignment="1">
      <alignment horizontal="left" vertical="center"/>
    </xf>
    <xf numFmtId="0" fontId="46" fillId="20" borderId="7" xfId="0" applyFont="1" applyFill="1" applyBorder="1" applyAlignment="1">
      <alignment horizontal="left" vertical="center"/>
    </xf>
    <xf numFmtId="0" fontId="46" fillId="11" borderId="7" xfId="0" applyFont="1" applyFill="1" applyBorder="1" applyAlignment="1">
      <alignment horizontal="left" vertical="center"/>
    </xf>
    <xf numFmtId="0" fontId="0" fillId="10" borderId="6" xfId="0" applyFill="1" applyBorder="1" applyAlignment="1">
      <alignment horizontal="left" vertical="center"/>
    </xf>
    <xf numFmtId="0" fontId="0" fillId="20" borderId="6" xfId="0" applyFill="1" applyBorder="1" applyAlignment="1">
      <alignment horizontal="left" vertical="center"/>
    </xf>
    <xf numFmtId="0" fontId="0" fillId="10" borderId="89" xfId="0" applyFill="1" applyBorder="1" applyAlignment="1">
      <alignment horizontal="left" vertical="center"/>
    </xf>
    <xf numFmtId="0" fontId="0" fillId="20" borderId="89" xfId="0" applyFill="1" applyBorder="1" applyAlignment="1">
      <alignment horizontal="left" vertical="center"/>
    </xf>
    <xf numFmtId="0" fontId="49" fillId="20" borderId="156" xfId="0" applyFont="1" applyFill="1" applyBorder="1" applyAlignment="1">
      <alignment horizontal="left" vertical="center" wrapText="1"/>
    </xf>
    <xf numFmtId="166" fontId="49" fillId="20" borderId="154" xfId="0" applyNumberFormat="1" applyFont="1" applyFill="1" applyBorder="1" applyAlignment="1">
      <alignment horizontal="left" vertical="center"/>
    </xf>
    <xf numFmtId="0" fontId="49" fillId="20" borderId="154" xfId="0" quotePrefix="1" applyFont="1" applyFill="1" applyBorder="1" applyAlignment="1">
      <alignment horizontal="left" vertical="center"/>
    </xf>
    <xf numFmtId="0" fontId="49" fillId="20" borderId="157" xfId="0" applyFont="1" applyFill="1" applyBorder="1" applyAlignment="1">
      <alignment horizontal="left" vertical="center"/>
    </xf>
    <xf numFmtId="0" fontId="46" fillId="11" borderId="154" xfId="0" applyFont="1" applyFill="1" applyBorder="1" applyAlignment="1">
      <alignment horizontal="left" vertical="center"/>
    </xf>
    <xf numFmtId="0" fontId="49" fillId="7" borderId="108" xfId="3" quotePrefix="1" applyFont="1" applyFill="1" applyBorder="1" applyAlignment="1">
      <alignment horizontal="center" vertical="center"/>
    </xf>
    <xf numFmtId="0" fontId="49" fillId="16" borderId="108" xfId="3" quotePrefix="1" applyFont="1" applyFill="1" applyBorder="1" applyAlignment="1">
      <alignment horizontal="center" vertical="center"/>
    </xf>
    <xf numFmtId="0" fontId="48" fillId="8" borderId="84" xfId="0" applyFont="1" applyFill="1" applyBorder="1" applyAlignment="1">
      <alignment horizontal="center" vertical="center"/>
    </xf>
    <xf numFmtId="0" fontId="48" fillId="8" borderId="108" xfId="0" applyFont="1" applyFill="1" applyBorder="1" applyAlignment="1">
      <alignment horizontal="center" vertical="center"/>
    </xf>
    <xf numFmtId="0" fontId="48" fillId="21" borderId="108" xfId="0" applyFont="1" applyFill="1" applyBorder="1" applyAlignment="1">
      <alignment horizontal="center" vertical="center"/>
    </xf>
    <xf numFmtId="0" fontId="48" fillId="10" borderId="108" xfId="0" applyFont="1" applyFill="1" applyBorder="1" applyAlignment="1">
      <alignment horizontal="center" vertical="center"/>
    </xf>
    <xf numFmtId="0" fontId="48" fillId="22" borderId="108" xfId="0" applyFont="1" applyFill="1" applyBorder="1" applyAlignment="1">
      <alignment horizontal="center" vertical="center"/>
    </xf>
    <xf numFmtId="0" fontId="48" fillId="20" borderId="108" xfId="0" applyFont="1" applyFill="1" applyBorder="1" applyAlignment="1">
      <alignment horizontal="center" vertical="center"/>
    </xf>
    <xf numFmtId="0" fontId="48" fillId="12" borderId="108" xfId="0" applyFont="1" applyFill="1" applyBorder="1" applyAlignment="1">
      <alignment horizontal="center" vertical="center"/>
    </xf>
    <xf numFmtId="0" fontId="48" fillId="18" borderId="108" xfId="0" applyFont="1" applyFill="1" applyBorder="1" applyAlignment="1">
      <alignment horizontal="center" vertical="center"/>
    </xf>
    <xf numFmtId="0" fontId="48" fillId="9" borderId="108" xfId="0" applyFont="1" applyFill="1" applyBorder="1" applyAlignment="1">
      <alignment horizontal="center" vertical="center"/>
    </xf>
    <xf numFmtId="0" fontId="48" fillId="9" borderId="119" xfId="0" applyFont="1" applyFill="1" applyBorder="1" applyAlignment="1">
      <alignment horizontal="center" vertical="center"/>
    </xf>
    <xf numFmtId="0" fontId="57" fillId="28" borderId="154" xfId="0" applyFont="1" applyFill="1" applyBorder="1" applyAlignment="1">
      <alignment horizontal="center" vertical="center"/>
    </xf>
    <xf numFmtId="0" fontId="49" fillId="7" borderId="108" xfId="0" applyFont="1" applyFill="1" applyBorder="1" applyAlignment="1">
      <alignment horizontal="left" vertical="center"/>
    </xf>
    <xf numFmtId="0" fontId="49" fillId="16" borderId="108" xfId="0" applyFont="1" applyFill="1" applyBorder="1" applyAlignment="1">
      <alignment horizontal="left" vertical="center"/>
    </xf>
    <xf numFmtId="0" fontId="49" fillId="15" borderId="108" xfId="0" applyFont="1" applyFill="1" applyBorder="1" applyAlignment="1">
      <alignment horizontal="left" vertical="center"/>
    </xf>
    <xf numFmtId="0" fontId="49" fillId="15" borderId="145" xfId="0" applyFont="1" applyFill="1" applyBorder="1" applyAlignment="1">
      <alignment horizontal="left" vertical="center"/>
    </xf>
    <xf numFmtId="0" fontId="46" fillId="8" borderId="148" xfId="0" quotePrefix="1" applyFont="1" applyFill="1" applyBorder="1" applyAlignment="1">
      <alignment horizontal="center" vertical="center"/>
    </xf>
    <xf numFmtId="0" fontId="46" fillId="8" borderId="145" xfId="0" quotePrefix="1" applyFont="1" applyFill="1" applyBorder="1" applyAlignment="1">
      <alignment horizontal="center" vertical="center"/>
    </xf>
    <xf numFmtId="0" fontId="46" fillId="21" borderId="145" xfId="0" quotePrefix="1" applyFont="1" applyFill="1" applyBorder="1" applyAlignment="1">
      <alignment horizontal="center" vertical="center"/>
    </xf>
    <xf numFmtId="0" fontId="46" fillId="10" borderId="145" xfId="0" applyFont="1" applyFill="1" applyBorder="1" applyAlignment="1">
      <alignment horizontal="center" vertical="center"/>
    </xf>
    <xf numFmtId="0" fontId="46" fillId="12" borderId="145" xfId="0" quotePrefix="1" applyFont="1" applyFill="1" applyBorder="1" applyAlignment="1">
      <alignment horizontal="center" vertical="center"/>
    </xf>
    <xf numFmtId="0" fontId="46" fillId="12" borderId="145" xfId="0" applyFont="1" applyFill="1" applyBorder="1" applyAlignment="1">
      <alignment horizontal="center" vertical="center"/>
    </xf>
    <xf numFmtId="0" fontId="46" fillId="18" borderId="145" xfId="0" quotePrefix="1" applyFont="1" applyFill="1" applyBorder="1" applyAlignment="1">
      <alignment horizontal="center" vertical="center"/>
    </xf>
    <xf numFmtId="0" fontId="46" fillId="18" borderId="145" xfId="0" applyFont="1" applyFill="1" applyBorder="1" applyAlignment="1">
      <alignment horizontal="center" vertical="center"/>
    </xf>
    <xf numFmtId="0" fontId="46" fillId="9" borderId="145" xfId="0" applyFont="1" applyFill="1" applyBorder="1" applyAlignment="1">
      <alignment horizontal="center" vertical="center"/>
    </xf>
    <xf numFmtId="0" fontId="49" fillId="7" borderId="145" xfId="3" quotePrefix="1" applyFont="1" applyFill="1" applyBorder="1" applyAlignment="1">
      <alignment horizontal="center" vertical="center"/>
    </xf>
    <xf numFmtId="0" fontId="46" fillId="7" borderId="145" xfId="0" applyFont="1" applyFill="1" applyBorder="1" applyAlignment="1">
      <alignment horizontal="center" vertical="center"/>
    </xf>
    <xf numFmtId="0" fontId="46" fillId="7" borderId="145" xfId="0" quotePrefix="1" applyFont="1" applyFill="1" applyBorder="1" applyAlignment="1">
      <alignment horizontal="center" vertical="center"/>
    </xf>
    <xf numFmtId="0" fontId="46" fillId="16" borderId="145" xfId="0" quotePrefix="1" applyFont="1" applyFill="1" applyBorder="1" applyAlignment="1">
      <alignment horizontal="center" vertical="center"/>
    </xf>
    <xf numFmtId="0" fontId="46" fillId="9" borderId="145" xfId="0" quotePrefix="1" applyFont="1" applyFill="1" applyBorder="1" applyAlignment="1">
      <alignment horizontal="center" vertical="center"/>
    </xf>
    <xf numFmtId="0" fontId="49" fillId="9" borderId="145" xfId="3" quotePrefix="1" applyFont="1" applyFill="1" applyBorder="1" applyAlignment="1">
      <alignment horizontal="center" vertical="center"/>
    </xf>
    <xf numFmtId="0" fontId="46" fillId="9" borderId="154" xfId="0" quotePrefix="1" applyFont="1" applyFill="1" applyBorder="1" applyAlignment="1">
      <alignment horizontal="center" vertical="center"/>
    </xf>
    <xf numFmtId="0" fontId="46" fillId="15" borderId="145" xfId="0" applyFont="1" applyFill="1" applyBorder="1" applyAlignment="1">
      <alignment horizontal="center" vertical="center"/>
    </xf>
    <xf numFmtId="0" fontId="46" fillId="4" borderId="145" xfId="0" applyFont="1" applyFill="1" applyBorder="1" applyAlignment="1">
      <alignment horizontal="center" vertical="center"/>
    </xf>
    <xf numFmtId="0" fontId="91" fillId="28" borderId="154" xfId="0" applyFont="1" applyFill="1" applyBorder="1" applyAlignment="1">
      <alignment horizontal="center" vertical="center"/>
    </xf>
    <xf numFmtId="0" fontId="0" fillId="28" borderId="154" xfId="0" applyFill="1" applyBorder="1" applyAlignment="1">
      <alignment horizontal="center" vertical="center"/>
    </xf>
    <xf numFmtId="0" fontId="46" fillId="18" borderId="122" xfId="0" applyFont="1" applyFill="1" applyBorder="1" applyAlignment="1">
      <alignment horizontal="left" vertical="center"/>
    </xf>
    <xf numFmtId="0" fontId="57" fillId="28" borderId="154" xfId="0" applyFont="1" applyFill="1" applyBorder="1" applyAlignment="1">
      <alignment horizontal="left" vertical="center"/>
    </xf>
    <xf numFmtId="0" fontId="49" fillId="5" borderId="148" xfId="0" applyFont="1" applyFill="1" applyBorder="1" applyAlignment="1">
      <alignment horizontal="center" vertical="center"/>
    </xf>
    <xf numFmtId="0" fontId="49" fillId="5" borderId="112" xfId="0" applyFont="1" applyFill="1" applyBorder="1" applyAlignment="1">
      <alignment horizontal="center" vertical="center"/>
    </xf>
    <xf numFmtId="0" fontId="49" fillId="5" borderId="76" xfId="0" quotePrefix="1" applyFont="1" applyFill="1" applyBorder="1" applyAlignment="1">
      <alignment horizontal="center" vertical="center"/>
    </xf>
    <xf numFmtId="0" fontId="49" fillId="5" borderId="145" xfId="0" applyFont="1" applyFill="1" applyBorder="1" applyAlignment="1">
      <alignment horizontal="center" vertical="center"/>
    </xf>
    <xf numFmtId="0" fontId="49" fillId="5" borderId="113" xfId="0" quotePrefix="1" applyFont="1" applyFill="1" applyBorder="1" applyAlignment="1">
      <alignment horizontal="center" vertical="center"/>
    </xf>
    <xf numFmtId="0" fontId="49" fillId="5" borderId="8" xfId="0" quotePrefix="1" applyFont="1" applyFill="1" applyBorder="1" applyAlignment="1">
      <alignment horizontal="center" vertical="center"/>
    </xf>
    <xf numFmtId="0" fontId="49" fillId="5" borderId="132" xfId="0" applyFont="1" applyFill="1" applyBorder="1" applyAlignment="1">
      <alignment horizontal="center" vertical="center"/>
    </xf>
    <xf numFmtId="0" fontId="46" fillId="5" borderId="145" xfId="0" applyFont="1" applyFill="1" applyBorder="1" applyAlignment="1">
      <alignment horizontal="center" vertical="center"/>
    </xf>
    <xf numFmtId="0" fontId="46" fillId="5" borderId="120" xfId="0" applyFont="1" applyFill="1" applyBorder="1" applyAlignment="1">
      <alignment horizontal="center" vertical="center"/>
    </xf>
    <xf numFmtId="0" fontId="29" fillId="7" borderId="4" xfId="0" applyFont="1" applyFill="1" applyBorder="1" applyAlignment="1">
      <alignment horizontal="left" vertical="center"/>
    </xf>
    <xf numFmtId="0" fontId="48" fillId="5" borderId="74" xfId="0" applyFont="1" applyFill="1" applyBorder="1" applyAlignment="1">
      <alignment horizontal="left" vertical="center"/>
    </xf>
    <xf numFmtId="0" fontId="48" fillId="5" borderId="7" xfId="0" applyFont="1" applyFill="1" applyBorder="1" applyAlignment="1">
      <alignment horizontal="left" vertical="center"/>
    </xf>
    <xf numFmtId="0" fontId="48" fillId="5" borderId="9" xfId="0" applyFont="1" applyFill="1" applyBorder="1" applyAlignment="1">
      <alignment horizontal="left" vertical="center"/>
    </xf>
    <xf numFmtId="0" fontId="49" fillId="0" borderId="157" xfId="0" quotePrefix="1" applyFont="1" applyBorder="1" applyAlignment="1">
      <alignment horizontal="left" vertical="center"/>
    </xf>
    <xf numFmtId="0" fontId="49" fillId="0" borderId="88" xfId="0" quotePrefix="1" applyFont="1" applyBorder="1" applyAlignment="1">
      <alignment horizontal="left" vertical="center"/>
    </xf>
    <xf numFmtId="0" fontId="48" fillId="8" borderId="171" xfId="0" applyFont="1" applyFill="1" applyBorder="1" applyAlignment="1">
      <alignment horizontal="center" vertical="center"/>
    </xf>
    <xf numFmtId="0" fontId="48" fillId="8" borderId="156" xfId="0" applyFont="1" applyFill="1" applyBorder="1" applyAlignment="1">
      <alignment horizontal="center" vertical="center"/>
    </xf>
    <xf numFmtId="0" fontId="48" fillId="21" borderId="156" xfId="0" applyFont="1" applyFill="1" applyBorder="1" applyAlignment="1">
      <alignment horizontal="center" vertical="center"/>
    </xf>
    <xf numFmtId="0" fontId="48" fillId="11" borderId="156" xfId="0" applyFont="1" applyFill="1" applyBorder="1" applyAlignment="1">
      <alignment horizontal="center" vertical="center"/>
    </xf>
    <xf numFmtId="0" fontId="48" fillId="10" borderId="156" xfId="0" applyFont="1" applyFill="1" applyBorder="1" applyAlignment="1">
      <alignment horizontal="center" vertical="center"/>
    </xf>
    <xf numFmtId="0" fontId="48" fillId="22" borderId="156" xfId="0" applyFont="1" applyFill="1" applyBorder="1" applyAlignment="1">
      <alignment horizontal="center" vertical="center"/>
    </xf>
    <xf numFmtId="0" fontId="48" fillId="20" borderId="156" xfId="0" applyFont="1" applyFill="1" applyBorder="1" applyAlignment="1">
      <alignment horizontal="center" vertical="center"/>
    </xf>
    <xf numFmtId="0" fontId="48" fillId="12" borderId="156" xfId="0" applyFont="1" applyFill="1" applyBorder="1" applyAlignment="1">
      <alignment horizontal="center" vertical="center"/>
    </xf>
    <xf numFmtId="0" fontId="48" fillId="18" borderId="156" xfId="0" applyFont="1" applyFill="1" applyBorder="1" applyAlignment="1">
      <alignment horizontal="center" vertical="center"/>
    </xf>
    <xf numFmtId="0" fontId="48" fillId="9" borderId="156" xfId="0" applyFont="1" applyFill="1" applyBorder="1" applyAlignment="1">
      <alignment horizontal="center" vertical="center"/>
    </xf>
    <xf numFmtId="0" fontId="57" fillId="28" borderId="157" xfId="0" applyFont="1" applyFill="1" applyBorder="1" applyAlignment="1">
      <alignment horizontal="left" vertical="center"/>
    </xf>
    <xf numFmtId="0" fontId="46" fillId="4" borderId="154" xfId="0" applyFont="1" applyFill="1" applyBorder="1" applyAlignment="1">
      <alignment horizontal="left" vertical="center"/>
    </xf>
    <xf numFmtId="0" fontId="46" fillId="4" borderId="154" xfId="0" applyFont="1" applyFill="1" applyBorder="1" applyAlignment="1">
      <alignment horizontal="center" vertical="center"/>
    </xf>
    <xf numFmtId="0" fontId="46" fillId="4" borderId="157" xfId="0" applyFont="1" applyFill="1" applyBorder="1" applyAlignment="1">
      <alignment horizontal="left" vertical="center"/>
    </xf>
    <xf numFmtId="0" fontId="46" fillId="18" borderId="154" xfId="0" applyFont="1" applyFill="1" applyBorder="1" applyAlignment="1">
      <alignment horizontal="left" vertical="center"/>
    </xf>
    <xf numFmtId="0" fontId="46" fillId="18" borderId="157" xfId="0" applyFont="1" applyFill="1" applyBorder="1" applyAlignment="1">
      <alignment horizontal="left" vertical="center"/>
    </xf>
    <xf numFmtId="0" fontId="29" fillId="7" borderId="1" xfId="0" applyFont="1" applyFill="1" applyBorder="1" applyAlignment="1">
      <alignment horizontal="left" vertical="center" wrapText="1"/>
    </xf>
    <xf numFmtId="0" fontId="48" fillId="7" borderId="78" xfId="0" applyFont="1" applyFill="1" applyBorder="1" applyAlignment="1">
      <alignment horizontal="left" vertical="center" wrapText="1"/>
    </xf>
    <xf numFmtId="2" fontId="46" fillId="0" borderId="6" xfId="0" applyNumberFormat="1" applyFont="1" applyBorder="1" applyAlignment="1">
      <alignment horizontal="center" vertical="center"/>
    </xf>
    <xf numFmtId="2" fontId="46" fillId="0" borderId="15" xfId="0" applyNumberFormat="1" applyFont="1" applyBorder="1" applyAlignment="1">
      <alignment horizontal="center" vertical="center"/>
    </xf>
    <xf numFmtId="0" fontId="46" fillId="0" borderId="108" xfId="0" applyFont="1" applyBorder="1" applyAlignment="1">
      <alignment horizontal="center" vertical="center"/>
    </xf>
    <xf numFmtId="2" fontId="46" fillId="0" borderId="154" xfId="0" applyNumberFormat="1" applyFont="1" applyBorder="1" applyAlignment="1">
      <alignment horizontal="center" vertical="center"/>
    </xf>
    <xf numFmtId="164" fontId="46" fillId="0" borderId="154" xfId="0" applyNumberFormat="1" applyFont="1" applyBorder="1" applyAlignment="1">
      <alignment horizontal="center" vertical="center"/>
    </xf>
    <xf numFmtId="164" fontId="46" fillId="0" borderId="6" xfId="0" applyNumberFormat="1" applyFont="1" applyBorder="1" applyAlignment="1">
      <alignment horizontal="center" vertical="center"/>
    </xf>
    <xf numFmtId="164" fontId="46" fillId="0" borderId="15" xfId="0" applyNumberFormat="1" applyFont="1" applyBorder="1" applyAlignment="1">
      <alignment horizontal="center" vertical="center"/>
    </xf>
    <xf numFmtId="166" fontId="15" fillId="0" borderId="172" xfId="35" applyNumberFormat="1" applyBorder="1" applyAlignment="1">
      <alignment horizontal="center" vertical="center"/>
    </xf>
    <xf numFmtId="164" fontId="15" fillId="0" borderId="172" xfId="35" applyNumberFormat="1" applyBorder="1" applyAlignment="1">
      <alignment horizontal="center" vertical="center"/>
    </xf>
    <xf numFmtId="168" fontId="46" fillId="0" borderId="6" xfId="0" applyNumberFormat="1" applyFont="1" applyBorder="1" applyAlignment="1">
      <alignment horizontal="center" vertical="center"/>
    </xf>
    <xf numFmtId="2" fontId="49" fillId="0" borderId="145" xfId="0" applyNumberFormat="1" applyFont="1" applyBorder="1" applyAlignment="1">
      <alignment horizontal="left" vertical="center"/>
    </xf>
    <xf numFmtId="2" fontId="46" fillId="0" borderId="172" xfId="0" applyNumberFormat="1" applyFont="1" applyBorder="1" applyAlignment="1">
      <alignment horizontal="center" vertical="center"/>
    </xf>
    <xf numFmtId="11" fontId="46" fillId="0" borderId="172" xfId="0" applyNumberFormat="1" applyFont="1" applyBorder="1" applyAlignment="1">
      <alignment horizontal="center" vertical="center"/>
    </xf>
    <xf numFmtId="2" fontId="49" fillId="11" borderId="145" xfId="0" applyNumberFormat="1" applyFont="1" applyFill="1" applyBorder="1" applyAlignment="1">
      <alignment horizontal="center" vertical="center"/>
    </xf>
    <xf numFmtId="0" fontId="49" fillId="20" borderId="173" xfId="0" quotePrefix="1" applyFont="1" applyFill="1" applyBorder="1" applyAlignment="1">
      <alignment horizontal="left" vertical="center"/>
    </xf>
    <xf numFmtId="0" fontId="52" fillId="0" borderId="0" xfId="4" applyAlignment="1" applyProtection="1">
      <alignment horizontal="left"/>
    </xf>
    <xf numFmtId="0" fontId="48" fillId="7" borderId="170" xfId="0" applyFont="1" applyFill="1" applyBorder="1" applyAlignment="1">
      <alignment horizontal="center" vertical="center" wrapText="1"/>
    </xf>
    <xf numFmtId="0" fontId="49" fillId="9" borderId="116" xfId="0" applyFont="1" applyFill="1" applyBorder="1" applyAlignment="1">
      <alignment horizontal="left" vertical="center" wrapText="1"/>
    </xf>
    <xf numFmtId="2" fontId="49" fillId="9" borderId="148" xfId="0" applyNumberFormat="1" applyFont="1" applyFill="1" applyBorder="1" applyAlignment="1">
      <alignment horizontal="left" vertical="center" wrapText="1"/>
    </xf>
    <xf numFmtId="2" fontId="49" fillId="9" borderId="148" xfId="0" applyNumberFormat="1" applyFont="1" applyFill="1" applyBorder="1" applyAlignment="1">
      <alignment horizontal="center" vertical="center" wrapText="1"/>
    </xf>
    <xf numFmtId="0" fontId="49" fillId="9" borderId="156" xfId="0" applyFont="1" applyFill="1" applyBorder="1" applyAlignment="1">
      <alignment horizontal="left" vertical="center" wrapText="1"/>
    </xf>
    <xf numFmtId="2" fontId="49" fillId="9" borderId="172" xfId="0" applyNumberFormat="1" applyFont="1" applyFill="1" applyBorder="1" applyAlignment="1">
      <alignment horizontal="left" vertical="center" wrapText="1"/>
    </xf>
    <xf numFmtId="2" fontId="49" fillId="9" borderId="172" xfId="0" applyNumberFormat="1" applyFont="1" applyFill="1" applyBorder="1" applyAlignment="1">
      <alignment horizontal="center" vertical="center" wrapText="1"/>
    </xf>
    <xf numFmtId="0" fontId="49" fillId="9" borderId="172" xfId="0" applyFont="1" applyFill="1" applyBorder="1" applyAlignment="1">
      <alignment horizontal="center" vertical="center" wrapText="1"/>
    </xf>
    <xf numFmtId="0" fontId="49" fillId="9" borderId="158" xfId="0" applyFont="1" applyFill="1" applyBorder="1" applyAlignment="1">
      <alignment horizontal="left" vertical="center" wrapText="1"/>
    </xf>
    <xf numFmtId="2" fontId="49" fillId="9" borderId="159" xfId="0" applyNumberFormat="1" applyFont="1" applyFill="1" applyBorder="1" applyAlignment="1">
      <alignment horizontal="left" vertical="center" wrapText="1"/>
    </xf>
    <xf numFmtId="2" fontId="49" fillId="9" borderId="159" xfId="0" applyNumberFormat="1" applyFont="1" applyFill="1" applyBorder="1" applyAlignment="1">
      <alignment horizontal="center" vertical="center" wrapText="1"/>
    </xf>
    <xf numFmtId="0" fontId="49" fillId="9" borderId="159" xfId="0" applyFont="1" applyFill="1" applyBorder="1" applyAlignment="1">
      <alignment horizontal="center" vertical="center" wrapText="1"/>
    </xf>
    <xf numFmtId="2" fontId="49" fillId="9" borderId="173" xfId="0" applyNumberFormat="1" applyFont="1" applyFill="1" applyBorder="1" applyAlignment="1">
      <alignment horizontal="left" vertical="center" wrapText="1"/>
    </xf>
    <xf numFmtId="2" fontId="49" fillId="9" borderId="173" xfId="0" applyNumberFormat="1" applyFont="1" applyFill="1" applyBorder="1" applyAlignment="1">
      <alignment horizontal="center" vertical="center" wrapText="1"/>
    </xf>
    <xf numFmtId="0" fontId="49" fillId="9" borderId="173" xfId="0" applyFont="1" applyFill="1" applyBorder="1" applyAlignment="1">
      <alignment horizontal="center" vertical="center" wrapText="1"/>
    </xf>
    <xf numFmtId="0" fontId="56" fillId="7" borderId="2" xfId="0" applyFont="1" applyFill="1" applyBorder="1" applyAlignment="1">
      <alignment horizontal="left" vertical="center" wrapText="1"/>
    </xf>
    <xf numFmtId="0" fontId="0" fillId="11" borderId="145" xfId="0" applyFill="1" applyBorder="1" applyAlignment="1">
      <alignment horizontal="left"/>
    </xf>
    <xf numFmtId="0" fontId="0" fillId="19" borderId="120" xfId="0" applyFill="1" applyBorder="1" applyAlignment="1">
      <alignment horizontal="left"/>
    </xf>
    <xf numFmtId="0" fontId="56" fillId="7" borderId="67" xfId="0" applyFont="1" applyFill="1" applyBorder="1" applyAlignment="1">
      <alignment horizontal="left" vertical="center" wrapText="1"/>
    </xf>
    <xf numFmtId="0" fontId="57" fillId="7" borderId="57" xfId="0" applyFont="1" applyFill="1" applyBorder="1" applyAlignment="1">
      <alignment horizontal="left" vertical="center" wrapText="1"/>
    </xf>
    <xf numFmtId="0" fontId="49" fillId="8" borderId="6" xfId="0" applyFont="1" applyFill="1" applyBorder="1" applyAlignment="1">
      <alignment horizontal="left" vertical="center" wrapText="1"/>
    </xf>
    <xf numFmtId="0" fontId="49" fillId="8" borderId="8" xfId="0" applyFont="1" applyFill="1" applyBorder="1" applyAlignment="1">
      <alignment horizontal="left" vertical="center" wrapText="1"/>
    </xf>
    <xf numFmtId="0" fontId="49" fillId="8" borderId="62" xfId="0" applyFont="1" applyFill="1" applyBorder="1" applyAlignment="1">
      <alignment horizontal="left" vertical="center" wrapText="1"/>
    </xf>
    <xf numFmtId="0" fontId="49" fillId="8" borderId="122" xfId="0" applyFont="1" applyFill="1" applyBorder="1" applyAlignment="1">
      <alignment horizontal="left" vertical="center" wrapText="1"/>
    </xf>
    <xf numFmtId="0" fontId="53" fillId="8" borderId="63" xfId="0" applyFont="1" applyFill="1" applyBorder="1" applyAlignment="1">
      <alignment horizontal="left"/>
    </xf>
    <xf numFmtId="0" fontId="57" fillId="7" borderId="52" xfId="0" applyFont="1" applyFill="1" applyBorder="1" applyAlignment="1">
      <alignment horizontal="left" vertical="center" wrapText="1"/>
    </xf>
    <xf numFmtId="0" fontId="49" fillId="21" borderId="95" xfId="0" applyFont="1" applyFill="1" applyBorder="1" applyAlignment="1">
      <alignment horizontal="left" vertical="center" wrapText="1"/>
    </xf>
    <xf numFmtId="0" fontId="49" fillId="21" borderId="92" xfId="0" applyFont="1" applyFill="1" applyBorder="1" applyAlignment="1">
      <alignment horizontal="left" vertical="center" wrapText="1"/>
    </xf>
    <xf numFmtId="0" fontId="53" fillId="21" borderId="83" xfId="0" applyFont="1" applyFill="1" applyBorder="1" applyAlignment="1">
      <alignment horizontal="left" vertical="center" wrapText="1"/>
    </xf>
    <xf numFmtId="0" fontId="53" fillId="21" borderId="92" xfId="0" applyFont="1" applyFill="1" applyBorder="1" applyAlignment="1">
      <alignment horizontal="left" vertical="center" wrapText="1"/>
    </xf>
    <xf numFmtId="0" fontId="49" fillId="21" borderId="84" xfId="0" applyFont="1" applyFill="1" applyBorder="1" applyAlignment="1">
      <alignment horizontal="left" vertical="center" wrapText="1"/>
    </xf>
    <xf numFmtId="0" fontId="49" fillId="21" borderId="88" xfId="0" applyFont="1" applyFill="1" applyBorder="1" applyAlignment="1">
      <alignment horizontal="left" vertical="center" wrapText="1"/>
    </xf>
    <xf numFmtId="0" fontId="49" fillId="21" borderId="11" xfId="0" applyFont="1" applyFill="1" applyBorder="1" applyAlignment="1">
      <alignment horizontal="left" vertical="center" wrapText="1"/>
    </xf>
    <xf numFmtId="0" fontId="49" fillId="11" borderId="100" xfId="0" applyFont="1" applyFill="1" applyBorder="1" applyAlignment="1">
      <alignment horizontal="left" vertical="center" wrapText="1"/>
    </xf>
    <xf numFmtId="0" fontId="49" fillId="11" borderId="101" xfId="0" applyFont="1" applyFill="1" applyBorder="1" applyAlignment="1">
      <alignment horizontal="left" vertical="center" wrapText="1"/>
    </xf>
    <xf numFmtId="0" fontId="49" fillId="11" borderId="84" xfId="0" applyFont="1" applyFill="1" applyBorder="1" applyAlignment="1">
      <alignment horizontal="left" vertical="center" wrapText="1"/>
    </xf>
    <xf numFmtId="0" fontId="49" fillId="11" borderId="88" xfId="0" applyFont="1" applyFill="1" applyBorder="1" applyAlignment="1">
      <alignment horizontal="left" vertical="center" wrapText="1"/>
    </xf>
    <xf numFmtId="0" fontId="49" fillId="11" borderId="122" xfId="0" applyFont="1" applyFill="1" applyBorder="1" applyAlignment="1">
      <alignment horizontal="left" vertical="center" wrapText="1"/>
    </xf>
    <xf numFmtId="0" fontId="49" fillId="11" borderId="157" xfId="0" applyFont="1" applyFill="1" applyBorder="1" applyAlignment="1">
      <alignment horizontal="left" vertical="center" wrapText="1"/>
    </xf>
    <xf numFmtId="0" fontId="49" fillId="11" borderId="120" xfId="0" applyFont="1" applyFill="1" applyBorder="1" applyAlignment="1">
      <alignment horizontal="left" vertical="center" wrapText="1"/>
    </xf>
    <xf numFmtId="0" fontId="49" fillId="19" borderId="132" xfId="0" applyFont="1" applyFill="1" applyBorder="1" applyAlignment="1">
      <alignment horizontal="left" vertical="center" wrapText="1"/>
    </xf>
    <xf numFmtId="0" fontId="49" fillId="19" borderId="122" xfId="0" applyFont="1" applyFill="1" applyBorder="1" applyAlignment="1">
      <alignment horizontal="left" vertical="center" wrapText="1"/>
    </xf>
    <xf numFmtId="0" fontId="49" fillId="19" borderId="110" xfId="0" applyFont="1" applyFill="1" applyBorder="1" applyAlignment="1">
      <alignment horizontal="left" vertical="center" wrapText="1"/>
    </xf>
    <xf numFmtId="0" fontId="49" fillId="19" borderId="86" xfId="0" applyFont="1" applyFill="1" applyBorder="1" applyAlignment="1">
      <alignment horizontal="left" vertical="center" wrapText="1"/>
    </xf>
    <xf numFmtId="0" fontId="49" fillId="19" borderId="133" xfId="0" applyFont="1" applyFill="1" applyBorder="1" applyAlignment="1">
      <alignment horizontal="left" vertical="center" wrapText="1"/>
    </xf>
    <xf numFmtId="0" fontId="49" fillId="19" borderId="120" xfId="0" applyFont="1" applyFill="1" applyBorder="1" applyAlignment="1">
      <alignment horizontal="left" vertical="center" wrapText="1"/>
    </xf>
    <xf numFmtId="0" fontId="35" fillId="7" borderId="67" xfId="0" applyFont="1" applyFill="1" applyBorder="1" applyAlignment="1">
      <alignment horizontal="left" vertical="center" wrapText="1"/>
    </xf>
    <xf numFmtId="0" fontId="53" fillId="10" borderId="71" xfId="0" applyFont="1" applyFill="1" applyBorder="1" applyAlignment="1">
      <alignment horizontal="left" vertical="center" wrapText="1"/>
    </xf>
    <xf numFmtId="0" fontId="53" fillId="10" borderId="72" xfId="0" applyFont="1" applyFill="1" applyBorder="1" applyAlignment="1">
      <alignment horizontal="left" vertical="center" wrapText="1"/>
    </xf>
    <xf numFmtId="0" fontId="53" fillId="10" borderId="88" xfId="0" applyFont="1" applyFill="1" applyBorder="1" applyAlignment="1">
      <alignment horizontal="left" vertical="center" wrapText="1"/>
    </xf>
    <xf numFmtId="0" fontId="53" fillId="10" borderId="8" xfId="0" applyFont="1" applyFill="1" applyBorder="1" applyAlignment="1">
      <alignment horizontal="left" vertical="center" wrapText="1"/>
    </xf>
    <xf numFmtId="0" fontId="49" fillId="10" borderId="122" xfId="0" applyFont="1" applyFill="1" applyBorder="1" applyAlignment="1">
      <alignment horizontal="left" vertical="center" wrapText="1"/>
    </xf>
    <xf numFmtId="0" fontId="49" fillId="10" borderId="90" xfId="0" applyFont="1" applyFill="1" applyBorder="1" applyAlignment="1">
      <alignment horizontal="left" vertical="center" wrapText="1"/>
    </xf>
    <xf numFmtId="0" fontId="53" fillId="10" borderId="10" xfId="0" applyFont="1" applyFill="1" applyBorder="1" applyAlignment="1">
      <alignment horizontal="left" vertical="center" wrapText="1"/>
    </xf>
    <xf numFmtId="0" fontId="53" fillId="10" borderId="11" xfId="0" applyFont="1" applyFill="1" applyBorder="1" applyAlignment="1">
      <alignment horizontal="left" vertical="center" wrapText="1"/>
    </xf>
    <xf numFmtId="0" fontId="35" fillId="7" borderId="68" xfId="0" applyFont="1" applyFill="1" applyBorder="1" applyAlignment="1">
      <alignment horizontal="left" vertical="center" wrapText="1"/>
    </xf>
    <xf numFmtId="0" fontId="53" fillId="20" borderId="71" xfId="0" applyFont="1" applyFill="1" applyBorder="1" applyAlignment="1">
      <alignment horizontal="left" vertical="center" wrapText="1"/>
    </xf>
    <xf numFmtId="0" fontId="56" fillId="20" borderId="8" xfId="0" applyFont="1" applyFill="1" applyBorder="1" applyAlignment="1">
      <alignment horizontal="left" vertical="center"/>
    </xf>
    <xf numFmtId="0" fontId="49" fillId="12" borderId="60" xfId="0" applyFont="1" applyFill="1" applyBorder="1" applyAlignment="1">
      <alignment horizontal="left" vertical="center"/>
    </xf>
    <xf numFmtId="0" fontId="49" fillId="12" borderId="61" xfId="0" applyFont="1" applyFill="1" applyBorder="1" applyAlignment="1">
      <alignment horizontal="left" vertical="center"/>
    </xf>
    <xf numFmtId="0" fontId="35" fillId="7" borderId="44" xfId="0" applyFont="1" applyFill="1" applyBorder="1" applyAlignment="1">
      <alignment horizontal="left" vertical="center" wrapText="1"/>
    </xf>
    <xf numFmtId="0" fontId="35" fillId="7" borderId="45" xfId="0" applyFont="1" applyFill="1" applyBorder="1" applyAlignment="1">
      <alignment horizontal="left" vertical="center" wrapText="1"/>
    </xf>
    <xf numFmtId="0" fontId="53" fillId="18" borderId="15" xfId="0" applyFont="1" applyFill="1" applyBorder="1" applyAlignment="1">
      <alignment horizontal="left" vertical="center"/>
    </xf>
    <xf numFmtId="0" fontId="53" fillId="18" borderId="38" xfId="0" applyFont="1" applyFill="1" applyBorder="1" applyAlignment="1">
      <alignment horizontal="left" vertical="center"/>
    </xf>
    <xf numFmtId="0" fontId="53" fillId="18" borderId="6" xfId="0" applyFont="1" applyFill="1" applyBorder="1" applyAlignment="1">
      <alignment horizontal="left" vertical="center"/>
    </xf>
    <xf numFmtId="0" fontId="53" fillId="18" borderId="8" xfId="0" applyFont="1" applyFill="1" applyBorder="1" applyAlignment="1">
      <alignment horizontal="left" vertical="center"/>
    </xf>
    <xf numFmtId="0" fontId="49" fillId="18" borderId="11" xfId="0" applyFont="1" applyFill="1" applyBorder="1" applyAlignment="1">
      <alignment horizontal="left" vertical="center"/>
    </xf>
    <xf numFmtId="0" fontId="49" fillId="15" borderId="60" xfId="0" applyFont="1" applyFill="1" applyBorder="1" applyAlignment="1">
      <alignment horizontal="left" vertical="center"/>
    </xf>
    <xf numFmtId="0" fontId="49" fillId="15" borderId="6" xfId="0" applyFont="1" applyFill="1" applyBorder="1" applyAlignment="1">
      <alignment horizontal="left" vertical="center"/>
    </xf>
    <xf numFmtId="0" fontId="49" fillId="15" borderId="6" xfId="0" applyFont="1" applyFill="1" applyBorder="1" applyAlignment="1">
      <alignment horizontal="left"/>
    </xf>
    <xf numFmtId="0" fontId="49" fillId="15" borderId="145" xfId="0" applyFont="1" applyFill="1" applyBorder="1" applyAlignment="1">
      <alignment horizontal="left"/>
    </xf>
    <xf numFmtId="0" fontId="49" fillId="15" borderId="122" xfId="0" applyFont="1" applyFill="1" applyBorder="1" applyAlignment="1">
      <alignment horizontal="left" vertical="center"/>
    </xf>
    <xf numFmtId="0" fontId="53" fillId="15" borderId="6" xfId="0" applyFont="1" applyFill="1" applyBorder="1" applyAlignment="1">
      <alignment horizontal="left" vertical="center" wrapText="1"/>
    </xf>
    <xf numFmtId="0" fontId="49" fillId="7" borderId="117" xfId="0" applyFont="1" applyFill="1" applyBorder="1" applyAlignment="1">
      <alignment horizontal="left" vertical="center"/>
    </xf>
    <xf numFmtId="0" fontId="53" fillId="7" borderId="108" xfId="0" applyFont="1" applyFill="1" applyBorder="1" applyAlignment="1">
      <alignment horizontal="left" vertical="center" wrapText="1"/>
    </xf>
    <xf numFmtId="0" fontId="49" fillId="7" borderId="120" xfId="0" applyFont="1" applyFill="1" applyBorder="1" applyAlignment="1">
      <alignment horizontal="left" vertical="center"/>
    </xf>
    <xf numFmtId="0" fontId="53" fillId="9" borderId="75" xfId="0" applyFont="1" applyFill="1" applyBorder="1" applyAlignment="1">
      <alignment horizontal="left" vertical="center" wrapText="1"/>
    </xf>
    <xf numFmtId="0" fontId="53" fillId="9" borderId="76" xfId="0" applyFont="1" applyFill="1" applyBorder="1" applyAlignment="1">
      <alignment horizontal="left" vertical="center" wrapText="1"/>
    </xf>
    <xf numFmtId="0" fontId="53" fillId="9" borderId="15" xfId="0" applyFont="1" applyFill="1" applyBorder="1" applyAlignment="1">
      <alignment horizontal="left" vertical="center" wrapText="1"/>
    </xf>
    <xf numFmtId="0" fontId="53" fillId="9" borderId="38" xfId="0" applyFont="1" applyFill="1" applyBorder="1" applyAlignment="1">
      <alignment horizontal="left" vertical="center" wrapText="1"/>
    </xf>
    <xf numFmtId="0" fontId="53" fillId="9" borderId="8" xfId="0" applyFont="1" applyFill="1" applyBorder="1" applyAlignment="1">
      <alignment horizontal="left" vertical="center" wrapText="1"/>
    </xf>
    <xf numFmtId="0" fontId="56" fillId="8" borderId="61" xfId="0" applyFont="1" applyFill="1" applyBorder="1" applyAlignment="1">
      <alignment horizontal="left" vertical="center"/>
    </xf>
    <xf numFmtId="0" fontId="56" fillId="8" borderId="8" xfId="0" applyFont="1" applyFill="1" applyBorder="1" applyAlignment="1">
      <alignment horizontal="left" vertical="center"/>
    </xf>
    <xf numFmtId="0" fontId="56" fillId="11" borderId="8" xfId="0" applyFont="1" applyFill="1" applyBorder="1" applyAlignment="1">
      <alignment horizontal="left" vertical="center"/>
    </xf>
    <xf numFmtId="0" fontId="56" fillId="11" borderId="92" xfId="0" applyFont="1" applyFill="1" applyBorder="1" applyAlignment="1">
      <alignment horizontal="left" vertical="center"/>
    </xf>
    <xf numFmtId="0" fontId="56" fillId="11" borderId="122" xfId="0" applyFont="1" applyFill="1" applyBorder="1" applyAlignment="1">
      <alignment horizontal="left" vertical="center"/>
    </xf>
    <xf numFmtId="0" fontId="56" fillId="19" borderId="8" xfId="0" applyFont="1" applyFill="1" applyBorder="1" applyAlignment="1">
      <alignment horizontal="left" vertical="center"/>
    </xf>
    <xf numFmtId="0" fontId="56" fillId="10" borderId="8" xfId="0" applyFont="1" applyFill="1" applyBorder="1" applyAlignment="1">
      <alignment horizontal="left" vertical="center"/>
    </xf>
    <xf numFmtId="0" fontId="56" fillId="12" borderId="8" xfId="0" applyFont="1" applyFill="1" applyBorder="1" applyAlignment="1">
      <alignment horizontal="left" vertical="center"/>
    </xf>
    <xf numFmtId="0" fontId="56" fillId="18" borderId="8" xfId="0" applyFont="1" applyFill="1" applyBorder="1" applyAlignment="1">
      <alignment horizontal="left" vertical="center"/>
    </xf>
    <xf numFmtId="0" fontId="56" fillId="9" borderId="8" xfId="0" applyFont="1" applyFill="1" applyBorder="1" applyAlignment="1">
      <alignment horizontal="left" vertical="center"/>
    </xf>
    <xf numFmtId="0" fontId="56" fillId="16" borderId="8" xfId="0" applyFont="1" applyFill="1" applyBorder="1" applyAlignment="1">
      <alignment horizontal="left" vertical="center"/>
    </xf>
    <xf numFmtId="0" fontId="49" fillId="8" borderId="71" xfId="0" applyFont="1" applyFill="1" applyBorder="1" applyAlignment="1">
      <alignment horizontal="left" vertical="center" wrapText="1"/>
    </xf>
    <xf numFmtId="0" fontId="49" fillId="8" borderId="72" xfId="0" applyFont="1" applyFill="1" applyBorder="1" applyAlignment="1">
      <alignment horizontal="left" vertical="center" wrapText="1"/>
    </xf>
    <xf numFmtId="0" fontId="49" fillId="11" borderId="6" xfId="0" applyFont="1" applyFill="1" applyBorder="1" applyAlignment="1">
      <alignment horizontal="left" vertical="center" wrapText="1"/>
    </xf>
    <xf numFmtId="0" fontId="49" fillId="11" borderId="8" xfId="0" applyFont="1" applyFill="1" applyBorder="1" applyAlignment="1">
      <alignment horizontal="left" vertical="center" wrapText="1"/>
    </xf>
    <xf numFmtId="0" fontId="49" fillId="11" borderId="92" xfId="0" applyFont="1" applyFill="1" applyBorder="1" applyAlignment="1">
      <alignment horizontal="left" vertical="center" wrapText="1"/>
    </xf>
    <xf numFmtId="0" fontId="49" fillId="11" borderId="154" xfId="0" applyFont="1" applyFill="1" applyBorder="1" applyAlignment="1">
      <alignment horizontal="left" vertical="center" wrapText="1"/>
    </xf>
    <xf numFmtId="0" fontId="49" fillId="19" borderId="6" xfId="0" applyFont="1" applyFill="1" applyBorder="1" applyAlignment="1">
      <alignment horizontal="left" vertical="center" wrapText="1"/>
    </xf>
    <xf numFmtId="0" fontId="49" fillId="19" borderId="8" xfId="0" applyFont="1" applyFill="1" applyBorder="1" applyAlignment="1">
      <alignment horizontal="left" vertical="center" wrapText="1"/>
    </xf>
    <xf numFmtId="0" fontId="49" fillId="10" borderId="84" xfId="0" applyFont="1" applyFill="1" applyBorder="1" applyAlignment="1">
      <alignment horizontal="left" vertical="center" wrapText="1"/>
    </xf>
    <xf numFmtId="0" fontId="49" fillId="10" borderId="88" xfId="0" applyFont="1" applyFill="1" applyBorder="1" applyAlignment="1">
      <alignment horizontal="left" vertical="center" wrapText="1"/>
    </xf>
    <xf numFmtId="0" fontId="49" fillId="10" borderId="8" xfId="0" applyFont="1" applyFill="1" applyBorder="1" applyAlignment="1">
      <alignment horizontal="left" vertical="center" wrapText="1"/>
    </xf>
    <xf numFmtId="0" fontId="57" fillId="20" borderId="6" xfId="0" applyFont="1" applyFill="1" applyBorder="1" applyAlignment="1">
      <alignment horizontal="left" vertical="center"/>
    </xf>
    <xf numFmtId="0" fontId="57" fillId="20" borderId="8" xfId="0" applyFont="1" applyFill="1" applyBorder="1" applyAlignment="1">
      <alignment horizontal="left" vertical="center"/>
    </xf>
    <xf numFmtId="0" fontId="49" fillId="12" borderId="8" xfId="0" applyFont="1" applyFill="1" applyBorder="1" applyAlignment="1">
      <alignment horizontal="left" vertical="center" wrapText="1"/>
    </xf>
    <xf numFmtId="0" fontId="49" fillId="18" borderId="11" xfId="0" applyFont="1" applyFill="1" applyBorder="1" applyAlignment="1">
      <alignment horizontal="left" vertical="center" wrapText="1"/>
    </xf>
    <xf numFmtId="0" fontId="57" fillId="7" borderId="48" xfId="0" applyFont="1" applyFill="1" applyBorder="1" applyAlignment="1">
      <alignment horizontal="left" vertical="center" wrapText="1"/>
    </xf>
    <xf numFmtId="0" fontId="49" fillId="9" borderId="83" xfId="0" applyFont="1" applyFill="1" applyBorder="1" applyAlignment="1">
      <alignment horizontal="left" vertical="center" wrapText="1"/>
    </xf>
    <xf numFmtId="0" fontId="49" fillId="9" borderId="92" xfId="0" applyFont="1" applyFill="1" applyBorder="1" applyAlignment="1">
      <alignment horizontal="left" vertical="center" wrapText="1"/>
    </xf>
    <xf numFmtId="2" fontId="49" fillId="9" borderId="83" xfId="0" quotePrefix="1" applyNumberFormat="1" applyFont="1" applyFill="1" applyBorder="1" applyAlignment="1">
      <alignment horizontal="left" vertical="center" wrapText="1"/>
    </xf>
    <xf numFmtId="0" fontId="49" fillId="24" borderId="83" xfId="0" applyFont="1" applyFill="1" applyBorder="1" applyAlignment="1">
      <alignment horizontal="left" vertical="center" wrapText="1"/>
    </xf>
    <xf numFmtId="0" fontId="49" fillId="24" borderId="92" xfId="0" applyFont="1" applyFill="1" applyBorder="1" applyAlignment="1">
      <alignment horizontal="left" vertical="center" wrapText="1"/>
    </xf>
    <xf numFmtId="2" fontId="49" fillId="24" borderId="83" xfId="0" quotePrefix="1" applyNumberFormat="1" applyFont="1" applyFill="1" applyBorder="1" applyAlignment="1">
      <alignment horizontal="left" vertical="center" wrapText="1"/>
    </xf>
    <xf numFmtId="0" fontId="49" fillId="24" borderId="145" xfId="0" applyFont="1" applyFill="1" applyBorder="1" applyAlignment="1">
      <alignment horizontal="left" vertical="center" wrapText="1"/>
    </xf>
    <xf numFmtId="2" fontId="49" fillId="24" borderId="145" xfId="0" quotePrefix="1" applyNumberFormat="1" applyFont="1" applyFill="1" applyBorder="1" applyAlignment="1">
      <alignment horizontal="left" vertical="center" wrapText="1"/>
    </xf>
    <xf numFmtId="0" fontId="76" fillId="24" borderId="83" xfId="0" applyFont="1" applyFill="1" applyBorder="1" applyAlignment="1">
      <alignment horizontal="left" vertical="center" wrapText="1"/>
    </xf>
    <xf numFmtId="0" fontId="49" fillId="9" borderId="88" xfId="0" applyFont="1" applyFill="1" applyBorder="1" applyAlignment="1">
      <alignment horizontal="left" vertical="center"/>
    </xf>
    <xf numFmtId="0" fontId="57" fillId="7" borderId="58" xfId="0" applyFont="1" applyFill="1" applyBorder="1" applyAlignment="1">
      <alignment horizontal="left" vertical="center" wrapText="1"/>
    </xf>
    <xf numFmtId="0" fontId="57" fillId="7" borderId="144" xfId="0" applyFont="1" applyFill="1" applyBorder="1" applyAlignment="1">
      <alignment horizontal="left" vertical="center" wrapText="1"/>
    </xf>
    <xf numFmtId="0" fontId="49" fillId="9" borderId="118" xfId="0" applyFont="1" applyFill="1" applyBorder="1" applyAlignment="1">
      <alignment horizontal="left" vertical="center" wrapText="1"/>
    </xf>
    <xf numFmtId="0" fontId="49" fillId="9" borderId="172" xfId="0" applyFont="1" applyFill="1" applyBorder="1" applyAlignment="1">
      <alignment horizontal="left" vertical="center" wrapText="1"/>
    </xf>
    <xf numFmtId="0" fontId="49" fillId="9" borderId="157" xfId="0" applyFont="1" applyFill="1" applyBorder="1" applyAlignment="1">
      <alignment horizontal="left" vertical="center" wrapText="1"/>
    </xf>
    <xf numFmtId="0" fontId="49" fillId="9" borderId="159" xfId="0" applyFont="1" applyFill="1" applyBorder="1" applyAlignment="1">
      <alignment horizontal="left" vertical="center" wrapText="1"/>
    </xf>
    <xf numFmtId="0" fontId="49" fillId="9" borderId="160" xfId="0" applyFont="1" applyFill="1" applyBorder="1" applyAlignment="1">
      <alignment horizontal="left" vertical="center" wrapText="1"/>
    </xf>
    <xf numFmtId="0" fontId="49" fillId="9" borderId="173" xfId="0" applyFont="1" applyFill="1" applyBorder="1" applyAlignment="1">
      <alignment horizontal="left" vertical="center" wrapText="1"/>
    </xf>
    <xf numFmtId="0" fontId="56" fillId="7" borderId="174" xfId="0" applyFont="1" applyFill="1" applyBorder="1" applyAlignment="1">
      <alignment horizontal="left" vertical="center"/>
    </xf>
    <xf numFmtId="0" fontId="57" fillId="7" borderId="174" xfId="0" applyFont="1" applyFill="1" applyBorder="1" applyAlignment="1">
      <alignment horizontal="left" vertical="center" wrapText="1"/>
    </xf>
    <xf numFmtId="0" fontId="49" fillId="20" borderId="158" xfId="0" applyFont="1" applyFill="1" applyBorder="1" applyAlignment="1">
      <alignment horizontal="left" vertical="center"/>
    </xf>
    <xf numFmtId="0" fontId="49" fillId="20" borderId="160" xfId="0" applyFont="1" applyFill="1" applyBorder="1" applyAlignment="1">
      <alignment horizontal="left" vertical="center"/>
    </xf>
    <xf numFmtId="0" fontId="49" fillId="20" borderId="173" xfId="0" applyFont="1" applyFill="1" applyBorder="1" applyAlignment="1">
      <alignment horizontal="left" vertical="center"/>
    </xf>
    <xf numFmtId="0" fontId="49" fillId="20" borderId="175" xfId="0" applyFont="1" applyFill="1" applyBorder="1" applyAlignment="1">
      <alignment horizontal="left" vertical="center"/>
    </xf>
    <xf numFmtId="2" fontId="49" fillId="20" borderId="175" xfId="0" applyNumberFormat="1" applyFont="1" applyFill="1" applyBorder="1" applyAlignment="1">
      <alignment horizontal="left" vertical="center"/>
    </xf>
    <xf numFmtId="0" fontId="57" fillId="7" borderId="170" xfId="0" applyFont="1" applyFill="1" applyBorder="1" applyAlignment="1">
      <alignment horizontal="left" vertical="center" wrapText="1"/>
    </xf>
    <xf numFmtId="0" fontId="49" fillId="20" borderId="171" xfId="0" applyFont="1" applyFill="1" applyBorder="1" applyAlignment="1">
      <alignment horizontal="left" vertical="center"/>
    </xf>
    <xf numFmtId="2" fontId="49" fillId="20" borderId="173" xfId="0" quotePrefix="1" applyNumberFormat="1" applyFont="1" applyFill="1" applyBorder="1" applyAlignment="1">
      <alignment horizontal="left" vertical="center"/>
    </xf>
    <xf numFmtId="0" fontId="49" fillId="20" borderId="176" xfId="0" applyFont="1" applyFill="1" applyBorder="1" applyAlignment="1">
      <alignment horizontal="left" vertical="center"/>
    </xf>
    <xf numFmtId="0" fontId="49" fillId="20" borderId="177" xfId="0" applyFont="1" applyFill="1" applyBorder="1" applyAlignment="1">
      <alignment horizontal="left" vertical="center"/>
    </xf>
    <xf numFmtId="0" fontId="49" fillId="20" borderId="178" xfId="0" applyFont="1" applyFill="1" applyBorder="1" applyAlignment="1">
      <alignment horizontal="left" vertical="center"/>
    </xf>
    <xf numFmtId="2" fontId="49" fillId="20" borderId="178" xfId="0" quotePrefix="1" applyNumberFormat="1" applyFont="1" applyFill="1" applyBorder="1" applyAlignment="1">
      <alignment horizontal="left" vertical="center"/>
    </xf>
    <xf numFmtId="0" fontId="49" fillId="20" borderId="178" xfId="0" quotePrefix="1" applyFont="1" applyFill="1" applyBorder="1" applyAlignment="1">
      <alignment horizontal="left" vertical="center"/>
    </xf>
    <xf numFmtId="0" fontId="49" fillId="20" borderId="179" xfId="0" applyFont="1" applyFill="1" applyBorder="1" applyAlignment="1">
      <alignment horizontal="left" vertical="center"/>
    </xf>
    <xf numFmtId="2" fontId="49" fillId="20" borderId="175" xfId="0" quotePrefix="1" applyNumberFormat="1" applyFont="1" applyFill="1" applyBorder="1" applyAlignment="1">
      <alignment horizontal="left" vertical="center"/>
    </xf>
    <xf numFmtId="0" fontId="49" fillId="20" borderId="175" xfId="0" quotePrefix="1" applyFont="1" applyFill="1" applyBorder="1" applyAlignment="1">
      <alignment horizontal="left" vertical="center"/>
    </xf>
    <xf numFmtId="0" fontId="49" fillId="20" borderId="180" xfId="0" applyFont="1" applyFill="1" applyBorder="1" applyAlignment="1">
      <alignment horizontal="left" vertical="center"/>
    </xf>
    <xf numFmtId="2" fontId="49" fillId="20" borderId="180" xfId="0" applyNumberFormat="1" applyFont="1" applyFill="1" applyBorder="1" applyAlignment="1">
      <alignment horizontal="left" vertical="center"/>
    </xf>
    <xf numFmtId="2" fontId="49" fillId="20" borderId="178" xfId="0" applyNumberFormat="1" applyFont="1" applyFill="1" applyBorder="1" applyAlignment="1">
      <alignment horizontal="left" vertical="center"/>
    </xf>
    <xf numFmtId="0" fontId="29" fillId="7" borderId="181" xfId="0" applyFont="1" applyFill="1" applyBorder="1" applyAlignment="1">
      <alignment horizontal="left" vertical="center" wrapText="1"/>
    </xf>
    <xf numFmtId="0" fontId="49" fillId="20" borderId="185" xfId="0" quotePrefix="1" applyFont="1" applyFill="1" applyBorder="1" applyAlignment="1">
      <alignment horizontal="left" vertical="center"/>
    </xf>
    <xf numFmtId="0" fontId="49" fillId="9" borderId="186" xfId="0" applyFont="1" applyFill="1" applyBorder="1" applyAlignment="1">
      <alignment horizontal="left" vertical="center" wrapText="1"/>
    </xf>
    <xf numFmtId="166" fontId="49" fillId="24" borderId="187" xfId="0" applyNumberFormat="1" applyFont="1" applyFill="1" applyBorder="1" applyAlignment="1">
      <alignment horizontal="center" vertical="center" wrapText="1"/>
    </xf>
    <xf numFmtId="0" fontId="49" fillId="8" borderId="177" xfId="0" applyFont="1" applyFill="1" applyBorder="1" applyAlignment="1">
      <alignment horizontal="left" vertical="center"/>
    </xf>
    <xf numFmtId="0" fontId="49" fillId="8" borderId="187" xfId="0" applyFont="1" applyFill="1" applyBorder="1" applyAlignment="1">
      <alignment horizontal="left" vertical="center" wrapText="1"/>
    </xf>
    <xf numFmtId="0" fontId="49" fillId="8" borderId="187" xfId="0" applyFont="1" applyFill="1" applyBorder="1" applyAlignment="1">
      <alignment horizontal="center" vertical="center" wrapText="1"/>
    </xf>
    <xf numFmtId="0" fontId="49" fillId="8" borderId="186" xfId="0" applyFont="1" applyFill="1" applyBorder="1" applyAlignment="1">
      <alignment horizontal="left" vertical="center" wrapText="1"/>
    </xf>
    <xf numFmtId="0" fontId="49" fillId="11" borderId="177" xfId="0" applyFont="1" applyFill="1" applyBorder="1" applyAlignment="1">
      <alignment horizontal="left" vertical="center"/>
    </xf>
    <xf numFmtId="0" fontId="49" fillId="11" borderId="187" xfId="0" applyFont="1" applyFill="1" applyBorder="1" applyAlignment="1">
      <alignment horizontal="left" vertical="center" wrapText="1"/>
    </xf>
    <xf numFmtId="0" fontId="49" fillId="11" borderId="187" xfId="0" applyFont="1" applyFill="1" applyBorder="1" applyAlignment="1">
      <alignment horizontal="center" vertical="center" wrapText="1"/>
    </xf>
    <xf numFmtId="0" fontId="49" fillId="11" borderId="187" xfId="0" applyFont="1" applyFill="1" applyBorder="1" applyAlignment="1">
      <alignment horizontal="center" vertical="center"/>
    </xf>
    <xf numFmtId="0" fontId="49" fillId="11" borderId="186" xfId="0" applyFont="1" applyFill="1" applyBorder="1" applyAlignment="1">
      <alignment horizontal="left" vertical="center" wrapText="1"/>
    </xf>
    <xf numFmtId="0" fontId="49" fillId="11" borderId="187" xfId="0" applyFont="1" applyFill="1" applyBorder="1" applyAlignment="1">
      <alignment horizontal="left" vertical="center"/>
    </xf>
    <xf numFmtId="2" fontId="49" fillId="11" borderId="187" xfId="0" applyNumberFormat="1" applyFont="1" applyFill="1" applyBorder="1" applyAlignment="1">
      <alignment horizontal="center" vertical="center"/>
    </xf>
    <xf numFmtId="0" fontId="49" fillId="11" borderId="186" xfId="0" applyFont="1" applyFill="1" applyBorder="1" applyAlignment="1">
      <alignment horizontal="left" vertical="center"/>
    </xf>
    <xf numFmtId="2" fontId="49" fillId="19" borderId="162" xfId="0" applyNumberFormat="1" applyFont="1" applyFill="1" applyBorder="1" applyAlignment="1">
      <alignment horizontal="center" vertical="center"/>
    </xf>
    <xf numFmtId="0" fontId="49" fillId="19" borderId="187" xfId="0" quotePrefix="1" applyFont="1" applyFill="1" applyBorder="1" applyAlignment="1">
      <alignment horizontal="center" vertical="center" wrapText="1"/>
    </xf>
    <xf numFmtId="0" fontId="49" fillId="19" borderId="187" xfId="0" applyFont="1" applyFill="1" applyBorder="1" applyAlignment="1">
      <alignment horizontal="center" vertical="center" wrapText="1"/>
    </xf>
    <xf numFmtId="0" fontId="49" fillId="19" borderId="187" xfId="0" applyFont="1" applyFill="1" applyBorder="1" applyAlignment="1">
      <alignment horizontal="center" vertical="center"/>
    </xf>
    <xf numFmtId="0" fontId="49" fillId="19" borderId="162" xfId="0" applyFont="1" applyFill="1" applyBorder="1" applyAlignment="1">
      <alignment horizontal="left" vertical="center" wrapText="1"/>
    </xf>
    <xf numFmtId="0" fontId="49" fillId="10" borderId="186" xfId="0" applyFont="1" applyFill="1" applyBorder="1" applyAlignment="1">
      <alignment horizontal="left" vertical="center" wrapText="1"/>
    </xf>
    <xf numFmtId="0" fontId="49" fillId="10" borderId="177" xfId="0" applyFont="1" applyFill="1" applyBorder="1" applyAlignment="1">
      <alignment horizontal="left" vertical="center"/>
    </xf>
    <xf numFmtId="1" fontId="49" fillId="10" borderId="187" xfId="0" applyNumberFormat="1" applyFont="1" applyFill="1" applyBorder="1" applyAlignment="1">
      <alignment horizontal="left" vertical="center" wrapText="1"/>
    </xf>
    <xf numFmtId="2" fontId="49" fillId="10" borderId="187" xfId="0" applyNumberFormat="1" applyFont="1" applyFill="1" applyBorder="1" applyAlignment="1">
      <alignment horizontal="center" vertical="center" wrapText="1"/>
    </xf>
    <xf numFmtId="0" fontId="49" fillId="10" borderId="187" xfId="0" applyFont="1" applyFill="1" applyBorder="1" applyAlignment="1">
      <alignment horizontal="center" vertical="center" wrapText="1"/>
    </xf>
    <xf numFmtId="0" fontId="49" fillId="10" borderId="187" xfId="0" applyFont="1" applyFill="1" applyBorder="1" applyAlignment="1">
      <alignment horizontal="left" vertical="center" wrapText="1"/>
    </xf>
    <xf numFmtId="0" fontId="49" fillId="7" borderId="177" xfId="0" applyFont="1" applyFill="1" applyBorder="1" applyAlignment="1">
      <alignment horizontal="left" vertical="center"/>
    </xf>
    <xf numFmtId="166" fontId="49" fillId="7" borderId="187" xfId="0" applyNumberFormat="1" applyFont="1" applyFill="1" applyBorder="1" applyAlignment="1">
      <alignment horizontal="left" vertical="center" wrapText="1"/>
    </xf>
    <xf numFmtId="0" fontId="49" fillId="7" borderId="187" xfId="0" applyFont="1" applyFill="1" applyBorder="1" applyAlignment="1">
      <alignment horizontal="center" vertical="center"/>
    </xf>
    <xf numFmtId="0" fontId="49" fillId="7" borderId="187" xfId="0" applyFont="1" applyFill="1" applyBorder="1" applyAlignment="1">
      <alignment horizontal="left" vertical="center"/>
    </xf>
    <xf numFmtId="0" fontId="49" fillId="7" borderId="186" xfId="0" applyFont="1" applyFill="1" applyBorder="1" applyAlignment="1">
      <alignment horizontal="left" vertical="center"/>
    </xf>
    <xf numFmtId="0" fontId="49" fillId="9" borderId="161" xfId="0" applyFont="1" applyFill="1" applyBorder="1" applyAlignment="1">
      <alignment horizontal="left" vertical="center"/>
    </xf>
    <xf numFmtId="166" fontId="49" fillId="9" borderId="162" xfId="0" applyNumberFormat="1" applyFont="1" applyFill="1" applyBorder="1" applyAlignment="1">
      <alignment horizontal="left" vertical="center" wrapText="1"/>
    </xf>
    <xf numFmtId="0" fontId="49" fillId="9" borderId="187" xfId="0" applyFont="1" applyFill="1" applyBorder="1" applyAlignment="1">
      <alignment horizontal="center" vertical="center"/>
    </xf>
    <xf numFmtId="0" fontId="49" fillId="9" borderId="187" xfId="0" applyFont="1" applyFill="1" applyBorder="1" applyAlignment="1">
      <alignment horizontal="left" vertical="center"/>
    </xf>
    <xf numFmtId="0" fontId="49" fillId="9" borderId="186" xfId="0" applyFont="1" applyFill="1" applyBorder="1" applyAlignment="1">
      <alignment horizontal="left" vertical="center"/>
    </xf>
    <xf numFmtId="0" fontId="29" fillId="7" borderId="188" xfId="0" applyFont="1" applyFill="1" applyBorder="1" applyAlignment="1">
      <alignment horizontal="left" vertical="center" wrapText="1"/>
    </xf>
    <xf numFmtId="0" fontId="49" fillId="10" borderId="177" xfId="0" quotePrefix="1" applyFont="1" applyFill="1" applyBorder="1" applyAlignment="1">
      <alignment horizontal="left" vertical="center"/>
    </xf>
    <xf numFmtId="0" fontId="49" fillId="10" borderId="187" xfId="0" quotePrefix="1" applyFont="1" applyFill="1" applyBorder="1" applyAlignment="1">
      <alignment horizontal="left" vertical="center"/>
    </xf>
    <xf numFmtId="0" fontId="49" fillId="10" borderId="187" xfId="0" quotePrefix="1" applyFont="1" applyFill="1" applyBorder="1" applyAlignment="1">
      <alignment horizontal="left" vertical="center" wrapText="1"/>
    </xf>
    <xf numFmtId="0" fontId="49" fillId="8" borderId="177" xfId="0" quotePrefix="1" applyFont="1" applyFill="1" applyBorder="1" applyAlignment="1">
      <alignment horizontal="left" vertical="center"/>
    </xf>
    <xf numFmtId="0" fontId="49" fillId="8" borderId="187" xfId="0" quotePrefix="1" applyFont="1" applyFill="1" applyBorder="1" applyAlignment="1">
      <alignment horizontal="left" vertical="center" wrapText="1"/>
    </xf>
    <xf numFmtId="0" fontId="49" fillId="11" borderId="177" xfId="0" applyFont="1" applyFill="1" applyBorder="1" applyAlignment="1">
      <alignment horizontal="left" vertical="center" wrapText="1"/>
    </xf>
    <xf numFmtId="0" fontId="49" fillId="19" borderId="187" xfId="0" quotePrefix="1" applyFont="1" applyFill="1" applyBorder="1" applyAlignment="1">
      <alignment horizontal="left" vertical="center"/>
    </xf>
    <xf numFmtId="166" fontId="49" fillId="9" borderId="177" xfId="0" applyNumberFormat="1" applyFont="1" applyFill="1" applyBorder="1" applyAlignment="1">
      <alignment horizontal="left" vertical="center" wrapText="1"/>
    </xf>
    <xf numFmtId="166" fontId="49" fillId="9" borderId="187" xfId="0" applyNumberFormat="1" applyFont="1" applyFill="1" applyBorder="1" applyAlignment="1">
      <alignment horizontal="left" vertical="center" wrapText="1"/>
    </xf>
    <xf numFmtId="164" fontId="49" fillId="8" borderId="187" xfId="0" applyNumberFormat="1" applyFont="1" applyFill="1" applyBorder="1" applyAlignment="1">
      <alignment horizontal="left" vertical="center"/>
    </xf>
    <xf numFmtId="0" fontId="49" fillId="8" borderId="187" xfId="0" quotePrefix="1" applyFont="1" applyFill="1" applyBorder="1" applyAlignment="1">
      <alignment horizontal="left" vertical="center"/>
    </xf>
    <xf numFmtId="0" fontId="49" fillId="8" borderId="187" xfId="0" applyFont="1" applyFill="1" applyBorder="1" applyAlignment="1">
      <alignment horizontal="left" vertical="center"/>
    </xf>
    <xf numFmtId="164" fontId="49" fillId="11" borderId="187" xfId="0" applyNumberFormat="1" applyFont="1" applyFill="1" applyBorder="1" applyAlignment="1">
      <alignment horizontal="left" vertical="center" wrapText="1"/>
    </xf>
    <xf numFmtId="164" fontId="49" fillId="19" borderId="187" xfId="0" applyNumberFormat="1" applyFont="1" applyFill="1" applyBorder="1" applyAlignment="1">
      <alignment horizontal="left" vertical="center"/>
    </xf>
    <xf numFmtId="0" fontId="49" fillId="19" borderId="187" xfId="0" applyFont="1" applyFill="1" applyBorder="1" applyAlignment="1">
      <alignment horizontal="left" vertical="center"/>
    </xf>
    <xf numFmtId="0" fontId="49" fillId="19" borderId="186" xfId="0" applyFont="1" applyFill="1" applyBorder="1" applyAlignment="1">
      <alignment horizontal="left" vertical="center" wrapText="1"/>
    </xf>
    <xf numFmtId="164" fontId="49" fillId="9" borderId="187" xfId="0" applyNumberFormat="1" applyFont="1" applyFill="1" applyBorder="1" applyAlignment="1">
      <alignment horizontal="left" vertical="center" wrapText="1"/>
    </xf>
    <xf numFmtId="1" fontId="49" fillId="9" borderId="187" xfId="0" applyNumberFormat="1" applyFont="1" applyFill="1" applyBorder="1" applyAlignment="1">
      <alignment horizontal="left" vertical="center" wrapText="1"/>
    </xf>
    <xf numFmtId="166" fontId="49" fillId="9" borderId="186" xfId="0" applyNumberFormat="1" applyFont="1" applyFill="1" applyBorder="1" applyAlignment="1">
      <alignment horizontal="left" vertical="center" wrapText="1"/>
    </xf>
    <xf numFmtId="166" fontId="49" fillId="9" borderId="158" xfId="0" applyNumberFormat="1" applyFont="1" applyFill="1" applyBorder="1" applyAlignment="1">
      <alignment horizontal="left" vertical="center" wrapText="1"/>
    </xf>
    <xf numFmtId="166" fontId="49" fillId="9" borderId="180" xfId="0" applyNumberFormat="1" applyFont="1" applyFill="1" applyBorder="1" applyAlignment="1">
      <alignment horizontal="left" vertical="center" wrapText="1"/>
    </xf>
    <xf numFmtId="164" fontId="49" fillId="9" borderId="180" xfId="0" applyNumberFormat="1" applyFont="1" applyFill="1" applyBorder="1" applyAlignment="1">
      <alignment horizontal="left" vertical="center" wrapText="1"/>
    </xf>
    <xf numFmtId="1" fontId="49" fillId="9" borderId="180" xfId="0" applyNumberFormat="1" applyFont="1" applyFill="1" applyBorder="1" applyAlignment="1">
      <alignment horizontal="left" vertical="center" wrapText="1"/>
    </xf>
    <xf numFmtId="166" fontId="49" fillId="9" borderId="160" xfId="0" applyNumberFormat="1" applyFont="1" applyFill="1" applyBorder="1" applyAlignment="1">
      <alignment horizontal="left" vertical="center" wrapText="1"/>
    </xf>
    <xf numFmtId="0" fontId="46" fillId="7" borderId="6" xfId="0" quotePrefix="1" applyFont="1" applyFill="1" applyBorder="1" applyAlignment="1">
      <alignment horizontal="left" vertical="center" wrapText="1"/>
    </xf>
    <xf numFmtId="0" fontId="53" fillId="20" borderId="187" xfId="0" applyFont="1" applyFill="1" applyBorder="1" applyAlignment="1">
      <alignment horizontal="left" vertical="center" wrapText="1"/>
    </xf>
    <xf numFmtId="0" fontId="53" fillId="20" borderId="187" xfId="0" applyFont="1" applyFill="1" applyBorder="1" applyAlignment="1">
      <alignment horizontal="center" vertical="center" wrapText="1"/>
    </xf>
    <xf numFmtId="0" fontId="101" fillId="20" borderId="72" xfId="0" applyFont="1" applyFill="1" applyBorder="1" applyAlignment="1">
      <alignment horizontal="left" vertical="center"/>
    </xf>
    <xf numFmtId="0" fontId="101" fillId="20" borderId="8" xfId="0" applyFont="1" applyFill="1" applyBorder="1" applyAlignment="1">
      <alignment horizontal="left" vertical="center"/>
    </xf>
    <xf numFmtId="0" fontId="101" fillId="20" borderId="122" xfId="0" applyFont="1" applyFill="1" applyBorder="1" applyAlignment="1">
      <alignment horizontal="left" vertical="center"/>
    </xf>
    <xf numFmtId="0" fontId="101" fillId="20" borderId="186" xfId="0" applyFont="1" applyFill="1" applyBorder="1" applyAlignment="1">
      <alignment horizontal="left" vertical="center"/>
    </xf>
    <xf numFmtId="0" fontId="101" fillId="20" borderId="11" xfId="0" applyFont="1" applyFill="1" applyBorder="1" applyAlignment="1">
      <alignment horizontal="left" vertical="center"/>
    </xf>
    <xf numFmtId="166" fontId="49" fillId="10" borderId="187" xfId="0" applyNumberFormat="1" applyFont="1" applyFill="1" applyBorder="1" applyAlignment="1">
      <alignment horizontal="center" vertical="center" wrapText="1"/>
    </xf>
    <xf numFmtId="0" fontId="53" fillId="10" borderId="187" xfId="0" applyFont="1" applyFill="1" applyBorder="1" applyAlignment="1">
      <alignment horizontal="center" vertical="center" wrapText="1"/>
    </xf>
    <xf numFmtId="166" fontId="53" fillId="10" borderId="187" xfId="0" applyNumberFormat="1" applyFont="1" applyFill="1" applyBorder="1" applyAlignment="1">
      <alignment horizontal="center" vertical="center" wrapText="1"/>
    </xf>
    <xf numFmtId="0" fontId="49" fillId="8" borderId="192" xfId="0" applyFont="1" applyFill="1" applyBorder="1" applyAlignment="1">
      <alignment horizontal="center" vertical="center" wrapText="1"/>
    </xf>
    <xf numFmtId="0" fontId="49" fillId="11" borderId="192" xfId="0" applyFont="1" applyFill="1" applyBorder="1" applyAlignment="1">
      <alignment horizontal="center" vertical="center" wrapText="1"/>
    </xf>
    <xf numFmtId="2" fontId="49" fillId="11" borderId="192" xfId="0" applyNumberFormat="1" applyFont="1" applyFill="1" applyBorder="1" applyAlignment="1">
      <alignment horizontal="center" vertical="center" wrapText="1"/>
    </xf>
    <xf numFmtId="0" fontId="49" fillId="11" borderId="192" xfId="0" applyFont="1" applyFill="1" applyBorder="1" applyAlignment="1">
      <alignment horizontal="center" vertical="center"/>
    </xf>
    <xf numFmtId="0" fontId="53" fillId="7" borderId="192" xfId="0" applyFont="1" applyFill="1" applyBorder="1" applyAlignment="1">
      <alignment horizontal="center" vertical="center" wrapText="1"/>
    </xf>
    <xf numFmtId="0" fontId="49" fillId="7" borderId="192" xfId="0" applyFont="1" applyFill="1" applyBorder="1" applyAlignment="1">
      <alignment horizontal="center" vertical="center"/>
    </xf>
    <xf numFmtId="0" fontId="53" fillId="9" borderId="192" xfId="0" applyFont="1" applyFill="1" applyBorder="1" applyAlignment="1">
      <alignment horizontal="center" vertical="center" wrapText="1"/>
    </xf>
    <xf numFmtId="0" fontId="49" fillId="9" borderId="192" xfId="0" applyFont="1" applyFill="1" applyBorder="1" applyAlignment="1">
      <alignment horizontal="center" vertical="center"/>
    </xf>
    <xf numFmtId="0" fontId="10" fillId="0" borderId="0" xfId="47" applyAlignment="1">
      <alignment horizontal="left" vertical="center"/>
    </xf>
    <xf numFmtId="0" fontId="46" fillId="0" borderId="81" xfId="48" applyFont="1" applyBorder="1" applyAlignment="1">
      <alignment horizontal="left" vertical="center"/>
    </xf>
    <xf numFmtId="0" fontId="49" fillId="0" borderId="81" xfId="48" applyFont="1" applyBorder="1" applyAlignment="1">
      <alignment horizontal="left" vertical="center"/>
    </xf>
    <xf numFmtId="0" fontId="49" fillId="0" borderId="81" xfId="48" applyFont="1" applyBorder="1" applyAlignment="1">
      <alignment horizontal="left" vertical="center" wrapText="1"/>
    </xf>
    <xf numFmtId="0" fontId="49" fillId="0" borderId="81" xfId="48" applyFont="1" applyBorder="1" applyAlignment="1">
      <alignment horizontal="left"/>
    </xf>
    <xf numFmtId="0" fontId="49" fillId="0" borderId="81" xfId="48" applyFont="1" applyBorder="1" applyAlignment="1">
      <alignment horizontal="center" vertical="center"/>
    </xf>
    <xf numFmtId="166" fontId="49" fillId="8" borderId="192" xfId="0" applyNumberFormat="1" applyFont="1" applyFill="1" applyBorder="1" applyAlignment="1">
      <alignment horizontal="center" vertical="center" wrapText="1"/>
    </xf>
    <xf numFmtId="2" fontId="49" fillId="11" borderId="192" xfId="0" applyNumberFormat="1" applyFont="1" applyFill="1" applyBorder="1" applyAlignment="1">
      <alignment horizontal="center" vertical="center"/>
    </xf>
    <xf numFmtId="2" fontId="49" fillId="9" borderId="192" xfId="0" applyNumberFormat="1" applyFont="1" applyFill="1" applyBorder="1" applyAlignment="1">
      <alignment horizontal="center" vertical="center" wrapText="1"/>
    </xf>
    <xf numFmtId="2" fontId="49" fillId="7" borderId="192" xfId="0" applyNumberFormat="1" applyFont="1" applyFill="1" applyBorder="1" applyAlignment="1">
      <alignment horizontal="center" vertical="center" wrapText="1"/>
    </xf>
    <xf numFmtId="2" fontId="49" fillId="20" borderId="187" xfId="0" applyNumberFormat="1" applyFont="1" applyFill="1" applyBorder="1" applyAlignment="1">
      <alignment horizontal="center" vertical="center" wrapText="1"/>
    </xf>
    <xf numFmtId="164" fontId="49" fillId="22" borderId="194" xfId="0" applyNumberFormat="1" applyFont="1" applyFill="1" applyBorder="1" applyAlignment="1">
      <alignment horizontal="left" vertical="center"/>
    </xf>
    <xf numFmtId="0" fontId="49" fillId="22" borderId="194" xfId="0" applyFont="1" applyFill="1" applyBorder="1" applyAlignment="1">
      <alignment horizontal="left" vertical="center"/>
    </xf>
    <xf numFmtId="0" fontId="46" fillId="7" borderId="8" xfId="0" applyFont="1" applyFill="1" applyBorder="1" applyAlignment="1">
      <alignment horizontal="left" vertical="center" wrapText="1"/>
    </xf>
    <xf numFmtId="0" fontId="49" fillId="8" borderId="186" xfId="0" applyFont="1" applyFill="1" applyBorder="1" applyAlignment="1">
      <alignment horizontal="left" vertical="center"/>
    </xf>
    <xf numFmtId="0" fontId="46" fillId="0" borderId="122" xfId="0" applyFont="1" applyBorder="1" applyAlignment="1">
      <alignment horizontal="left" vertical="center"/>
    </xf>
    <xf numFmtId="0" fontId="46" fillId="0" borderId="124" xfId="0" applyFont="1" applyBorder="1" applyAlignment="1">
      <alignment horizontal="left" vertical="center"/>
    </xf>
    <xf numFmtId="0" fontId="46" fillId="0" borderId="157" xfId="0" applyFont="1" applyBorder="1" applyAlignment="1">
      <alignment horizontal="left" vertical="center"/>
    </xf>
    <xf numFmtId="0" fontId="46" fillId="0" borderId="38" xfId="0" applyFont="1" applyBorder="1" applyAlignment="1">
      <alignment horizontal="left" vertical="center"/>
    </xf>
    <xf numFmtId="0" fontId="46" fillId="0" borderId="8" xfId="0" applyFont="1" applyBorder="1" applyAlignment="1">
      <alignment horizontal="left" vertical="center"/>
    </xf>
    <xf numFmtId="0" fontId="46" fillId="0" borderId="160" xfId="0" applyFont="1" applyBorder="1" applyAlignment="1">
      <alignment horizontal="left" vertical="center"/>
    </xf>
    <xf numFmtId="0" fontId="49" fillId="0" borderId="72" xfId="0" applyFont="1" applyBorder="1" applyAlignment="1">
      <alignment horizontal="left" vertical="center" wrapText="1"/>
    </xf>
    <xf numFmtId="0" fontId="49" fillId="0" borderId="11" xfId="0" applyFont="1" applyBorder="1" applyAlignment="1">
      <alignment horizontal="left" vertical="center" wrapText="1"/>
    </xf>
    <xf numFmtId="0" fontId="46" fillId="0" borderId="128" xfId="0" applyFont="1" applyBorder="1" applyAlignment="1">
      <alignment horizontal="left" vertical="center"/>
    </xf>
    <xf numFmtId="0" fontId="49" fillId="0" borderId="123" xfId="0" applyFont="1" applyBorder="1" applyAlignment="1">
      <alignment horizontal="left" vertical="center" wrapText="1"/>
    </xf>
    <xf numFmtId="0" fontId="49" fillId="22" borderId="193" xfId="0" applyFont="1" applyFill="1" applyBorder="1" applyAlignment="1">
      <alignment horizontal="left" vertical="center"/>
    </xf>
    <xf numFmtId="0" fontId="49" fillId="22" borderId="195" xfId="0" applyFont="1" applyFill="1" applyBorder="1" applyAlignment="1">
      <alignment horizontal="left" vertical="center"/>
    </xf>
    <xf numFmtId="0" fontId="46" fillId="8" borderId="6" xfId="0" applyFont="1" applyFill="1" applyBorder="1" applyAlignment="1">
      <alignment horizontal="left" vertical="center"/>
    </xf>
    <xf numFmtId="0" fontId="46" fillId="21" borderId="6" xfId="0" applyFont="1" applyFill="1" applyBorder="1" applyAlignment="1">
      <alignment horizontal="left" vertical="center"/>
    </xf>
    <xf numFmtId="0" fontId="46" fillId="22" borderId="6" xfId="0" applyFont="1" applyFill="1" applyBorder="1" applyAlignment="1">
      <alignment horizontal="left" vertical="center"/>
    </xf>
    <xf numFmtId="0" fontId="46" fillId="20" borderId="6" xfId="0" applyFont="1" applyFill="1" applyBorder="1" applyAlignment="1">
      <alignment horizontal="left" vertical="center"/>
    </xf>
    <xf numFmtId="0" fontId="46" fillId="11" borderId="6" xfId="0" applyFont="1" applyFill="1" applyBorder="1" applyAlignment="1">
      <alignment horizontal="left" vertical="center"/>
    </xf>
    <xf numFmtId="0" fontId="46" fillId="0" borderId="92" xfId="0" applyFont="1" applyBorder="1" applyAlignment="1">
      <alignment horizontal="left" vertical="center"/>
    </xf>
    <xf numFmtId="2" fontId="49" fillId="0" borderId="154" xfId="0" applyNumberFormat="1" applyFont="1" applyBorder="1" applyAlignment="1">
      <alignment horizontal="left" vertical="center"/>
    </xf>
    <xf numFmtId="2" fontId="49" fillId="0" borderId="159" xfId="0" applyNumberFormat="1" applyFont="1" applyBorder="1" applyAlignment="1">
      <alignment horizontal="left" vertical="center"/>
    </xf>
    <xf numFmtId="0" fontId="49" fillId="0" borderId="160" xfId="0" applyFont="1" applyBorder="1" applyAlignment="1">
      <alignment horizontal="left" vertical="center"/>
    </xf>
    <xf numFmtId="0" fontId="46" fillId="10" borderId="88" xfId="0" applyFont="1" applyFill="1" applyBorder="1" applyAlignment="1">
      <alignment horizontal="left" vertical="center"/>
    </xf>
    <xf numFmtId="0" fontId="46" fillId="10" borderId="8" xfId="0" applyFont="1" applyFill="1" applyBorder="1" applyAlignment="1">
      <alignment horizontal="left" vertical="center"/>
    </xf>
    <xf numFmtId="0" fontId="46" fillId="10" borderId="11" xfId="0" applyFont="1" applyFill="1" applyBorder="1" applyAlignment="1">
      <alignment horizontal="left" vertical="center"/>
    </xf>
    <xf numFmtId="0" fontId="46" fillId="7" borderId="88" xfId="0" applyFont="1" applyFill="1" applyBorder="1" applyAlignment="1">
      <alignment horizontal="left" vertical="center"/>
    </xf>
    <xf numFmtId="0" fontId="46" fillId="7" borderId="8" xfId="0" applyFont="1" applyFill="1" applyBorder="1" applyAlignment="1">
      <alignment horizontal="left" vertical="center"/>
    </xf>
    <xf numFmtId="0" fontId="46" fillId="7" borderId="11" xfId="0" applyFont="1" applyFill="1" applyBorder="1" applyAlignment="1">
      <alignment horizontal="left" vertical="center"/>
    </xf>
    <xf numFmtId="0" fontId="49" fillId="8" borderId="38" xfId="0" applyFont="1" applyFill="1" applyBorder="1" applyAlignment="1">
      <alignment horizontal="left" vertical="center"/>
    </xf>
    <xf numFmtId="0" fontId="49" fillId="8" borderId="122" xfId="0" applyFont="1" applyFill="1" applyBorder="1" applyAlignment="1">
      <alignment horizontal="left" vertical="center"/>
    </xf>
    <xf numFmtId="0" fontId="49" fillId="8" borderId="124" xfId="0" applyFont="1" applyFill="1" applyBorder="1" applyAlignment="1">
      <alignment horizontal="left" vertical="center"/>
    </xf>
    <xf numFmtId="2" fontId="49" fillId="25" borderId="15" xfId="0" applyNumberFormat="1" applyFont="1" applyFill="1" applyBorder="1" applyAlignment="1">
      <alignment horizontal="left" vertical="center"/>
    </xf>
    <xf numFmtId="0" fontId="49" fillId="25" borderId="38" xfId="0" applyFont="1" applyFill="1" applyBorder="1" applyAlignment="1">
      <alignment horizontal="left" vertical="center"/>
    </xf>
    <xf numFmtId="0" fontId="49" fillId="25" borderId="8" xfId="0" applyFont="1" applyFill="1" applyBorder="1" applyAlignment="1">
      <alignment horizontal="left" vertical="center"/>
    </xf>
    <xf numFmtId="165" fontId="49" fillId="25" borderId="10" xfId="0" applyNumberFormat="1" applyFont="1" applyFill="1" applyBorder="1" applyAlignment="1">
      <alignment horizontal="left" vertical="center"/>
    </xf>
    <xf numFmtId="0" fontId="49" fillId="25" borderId="11" xfId="0" applyFont="1" applyFill="1" applyBorder="1" applyAlignment="1">
      <alignment horizontal="left" vertical="center"/>
    </xf>
    <xf numFmtId="0" fontId="49" fillId="11" borderId="11" xfId="0" applyFont="1" applyFill="1" applyBorder="1" applyAlignment="1">
      <alignment horizontal="left" vertical="center"/>
    </xf>
    <xf numFmtId="164" fontId="49" fillId="12" borderId="117" xfId="0" applyNumberFormat="1" applyFont="1" applyFill="1" applyBorder="1" applyAlignment="1">
      <alignment horizontal="left" vertical="center"/>
    </xf>
    <xf numFmtId="0" fontId="49" fillId="12" borderId="118" xfId="0" applyFont="1" applyFill="1" applyBorder="1" applyAlignment="1">
      <alignment horizontal="left" vertical="center"/>
    </xf>
    <xf numFmtId="164" fontId="49" fillId="12" borderId="108" xfId="0" applyNumberFormat="1" applyFont="1" applyFill="1" applyBorder="1" applyAlignment="1">
      <alignment horizontal="left" vertical="center"/>
    </xf>
    <xf numFmtId="0" fontId="49" fillId="12" borderId="122" xfId="0" applyFont="1" applyFill="1" applyBorder="1" applyAlignment="1">
      <alignment horizontal="left" vertical="center"/>
    </xf>
    <xf numFmtId="0" fontId="49" fillId="12" borderId="124" xfId="0" applyFont="1" applyFill="1" applyBorder="1" applyAlignment="1">
      <alignment horizontal="left" vertical="center"/>
    </xf>
    <xf numFmtId="2" fontId="49" fillId="12" borderId="15" xfId="0" applyNumberFormat="1" applyFont="1" applyFill="1" applyBorder="1" applyAlignment="1">
      <alignment horizontal="left" vertical="center"/>
    </xf>
    <xf numFmtId="0" fontId="49" fillId="12" borderId="38" xfId="0" applyFont="1" applyFill="1" applyBorder="1" applyAlignment="1">
      <alignment horizontal="left" vertical="center"/>
    </xf>
    <xf numFmtId="165" fontId="49" fillId="12" borderId="10" xfId="0" applyNumberFormat="1" applyFont="1" applyFill="1" applyBorder="1" applyAlignment="1">
      <alignment horizontal="left" vertical="center"/>
    </xf>
    <xf numFmtId="0" fontId="49" fillId="0" borderId="101" xfId="0" applyFont="1" applyBorder="1" applyAlignment="1">
      <alignment horizontal="left" vertical="center"/>
    </xf>
    <xf numFmtId="164" fontId="49" fillId="10" borderId="187" xfId="0" applyNumberFormat="1" applyFont="1" applyFill="1" applyBorder="1" applyAlignment="1">
      <alignment horizontal="left" vertical="center"/>
    </xf>
    <xf numFmtId="0" fontId="46" fillId="8" borderId="8" xfId="0" applyFont="1" applyFill="1" applyBorder="1" applyAlignment="1">
      <alignment horizontal="left" vertical="center"/>
    </xf>
    <xf numFmtId="0" fontId="46" fillId="21" borderId="8" xfId="0" applyFont="1" applyFill="1" applyBorder="1" applyAlignment="1">
      <alignment horizontal="left" vertical="center"/>
    </xf>
    <xf numFmtId="0" fontId="46" fillId="22" borderId="8" xfId="0" applyFont="1" applyFill="1" applyBorder="1" applyAlignment="1">
      <alignment horizontal="left" vertical="center"/>
    </xf>
    <xf numFmtId="0" fontId="46" fillId="20" borderId="8" xfId="0" applyFont="1" applyFill="1" applyBorder="1" applyAlignment="1">
      <alignment horizontal="left" vertical="center"/>
    </xf>
    <xf numFmtId="0" fontId="46" fillId="11" borderId="8" xfId="0" applyFont="1" applyFill="1" applyBorder="1" applyAlignment="1">
      <alignment horizontal="left" vertical="center"/>
    </xf>
    <xf numFmtId="0" fontId="46" fillId="9" borderId="8" xfId="0" applyFont="1" applyFill="1" applyBorder="1" applyAlignment="1">
      <alignment horizontal="left" vertical="center"/>
    </xf>
    <xf numFmtId="2" fontId="49" fillId="20" borderId="84" xfId="0" applyNumberFormat="1" applyFont="1" applyFill="1" applyBorder="1" applyAlignment="1">
      <alignment horizontal="left" vertical="center"/>
    </xf>
    <xf numFmtId="2" fontId="49" fillId="20" borderId="15" xfId="0" applyNumberFormat="1" applyFont="1" applyFill="1" applyBorder="1" applyAlignment="1">
      <alignment horizontal="left" vertical="center"/>
    </xf>
    <xf numFmtId="0" fontId="73" fillId="7" borderId="125" xfId="0" applyFont="1" applyFill="1" applyBorder="1" applyAlignment="1">
      <alignment horizontal="left" vertical="center"/>
    </xf>
    <xf numFmtId="0" fontId="73" fillId="7" borderId="170" xfId="0" applyFont="1" applyFill="1" applyBorder="1" applyAlignment="1">
      <alignment horizontal="left" vertical="center" wrapText="1"/>
    </xf>
    <xf numFmtId="0" fontId="73" fillId="7" borderId="170" xfId="0" applyFont="1" applyFill="1" applyBorder="1" applyAlignment="1">
      <alignment horizontal="left" vertical="center"/>
    </xf>
    <xf numFmtId="0" fontId="49" fillId="0" borderId="14" xfId="0" applyFont="1" applyBorder="1" applyAlignment="1">
      <alignment horizontal="left" vertical="center" wrapText="1"/>
    </xf>
    <xf numFmtId="0" fontId="46" fillId="0" borderId="145" xfId="0" applyFont="1" applyBorder="1" applyAlignment="1">
      <alignment horizontal="left" vertical="center" wrapText="1"/>
    </xf>
    <xf numFmtId="0" fontId="46" fillId="0" borderId="154" xfId="0" applyFont="1" applyBorder="1" applyAlignment="1">
      <alignment horizontal="left" vertical="center" wrapText="1"/>
    </xf>
    <xf numFmtId="8" fontId="49" fillId="0" borderId="15" xfId="0" applyNumberFormat="1" applyFont="1" applyBorder="1" applyAlignment="1">
      <alignment horizontal="left" vertical="center" wrapText="1"/>
    </xf>
    <xf numFmtId="8" fontId="0" fillId="0" borderId="15" xfId="0" applyNumberFormat="1" applyBorder="1" applyAlignment="1">
      <alignment horizontal="left" vertical="center" wrapText="1"/>
    </xf>
    <xf numFmtId="166" fontId="49" fillId="0" borderId="159" xfId="0" applyNumberFormat="1" applyFont="1" applyBorder="1" applyAlignment="1">
      <alignment horizontal="left" vertical="center" wrapText="1"/>
    </xf>
    <xf numFmtId="0" fontId="46" fillId="0" borderId="15" xfId="0" applyFont="1" applyBorder="1" applyAlignment="1">
      <alignment horizontal="left" vertical="center" wrapText="1"/>
    </xf>
    <xf numFmtId="0" fontId="46" fillId="0" borderId="159" xfId="0" applyFont="1" applyBorder="1" applyAlignment="1">
      <alignment horizontal="left" vertical="center" wrapText="1"/>
    </xf>
    <xf numFmtId="0" fontId="46" fillId="0" borderId="154" xfId="0" quotePrefix="1" applyFont="1" applyBorder="1" applyAlignment="1">
      <alignment horizontal="left" vertical="center" wrapText="1"/>
    </xf>
    <xf numFmtId="0" fontId="46" fillId="0" borderId="159" xfId="0" quotePrefix="1" applyFont="1" applyBorder="1" applyAlignment="1">
      <alignment horizontal="left" vertical="center" wrapText="1"/>
    </xf>
    <xf numFmtId="0" fontId="49" fillId="0" borderId="13" xfId="0" applyFont="1" applyBorder="1" applyAlignment="1">
      <alignment horizontal="left" vertical="center" wrapText="1"/>
    </xf>
    <xf numFmtId="0" fontId="49" fillId="0" borderId="85" xfId="0" applyFont="1" applyBorder="1" applyAlignment="1">
      <alignment horizontal="left" vertical="center" wrapText="1"/>
    </xf>
    <xf numFmtId="0" fontId="46" fillId="10" borderId="84" xfId="0" quotePrefix="1" applyFont="1" applyFill="1" applyBorder="1" applyAlignment="1">
      <alignment horizontal="left" vertical="center" wrapText="1"/>
    </xf>
    <xf numFmtId="0" fontId="46" fillId="10" borderId="83" xfId="0" quotePrefix="1" applyFont="1" applyFill="1" applyBorder="1" applyAlignment="1">
      <alignment horizontal="left" vertical="center" wrapText="1"/>
    </xf>
    <xf numFmtId="0" fontId="46" fillId="10" borderId="6" xfId="0" quotePrefix="1" applyFont="1" applyFill="1" applyBorder="1" applyAlignment="1">
      <alignment horizontal="left" vertical="center" wrapText="1"/>
    </xf>
    <xf numFmtId="0" fontId="46" fillId="10" borderId="10" xfId="0" quotePrefix="1" applyFont="1" applyFill="1" applyBorder="1" applyAlignment="1">
      <alignment horizontal="left" vertical="center" wrapText="1"/>
    </xf>
    <xf numFmtId="0" fontId="46" fillId="7" borderId="84" xfId="0" applyFont="1" applyFill="1" applyBorder="1" applyAlignment="1">
      <alignment horizontal="left" vertical="center" wrapText="1"/>
    </xf>
    <xf numFmtId="0" fontId="46" fillId="7" borderId="84" xfId="0" quotePrefix="1" applyFont="1" applyFill="1" applyBorder="1" applyAlignment="1">
      <alignment horizontal="left" vertical="center" wrapText="1"/>
    </xf>
    <xf numFmtId="0" fontId="46" fillId="7" borderId="83" xfId="0" applyFont="1" applyFill="1" applyBorder="1" applyAlignment="1">
      <alignment horizontal="left" vertical="center" wrapText="1"/>
    </xf>
    <xf numFmtId="0" fontId="46" fillId="7" borderId="83" xfId="0" quotePrefix="1" applyFont="1" applyFill="1" applyBorder="1" applyAlignment="1">
      <alignment horizontal="left" vertical="center" wrapText="1"/>
    </xf>
    <xf numFmtId="0" fontId="46" fillId="7" borderId="97" xfId="0" quotePrefix="1" applyFont="1" applyFill="1" applyBorder="1" applyAlignment="1">
      <alignment horizontal="left" vertical="center" wrapText="1"/>
    </xf>
    <xf numFmtId="0" fontId="46" fillId="7" borderId="10" xfId="0" quotePrefix="1" applyFont="1" applyFill="1" applyBorder="1" applyAlignment="1">
      <alignment horizontal="left" vertical="center" wrapText="1"/>
    </xf>
    <xf numFmtId="0" fontId="49" fillId="8" borderId="83" xfId="0" quotePrefix="1" applyFont="1" applyFill="1" applyBorder="1" applyAlignment="1">
      <alignment horizontal="left" vertical="center" wrapText="1"/>
    </xf>
    <xf numFmtId="0" fontId="49" fillId="8" borderId="6" xfId="0" quotePrefix="1" applyFont="1" applyFill="1" applyBorder="1" applyAlignment="1">
      <alignment horizontal="left" vertical="center" wrapText="1"/>
    </xf>
    <xf numFmtId="0" fontId="49" fillId="8" borderId="84" xfId="0" quotePrefix="1" applyFont="1" applyFill="1" applyBorder="1" applyAlignment="1">
      <alignment horizontal="left" vertical="center" wrapText="1"/>
    </xf>
    <xf numFmtId="0" fontId="49" fillId="8" borderId="15" xfId="0" quotePrefix="1" applyFont="1" applyFill="1" applyBorder="1" applyAlignment="1">
      <alignment horizontal="left" vertical="center" wrapText="1"/>
    </xf>
    <xf numFmtId="0" fontId="49" fillId="8" borderId="145" xfId="0" quotePrefix="1" applyFont="1" applyFill="1" applyBorder="1" applyAlignment="1">
      <alignment horizontal="left" vertical="center" wrapText="1"/>
    </xf>
    <xf numFmtId="0" fontId="49" fillId="8" borderId="120" xfId="0" quotePrefix="1" applyFont="1" applyFill="1" applyBorder="1" applyAlignment="1">
      <alignment horizontal="left" vertical="center" wrapText="1"/>
    </xf>
    <xf numFmtId="0" fontId="49" fillId="25" borderId="15" xfId="0" quotePrefix="1" applyFont="1" applyFill="1" applyBorder="1" applyAlignment="1">
      <alignment horizontal="left" vertical="center" wrapText="1"/>
    </xf>
    <xf numFmtId="0" fontId="49" fillId="25" borderId="6" xfId="0" quotePrefix="1" applyFont="1" applyFill="1" applyBorder="1" applyAlignment="1">
      <alignment horizontal="left" vertical="center" wrapText="1"/>
    </xf>
    <xf numFmtId="0" fontId="49" fillId="25" borderId="10" xfId="0" quotePrefix="1" applyFont="1" applyFill="1" applyBorder="1" applyAlignment="1">
      <alignment horizontal="left" vertical="center" wrapText="1"/>
    </xf>
    <xf numFmtId="0" fontId="49" fillId="11" borderId="154" xfId="0" quotePrefix="1" applyFont="1" applyFill="1" applyBorder="1" applyAlignment="1">
      <alignment horizontal="left" vertical="center" wrapText="1"/>
    </xf>
    <xf numFmtId="0" fontId="49" fillId="11" borderId="6" xfId="0" quotePrefix="1" applyFont="1" applyFill="1" applyBorder="1" applyAlignment="1">
      <alignment horizontal="left" vertical="center" wrapText="1"/>
    </xf>
    <xf numFmtId="0" fontId="49" fillId="11" borderId="83" xfId="0" quotePrefix="1" applyFont="1" applyFill="1" applyBorder="1" applyAlignment="1">
      <alignment horizontal="left" vertical="center" wrapText="1"/>
    </xf>
    <xf numFmtId="0" fontId="49" fillId="11" borderId="10" xfId="0" quotePrefix="1" applyFont="1" applyFill="1" applyBorder="1" applyAlignment="1">
      <alignment horizontal="left" vertical="center" wrapText="1"/>
    </xf>
    <xf numFmtId="0" fontId="49" fillId="12" borderId="117" xfId="0" quotePrefix="1" applyFont="1" applyFill="1" applyBorder="1" applyAlignment="1">
      <alignment horizontal="left" vertical="center" wrapText="1"/>
    </xf>
    <xf numFmtId="0" fontId="49" fillId="12" borderId="108" xfId="0" quotePrefix="1" applyFont="1" applyFill="1" applyBorder="1" applyAlignment="1">
      <alignment horizontal="left" vertical="center" wrapText="1"/>
    </xf>
    <xf numFmtId="0" fontId="49" fillId="12" borderId="120" xfId="0" quotePrefix="1" applyFont="1" applyFill="1" applyBorder="1" applyAlignment="1">
      <alignment horizontal="left" vertical="center" wrapText="1"/>
    </xf>
    <xf numFmtId="0" fontId="49" fillId="12" borderId="84" xfId="0" quotePrefix="1" applyFont="1" applyFill="1" applyBorder="1" applyAlignment="1">
      <alignment horizontal="left" vertical="center" wrapText="1"/>
    </xf>
    <xf numFmtId="0" fontId="49" fillId="12" borderId="15" xfId="0" quotePrefix="1" applyFont="1" applyFill="1" applyBorder="1" applyAlignment="1">
      <alignment horizontal="left" vertical="center" wrapText="1"/>
    </xf>
    <xf numFmtId="0" fontId="49" fillId="12" borderId="83" xfId="0" quotePrefix="1" applyFont="1" applyFill="1" applyBorder="1" applyAlignment="1">
      <alignment horizontal="left" vertical="center" wrapText="1"/>
    </xf>
    <xf numFmtId="0" fontId="49" fillId="12" borderId="6" xfId="0" quotePrefix="1" applyFont="1" applyFill="1" applyBorder="1" applyAlignment="1">
      <alignment horizontal="left" vertical="center" wrapText="1"/>
    </xf>
    <xf numFmtId="0" fontId="49" fillId="12" borderId="10" xfId="0" quotePrefix="1" applyFont="1" applyFill="1" applyBorder="1" applyAlignment="1">
      <alignment horizontal="left" vertical="center" wrapText="1"/>
    </xf>
    <xf numFmtId="0" fontId="49" fillId="0" borderId="128" xfId="0" quotePrefix="1" applyFont="1" applyBorder="1" applyAlignment="1">
      <alignment horizontal="left" vertical="center" wrapText="1"/>
    </xf>
    <xf numFmtId="0" fontId="49" fillId="22" borderId="194" xfId="0" applyFont="1" applyFill="1" applyBorder="1" applyAlignment="1">
      <alignment horizontal="left" vertical="center" wrapText="1"/>
    </xf>
    <xf numFmtId="0" fontId="49" fillId="0" borderId="83" xfId="0" quotePrefix="1" applyFont="1" applyBorder="1" applyAlignment="1">
      <alignment horizontal="left" vertical="center" wrapText="1"/>
    </xf>
    <xf numFmtId="0" fontId="49" fillId="20" borderId="154" xfId="0" applyFont="1" applyFill="1" applyBorder="1" applyAlignment="1">
      <alignment horizontal="left" vertical="center" wrapText="1"/>
    </xf>
    <xf numFmtId="0" fontId="49" fillId="0" borderId="132" xfId="0" quotePrefix="1" applyFont="1" applyBorder="1" applyAlignment="1">
      <alignment horizontal="left" vertical="center" wrapText="1"/>
    </xf>
    <xf numFmtId="0" fontId="49" fillId="8" borderId="90" xfId="0" quotePrefix="1" applyFont="1" applyFill="1" applyBorder="1" applyAlignment="1">
      <alignment horizontal="left" vertical="center" wrapText="1"/>
    </xf>
    <xf numFmtId="0" fontId="46" fillId="8" borderId="6" xfId="0" quotePrefix="1" applyFont="1" applyFill="1" applyBorder="1" applyAlignment="1">
      <alignment horizontal="left" vertical="center" wrapText="1"/>
    </xf>
    <xf numFmtId="0" fontId="49" fillId="21" borderId="83" xfId="0" quotePrefix="1" applyFont="1" applyFill="1" applyBorder="1" applyAlignment="1">
      <alignment horizontal="left" vertical="center" wrapText="1"/>
    </xf>
    <xf numFmtId="0" fontId="49" fillId="21" borderId="6" xfId="0" quotePrefix="1" applyFont="1" applyFill="1" applyBorder="1" applyAlignment="1">
      <alignment horizontal="left" vertical="center" wrapText="1"/>
    </xf>
    <xf numFmtId="0" fontId="46" fillId="21" borderId="6" xfId="0" quotePrefix="1" applyFont="1" applyFill="1" applyBorder="1" applyAlignment="1">
      <alignment horizontal="left" vertical="center" wrapText="1"/>
    </xf>
    <xf numFmtId="0" fontId="46" fillId="10" borderId="83" xfId="0" applyFont="1" applyFill="1" applyBorder="1" applyAlignment="1">
      <alignment horizontal="left" vertical="center" wrapText="1"/>
    </xf>
    <xf numFmtId="0" fontId="46" fillId="22" borderId="83" xfId="0" applyFont="1" applyFill="1" applyBorder="1" applyAlignment="1">
      <alignment horizontal="left" vertical="center" wrapText="1"/>
    </xf>
    <xf numFmtId="0" fontId="46" fillId="22" borderId="6" xfId="0" quotePrefix="1" applyFont="1" applyFill="1" applyBorder="1" applyAlignment="1">
      <alignment horizontal="left" vertical="center" wrapText="1"/>
    </xf>
    <xf numFmtId="0" fontId="46" fillId="20" borderId="83" xfId="0" applyFont="1" applyFill="1" applyBorder="1" applyAlignment="1">
      <alignment horizontal="left" vertical="center" wrapText="1"/>
    </xf>
    <xf numFmtId="0" fontId="46" fillId="20" borderId="6" xfId="0" quotePrefix="1" applyFont="1" applyFill="1" applyBorder="1" applyAlignment="1">
      <alignment horizontal="left" vertical="center" wrapText="1"/>
    </xf>
    <xf numFmtId="0" fontId="46" fillId="11" borderId="6" xfId="0" quotePrefix="1" applyFont="1" applyFill="1" applyBorder="1" applyAlignment="1">
      <alignment horizontal="left" vertical="center" wrapText="1"/>
    </xf>
    <xf numFmtId="0" fontId="49" fillId="11" borderId="145" xfId="0" quotePrefix="1" applyFont="1" applyFill="1" applyBorder="1" applyAlignment="1">
      <alignment horizontal="left" vertical="center" wrapText="1"/>
    </xf>
    <xf numFmtId="0" fontId="49" fillId="11" borderId="187" xfId="0" quotePrefix="1" applyFont="1" applyFill="1" applyBorder="1" applyAlignment="1">
      <alignment horizontal="left" vertical="center" wrapText="1"/>
    </xf>
    <xf numFmtId="0" fontId="46" fillId="12" borderId="6" xfId="0" quotePrefix="1" applyFont="1" applyFill="1" applyBorder="1" applyAlignment="1">
      <alignment horizontal="left" vertical="center" wrapText="1"/>
    </xf>
    <xf numFmtId="0" fontId="49" fillId="18" borderId="83" xfId="0" quotePrefix="1" applyFont="1" applyFill="1" applyBorder="1" applyAlignment="1">
      <alignment horizontal="left" vertical="center" wrapText="1"/>
    </xf>
    <xf numFmtId="0" fontId="49" fillId="18" borderId="6" xfId="0" quotePrefix="1" applyFont="1" applyFill="1" applyBorder="1" applyAlignment="1">
      <alignment horizontal="left" vertical="center" wrapText="1"/>
    </xf>
    <xf numFmtId="0" fontId="46" fillId="18" borderId="6" xfId="0" quotePrefix="1" applyFont="1" applyFill="1" applyBorder="1" applyAlignment="1">
      <alignment horizontal="left" vertical="center" wrapText="1"/>
    </xf>
    <xf numFmtId="0" fontId="49" fillId="7" borderId="83" xfId="0" quotePrefix="1" applyFont="1" applyFill="1" applyBorder="1" applyAlignment="1">
      <alignment horizontal="left" vertical="center" wrapText="1"/>
    </xf>
    <xf numFmtId="0" fontId="49" fillId="7" borderId="6" xfId="0" quotePrefix="1" applyFont="1" applyFill="1" applyBorder="1" applyAlignment="1">
      <alignment horizontal="left" vertical="center" wrapText="1"/>
    </xf>
    <xf numFmtId="0" fontId="46" fillId="9" borderId="83" xfId="0" applyFont="1" applyFill="1" applyBorder="1" applyAlignment="1">
      <alignment horizontal="left" vertical="center" wrapText="1"/>
    </xf>
    <xf numFmtId="0" fontId="46" fillId="9" borderId="6" xfId="0" quotePrefix="1" applyFont="1" applyFill="1" applyBorder="1" applyAlignment="1">
      <alignment horizontal="left" vertical="center" wrapText="1"/>
    </xf>
    <xf numFmtId="0" fontId="49" fillId="9" borderId="6" xfId="0" quotePrefix="1" applyFont="1" applyFill="1" applyBorder="1" applyAlignment="1">
      <alignment horizontal="left" vertical="center" wrapText="1"/>
    </xf>
    <xf numFmtId="0" fontId="49" fillId="9" borderId="187" xfId="0" applyFont="1" applyFill="1" applyBorder="1" applyAlignment="1">
      <alignment horizontal="left" vertical="center" wrapText="1"/>
    </xf>
    <xf numFmtId="0" fontId="49" fillId="9" borderId="145" xfId="0" quotePrefix="1" applyFont="1" applyFill="1" applyBorder="1" applyAlignment="1">
      <alignment horizontal="left" vertical="center" wrapText="1"/>
    </xf>
    <xf numFmtId="0" fontId="49" fillId="9" borderId="10" xfId="0" applyFont="1" applyFill="1" applyBorder="1" applyAlignment="1">
      <alignment horizontal="left" vertical="center" wrapText="1"/>
    </xf>
    <xf numFmtId="0" fontId="53" fillId="8" borderId="71" xfId="0" applyFont="1" applyFill="1" applyBorder="1" applyAlignment="1">
      <alignment horizontal="left" vertical="center" wrapText="1"/>
    </xf>
    <xf numFmtId="0" fontId="53" fillId="8" borderId="75" xfId="0" applyFont="1" applyFill="1" applyBorder="1" applyAlignment="1">
      <alignment horizontal="left" vertical="center" wrapText="1"/>
    </xf>
    <xf numFmtId="0" fontId="53" fillId="8" borderId="83" xfId="0" applyFont="1" applyFill="1" applyBorder="1" applyAlignment="1">
      <alignment horizontal="left" vertical="center" wrapText="1"/>
    </xf>
    <xf numFmtId="0" fontId="53" fillId="11" borderId="154" xfId="0" applyFont="1" applyFill="1" applyBorder="1" applyAlignment="1">
      <alignment horizontal="left" vertical="center" wrapText="1"/>
    </xf>
    <xf numFmtId="0" fontId="53" fillId="10" borderId="83" xfId="0" applyFont="1" applyFill="1" applyBorder="1" applyAlignment="1">
      <alignment horizontal="left" vertical="center" wrapText="1"/>
    </xf>
    <xf numFmtId="0" fontId="0" fillId="10" borderId="6" xfId="0" applyFill="1" applyBorder="1" applyAlignment="1">
      <alignment horizontal="left" vertical="center" wrapText="1"/>
    </xf>
    <xf numFmtId="0" fontId="0" fillId="20" borderId="6" xfId="0" applyFill="1" applyBorder="1" applyAlignment="1">
      <alignment horizontal="left" vertical="center" wrapText="1"/>
    </xf>
    <xf numFmtId="0" fontId="53" fillId="12" borderId="83" xfId="0" applyFont="1" applyFill="1" applyBorder="1" applyAlignment="1">
      <alignment horizontal="left" vertical="center" wrapText="1"/>
    </xf>
    <xf numFmtId="0" fontId="53" fillId="9" borderId="83" xfId="0" applyFont="1" applyFill="1" applyBorder="1" applyAlignment="1">
      <alignment horizontal="left" vertical="center" wrapText="1"/>
    </xf>
    <xf numFmtId="0" fontId="53" fillId="16" borderId="83" xfId="0" applyFont="1" applyFill="1" applyBorder="1" applyAlignment="1">
      <alignment horizontal="left" vertical="center" wrapText="1"/>
    </xf>
    <xf numFmtId="0" fontId="53" fillId="16" borderId="10" xfId="0" applyFont="1" applyFill="1" applyBorder="1" applyAlignment="1">
      <alignment horizontal="left" vertical="center" wrapText="1"/>
    </xf>
    <xf numFmtId="0" fontId="49" fillId="20" borderId="15" xfId="0" applyFont="1" applyFill="1" applyBorder="1" applyAlignment="1">
      <alignment horizontal="left" vertical="center" wrapText="1"/>
    </xf>
    <xf numFmtId="0" fontId="49" fillId="20" borderId="84" xfId="0" applyFont="1" applyFill="1" applyBorder="1" applyAlignment="1">
      <alignment horizontal="left" vertical="center" wrapText="1"/>
    </xf>
    <xf numFmtId="0" fontId="49" fillId="20" borderId="119" xfId="0" applyFont="1" applyFill="1" applyBorder="1" applyAlignment="1">
      <alignment horizontal="left" vertical="center" wrapText="1"/>
    </xf>
    <xf numFmtId="0" fontId="49" fillId="20" borderId="71" xfId="0" applyFont="1" applyFill="1" applyBorder="1" applyAlignment="1">
      <alignment horizontal="left" vertical="center" wrapText="1"/>
    </xf>
    <xf numFmtId="0" fontId="49" fillId="20" borderId="60" xfId="0" applyFont="1" applyFill="1" applyBorder="1" applyAlignment="1">
      <alignment horizontal="left" vertical="center" wrapText="1"/>
    </xf>
    <xf numFmtId="0" fontId="49" fillId="20" borderId="6" xfId="0" applyFont="1" applyFill="1" applyBorder="1" applyAlignment="1">
      <alignment horizontal="left" vertical="center" wrapText="1"/>
    </xf>
    <xf numFmtId="0" fontId="49" fillId="20" borderId="75" xfId="0" applyFont="1" applyFill="1" applyBorder="1" applyAlignment="1">
      <alignment horizontal="left" vertical="center" wrapText="1"/>
    </xf>
    <xf numFmtId="0" fontId="49" fillId="20" borderId="36" xfId="0" applyFont="1" applyFill="1" applyBorder="1" applyAlignment="1">
      <alignment horizontal="left" vertical="center" wrapText="1"/>
    </xf>
    <xf numFmtId="0" fontId="49" fillId="20" borderId="54" xfId="24" applyFont="1" applyFill="1" applyBorder="1" applyAlignment="1">
      <alignment horizontal="left" vertical="center" wrapText="1"/>
    </xf>
    <xf numFmtId="0" fontId="49" fillId="20" borderId="6" xfId="24" applyFont="1" applyFill="1" applyBorder="1" applyAlignment="1">
      <alignment horizontal="left" vertical="center" wrapText="1"/>
    </xf>
    <xf numFmtId="0" fontId="49" fillId="20" borderId="159" xfId="24" applyFont="1" applyFill="1" applyBorder="1" applyAlignment="1">
      <alignment horizontal="left" vertical="center" wrapText="1"/>
    </xf>
    <xf numFmtId="0" fontId="49" fillId="20" borderId="178" xfId="0" applyFont="1" applyFill="1" applyBorder="1" applyAlignment="1">
      <alignment horizontal="left" vertical="center" wrapText="1"/>
    </xf>
    <xf numFmtId="0" fontId="49" fillId="20" borderId="180" xfId="0" applyFont="1" applyFill="1" applyBorder="1" applyAlignment="1">
      <alignment horizontal="left" vertical="center" wrapText="1"/>
    </xf>
    <xf numFmtId="0" fontId="49" fillId="20" borderId="175" xfId="0" applyFont="1" applyFill="1" applyBorder="1" applyAlignment="1">
      <alignment horizontal="left" vertical="center" wrapText="1"/>
    </xf>
    <xf numFmtId="0" fontId="49" fillId="20" borderId="173" xfId="0" applyFont="1" applyFill="1" applyBorder="1" applyAlignment="1">
      <alignment horizontal="left" vertical="center" wrapText="1"/>
    </xf>
    <xf numFmtId="0" fontId="0" fillId="20" borderId="84" xfId="0" applyFill="1" applyBorder="1" applyAlignment="1">
      <alignment horizontal="left" vertical="center" wrapText="1"/>
    </xf>
    <xf numFmtId="0" fontId="49" fillId="20" borderId="108" xfId="0" applyFont="1" applyFill="1" applyBorder="1" applyAlignment="1">
      <alignment horizontal="left" vertical="center" wrapText="1"/>
    </xf>
    <xf numFmtId="0" fontId="0" fillId="20" borderId="108" xfId="0" applyFill="1" applyBorder="1" applyAlignment="1">
      <alignment horizontal="left" vertical="center" wrapText="1"/>
    </xf>
    <xf numFmtId="0" fontId="0" fillId="20" borderId="120" xfId="0" applyFill="1" applyBorder="1" applyAlignment="1">
      <alignment horizontal="left" vertical="center" wrapText="1"/>
    </xf>
    <xf numFmtId="0" fontId="14" fillId="20" borderId="108" xfId="0" applyFont="1" applyFill="1" applyBorder="1" applyAlignment="1">
      <alignment horizontal="left" vertical="center" wrapText="1"/>
    </xf>
    <xf numFmtId="0" fontId="49" fillId="20" borderId="117" xfId="0" applyFont="1" applyFill="1" applyBorder="1" applyAlignment="1">
      <alignment horizontal="left" vertical="center" wrapText="1"/>
    </xf>
    <xf numFmtId="0" fontId="49" fillId="20" borderId="117" xfId="0" quotePrefix="1" applyFont="1" applyFill="1" applyBorder="1" applyAlignment="1">
      <alignment horizontal="left" vertical="center" wrapText="1"/>
    </xf>
    <xf numFmtId="0" fontId="49" fillId="20" borderId="82" xfId="0" applyFont="1" applyFill="1" applyBorder="1" applyAlignment="1">
      <alignment horizontal="left" vertical="center" wrapText="1"/>
    </xf>
    <xf numFmtId="0" fontId="49" fillId="4" borderId="84" xfId="0" applyFont="1" applyFill="1" applyBorder="1" applyAlignment="1">
      <alignment horizontal="left" vertical="center" wrapText="1"/>
    </xf>
    <xf numFmtId="0" fontId="49" fillId="4" borderId="82" xfId="0" applyFont="1" applyFill="1" applyBorder="1" applyAlignment="1">
      <alignment horizontal="left" vertical="center" wrapText="1"/>
    </xf>
    <xf numFmtId="0" fontId="49" fillId="12" borderId="193" xfId="0" applyFont="1" applyFill="1" applyBorder="1" applyAlignment="1">
      <alignment horizontal="left" vertical="center"/>
    </xf>
    <xf numFmtId="0" fontId="49" fillId="12" borderId="194" xfId="0" applyFont="1" applyFill="1" applyBorder="1" applyAlignment="1">
      <alignment horizontal="left" vertical="center"/>
    </xf>
    <xf numFmtId="0" fontId="81" fillId="12" borderId="194" xfId="0" applyFont="1" applyFill="1" applyBorder="1" applyAlignment="1">
      <alignment horizontal="center" vertical="center"/>
    </xf>
    <xf numFmtId="0" fontId="49" fillId="12" borderId="194" xfId="0" applyFont="1" applyFill="1" applyBorder="1" applyAlignment="1">
      <alignment horizontal="center" vertical="center"/>
    </xf>
    <xf numFmtId="0" fontId="49" fillId="12" borderId="195" xfId="0" applyFont="1" applyFill="1" applyBorder="1" applyAlignment="1">
      <alignment horizontal="left" vertical="center"/>
    </xf>
    <xf numFmtId="0" fontId="49" fillId="12" borderId="193" xfId="0" quotePrefix="1" applyFont="1" applyFill="1" applyBorder="1" applyAlignment="1">
      <alignment horizontal="left" vertical="center"/>
    </xf>
    <xf numFmtId="0" fontId="49" fillId="12" borderId="194" xfId="0" quotePrefix="1" applyFont="1" applyFill="1" applyBorder="1" applyAlignment="1">
      <alignment horizontal="left" vertical="center" wrapText="1"/>
    </xf>
    <xf numFmtId="164" fontId="49" fillId="12" borderId="194" xfId="0" applyNumberFormat="1" applyFont="1" applyFill="1" applyBorder="1" applyAlignment="1">
      <alignment horizontal="left" vertical="center"/>
    </xf>
    <xf numFmtId="0" fontId="49" fillId="12" borderId="194" xfId="0" applyFont="1" applyFill="1" applyBorder="1" applyAlignment="1">
      <alignment horizontal="left" vertical="center" wrapText="1"/>
    </xf>
    <xf numFmtId="0" fontId="49" fillId="12" borderId="194" xfId="0" quotePrefix="1" applyFont="1" applyFill="1" applyBorder="1" applyAlignment="1">
      <alignment horizontal="left" vertical="center"/>
    </xf>
    <xf numFmtId="166" fontId="49" fillId="12" borderId="194" xfId="0" applyNumberFormat="1" applyFont="1" applyFill="1" applyBorder="1" applyAlignment="1">
      <alignment horizontal="left" vertical="center"/>
    </xf>
    <xf numFmtId="0" fontId="49" fillId="0" borderId="196" xfId="0" applyFont="1" applyBorder="1" applyAlignment="1">
      <alignment horizontal="left" vertical="center"/>
    </xf>
    <xf numFmtId="0" fontId="49" fillId="0" borderId="197" xfId="0" quotePrefix="1" applyFont="1" applyBorder="1" applyAlignment="1">
      <alignment horizontal="left" vertical="center" wrapText="1"/>
    </xf>
    <xf numFmtId="2" fontId="49" fillId="0" borderId="197" xfId="0" applyNumberFormat="1" applyFont="1" applyBorder="1" applyAlignment="1">
      <alignment horizontal="left" vertical="center"/>
    </xf>
    <xf numFmtId="0" fontId="49" fillId="0" borderId="197" xfId="0" quotePrefix="1" applyFont="1" applyBorder="1" applyAlignment="1">
      <alignment horizontal="left" vertical="center"/>
    </xf>
    <xf numFmtId="0" fontId="49" fillId="0" borderId="197" xfId="0" applyFont="1" applyBorder="1" applyAlignment="1">
      <alignment horizontal="left" vertical="center"/>
    </xf>
    <xf numFmtId="0" fontId="49" fillId="0" borderId="198" xfId="0" applyFont="1" applyBorder="1" applyAlignment="1">
      <alignment horizontal="left" vertical="center"/>
    </xf>
    <xf numFmtId="0" fontId="49" fillId="0" borderId="193" xfId="0" applyFont="1" applyBorder="1" applyAlignment="1">
      <alignment horizontal="left" vertical="center"/>
    </xf>
    <xf numFmtId="0" fontId="49" fillId="0" borderId="194" xfId="0" quotePrefix="1" applyFont="1" applyBorder="1" applyAlignment="1">
      <alignment horizontal="left" vertical="center" wrapText="1"/>
    </xf>
    <xf numFmtId="2" fontId="49" fillId="0" borderId="194" xfId="0" applyNumberFormat="1" applyFont="1" applyBorder="1" applyAlignment="1">
      <alignment horizontal="left" vertical="center"/>
    </xf>
    <xf numFmtId="0" fontId="49" fillId="0" borderId="194" xfId="0" quotePrefix="1" applyFont="1" applyBorder="1" applyAlignment="1">
      <alignment horizontal="left" vertical="center"/>
    </xf>
    <xf numFmtId="0" fontId="49" fillId="0" borderId="194" xfId="0" applyFont="1" applyBorder="1" applyAlignment="1">
      <alignment horizontal="left" vertical="center"/>
    </xf>
    <xf numFmtId="0" fontId="49" fillId="0" borderId="195" xfId="0" applyFont="1" applyBorder="1" applyAlignment="1">
      <alignment horizontal="left" vertical="center"/>
    </xf>
    <xf numFmtId="0" fontId="49" fillId="10" borderId="193" xfId="0" applyFont="1" applyFill="1" applyBorder="1" applyAlignment="1">
      <alignment horizontal="left" vertical="center"/>
    </xf>
    <xf numFmtId="0" fontId="49" fillId="10" borderId="194" xfId="0" applyFont="1" applyFill="1" applyBorder="1" applyAlignment="1">
      <alignment horizontal="left" vertical="center" wrapText="1"/>
    </xf>
    <xf numFmtId="0" fontId="49" fillId="10" borderId="194" xfId="0" applyFont="1" applyFill="1" applyBorder="1" applyAlignment="1">
      <alignment horizontal="left" vertical="center"/>
    </xf>
    <xf numFmtId="0" fontId="49" fillId="10" borderId="195" xfId="0" applyFont="1" applyFill="1" applyBorder="1" applyAlignment="1">
      <alignment horizontal="left" vertical="center"/>
    </xf>
    <xf numFmtId="0" fontId="49" fillId="10" borderId="194" xfId="0" quotePrefix="1" applyFont="1" applyFill="1" applyBorder="1" applyAlignment="1">
      <alignment horizontal="left" vertical="center" wrapText="1"/>
    </xf>
    <xf numFmtId="2" fontId="49" fillId="10" borderId="194" xfId="0" applyNumberFormat="1" applyFont="1" applyFill="1" applyBorder="1" applyAlignment="1">
      <alignment horizontal="left" vertical="center"/>
    </xf>
    <xf numFmtId="0" fontId="49" fillId="10" borderId="194" xfId="0" quotePrefix="1" applyFont="1" applyFill="1" applyBorder="1" applyAlignment="1">
      <alignment horizontal="left" vertical="center"/>
    </xf>
    <xf numFmtId="0" fontId="49" fillId="22" borderId="194" xfId="0" quotePrefix="1" applyFont="1" applyFill="1" applyBorder="1" applyAlignment="1">
      <alignment horizontal="left" vertical="center" wrapText="1"/>
    </xf>
    <xf numFmtId="2" fontId="49" fillId="22" borderId="194" xfId="0" applyNumberFormat="1" applyFont="1" applyFill="1" applyBorder="1" applyAlignment="1">
      <alignment horizontal="left" vertical="center"/>
    </xf>
    <xf numFmtId="0" fontId="49" fillId="22" borderId="194" xfId="0" quotePrefix="1" applyFont="1" applyFill="1" applyBorder="1" applyAlignment="1">
      <alignment horizontal="left" vertical="center"/>
    </xf>
    <xf numFmtId="0" fontId="49" fillId="22" borderId="195" xfId="0" quotePrefix="1" applyFont="1" applyFill="1" applyBorder="1" applyAlignment="1">
      <alignment horizontal="left" vertical="center"/>
    </xf>
    <xf numFmtId="0" fontId="49" fillId="20" borderId="193" xfId="0" applyFont="1" applyFill="1" applyBorder="1" applyAlignment="1">
      <alignment horizontal="left" vertical="center"/>
    </xf>
    <xf numFmtId="0" fontId="49" fillId="20" borderId="194" xfId="0" applyFont="1" applyFill="1" applyBorder="1" applyAlignment="1">
      <alignment horizontal="left" vertical="center" wrapText="1"/>
    </xf>
    <xf numFmtId="0" fontId="49" fillId="20" borderId="194" xfId="0" quotePrefix="1" applyFont="1" applyFill="1" applyBorder="1" applyAlignment="1">
      <alignment horizontal="left" vertical="center" wrapText="1"/>
    </xf>
    <xf numFmtId="2" fontId="49" fillId="20" borderId="194" xfId="0" applyNumberFormat="1" applyFont="1" applyFill="1" applyBorder="1" applyAlignment="1">
      <alignment horizontal="left" vertical="center"/>
    </xf>
    <xf numFmtId="0" fontId="49" fillId="20" borderId="194" xfId="0" quotePrefix="1" applyFont="1" applyFill="1" applyBorder="1" applyAlignment="1">
      <alignment horizontal="left" vertical="center"/>
    </xf>
    <xf numFmtId="0" fontId="49" fillId="20" borderId="194" xfId="0" applyFont="1" applyFill="1" applyBorder="1" applyAlignment="1">
      <alignment horizontal="left" vertical="center"/>
    </xf>
    <xf numFmtId="0" fontId="49" fillId="20" borderId="195" xfId="0" applyFont="1" applyFill="1" applyBorder="1" applyAlignment="1">
      <alignment horizontal="left" vertical="center"/>
    </xf>
    <xf numFmtId="0" fontId="46" fillId="20" borderId="194" xfId="0" quotePrefix="1" applyFont="1" applyFill="1" applyBorder="1" applyAlignment="1">
      <alignment horizontal="left" vertical="center" wrapText="1"/>
    </xf>
    <xf numFmtId="0" fontId="53" fillId="22" borderId="196" xfId="0" applyFont="1" applyFill="1" applyBorder="1" applyAlignment="1">
      <alignment horizontal="left"/>
    </xf>
    <xf numFmtId="2" fontId="53" fillId="22" borderId="197" xfId="0" applyNumberFormat="1" applyFont="1" applyFill="1" applyBorder="1" applyAlignment="1">
      <alignment horizontal="left" vertical="center" wrapText="1"/>
    </xf>
    <xf numFmtId="2" fontId="53" fillId="22" borderId="197" xfId="0" applyNumberFormat="1" applyFont="1" applyFill="1" applyBorder="1" applyAlignment="1">
      <alignment horizontal="center" vertical="center" wrapText="1"/>
    </xf>
    <xf numFmtId="0" fontId="53" fillId="22" borderId="197" xfId="0" applyFont="1" applyFill="1" applyBorder="1" applyAlignment="1">
      <alignment horizontal="center" vertical="center" wrapText="1"/>
    </xf>
    <xf numFmtId="0" fontId="53" fillId="22" borderId="197" xfId="0" applyFont="1" applyFill="1" applyBorder="1" applyAlignment="1">
      <alignment horizontal="left" vertical="center" wrapText="1"/>
    </xf>
    <xf numFmtId="0" fontId="53" fillId="22" borderId="198" xfId="0" applyFont="1" applyFill="1" applyBorder="1" applyAlignment="1">
      <alignment horizontal="left" vertical="center" wrapText="1"/>
    </xf>
    <xf numFmtId="2" fontId="53" fillId="22" borderId="194" xfId="0" applyNumberFormat="1" applyFont="1" applyFill="1" applyBorder="1" applyAlignment="1">
      <alignment horizontal="left" vertical="center" wrapText="1"/>
    </xf>
    <xf numFmtId="2" fontId="53" fillId="22" borderId="194" xfId="0" applyNumberFormat="1" applyFont="1" applyFill="1" applyBorder="1" applyAlignment="1">
      <alignment horizontal="center" vertical="center" wrapText="1"/>
    </xf>
    <xf numFmtId="0" fontId="53" fillId="22" borderId="194" xfId="0" applyFont="1" applyFill="1" applyBorder="1" applyAlignment="1">
      <alignment horizontal="center" vertical="center" wrapText="1"/>
    </xf>
    <xf numFmtId="0" fontId="53" fillId="22" borderId="194" xfId="0" applyFont="1" applyFill="1" applyBorder="1" applyAlignment="1">
      <alignment horizontal="left" vertical="center" wrapText="1"/>
    </xf>
    <xf numFmtId="2" fontId="49" fillId="22" borderId="194" xfId="0" applyNumberFormat="1" applyFont="1" applyFill="1" applyBorder="1" applyAlignment="1">
      <alignment horizontal="center" vertical="center" wrapText="1"/>
    </xf>
    <xf numFmtId="11" fontId="53" fillId="22" borderId="194" xfId="0" applyNumberFormat="1" applyFont="1" applyFill="1" applyBorder="1" applyAlignment="1">
      <alignment horizontal="left" vertical="center" wrapText="1"/>
    </xf>
    <xf numFmtId="11" fontId="53" fillId="22" borderId="194" xfId="0" applyNumberFormat="1" applyFont="1" applyFill="1" applyBorder="1" applyAlignment="1">
      <alignment horizontal="center" vertical="center" wrapText="1"/>
    </xf>
    <xf numFmtId="0" fontId="53" fillId="22" borderId="158" xfId="0" applyFont="1" applyFill="1" applyBorder="1" applyAlignment="1">
      <alignment horizontal="left"/>
    </xf>
    <xf numFmtId="0" fontId="53" fillId="22" borderId="160" xfId="0" applyFont="1" applyFill="1" applyBorder="1" applyAlignment="1">
      <alignment horizontal="left" vertical="center" wrapText="1"/>
    </xf>
    <xf numFmtId="0" fontId="80" fillId="23" borderId="199" xfId="47" applyFont="1" applyFill="1" applyBorder="1" applyAlignment="1">
      <alignment horizontal="left" vertical="center"/>
    </xf>
    <xf numFmtId="0" fontId="80" fillId="23" borderId="200" xfId="47" applyFont="1" applyFill="1" applyBorder="1" applyAlignment="1">
      <alignment horizontal="left" vertical="center"/>
    </xf>
    <xf numFmtId="0" fontId="80" fillId="23" borderId="152" xfId="47" applyFont="1" applyFill="1" applyBorder="1" applyAlignment="1">
      <alignment horizontal="left" vertical="center"/>
    </xf>
    <xf numFmtId="0" fontId="80" fillId="23" borderId="201" xfId="47" applyFont="1" applyFill="1" applyBorder="1" applyAlignment="1">
      <alignment horizontal="left" vertical="center"/>
    </xf>
    <xf numFmtId="0" fontId="80" fillId="23" borderId="202" xfId="47" applyFont="1" applyFill="1" applyBorder="1" applyAlignment="1">
      <alignment horizontal="left" vertical="center"/>
    </xf>
    <xf numFmtId="0" fontId="10" fillId="2" borderId="0" xfId="47" applyFill="1" applyAlignment="1">
      <alignment horizontal="left" vertical="center"/>
    </xf>
    <xf numFmtId="0" fontId="9" fillId="0" borderId="0" xfId="49" applyAlignment="1">
      <alignment horizontal="left" vertical="center"/>
    </xf>
    <xf numFmtId="0" fontId="49" fillId="0" borderId="81" xfId="49" applyFont="1" applyBorder="1" applyAlignment="1">
      <alignment horizontal="center" vertical="center"/>
    </xf>
    <xf numFmtId="0" fontId="49" fillId="0" borderId="81" xfId="49" applyFont="1" applyBorder="1" applyAlignment="1">
      <alignment horizontal="left" vertical="center"/>
    </xf>
    <xf numFmtId="0" fontId="46" fillId="0" borderId="81" xfId="49" applyFont="1" applyBorder="1" applyAlignment="1">
      <alignment horizontal="left" vertical="center"/>
    </xf>
    <xf numFmtId="0" fontId="49" fillId="0" borderId="81" xfId="49" applyFont="1" applyBorder="1" applyAlignment="1">
      <alignment horizontal="left"/>
    </xf>
    <xf numFmtId="0" fontId="80" fillId="23" borderId="203" xfId="47" applyFont="1" applyFill="1" applyBorder="1" applyAlignment="1">
      <alignment horizontal="left" vertical="center"/>
    </xf>
    <xf numFmtId="0" fontId="80" fillId="23" borderId="155" xfId="47" applyFont="1" applyFill="1" applyBorder="1" applyAlignment="1">
      <alignment horizontal="left" vertical="center"/>
    </xf>
    <xf numFmtId="0" fontId="80" fillId="23" borderId="204" xfId="47" applyFont="1" applyFill="1" applyBorder="1" applyAlignment="1">
      <alignment horizontal="left" vertical="center"/>
    </xf>
    <xf numFmtId="0" fontId="80" fillId="23" borderId="205" xfId="47" applyFont="1" applyFill="1" applyBorder="1" applyAlignment="1">
      <alignment horizontal="left" vertical="center"/>
    </xf>
    <xf numFmtId="11" fontId="49" fillId="0" borderId="81" xfId="48" applyNumberFormat="1" applyFont="1" applyBorder="1" applyAlignment="1">
      <alignment horizontal="left" vertical="center"/>
    </xf>
    <xf numFmtId="0" fontId="10" fillId="0" borderId="0" xfId="48"/>
    <xf numFmtId="0" fontId="49" fillId="0" borderId="206" xfId="47" applyFont="1" applyBorder="1" applyAlignment="1">
      <alignment horizontal="left" vertical="center"/>
    </xf>
    <xf numFmtId="0" fontId="49" fillId="0" borderId="206" xfId="50" applyFont="1" applyBorder="1" applyAlignment="1">
      <alignment horizontal="left" vertical="center"/>
    </xf>
    <xf numFmtId="167" fontId="49" fillId="0" borderId="206" xfId="50" applyNumberFormat="1" applyFont="1" applyBorder="1" applyAlignment="1">
      <alignment horizontal="left" vertical="center"/>
    </xf>
    <xf numFmtId="0" fontId="49" fillId="0" borderId="81" xfId="50" applyFont="1" applyBorder="1" applyAlignment="1">
      <alignment horizontal="left" vertical="center"/>
    </xf>
    <xf numFmtId="0" fontId="49" fillId="0" borderId="206" xfId="50" quotePrefix="1" applyFont="1" applyBorder="1" applyAlignment="1">
      <alignment horizontal="center" vertical="center"/>
    </xf>
    <xf numFmtId="0" fontId="46" fillId="0" borderId="207" xfId="6" applyFont="1" applyBorder="1"/>
    <xf numFmtId="0" fontId="46" fillId="0" borderId="208" xfId="6" applyFont="1" applyBorder="1"/>
    <xf numFmtId="0" fontId="46" fillId="0" borderId="158" xfId="6" applyFont="1" applyBorder="1"/>
    <xf numFmtId="0" fontId="46" fillId="0" borderId="209" xfId="6" applyFont="1" applyBorder="1"/>
    <xf numFmtId="0" fontId="46" fillId="0" borderId="160" xfId="6" applyFont="1" applyBorder="1"/>
    <xf numFmtId="0" fontId="53" fillId="22" borderId="207" xfId="0" applyFont="1" applyFill="1" applyBorder="1" applyAlignment="1">
      <alignment horizontal="left"/>
    </xf>
    <xf numFmtId="0" fontId="53" fillId="22" borderId="208" xfId="0" applyFont="1" applyFill="1" applyBorder="1" applyAlignment="1">
      <alignment horizontal="left" vertical="center" wrapText="1"/>
    </xf>
    <xf numFmtId="2" fontId="53" fillId="22" borderId="209" xfId="0" applyNumberFormat="1" applyFont="1" applyFill="1" applyBorder="1" applyAlignment="1">
      <alignment horizontal="left" vertical="center" wrapText="1"/>
    </xf>
    <xf numFmtId="2" fontId="53" fillId="22" borderId="209" xfId="0" applyNumberFormat="1" applyFont="1" applyFill="1" applyBorder="1" applyAlignment="1">
      <alignment horizontal="center" vertical="center" wrapText="1"/>
    </xf>
    <xf numFmtId="0" fontId="53" fillId="22" borderId="209" xfId="0" applyFont="1" applyFill="1" applyBorder="1" applyAlignment="1">
      <alignment horizontal="center" vertical="center" wrapText="1"/>
    </xf>
    <xf numFmtId="0" fontId="53" fillId="22" borderId="209" xfId="0" applyFont="1" applyFill="1" applyBorder="1" applyAlignment="1">
      <alignment horizontal="left" vertical="center" wrapText="1"/>
    </xf>
    <xf numFmtId="165" fontId="49" fillId="12" borderId="194" xfId="0" applyNumberFormat="1" applyFont="1" applyFill="1" applyBorder="1" applyAlignment="1">
      <alignment horizontal="left" vertical="center"/>
    </xf>
    <xf numFmtId="164" fontId="49" fillId="20" borderId="84" xfId="0" quotePrefix="1" applyNumberFormat="1" applyFont="1" applyFill="1" applyBorder="1" applyAlignment="1">
      <alignment horizontal="left" vertical="center"/>
    </xf>
    <xf numFmtId="164" fontId="49" fillId="20" borderId="108" xfId="0" quotePrefix="1" applyNumberFormat="1" applyFont="1" applyFill="1" applyBorder="1" applyAlignment="1">
      <alignment horizontal="left" vertical="center"/>
    </xf>
    <xf numFmtId="164" fontId="49" fillId="20" borderId="120" xfId="0" applyNumberFormat="1" applyFont="1" applyFill="1" applyBorder="1" applyAlignment="1">
      <alignment horizontal="left" vertical="center"/>
    </xf>
    <xf numFmtId="0" fontId="57" fillId="7" borderId="190" xfId="0" applyFont="1" applyFill="1" applyBorder="1" applyAlignment="1">
      <alignment horizontal="center" vertical="center" wrapText="1"/>
    </xf>
    <xf numFmtId="0" fontId="49" fillId="27" borderId="88" xfId="0" applyFont="1" applyFill="1" applyBorder="1" applyAlignment="1">
      <alignment horizontal="center" vertical="center"/>
    </xf>
    <xf numFmtId="0" fontId="49" fillId="41" borderId="196" xfId="0" applyFont="1" applyFill="1" applyBorder="1" applyAlignment="1">
      <alignment horizontal="left" vertical="center"/>
    </xf>
    <xf numFmtId="0" fontId="0" fillId="41" borderId="197" xfId="0" applyFill="1" applyBorder="1" applyAlignment="1">
      <alignment horizontal="left"/>
    </xf>
    <xf numFmtId="164" fontId="49" fillId="41" borderId="197" xfId="0" applyNumberFormat="1" applyFont="1" applyFill="1" applyBorder="1" applyAlignment="1">
      <alignment horizontal="center" vertical="center"/>
    </xf>
    <xf numFmtId="0" fontId="49" fillId="41" borderId="197" xfId="0" applyFont="1" applyFill="1" applyBorder="1" applyAlignment="1">
      <alignment horizontal="center" vertical="center" wrapText="1"/>
    </xf>
    <xf numFmtId="0" fontId="53" fillId="41" borderId="197" xfId="0" applyFont="1" applyFill="1" applyBorder="1" applyAlignment="1">
      <alignment horizontal="center" vertical="center" wrapText="1"/>
    </xf>
    <xf numFmtId="0" fontId="49" fillId="41" borderId="197" xfId="0" applyFont="1" applyFill="1" applyBorder="1" applyAlignment="1">
      <alignment horizontal="left" vertical="center" wrapText="1"/>
    </xf>
    <xf numFmtId="0" fontId="49" fillId="41" borderId="198" xfId="0" applyFont="1" applyFill="1" applyBorder="1" applyAlignment="1">
      <alignment horizontal="left" vertical="center"/>
    </xf>
    <xf numFmtId="0" fontId="49" fillId="41" borderId="158" xfId="0" applyFont="1" applyFill="1" applyBorder="1" applyAlignment="1">
      <alignment horizontal="left" vertical="center"/>
    </xf>
    <xf numFmtId="0" fontId="0" fillId="41" borderId="209" xfId="0" applyFill="1" applyBorder="1" applyAlignment="1">
      <alignment horizontal="left"/>
    </xf>
    <xf numFmtId="1" fontId="49" fillId="41" borderId="209" xfId="0" applyNumberFormat="1" applyFont="1" applyFill="1" applyBorder="1" applyAlignment="1">
      <alignment horizontal="center" vertical="center"/>
    </xf>
    <xf numFmtId="0" fontId="49" fillId="41" borderId="209" xfId="0" applyFont="1" applyFill="1" applyBorder="1" applyAlignment="1">
      <alignment horizontal="center" vertical="center" wrapText="1"/>
    </xf>
    <xf numFmtId="0" fontId="53" fillId="41" borderId="209" xfId="0" applyFont="1" applyFill="1" applyBorder="1" applyAlignment="1">
      <alignment horizontal="center" vertical="center" wrapText="1"/>
    </xf>
    <xf numFmtId="0" fontId="49" fillId="41" borderId="209" xfId="0" applyFont="1" applyFill="1" applyBorder="1" applyAlignment="1">
      <alignment horizontal="left" vertical="center" wrapText="1"/>
    </xf>
    <xf numFmtId="0" fontId="49" fillId="41" borderId="160" xfId="0" applyFont="1" applyFill="1" applyBorder="1" applyAlignment="1">
      <alignment horizontal="left" vertical="center"/>
    </xf>
    <xf numFmtId="0" fontId="46" fillId="0" borderId="210" xfId="0" applyFont="1" applyBorder="1" applyAlignment="1">
      <alignment horizontal="center" vertical="center"/>
    </xf>
    <xf numFmtId="0" fontId="46" fillId="5" borderId="210" xfId="0" applyFont="1" applyFill="1" applyBorder="1" applyAlignment="1">
      <alignment horizontal="center" vertical="center"/>
    </xf>
    <xf numFmtId="0" fontId="46" fillId="0" borderId="210" xfId="0" quotePrefix="1" applyFont="1" applyBorder="1" applyAlignment="1">
      <alignment horizontal="left" vertical="center" wrapText="1"/>
    </xf>
    <xf numFmtId="0" fontId="46" fillId="8" borderId="15" xfId="0" quotePrefix="1" applyFont="1" applyFill="1" applyBorder="1" applyAlignment="1">
      <alignment horizontal="center" vertical="center"/>
    </xf>
    <xf numFmtId="0" fontId="46" fillId="8" borderId="210" xfId="0" quotePrefix="1" applyFont="1" applyFill="1" applyBorder="1" applyAlignment="1">
      <alignment horizontal="center" vertical="center"/>
    </xf>
    <xf numFmtId="0" fontId="46" fillId="21" borderId="210" xfId="0" quotePrefix="1" applyFont="1" applyFill="1" applyBorder="1" applyAlignment="1">
      <alignment horizontal="center" vertical="center"/>
    </xf>
    <xf numFmtId="0" fontId="46" fillId="11" borderId="210" xfId="0" quotePrefix="1" applyFont="1" applyFill="1" applyBorder="1" applyAlignment="1">
      <alignment horizontal="center" vertical="center"/>
    </xf>
    <xf numFmtId="0" fontId="46" fillId="11" borderId="210" xfId="0" applyFont="1" applyFill="1" applyBorder="1" applyAlignment="1">
      <alignment horizontal="center" vertical="center"/>
    </xf>
    <xf numFmtId="0" fontId="46" fillId="10" borderId="210" xfId="0" applyFont="1" applyFill="1" applyBorder="1" applyAlignment="1">
      <alignment horizontal="center" vertical="center"/>
    </xf>
    <xf numFmtId="0" fontId="46" fillId="22" borderId="210" xfId="0" applyFont="1" applyFill="1" applyBorder="1" applyAlignment="1">
      <alignment horizontal="center" vertical="center"/>
    </xf>
    <xf numFmtId="0" fontId="46" fillId="20" borderId="210" xfId="0" quotePrefix="1" applyFont="1" applyFill="1" applyBorder="1" applyAlignment="1">
      <alignment horizontal="center" vertical="center"/>
    </xf>
    <xf numFmtId="0" fontId="46" fillId="20" borderId="210" xfId="0" applyFont="1" applyFill="1" applyBorder="1" applyAlignment="1">
      <alignment horizontal="center" vertical="center"/>
    </xf>
    <xf numFmtId="0" fontId="46" fillId="12" borderId="210" xfId="0" quotePrefix="1" applyFont="1" applyFill="1" applyBorder="1" applyAlignment="1">
      <alignment horizontal="center" vertical="center"/>
    </xf>
    <xf numFmtId="0" fontId="46" fillId="12" borderId="210" xfId="0" applyFont="1" applyFill="1" applyBorder="1" applyAlignment="1">
      <alignment horizontal="center" vertical="center"/>
    </xf>
    <xf numFmtId="0" fontId="46" fillId="18" borderId="210" xfId="0" quotePrefix="1" applyFont="1" applyFill="1" applyBorder="1" applyAlignment="1">
      <alignment horizontal="center" vertical="center"/>
    </xf>
    <xf numFmtId="0" fontId="46" fillId="18" borderId="210" xfId="0" applyFont="1" applyFill="1" applyBorder="1" applyAlignment="1">
      <alignment horizontal="center" vertical="center"/>
    </xf>
    <xf numFmtId="0" fontId="46" fillId="9" borderId="210" xfId="0" applyFont="1" applyFill="1" applyBorder="1" applyAlignment="1">
      <alignment horizontal="center" vertical="center"/>
    </xf>
    <xf numFmtId="0" fontId="46" fillId="7" borderId="210" xfId="0" applyFont="1" applyFill="1" applyBorder="1" applyAlignment="1">
      <alignment horizontal="center" vertical="center"/>
    </xf>
    <xf numFmtId="0" fontId="46" fillId="7" borderId="210" xfId="0" quotePrefix="1" applyFont="1" applyFill="1" applyBorder="1" applyAlignment="1">
      <alignment horizontal="center" vertical="center"/>
    </xf>
    <xf numFmtId="0" fontId="46" fillId="16" borderId="210" xfId="0" quotePrefix="1" applyFont="1" applyFill="1" applyBorder="1" applyAlignment="1">
      <alignment horizontal="center" vertical="center"/>
    </xf>
    <xf numFmtId="0" fontId="46" fillId="9" borderId="210" xfId="0" quotePrefix="1" applyFont="1" applyFill="1" applyBorder="1" applyAlignment="1">
      <alignment horizontal="center" vertical="center"/>
    </xf>
    <xf numFmtId="0" fontId="46" fillId="15" borderId="210" xfId="0" quotePrefix="1" applyFont="1" applyFill="1" applyBorder="1" applyAlignment="1">
      <alignment horizontal="center" vertical="center"/>
    </xf>
    <xf numFmtId="0" fontId="91" fillId="28" borderId="210" xfId="0" applyFont="1" applyFill="1" applyBorder="1" applyAlignment="1">
      <alignment horizontal="center" vertical="center"/>
    </xf>
    <xf numFmtId="0" fontId="46" fillId="4" borderId="210" xfId="0" quotePrefix="1" applyFont="1" applyFill="1" applyBorder="1" applyAlignment="1">
      <alignment horizontal="center" vertical="center"/>
    </xf>
    <xf numFmtId="0" fontId="46" fillId="5" borderId="197" xfId="0" applyFont="1" applyFill="1" applyBorder="1" applyAlignment="1">
      <alignment horizontal="center" vertical="center"/>
    </xf>
    <xf numFmtId="0" fontId="49" fillId="5" borderId="210" xfId="0" applyFont="1" applyFill="1" applyBorder="1" applyAlignment="1">
      <alignment horizontal="center" vertical="center"/>
    </xf>
    <xf numFmtId="0" fontId="46" fillId="5" borderId="209" xfId="0" applyFont="1" applyFill="1" applyBorder="1" applyAlignment="1">
      <alignment horizontal="center" vertical="center"/>
    </xf>
    <xf numFmtId="0" fontId="46" fillId="11" borderId="210" xfId="0" applyFont="1" applyFill="1" applyBorder="1" applyAlignment="1">
      <alignment horizontal="left" vertical="center"/>
    </xf>
    <xf numFmtId="0" fontId="46" fillId="11" borderId="208" xfId="0" applyFont="1" applyFill="1" applyBorder="1" applyAlignment="1">
      <alignment horizontal="left" vertical="center"/>
    </xf>
    <xf numFmtId="0" fontId="48" fillId="18" borderId="158" xfId="0" applyFont="1" applyFill="1" applyBorder="1" applyAlignment="1">
      <alignment horizontal="center" vertical="center"/>
    </xf>
    <xf numFmtId="0" fontId="48" fillId="18" borderId="209" xfId="0" applyFont="1" applyFill="1" applyBorder="1" applyAlignment="1">
      <alignment horizontal="center" vertical="center"/>
    </xf>
    <xf numFmtId="0" fontId="46" fillId="18" borderId="209" xfId="0" applyFont="1" applyFill="1" applyBorder="1" applyAlignment="1">
      <alignment horizontal="left" vertical="center"/>
    </xf>
    <xf numFmtId="0" fontId="46" fillId="18" borderId="209" xfId="0" applyFont="1" applyFill="1" applyBorder="1" applyAlignment="1">
      <alignment horizontal="center" vertical="center"/>
    </xf>
    <xf numFmtId="0" fontId="46" fillId="18" borderId="209" xfId="0" quotePrefix="1" applyFont="1" applyFill="1" applyBorder="1" applyAlignment="1">
      <alignment horizontal="center" vertical="center"/>
    </xf>
    <xf numFmtId="0" fontId="46" fillId="18" borderId="160" xfId="0" applyFont="1" applyFill="1" applyBorder="1" applyAlignment="1">
      <alignment horizontal="left" vertical="center"/>
    </xf>
    <xf numFmtId="0" fontId="48" fillId="10" borderId="207" xfId="0" applyFont="1" applyFill="1" applyBorder="1" applyAlignment="1">
      <alignment horizontal="center" vertical="center"/>
    </xf>
    <xf numFmtId="0" fontId="48" fillId="10" borderId="210" xfId="0" applyFont="1" applyFill="1" applyBorder="1" applyAlignment="1">
      <alignment horizontal="center" vertical="center"/>
    </xf>
    <xf numFmtId="0" fontId="46" fillId="10" borderId="210" xfId="0" applyFont="1" applyFill="1" applyBorder="1" applyAlignment="1">
      <alignment horizontal="left" vertical="center"/>
    </xf>
    <xf numFmtId="0" fontId="46" fillId="10" borderId="210" xfId="0" quotePrefix="1" applyFont="1" applyFill="1" applyBorder="1" applyAlignment="1">
      <alignment horizontal="center" vertical="center"/>
    </xf>
    <xf numFmtId="0" fontId="46" fillId="10" borderId="210" xfId="0" quotePrefix="1" applyFont="1" applyFill="1" applyBorder="1" applyAlignment="1">
      <alignment horizontal="left" vertical="center"/>
    </xf>
    <xf numFmtId="0" fontId="46" fillId="10" borderId="208" xfId="0" quotePrefix="1" applyFont="1" applyFill="1" applyBorder="1" applyAlignment="1">
      <alignment horizontal="left" vertical="center"/>
    </xf>
    <xf numFmtId="0" fontId="57" fillId="11" borderId="207" xfId="0" applyFont="1" applyFill="1" applyBorder="1" applyAlignment="1">
      <alignment horizontal="center" vertical="center"/>
    </xf>
    <xf numFmtId="0" fontId="57" fillId="11" borderId="210" xfId="0" applyFont="1" applyFill="1" applyBorder="1" applyAlignment="1">
      <alignment horizontal="center" vertical="center"/>
    </xf>
    <xf numFmtId="0" fontId="0" fillId="11" borderId="210" xfId="0" applyFill="1" applyBorder="1" applyAlignment="1">
      <alignment horizontal="left" vertical="center"/>
    </xf>
    <xf numFmtId="0" fontId="0" fillId="11" borderId="210" xfId="0" applyFill="1" applyBorder="1" applyAlignment="1">
      <alignment horizontal="center" vertical="center"/>
    </xf>
    <xf numFmtId="165" fontId="49" fillId="9" borderId="84" xfId="0" applyNumberFormat="1" applyFont="1" applyFill="1" applyBorder="1" applyAlignment="1">
      <alignment horizontal="center" vertical="center"/>
    </xf>
    <xf numFmtId="165" fontId="49" fillId="9" borderId="209" xfId="0" applyNumberFormat="1" applyFont="1" applyFill="1" applyBorder="1" applyAlignment="1">
      <alignment horizontal="center" vertical="center"/>
    </xf>
    <xf numFmtId="0" fontId="49" fillId="8" borderId="197" xfId="0" applyFont="1" applyFill="1" applyBorder="1" applyAlignment="1">
      <alignment horizontal="center" vertical="center" wrapText="1"/>
    </xf>
    <xf numFmtId="0" fontId="49" fillId="8" borderId="210" xfId="0" applyFont="1" applyFill="1" applyBorder="1" applyAlignment="1">
      <alignment horizontal="center" vertical="center" wrapText="1"/>
    </xf>
    <xf numFmtId="0" fontId="49" fillId="11" borderId="210" xfId="0" applyFont="1" applyFill="1" applyBorder="1" applyAlignment="1">
      <alignment horizontal="center" vertical="center" wrapText="1"/>
    </xf>
    <xf numFmtId="0" fontId="49" fillId="19" borderId="210" xfId="0" applyFont="1" applyFill="1" applyBorder="1" applyAlignment="1">
      <alignment horizontal="center" vertical="center" wrapText="1"/>
    </xf>
    <xf numFmtId="0" fontId="49" fillId="10" borderId="210" xfId="0" applyFont="1" applyFill="1" applyBorder="1" applyAlignment="1">
      <alignment horizontal="center" vertical="center" wrapText="1"/>
    </xf>
    <xf numFmtId="0" fontId="49" fillId="12" borderId="210" xfId="0" applyFont="1" applyFill="1" applyBorder="1" applyAlignment="1">
      <alignment horizontal="center" vertical="center" wrapText="1"/>
    </xf>
    <xf numFmtId="0" fontId="49" fillId="18" borderId="209" xfId="0" applyFont="1" applyFill="1" applyBorder="1" applyAlignment="1">
      <alignment horizontal="center" vertical="center" wrapText="1"/>
    </xf>
    <xf numFmtId="2" fontId="49" fillId="8" borderId="197" xfId="0" applyNumberFormat="1" applyFont="1" applyFill="1" applyBorder="1" applyAlignment="1">
      <alignment horizontal="center" vertical="center" wrapText="1"/>
    </xf>
    <xf numFmtId="2" fontId="49" fillId="8" borderId="210" xfId="0" applyNumberFormat="1" applyFont="1" applyFill="1" applyBorder="1" applyAlignment="1">
      <alignment horizontal="center" vertical="center" wrapText="1"/>
    </xf>
    <xf numFmtId="2" fontId="49" fillId="11" borderId="210" xfId="0" applyNumberFormat="1" applyFont="1" applyFill="1" applyBorder="1" applyAlignment="1">
      <alignment horizontal="center" vertical="center" wrapText="1"/>
    </xf>
    <xf numFmtId="164" fontId="49" fillId="11" borderId="210" xfId="0" applyNumberFormat="1" applyFont="1" applyFill="1" applyBorder="1" applyAlignment="1">
      <alignment horizontal="center" vertical="center" wrapText="1"/>
    </xf>
    <xf numFmtId="0" fontId="49" fillId="0" borderId="207" xfId="0" applyFont="1" applyBorder="1" applyAlignment="1">
      <alignment horizontal="left" vertical="center"/>
    </xf>
    <xf numFmtId="0" fontId="49" fillId="0" borderId="210" xfId="0" applyFont="1" applyBorder="1" applyAlignment="1">
      <alignment horizontal="left" vertical="center" wrapText="1"/>
    </xf>
    <xf numFmtId="164" fontId="49" fillId="0" borderId="211" xfId="0" applyNumberFormat="1" applyFont="1" applyBorder="1" applyAlignment="1">
      <alignment horizontal="left" vertical="center"/>
    </xf>
    <xf numFmtId="0" fontId="49" fillId="0" borderId="208" xfId="0" quotePrefix="1" applyFont="1" applyBorder="1" applyAlignment="1">
      <alignment horizontal="left" vertical="center"/>
    </xf>
    <xf numFmtId="0" fontId="49" fillId="0" borderId="210" xfId="0" applyFont="1" applyBorder="1" applyAlignment="1">
      <alignment horizontal="center" vertical="center" wrapText="1"/>
    </xf>
    <xf numFmtId="0" fontId="49" fillId="0" borderId="210" xfId="0" applyFont="1" applyBorder="1" applyAlignment="1">
      <alignment horizontal="center" vertical="center"/>
    </xf>
    <xf numFmtId="0" fontId="49" fillId="0" borderId="208" xfId="0" applyFont="1" applyBorder="1" applyAlignment="1">
      <alignment horizontal="center" vertical="center" wrapText="1"/>
    </xf>
    <xf numFmtId="0" fontId="57" fillId="0" borderId="37" xfId="3" applyFont="1" applyBorder="1" applyAlignment="1">
      <alignment horizontal="left" vertical="center" wrapText="1"/>
    </xf>
    <xf numFmtId="2" fontId="46" fillId="0" borderId="15" xfId="0" applyNumberFormat="1" applyFont="1" applyBorder="1" applyAlignment="1">
      <alignment horizontal="left" vertical="center"/>
    </xf>
    <xf numFmtId="0" fontId="46" fillId="0" borderId="84" xfId="0" applyFont="1" applyBorder="1" applyAlignment="1">
      <alignment horizontal="center" vertical="center"/>
    </xf>
    <xf numFmtId="0" fontId="46" fillId="0" borderId="15" xfId="0" applyFont="1" applyBorder="1" applyAlignment="1">
      <alignment horizontal="center" vertical="center"/>
    </xf>
    <xf numFmtId="0" fontId="46" fillId="0" borderId="15" xfId="0" applyFont="1" applyBorder="1" applyAlignment="1">
      <alignment horizontal="left" vertical="center"/>
    </xf>
    <xf numFmtId="0" fontId="57" fillId="0" borderId="7" xfId="3" applyFont="1" applyBorder="1" applyAlignment="1">
      <alignment horizontal="left" vertical="center" wrapText="1"/>
    </xf>
    <xf numFmtId="2" fontId="46" fillId="0" borderId="6" xfId="0" applyNumberFormat="1" applyFont="1" applyBorder="1" applyAlignment="1">
      <alignment horizontal="left" vertical="center"/>
    </xf>
    <xf numFmtId="0" fontId="46" fillId="0" borderId="6" xfId="0" applyFont="1" applyBorder="1" applyAlignment="1">
      <alignment horizontal="center" vertical="center"/>
    </xf>
    <xf numFmtId="11" fontId="46" fillId="0" borderId="6" xfId="0" applyNumberFormat="1" applyFont="1" applyBorder="1" applyAlignment="1">
      <alignment horizontal="center" vertical="center"/>
    </xf>
    <xf numFmtId="0" fontId="46" fillId="0" borderId="172" xfId="0" applyFont="1" applyBorder="1" applyAlignment="1">
      <alignment horizontal="center" vertical="center"/>
    </xf>
    <xf numFmtId="2" fontId="46" fillId="0" borderId="83" xfId="0" applyNumberFormat="1" applyFont="1" applyBorder="1" applyAlignment="1">
      <alignment horizontal="left" vertical="center"/>
    </xf>
    <xf numFmtId="2" fontId="46" fillId="0" borderId="83" xfId="0" applyNumberFormat="1" applyFont="1" applyBorder="1" applyAlignment="1">
      <alignment horizontal="center" vertical="center"/>
    </xf>
    <xf numFmtId="0" fontId="73" fillId="0" borderId="7" xfId="3" applyFont="1" applyBorder="1" applyAlignment="1">
      <alignment horizontal="left" vertical="center" wrapText="1"/>
    </xf>
    <xf numFmtId="0" fontId="67" fillId="0" borderId="7" xfId="0" applyFont="1" applyBorder="1" applyAlignment="1">
      <alignment horizontal="left" vertical="center"/>
    </xf>
    <xf numFmtId="0" fontId="67" fillId="0" borderId="121" xfId="0" applyFont="1" applyBorder="1" applyAlignment="1">
      <alignment horizontal="left" vertical="center"/>
    </xf>
    <xf numFmtId="2" fontId="46" fillId="0" borderId="145" xfId="0" applyNumberFormat="1" applyFont="1" applyBorder="1" applyAlignment="1">
      <alignment horizontal="left" vertical="center"/>
    </xf>
    <xf numFmtId="2" fontId="46" fillId="0" borderId="145" xfId="0" applyNumberFormat="1" applyFont="1" applyBorder="1" applyAlignment="1">
      <alignment horizontal="center" vertical="center"/>
    </xf>
    <xf numFmtId="11" fontId="46" fillId="0" borderId="145" xfId="0" applyNumberFormat="1" applyFont="1" applyBorder="1" applyAlignment="1">
      <alignment horizontal="center" vertical="center"/>
    </xf>
    <xf numFmtId="2" fontId="46" fillId="0" borderId="84" xfId="0" applyNumberFormat="1" applyFont="1" applyBorder="1" applyAlignment="1">
      <alignment horizontal="center" vertical="center"/>
    </xf>
    <xf numFmtId="0" fontId="46" fillId="0" borderId="145" xfId="0" applyFont="1" applyBorder="1" applyAlignment="1">
      <alignment horizontal="center" vertical="center"/>
    </xf>
    <xf numFmtId="166" fontId="15" fillId="0" borderId="145" xfId="35" applyNumberFormat="1" applyBorder="1" applyAlignment="1">
      <alignment horizontal="center" vertical="center"/>
    </xf>
    <xf numFmtId="0" fontId="61" fillId="0" borderId="7" xfId="3" applyFont="1" applyBorder="1" applyAlignment="1">
      <alignment horizontal="left" vertical="center" wrapText="1"/>
    </xf>
    <xf numFmtId="0" fontId="73" fillId="0" borderId="156" xfId="3" applyFont="1" applyBorder="1" applyAlignment="1">
      <alignment horizontal="left" vertical="center" wrapText="1"/>
    </xf>
    <xf numFmtId="2" fontId="46" fillId="0" borderId="210" xfId="0" applyNumberFormat="1" applyFont="1" applyBorder="1" applyAlignment="1">
      <alignment horizontal="center" vertical="center"/>
    </xf>
    <xf numFmtId="0" fontId="46" fillId="0" borderId="154" xfId="0" applyFont="1" applyBorder="1" applyAlignment="1">
      <alignment horizontal="center" vertical="center"/>
    </xf>
    <xf numFmtId="0" fontId="73" fillId="0" borderId="207" xfId="3" applyFont="1" applyBorder="1" applyAlignment="1">
      <alignment horizontal="left" vertical="center" wrapText="1"/>
    </xf>
    <xf numFmtId="2" fontId="46" fillId="0" borderId="210" xfId="0" applyNumberFormat="1" applyFont="1" applyBorder="1" applyAlignment="1">
      <alignment horizontal="left" vertical="center"/>
    </xf>
    <xf numFmtId="1" fontId="46" fillId="0" borderId="210" xfId="0" applyNumberFormat="1" applyFont="1" applyBorder="1" applyAlignment="1">
      <alignment horizontal="center" vertical="center"/>
    </xf>
    <xf numFmtId="0" fontId="46" fillId="0" borderId="210" xfId="0" applyFont="1" applyBorder="1" applyAlignment="1">
      <alignment horizontal="left" vertical="center"/>
    </xf>
    <xf numFmtId="0" fontId="46" fillId="0" borderId="208" xfId="0" applyFont="1" applyBorder="1" applyAlignment="1">
      <alignment horizontal="left" vertical="center"/>
    </xf>
    <xf numFmtId="0" fontId="67" fillId="0" borderId="91" xfId="0" applyFont="1" applyBorder="1" applyAlignment="1">
      <alignment horizontal="left" vertical="center"/>
    </xf>
    <xf numFmtId="0" fontId="46" fillId="0" borderId="108" xfId="0" applyFont="1" applyBorder="1" applyAlignment="1">
      <alignment horizontal="left" vertical="center"/>
    </xf>
    <xf numFmtId="166" fontId="12" fillId="0" borderId="132" xfId="45" applyNumberFormat="1" applyBorder="1" applyAlignment="1">
      <alignment horizontal="center" vertical="center"/>
    </xf>
    <xf numFmtId="166" fontId="12" fillId="0" borderId="210" xfId="45" applyNumberFormat="1" applyBorder="1" applyAlignment="1">
      <alignment horizontal="center" vertical="center"/>
    </xf>
    <xf numFmtId="0" fontId="15" fillId="0" borderId="108" xfId="39" applyBorder="1" applyAlignment="1">
      <alignment horizontal="center" vertical="center"/>
    </xf>
    <xf numFmtId="2" fontId="46" fillId="0" borderId="108" xfId="0" applyNumberFormat="1" applyFont="1" applyBorder="1" applyAlignment="1">
      <alignment horizontal="left" vertical="center"/>
    </xf>
    <xf numFmtId="0" fontId="46" fillId="0" borderId="132" xfId="0" applyFont="1" applyBorder="1" applyAlignment="1">
      <alignment horizontal="center" vertical="center"/>
    </xf>
    <xf numFmtId="0" fontId="0" fillId="0" borderId="108" xfId="0" applyBorder="1" applyAlignment="1">
      <alignment horizontal="center" vertical="center"/>
    </xf>
    <xf numFmtId="0" fontId="15" fillId="0" borderId="108" xfId="40" applyBorder="1" applyAlignment="1">
      <alignment horizontal="center" vertical="center"/>
    </xf>
    <xf numFmtId="166" fontId="12" fillId="0" borderId="132" xfId="46" applyNumberFormat="1" applyBorder="1" applyAlignment="1">
      <alignment horizontal="center" vertical="center"/>
    </xf>
    <xf numFmtId="0" fontId="15" fillId="0" borderId="108" xfId="41" applyBorder="1" applyAlignment="1">
      <alignment horizontal="center" vertical="center"/>
    </xf>
    <xf numFmtId="0" fontId="46" fillId="0" borderId="108" xfId="0" applyFont="1" applyBorder="1" applyAlignment="1">
      <alignment horizontal="center" vertical="center" wrapText="1"/>
    </xf>
    <xf numFmtId="0" fontId="46" fillId="0" borderId="172" xfId="0" applyFont="1" applyBorder="1" applyAlignment="1">
      <alignment horizontal="center" vertical="center" wrapText="1"/>
    </xf>
    <xf numFmtId="0" fontId="46" fillId="0" borderId="108" xfId="0" applyFont="1" applyBorder="1" applyAlignment="1">
      <alignment horizontal="left" vertical="center" wrapText="1"/>
    </xf>
    <xf numFmtId="166" fontId="12" fillId="0" borderId="210" xfId="46" applyNumberFormat="1" applyBorder="1" applyAlignment="1">
      <alignment horizontal="center" vertical="center"/>
    </xf>
    <xf numFmtId="0" fontId="15" fillId="0" borderId="108" xfId="42" applyBorder="1" applyAlignment="1">
      <alignment horizontal="center" vertical="center"/>
    </xf>
    <xf numFmtId="0" fontId="67" fillId="0" borderId="9" xfId="0" applyFont="1" applyBorder="1" applyAlignment="1">
      <alignment horizontal="left" vertical="center"/>
    </xf>
    <xf numFmtId="0" fontId="46" fillId="0" borderId="107" xfId="0" applyFont="1" applyBorder="1" applyAlignment="1">
      <alignment horizontal="left" vertical="center"/>
    </xf>
    <xf numFmtId="166" fontId="12" fillId="0" borderId="120" xfId="45" applyNumberFormat="1" applyBorder="1" applyAlignment="1">
      <alignment horizontal="center" vertical="center"/>
    </xf>
    <xf numFmtId="166" fontId="12" fillId="0" borderId="209" xfId="45" applyNumberFormat="1" applyBorder="1" applyAlignment="1">
      <alignment horizontal="center" vertical="center"/>
    </xf>
    <xf numFmtId="166" fontId="15" fillId="0" borderId="107" xfId="38" applyNumberFormat="1" applyBorder="1" applyAlignment="1">
      <alignment horizontal="center" vertical="center"/>
    </xf>
    <xf numFmtId="0" fontId="46" fillId="0" borderId="107" xfId="0" applyFont="1" applyBorder="1" applyAlignment="1">
      <alignment horizontal="center" vertical="center"/>
    </xf>
    <xf numFmtId="0" fontId="15" fillId="0" borderId="107" xfId="43" applyBorder="1" applyAlignment="1">
      <alignment horizontal="center" vertical="center"/>
    </xf>
    <xf numFmtId="0" fontId="46" fillId="0" borderId="159" xfId="0" applyFont="1" applyBorder="1" applyAlignment="1">
      <alignment horizontal="center" vertical="center"/>
    </xf>
    <xf numFmtId="0" fontId="46" fillId="0" borderId="11" xfId="0" applyFont="1" applyBorder="1" applyAlignment="1">
      <alignment horizontal="left" vertical="center"/>
    </xf>
    <xf numFmtId="0" fontId="67" fillId="0" borderId="99" xfId="0" applyFont="1" applyBorder="1" applyAlignment="1">
      <alignment horizontal="left" vertical="center"/>
    </xf>
    <xf numFmtId="0" fontId="46" fillId="0" borderId="100" xfId="0" applyFont="1" applyBorder="1" applyAlignment="1">
      <alignment horizontal="left" vertical="center"/>
    </xf>
    <xf numFmtId="166" fontId="15" fillId="0" borderId="100" xfId="35" applyNumberFormat="1" applyBorder="1" applyAlignment="1">
      <alignment horizontal="center" vertical="center"/>
    </xf>
    <xf numFmtId="166" fontId="15" fillId="0" borderId="197" xfId="35" applyNumberFormat="1" applyBorder="1" applyAlignment="1">
      <alignment horizontal="center" vertical="center"/>
    </xf>
    <xf numFmtId="0" fontId="46" fillId="0" borderId="100" xfId="0" applyFont="1" applyBorder="1" applyAlignment="1">
      <alignment horizontal="center" vertical="center"/>
    </xf>
    <xf numFmtId="0" fontId="15" fillId="0" borderId="100" xfId="39" applyBorder="1" applyAlignment="1">
      <alignment horizontal="center" vertical="center"/>
    </xf>
    <xf numFmtId="0" fontId="46" fillId="0" borderId="173" xfId="0" applyFont="1" applyBorder="1" applyAlignment="1">
      <alignment horizontal="center" vertical="center"/>
    </xf>
    <xf numFmtId="0" fontId="46" fillId="0" borderId="101" xfId="0" applyFont="1" applyBorder="1" applyAlignment="1">
      <alignment horizontal="left" vertical="center"/>
    </xf>
    <xf numFmtId="166" fontId="15" fillId="0" borderId="108" xfId="35" applyNumberFormat="1" applyBorder="1" applyAlignment="1">
      <alignment horizontal="center" vertical="center"/>
    </xf>
    <xf numFmtId="166" fontId="15" fillId="0" borderId="210" xfId="35" applyNumberFormat="1" applyBorder="1" applyAlignment="1">
      <alignment horizontal="center" vertical="center"/>
    </xf>
    <xf numFmtId="166" fontId="15" fillId="0" borderId="107" xfId="35" applyNumberFormat="1" applyBorder="1" applyAlignment="1">
      <alignment horizontal="center" vertical="center"/>
    </xf>
    <xf numFmtId="166" fontId="15" fillId="0" borderId="209" xfId="35" applyNumberFormat="1" applyBorder="1" applyAlignment="1">
      <alignment horizontal="center" vertical="center"/>
    </xf>
    <xf numFmtId="0" fontId="15" fillId="0" borderId="107" xfId="39" applyBorder="1" applyAlignment="1">
      <alignment horizontal="center" vertical="center"/>
    </xf>
    <xf numFmtId="0" fontId="76" fillId="0" borderId="0" xfId="0" applyFont="1" applyAlignment="1">
      <alignment horizontal="left" vertical="center"/>
    </xf>
    <xf numFmtId="0" fontId="49" fillId="0" borderId="177" xfId="0" applyFont="1" applyBorder="1" applyAlignment="1">
      <alignment horizontal="left" vertical="center"/>
    </xf>
    <xf numFmtId="0" fontId="49" fillId="0" borderId="210" xfId="0" applyFont="1" applyBorder="1" applyAlignment="1">
      <alignment horizontal="left" vertical="center"/>
    </xf>
    <xf numFmtId="0" fontId="49" fillId="0" borderId="187" xfId="0" applyFont="1" applyBorder="1" applyAlignment="1">
      <alignment horizontal="left" vertical="center" wrapText="1"/>
    </xf>
    <xf numFmtId="164" fontId="49" fillId="0" borderId="210" xfId="0" applyNumberFormat="1" applyFont="1" applyBorder="1" applyAlignment="1">
      <alignment horizontal="left" vertical="center"/>
    </xf>
    <xf numFmtId="164" fontId="49" fillId="0" borderId="187" xfId="0" applyNumberFormat="1" applyFont="1" applyBorder="1" applyAlignment="1">
      <alignment horizontal="left" vertical="center"/>
    </xf>
    <xf numFmtId="164" fontId="0" fillId="0" borderId="0" xfId="0" applyNumberFormat="1" applyAlignment="1">
      <alignment horizontal="left" vertical="center"/>
    </xf>
    <xf numFmtId="0" fontId="49" fillId="0" borderId="187" xfId="0" applyFont="1" applyBorder="1" applyAlignment="1">
      <alignment horizontal="left" vertical="center"/>
    </xf>
    <xf numFmtId="0" fontId="49" fillId="0" borderId="208" xfId="0" applyFont="1" applyBorder="1" applyAlignment="1">
      <alignment horizontal="left" vertical="center"/>
    </xf>
    <xf numFmtId="0" fontId="49" fillId="0" borderId="208" xfId="0" applyFont="1" applyBorder="1" applyAlignment="1">
      <alignment horizontal="center" vertical="center"/>
    </xf>
    <xf numFmtId="0" fontId="49" fillId="0" borderId="186" xfId="0" applyFont="1" applyBorder="1" applyAlignment="1">
      <alignment horizontal="left" vertical="center"/>
    </xf>
    <xf numFmtId="0" fontId="57" fillId="7" borderId="165" xfId="0" applyFont="1" applyFill="1" applyBorder="1" applyAlignment="1">
      <alignment horizontal="left" vertical="center"/>
    </xf>
    <xf numFmtId="0" fontId="57" fillId="7" borderId="189" xfId="0" applyFont="1" applyFill="1" applyBorder="1" applyAlignment="1">
      <alignment horizontal="left" vertical="center"/>
    </xf>
    <xf numFmtId="0" fontId="57" fillId="7" borderId="182" xfId="0" applyFont="1" applyFill="1" applyBorder="1" applyAlignment="1">
      <alignment horizontal="left" vertical="center"/>
    </xf>
    <xf numFmtId="0" fontId="73" fillId="7" borderId="166" xfId="0" applyFont="1" applyFill="1" applyBorder="1" applyAlignment="1">
      <alignment horizontal="left" vertical="center"/>
    </xf>
    <xf numFmtId="0" fontId="73" fillId="7" borderId="190" xfId="0" applyFont="1" applyFill="1" applyBorder="1" applyAlignment="1">
      <alignment horizontal="left" vertical="center"/>
    </xf>
    <xf numFmtId="0" fontId="73" fillId="7" borderId="183" xfId="0" applyFont="1" applyFill="1" applyBorder="1" applyAlignment="1">
      <alignment horizontal="left" vertical="center"/>
    </xf>
    <xf numFmtId="0" fontId="57" fillId="7" borderId="166" xfId="0" applyFont="1" applyFill="1" applyBorder="1" applyAlignment="1">
      <alignment horizontal="left" vertical="center"/>
    </xf>
    <xf numFmtId="0" fontId="57" fillId="7" borderId="190" xfId="0" applyFont="1" applyFill="1" applyBorder="1" applyAlignment="1">
      <alignment horizontal="left" vertical="center"/>
    </xf>
    <xf numFmtId="0" fontId="57" fillId="7" borderId="183" xfId="0" applyFont="1" applyFill="1" applyBorder="1" applyAlignment="1">
      <alignment horizontal="left" vertical="center"/>
    </xf>
    <xf numFmtId="0" fontId="57" fillId="7" borderId="167" xfId="0" applyFont="1" applyFill="1" applyBorder="1" applyAlignment="1">
      <alignment horizontal="left" vertical="center"/>
    </xf>
    <xf numFmtId="0" fontId="57" fillId="7" borderId="191" xfId="0" applyFont="1" applyFill="1" applyBorder="1" applyAlignment="1">
      <alignment horizontal="left" vertical="center"/>
    </xf>
    <xf numFmtId="0" fontId="57" fillId="7" borderId="184" xfId="0" applyFont="1" applyFill="1" applyBorder="1" applyAlignment="1">
      <alignment horizontal="left" vertical="center"/>
    </xf>
    <xf numFmtId="0" fontId="48" fillId="7" borderId="190" xfId="0" applyFont="1" applyFill="1" applyBorder="1" applyAlignment="1">
      <alignment horizontal="center" vertical="center"/>
    </xf>
    <xf numFmtId="0" fontId="53" fillId="9" borderId="207" xfId="0" applyFont="1" applyFill="1" applyBorder="1" applyAlignment="1">
      <alignment horizontal="left" vertical="center" wrapText="1"/>
    </xf>
    <xf numFmtId="0" fontId="53" fillId="9" borderId="210" xfId="0" applyFont="1" applyFill="1" applyBorder="1" applyAlignment="1">
      <alignment horizontal="center" vertical="center" wrapText="1"/>
    </xf>
    <xf numFmtId="0" fontId="53" fillId="9" borderId="210" xfId="0" applyFont="1" applyFill="1" applyBorder="1" applyAlignment="1">
      <alignment horizontal="left" vertical="center" wrapText="1"/>
    </xf>
    <xf numFmtId="0" fontId="53" fillId="9" borderId="208" xfId="0" applyFont="1" applyFill="1" applyBorder="1" applyAlignment="1">
      <alignment horizontal="left" vertical="center" wrapText="1"/>
    </xf>
    <xf numFmtId="166" fontId="53" fillId="9" borderId="210" xfId="0" applyNumberFormat="1" applyFont="1" applyFill="1" applyBorder="1" applyAlignment="1">
      <alignment vertical="center" wrapText="1"/>
    </xf>
    <xf numFmtId="169" fontId="53" fillId="9" borderId="210" xfId="0" applyNumberFormat="1" applyFont="1" applyFill="1" applyBorder="1" applyAlignment="1">
      <alignment horizontal="center" vertical="center" wrapText="1"/>
    </xf>
    <xf numFmtId="0" fontId="53" fillId="9" borderId="207" xfId="0" applyFont="1" applyFill="1" applyBorder="1" applyAlignment="1">
      <alignment horizontal="left" vertical="center"/>
    </xf>
    <xf numFmtId="166" fontId="53" fillId="9" borderId="210" xfId="0" applyNumberFormat="1" applyFont="1" applyFill="1" applyBorder="1" applyAlignment="1">
      <alignment horizontal="center" vertical="center"/>
    </xf>
    <xf numFmtId="0" fontId="53" fillId="9" borderId="210" xfId="0" quotePrefix="1" applyFont="1" applyFill="1" applyBorder="1" applyAlignment="1">
      <alignment horizontal="center" vertical="center" wrapText="1"/>
    </xf>
    <xf numFmtId="0" fontId="53" fillId="9" borderId="210" xfId="0" applyFont="1" applyFill="1" applyBorder="1" applyAlignment="1">
      <alignment horizontal="left" vertical="center"/>
    </xf>
    <xf numFmtId="0" fontId="56" fillId="9" borderId="208" xfId="0" applyFont="1" applyFill="1" applyBorder="1" applyAlignment="1">
      <alignment horizontal="left" vertical="center"/>
    </xf>
    <xf numFmtId="0" fontId="53" fillId="9" borderId="207" xfId="0" applyFont="1" applyFill="1" applyBorder="1" applyAlignment="1">
      <alignment vertical="center"/>
    </xf>
    <xf numFmtId="0" fontId="53" fillId="9" borderId="210" xfId="0" applyFont="1" applyFill="1" applyBorder="1" applyAlignment="1">
      <alignment vertical="center" wrapText="1"/>
    </xf>
    <xf numFmtId="0" fontId="53" fillId="9" borderId="208" xfId="0" applyFont="1" applyFill="1" applyBorder="1" applyAlignment="1">
      <alignment horizontal="left" vertical="center"/>
    </xf>
    <xf numFmtId="0" fontId="46" fillId="9" borderId="210" xfId="0" applyFont="1" applyFill="1" applyBorder="1" applyAlignment="1">
      <alignment horizontal="left" vertical="center"/>
    </xf>
    <xf numFmtId="0" fontId="46" fillId="9" borderId="208" xfId="0" applyFont="1" applyFill="1" applyBorder="1" applyAlignment="1">
      <alignment horizontal="left" vertical="center"/>
    </xf>
    <xf numFmtId="0" fontId="57" fillId="7" borderId="207" xfId="0" applyFont="1" applyFill="1" applyBorder="1" applyAlignment="1">
      <alignment horizontal="center" vertical="center"/>
    </xf>
    <xf numFmtId="0" fontId="57" fillId="7" borderId="210" xfId="0" applyFont="1" applyFill="1" applyBorder="1" applyAlignment="1">
      <alignment horizontal="center" vertical="center"/>
    </xf>
    <xf numFmtId="0" fontId="48" fillId="16" borderId="207" xfId="0" applyFont="1" applyFill="1" applyBorder="1" applyAlignment="1">
      <alignment horizontal="center" vertical="center"/>
    </xf>
    <xf numFmtId="0" fontId="48" fillId="16" borderId="210" xfId="0" applyFont="1" applyFill="1" applyBorder="1" applyAlignment="1">
      <alignment horizontal="center" vertical="center"/>
    </xf>
    <xf numFmtId="0" fontId="57" fillId="16" borderId="207" xfId="0" applyFont="1" applyFill="1" applyBorder="1" applyAlignment="1">
      <alignment horizontal="center" vertical="center"/>
    </xf>
    <xf numFmtId="0" fontId="57" fillId="16" borderId="210" xfId="0" applyFont="1" applyFill="1" applyBorder="1" applyAlignment="1">
      <alignment horizontal="center" vertical="center"/>
    </xf>
    <xf numFmtId="0" fontId="29" fillId="9" borderId="207" xfId="0" applyFont="1" applyFill="1" applyBorder="1" applyAlignment="1">
      <alignment horizontal="center" vertical="center"/>
    </xf>
    <xf numFmtId="0" fontId="29" fillId="9" borderId="210" xfId="0" applyFont="1" applyFill="1" applyBorder="1" applyAlignment="1">
      <alignment horizontal="center" vertical="center"/>
    </xf>
    <xf numFmtId="0" fontId="57" fillId="15" borderId="207" xfId="0" applyFont="1" applyFill="1" applyBorder="1" applyAlignment="1">
      <alignment horizontal="center" vertical="center"/>
    </xf>
    <xf numFmtId="0" fontId="57" fillId="15" borderId="210" xfId="0" applyFont="1" applyFill="1" applyBorder="1" applyAlignment="1">
      <alignment horizontal="center" vertical="center"/>
    </xf>
    <xf numFmtId="0" fontId="57" fillId="28" borderId="207" xfId="0" applyFont="1" applyFill="1" applyBorder="1" applyAlignment="1">
      <alignment horizontal="center" vertical="center"/>
    </xf>
    <xf numFmtId="0" fontId="57" fillId="28" borderId="210" xfId="0" applyFont="1" applyFill="1" applyBorder="1" applyAlignment="1">
      <alignment horizontal="center" vertical="center"/>
    </xf>
    <xf numFmtId="0" fontId="48" fillId="4" borderId="207" xfId="0" applyFont="1" applyFill="1" applyBorder="1" applyAlignment="1">
      <alignment horizontal="center" vertical="center"/>
    </xf>
    <xf numFmtId="0" fontId="48" fillId="4" borderId="210" xfId="0" applyFont="1" applyFill="1" applyBorder="1" applyAlignment="1">
      <alignment horizontal="center" vertical="center"/>
    </xf>
    <xf numFmtId="0" fontId="48" fillId="18" borderId="207" xfId="0" applyFont="1" applyFill="1" applyBorder="1" applyAlignment="1">
      <alignment horizontal="center" vertical="center"/>
    </xf>
    <xf numFmtId="0" fontId="48" fillId="18" borderId="210" xfId="0" applyFont="1" applyFill="1" applyBorder="1" applyAlignment="1">
      <alignment horizontal="center" vertical="center"/>
    </xf>
    <xf numFmtId="0" fontId="46" fillId="9" borderId="207" xfId="0" applyFont="1" applyFill="1" applyBorder="1" applyAlignment="1">
      <alignment horizontal="left" vertical="center" wrapText="1"/>
    </xf>
    <xf numFmtId="0" fontId="46" fillId="9" borderId="210" xfId="0" applyFont="1" applyFill="1" applyBorder="1" applyAlignment="1">
      <alignment horizontal="left" vertical="center" wrapText="1"/>
    </xf>
    <xf numFmtId="0" fontId="46" fillId="9" borderId="210" xfId="0" quotePrefix="1" applyFont="1" applyFill="1" applyBorder="1" applyAlignment="1">
      <alignment horizontal="left" vertical="center" wrapText="1"/>
    </xf>
    <xf numFmtId="164" fontId="46" fillId="9" borderId="210" xfId="0" applyNumberFormat="1" applyFont="1" applyFill="1" applyBorder="1" applyAlignment="1">
      <alignment horizontal="left" vertical="center" wrapText="1"/>
    </xf>
    <xf numFmtId="0" fontId="49" fillId="9" borderId="210" xfId="0" applyFont="1" applyFill="1" applyBorder="1" applyAlignment="1">
      <alignment horizontal="left" vertical="center" wrapText="1"/>
    </xf>
    <xf numFmtId="0" fontId="46" fillId="9" borderId="208" xfId="0" applyFont="1" applyFill="1" applyBorder="1" applyAlignment="1">
      <alignment horizontal="left" vertical="center" wrapText="1"/>
    </xf>
    <xf numFmtId="1" fontId="53" fillId="9" borderId="210" xfId="0" applyNumberFormat="1" applyFont="1" applyFill="1" applyBorder="1" applyAlignment="1">
      <alignment horizontal="center" vertical="center" wrapText="1"/>
    </xf>
    <xf numFmtId="0" fontId="46" fillId="0" borderId="210" xfId="0" applyFont="1" applyBorder="1" applyAlignment="1">
      <alignment horizontal="left" vertical="center" wrapText="1"/>
    </xf>
    <xf numFmtId="0" fontId="49" fillId="20" borderId="197" xfId="0" applyFont="1" applyFill="1" applyBorder="1" applyAlignment="1">
      <alignment horizontal="left" vertical="center"/>
    </xf>
    <xf numFmtId="0" fontId="49" fillId="20" borderId="209" xfId="0" applyFont="1" applyFill="1" applyBorder="1" applyAlignment="1">
      <alignment horizontal="left" vertical="center"/>
    </xf>
    <xf numFmtId="0" fontId="53" fillId="42" borderId="196" xfId="0" applyFont="1" applyFill="1" applyBorder="1" applyAlignment="1">
      <alignment horizontal="left"/>
    </xf>
    <xf numFmtId="0" fontId="53" fillId="42" borderId="197" xfId="0" applyFont="1" applyFill="1" applyBorder="1" applyAlignment="1">
      <alignment horizontal="left" vertical="center" wrapText="1"/>
    </xf>
    <xf numFmtId="2" fontId="53" fillId="42" borderId="197" xfId="0" applyNumberFormat="1" applyFont="1" applyFill="1" applyBorder="1" applyAlignment="1">
      <alignment horizontal="center" vertical="center" wrapText="1"/>
    </xf>
    <xf numFmtId="0" fontId="53" fillId="42" borderId="197" xfId="0" applyFont="1" applyFill="1" applyBorder="1" applyAlignment="1">
      <alignment horizontal="center" vertical="center" wrapText="1"/>
    </xf>
    <xf numFmtId="0" fontId="49" fillId="42" borderId="197" xfId="0" applyFont="1" applyFill="1" applyBorder="1" applyAlignment="1">
      <alignment horizontal="left" vertical="center" wrapText="1"/>
    </xf>
    <xf numFmtId="0" fontId="49" fillId="42" borderId="198" xfId="0" applyFont="1" applyFill="1" applyBorder="1" applyAlignment="1">
      <alignment horizontal="left" vertical="center" wrapText="1"/>
    </xf>
    <xf numFmtId="0" fontId="53" fillId="42" borderId="207" xfId="0" applyFont="1" applyFill="1" applyBorder="1" applyAlignment="1">
      <alignment horizontal="left"/>
    </xf>
    <xf numFmtId="0" fontId="53" fillId="42" borderId="210" xfId="0" applyFont="1" applyFill="1" applyBorder="1" applyAlignment="1">
      <alignment horizontal="left" vertical="center" wrapText="1"/>
    </xf>
    <xf numFmtId="2" fontId="53" fillId="42" borderId="210" xfId="0" applyNumberFormat="1" applyFont="1" applyFill="1" applyBorder="1" applyAlignment="1">
      <alignment horizontal="center" vertical="center" wrapText="1"/>
    </xf>
    <xf numFmtId="0" fontId="53" fillId="42" borderId="210" xfId="0" applyFont="1" applyFill="1" applyBorder="1" applyAlignment="1">
      <alignment horizontal="center" vertical="center" wrapText="1"/>
    </xf>
    <xf numFmtId="0" fontId="49" fillId="42" borderId="210" xfId="0" applyFont="1" applyFill="1" applyBorder="1" applyAlignment="1">
      <alignment horizontal="left" vertical="center" wrapText="1"/>
    </xf>
    <xf numFmtId="0" fontId="49" fillId="42" borderId="208" xfId="0" applyFont="1" applyFill="1" applyBorder="1" applyAlignment="1">
      <alignment horizontal="left" vertical="center" wrapText="1"/>
    </xf>
    <xf numFmtId="0" fontId="53" fillId="42" borderId="158" xfId="0" applyFont="1" applyFill="1" applyBorder="1" applyAlignment="1">
      <alignment horizontal="left"/>
    </xf>
    <xf numFmtId="0" fontId="53" fillId="42" borderId="209" xfId="0" applyFont="1" applyFill="1" applyBorder="1" applyAlignment="1">
      <alignment horizontal="left" vertical="center" wrapText="1"/>
    </xf>
    <xf numFmtId="2" fontId="53" fillId="42" borderId="209" xfId="0" applyNumberFormat="1" applyFont="1" applyFill="1" applyBorder="1" applyAlignment="1">
      <alignment horizontal="center" vertical="center" wrapText="1"/>
    </xf>
    <xf numFmtId="0" fontId="53" fillId="42" borderId="209" xfId="0" applyFont="1" applyFill="1" applyBorder="1" applyAlignment="1">
      <alignment horizontal="center" vertical="center" wrapText="1"/>
    </xf>
    <xf numFmtId="0" fontId="49" fillId="42" borderId="209" xfId="0" applyFont="1" applyFill="1" applyBorder="1" applyAlignment="1">
      <alignment horizontal="left" vertical="center" wrapText="1"/>
    </xf>
    <xf numFmtId="0" fontId="49" fillId="42" borderId="160" xfId="0" applyFont="1" applyFill="1" applyBorder="1" applyAlignment="1">
      <alignment horizontal="left" vertical="center" wrapText="1"/>
    </xf>
    <xf numFmtId="0" fontId="53" fillId="42" borderId="207" xfId="0" applyFont="1" applyFill="1" applyBorder="1" applyAlignment="1">
      <alignment horizontal="left" vertical="center"/>
    </xf>
    <xf numFmtId="166" fontId="53" fillId="42" borderId="210" xfId="0" applyNumberFormat="1" applyFont="1" applyFill="1" applyBorder="1" applyAlignment="1">
      <alignment horizontal="center" vertical="center" wrapText="1"/>
    </xf>
    <xf numFmtId="0" fontId="53" fillId="42" borderId="210" xfId="0" quotePrefix="1" applyFont="1" applyFill="1" applyBorder="1" applyAlignment="1">
      <alignment horizontal="center" vertical="center" wrapText="1"/>
    </xf>
    <xf numFmtId="0" fontId="56" fillId="42" borderId="208" xfId="0" applyFont="1" applyFill="1" applyBorder="1" applyAlignment="1">
      <alignment horizontal="left" vertical="center"/>
    </xf>
    <xf numFmtId="0" fontId="49" fillId="9" borderId="207" xfId="0" applyFont="1" applyFill="1" applyBorder="1" applyAlignment="1">
      <alignment horizontal="left" vertical="center"/>
    </xf>
    <xf numFmtId="166" fontId="49" fillId="9" borderId="210" xfId="0" applyNumberFormat="1" applyFont="1" applyFill="1" applyBorder="1" applyAlignment="1">
      <alignment horizontal="left" vertical="center" wrapText="1"/>
    </xf>
    <xf numFmtId="166" fontId="49" fillId="9" borderId="210" xfId="0" applyNumberFormat="1" applyFont="1" applyFill="1" applyBorder="1" applyAlignment="1">
      <alignment horizontal="center" vertical="center" wrapText="1"/>
    </xf>
    <xf numFmtId="0" fontId="49" fillId="9" borderId="210" xfId="0" applyFont="1" applyFill="1" applyBorder="1" applyAlignment="1">
      <alignment horizontal="center" vertical="center" wrapText="1"/>
    </xf>
    <xf numFmtId="0" fontId="49" fillId="9" borderId="208" xfId="0" applyFont="1" applyFill="1" applyBorder="1" applyAlignment="1">
      <alignment horizontal="left" vertical="center" wrapText="1"/>
    </xf>
    <xf numFmtId="0" fontId="49" fillId="24" borderId="207" xfId="0" applyFont="1" applyFill="1" applyBorder="1" applyAlignment="1">
      <alignment horizontal="left" vertical="center"/>
    </xf>
    <xf numFmtId="166" fontId="49" fillId="24" borderId="210" xfId="0" applyNumberFormat="1" applyFont="1" applyFill="1" applyBorder="1" applyAlignment="1">
      <alignment horizontal="left" vertical="center" wrapText="1"/>
    </xf>
    <xf numFmtId="166" fontId="49" fillId="24" borderId="210" xfId="0" applyNumberFormat="1" applyFont="1" applyFill="1" applyBorder="1" applyAlignment="1">
      <alignment horizontal="center" vertical="center" wrapText="1"/>
    </xf>
    <xf numFmtId="0" fontId="49" fillId="24" borderId="210" xfId="0" applyFont="1" applyFill="1" applyBorder="1" applyAlignment="1">
      <alignment horizontal="center" vertical="center" wrapText="1"/>
    </xf>
    <xf numFmtId="0" fontId="49" fillId="24" borderId="210" xfId="0" applyFont="1" applyFill="1" applyBorder="1" applyAlignment="1">
      <alignment horizontal="left" vertical="center" wrapText="1"/>
    </xf>
    <xf numFmtId="0" fontId="49" fillId="24" borderId="208" xfId="0" applyFont="1" applyFill="1" applyBorder="1" applyAlignment="1">
      <alignment horizontal="left" vertical="center" wrapText="1"/>
    </xf>
    <xf numFmtId="0" fontId="49" fillId="24" borderId="207" xfId="0" applyFont="1" applyFill="1" applyBorder="1" applyAlignment="1">
      <alignment horizontal="left" vertical="center" wrapText="1"/>
    </xf>
    <xf numFmtId="0" fontId="46" fillId="24" borderId="210" xfId="0" applyFont="1" applyFill="1" applyBorder="1" applyAlignment="1">
      <alignment horizontal="center"/>
    </xf>
    <xf numFmtId="0" fontId="76" fillId="24" borderId="210" xfId="0" applyFont="1" applyFill="1" applyBorder="1" applyAlignment="1">
      <alignment horizontal="left" vertical="center" wrapText="1"/>
    </xf>
    <xf numFmtId="166" fontId="49" fillId="24" borderId="210" xfId="0" applyNumberFormat="1" applyFont="1" applyFill="1" applyBorder="1" applyAlignment="1">
      <alignment horizontal="left" vertical="center"/>
    </xf>
    <xf numFmtId="165" fontId="49" fillId="24" borderId="210" xfId="0" applyNumberFormat="1" applyFont="1" applyFill="1" applyBorder="1" applyAlignment="1">
      <alignment horizontal="center" vertical="center"/>
    </xf>
    <xf numFmtId="0" fontId="48" fillId="42" borderId="207" xfId="0" applyFont="1" applyFill="1" applyBorder="1" applyAlignment="1">
      <alignment horizontal="center" vertical="center"/>
    </xf>
    <xf numFmtId="0" fontId="48" fillId="42" borderId="210" xfId="0" applyFont="1" applyFill="1" applyBorder="1" applyAlignment="1">
      <alignment horizontal="center" vertical="center"/>
    </xf>
    <xf numFmtId="0" fontId="46" fillId="42" borderId="210" xfId="0" applyFont="1" applyFill="1" applyBorder="1" applyAlignment="1">
      <alignment horizontal="left" vertical="center"/>
    </xf>
    <xf numFmtId="0" fontId="46" fillId="42" borderId="210" xfId="0" applyFont="1" applyFill="1" applyBorder="1" applyAlignment="1">
      <alignment horizontal="center" vertical="center"/>
    </xf>
    <xf numFmtId="0" fontId="46" fillId="42" borderId="208" xfId="0" applyFont="1" applyFill="1" applyBorder="1" applyAlignment="1">
      <alignment horizontal="left" vertical="center"/>
    </xf>
    <xf numFmtId="0" fontId="57" fillId="7" borderId="190" xfId="3" applyFont="1" applyFill="1" applyBorder="1" applyAlignment="1">
      <alignment horizontal="center" vertical="center" wrapText="1"/>
    </xf>
    <xf numFmtId="0" fontId="46" fillId="8" borderId="210" xfId="0" applyFont="1" applyFill="1" applyBorder="1" applyAlignment="1">
      <alignment horizontal="center" vertical="center"/>
    </xf>
    <xf numFmtId="0" fontId="46" fillId="21" borderId="210" xfId="0" applyFont="1" applyFill="1" applyBorder="1" applyAlignment="1">
      <alignment horizontal="center" vertical="center"/>
    </xf>
    <xf numFmtId="0" fontId="46" fillId="16" borderId="210" xfId="0" applyFont="1" applyFill="1" applyBorder="1" applyAlignment="1">
      <alignment horizontal="center" vertical="center"/>
    </xf>
    <xf numFmtId="0" fontId="46" fillId="15" borderId="210" xfId="0" applyFont="1" applyFill="1" applyBorder="1" applyAlignment="1">
      <alignment horizontal="center" vertical="center"/>
    </xf>
    <xf numFmtId="0" fontId="46" fillId="4" borderId="210" xfId="0" applyFont="1" applyFill="1" applyBorder="1" applyAlignment="1">
      <alignment horizontal="center" vertical="center"/>
    </xf>
    <xf numFmtId="0" fontId="49" fillId="5" borderId="197" xfId="0" applyFont="1" applyFill="1" applyBorder="1" applyAlignment="1">
      <alignment horizontal="center" vertical="center"/>
    </xf>
    <xf numFmtId="0" fontId="49" fillId="5" borderId="209" xfId="0" applyFont="1" applyFill="1" applyBorder="1" applyAlignment="1">
      <alignment horizontal="center" vertical="center"/>
    </xf>
    <xf numFmtId="0" fontId="0" fillId="42" borderId="210" xfId="0" quotePrefix="1" applyFill="1" applyBorder="1" applyAlignment="1">
      <alignment horizontal="center" vertical="center"/>
    </xf>
    <xf numFmtId="0" fontId="49" fillId="42" borderId="210" xfId="0" quotePrefix="1" applyFont="1" applyFill="1" applyBorder="1" applyAlignment="1">
      <alignment horizontal="center" vertical="center"/>
    </xf>
    <xf numFmtId="0" fontId="46" fillId="42" borderId="210" xfId="0" quotePrefix="1" applyFont="1" applyFill="1" applyBorder="1" applyAlignment="1">
      <alignment horizontal="center" vertical="center"/>
    </xf>
    <xf numFmtId="0" fontId="46" fillId="42" borderId="212" xfId="0" applyFont="1" applyFill="1" applyBorder="1" applyAlignment="1">
      <alignment horizontal="center" vertical="center"/>
    </xf>
    <xf numFmtId="0" fontId="46" fillId="42" borderId="210" xfId="0" applyFont="1" applyFill="1" applyBorder="1" applyAlignment="1">
      <alignment horizontal="left"/>
    </xf>
    <xf numFmtId="0" fontId="0" fillId="42" borderId="210" xfId="0" applyFill="1" applyBorder="1" applyAlignment="1">
      <alignment horizontal="left"/>
    </xf>
    <xf numFmtId="0" fontId="35" fillId="0" borderId="0" xfId="3" applyFont="1" applyAlignment="1">
      <alignment horizontal="left" vertical="center" wrapText="1"/>
    </xf>
    <xf numFmtId="0" fontId="49" fillId="42" borderId="207" xfId="0" applyFont="1" applyFill="1" applyBorder="1" applyAlignment="1">
      <alignment horizontal="left" vertical="center"/>
    </xf>
    <xf numFmtId="0" fontId="49" fillId="42" borderId="210" xfId="0" quotePrefix="1" applyFont="1" applyFill="1" applyBorder="1" applyAlignment="1">
      <alignment horizontal="left" vertical="center" wrapText="1"/>
    </xf>
    <xf numFmtId="0" fontId="49" fillId="42" borderId="210" xfId="0" quotePrefix="1" applyFont="1" applyFill="1" applyBorder="1" applyAlignment="1">
      <alignment horizontal="left" vertical="center"/>
    </xf>
    <xf numFmtId="0" fontId="49" fillId="42" borderId="210" xfId="0" applyFont="1" applyFill="1" applyBorder="1" applyAlignment="1">
      <alignment horizontal="left" vertical="center"/>
    </xf>
    <xf numFmtId="0" fontId="49" fillId="42" borderId="208" xfId="0" applyFont="1" applyFill="1" applyBorder="1" applyAlignment="1">
      <alignment horizontal="left" vertical="center"/>
    </xf>
    <xf numFmtId="0" fontId="53" fillId="42" borderId="210" xfId="0" applyFont="1" applyFill="1" applyBorder="1" applyAlignment="1">
      <alignment horizontal="left" vertical="center"/>
    </xf>
    <xf numFmtId="0" fontId="53" fillId="42" borderId="208" xfId="0" applyFont="1" applyFill="1" applyBorder="1" applyAlignment="1">
      <alignment horizontal="left" vertical="center"/>
    </xf>
    <xf numFmtId="0" fontId="56" fillId="7" borderId="213" xfId="0" applyFont="1" applyFill="1" applyBorder="1" applyAlignment="1">
      <alignment horizontal="left" vertical="center" wrapText="1"/>
    </xf>
    <xf numFmtId="0" fontId="57" fillId="7" borderId="214" xfId="0" applyFont="1" applyFill="1" applyBorder="1" applyAlignment="1">
      <alignment horizontal="center" vertical="center"/>
    </xf>
    <xf numFmtId="0" fontId="57" fillId="7" borderId="215" xfId="0" applyFont="1" applyFill="1" applyBorder="1" applyAlignment="1">
      <alignment horizontal="center" vertical="center" wrapText="1"/>
    </xf>
    <xf numFmtId="0" fontId="57" fillId="7" borderId="216" xfId="0" applyFont="1" applyFill="1" applyBorder="1" applyAlignment="1">
      <alignment horizontal="center" vertical="center" wrapText="1"/>
    </xf>
    <xf numFmtId="0" fontId="57" fillId="13" borderId="217" xfId="12" applyFont="1" applyFill="1" applyBorder="1"/>
    <xf numFmtId="0" fontId="57" fillId="13" borderId="214" xfId="12" applyFont="1" applyFill="1" applyBorder="1" applyAlignment="1">
      <alignment horizontal="center"/>
    </xf>
    <xf numFmtId="0" fontId="57" fillId="13" borderId="215" xfId="12" applyFont="1" applyFill="1" applyBorder="1" applyAlignment="1">
      <alignment horizontal="center" vertical="top" wrapText="1"/>
    </xf>
    <xf numFmtId="0" fontId="57" fillId="13" borderId="215" xfId="12" applyFont="1" applyFill="1" applyBorder="1" applyAlignment="1">
      <alignment horizontal="center" vertical="center" wrapText="1"/>
    </xf>
    <xf numFmtId="0" fontId="57" fillId="13" borderId="216" xfId="12" applyFont="1" applyFill="1" applyBorder="1" applyAlignment="1">
      <alignment horizontal="center" vertical="top" wrapText="1"/>
    </xf>
    <xf numFmtId="0" fontId="46" fillId="0" borderId="218" xfId="0" applyFont="1" applyBorder="1"/>
    <xf numFmtId="0" fontId="46" fillId="0" borderId="219" xfId="0" applyFont="1" applyBorder="1"/>
    <xf numFmtId="0" fontId="46" fillId="0" borderId="219" xfId="0" applyFont="1" applyBorder="1" applyAlignment="1">
      <alignment horizontal="center"/>
    </xf>
    <xf numFmtId="0" fontId="46" fillId="0" borderId="220" xfId="0" applyFont="1" applyBorder="1"/>
    <xf numFmtId="0" fontId="46" fillId="0" borderId="207" xfId="22" applyFont="1" applyBorder="1"/>
    <xf numFmtId="0" fontId="46" fillId="0" borderId="210" xfId="22" applyFont="1" applyBorder="1"/>
    <xf numFmtId="0" fontId="46" fillId="0" borderId="210" xfId="22" applyFont="1" applyBorder="1" applyAlignment="1">
      <alignment horizontal="center"/>
    </xf>
    <xf numFmtId="0" fontId="46" fillId="0" borderId="210" xfId="22" applyFont="1" applyBorder="1" applyAlignment="1">
      <alignment horizontal="left" vertical="center"/>
    </xf>
    <xf numFmtId="0" fontId="46" fillId="0" borderId="208" xfId="22" applyFont="1" applyBorder="1"/>
    <xf numFmtId="0" fontId="46" fillId="0" borderId="207" xfId="22" applyFont="1" applyBorder="1" applyAlignment="1">
      <alignment horizontal="left" vertical="center"/>
    </xf>
    <xf numFmtId="0" fontId="46" fillId="0" borderId="210" xfId="22" applyFont="1" applyBorder="1" applyAlignment="1">
      <alignment horizontal="center" vertical="center"/>
    </xf>
    <xf numFmtId="0" fontId="46" fillId="0" borderId="208" xfId="22" applyFont="1" applyBorder="1" applyAlignment="1">
      <alignment horizontal="left" vertical="center"/>
    </xf>
    <xf numFmtId="0" fontId="46" fillId="0" borderId="158" xfId="22" applyFont="1" applyBorder="1"/>
    <xf numFmtId="0" fontId="46" fillId="0" borderId="209" xfId="22" applyFont="1" applyBorder="1"/>
    <xf numFmtId="0" fontId="46" fillId="0" borderId="209" xfId="22" applyFont="1" applyBorder="1" applyAlignment="1">
      <alignment horizontal="center"/>
    </xf>
    <xf numFmtId="0" fontId="46" fillId="0" borderId="160" xfId="22" applyFont="1" applyBorder="1"/>
    <xf numFmtId="0" fontId="46" fillId="9" borderId="207" xfId="0" applyFont="1" applyFill="1" applyBorder="1" applyAlignment="1">
      <alignment horizontal="left" vertical="center"/>
    </xf>
    <xf numFmtId="165" fontId="53" fillId="9" borderId="210" xfId="0" applyNumberFormat="1" applyFont="1" applyFill="1" applyBorder="1" applyAlignment="1">
      <alignment vertical="center" wrapText="1"/>
    </xf>
    <xf numFmtId="165" fontId="53" fillId="9" borderId="210" xfId="0" applyNumberFormat="1" applyFont="1" applyFill="1" applyBorder="1" applyAlignment="1">
      <alignment horizontal="center" vertical="center" wrapText="1"/>
    </xf>
    <xf numFmtId="0" fontId="46" fillId="0" borderId="207" xfId="0" applyFont="1" applyBorder="1"/>
    <xf numFmtId="0" fontId="46" fillId="0" borderId="210" xfId="0" applyFont="1" applyBorder="1"/>
    <xf numFmtId="0" fontId="46" fillId="0" borderId="210" xfId="0" applyFont="1" applyBorder="1" applyAlignment="1">
      <alignment horizontal="center"/>
    </xf>
    <xf numFmtId="0" fontId="46" fillId="0" borderId="208" xfId="0" applyFont="1" applyBorder="1"/>
    <xf numFmtId="0" fontId="82" fillId="0" borderId="207" xfId="34" applyFont="1" applyBorder="1" applyAlignment="1">
      <alignment horizontal="left" vertical="center" wrapText="1"/>
    </xf>
    <xf numFmtId="0" fontId="49" fillId="0" borderId="210" xfId="0" applyFont="1" applyBorder="1" applyAlignment="1">
      <alignment vertical="center"/>
    </xf>
    <xf numFmtId="0" fontId="82" fillId="0" borderId="158" xfId="34" applyFont="1" applyBorder="1" applyAlignment="1">
      <alignment horizontal="left" vertical="center" wrapText="1"/>
    </xf>
    <xf numFmtId="0" fontId="49" fillId="0" borderId="209" xfId="0" applyFont="1" applyBorder="1" applyAlignment="1">
      <alignment vertical="center"/>
    </xf>
    <xf numFmtId="0" fontId="49" fillId="0" borderId="209" xfId="0" applyFont="1" applyBorder="1" applyAlignment="1">
      <alignment horizontal="center" vertical="center"/>
    </xf>
    <xf numFmtId="0" fontId="46" fillId="0" borderId="209" xfId="0" applyFont="1" applyBorder="1" applyAlignment="1">
      <alignment horizontal="left" vertical="center"/>
    </xf>
    <xf numFmtId="0" fontId="49" fillId="0" borderId="209" xfId="0" applyFont="1" applyBorder="1" applyAlignment="1">
      <alignment horizontal="center" vertical="center" wrapText="1"/>
    </xf>
    <xf numFmtId="0" fontId="49" fillId="0" borderId="160" xfId="0" applyFont="1" applyBorder="1" applyAlignment="1">
      <alignment horizontal="center" vertical="center" wrapText="1"/>
    </xf>
    <xf numFmtId="0" fontId="46" fillId="0" borderId="106" xfId="6" applyFont="1" applyBorder="1"/>
    <xf numFmtId="0" fontId="46" fillId="0" borderId="82" xfId="6" applyFont="1" applyBorder="1"/>
    <xf numFmtId="0" fontId="46" fillId="0" borderId="82" xfId="6" applyFont="1" applyBorder="1" applyAlignment="1">
      <alignment horizontal="center"/>
    </xf>
    <xf numFmtId="0" fontId="46" fillId="0" borderId="105" xfId="6" applyFont="1" applyBorder="1"/>
    <xf numFmtId="0" fontId="8" fillId="0" borderId="0" xfId="12" applyFont="1"/>
    <xf numFmtId="0" fontId="46" fillId="0" borderId="218" xfId="6" applyFont="1" applyBorder="1"/>
    <xf numFmtId="0" fontId="46" fillId="0" borderId="219" xfId="6" applyFont="1" applyBorder="1"/>
    <xf numFmtId="0" fontId="46" fillId="0" borderId="220" xfId="6" applyFont="1" applyBorder="1"/>
    <xf numFmtId="0" fontId="46" fillId="0" borderId="210" xfId="6" applyFont="1" applyBorder="1"/>
    <xf numFmtId="0" fontId="35" fillId="0" borderId="0" xfId="0" applyFont="1" applyAlignment="1">
      <alignment horizontal="left" vertical="center" wrapText="1"/>
    </xf>
    <xf numFmtId="0" fontId="80" fillId="43" borderId="221" xfId="0" applyFont="1" applyFill="1" applyBorder="1" applyAlignment="1">
      <alignment horizontal="left" vertical="center" wrapText="1"/>
    </xf>
    <xf numFmtId="0" fontId="0" fillId="0" borderId="0" xfId="0" applyAlignment="1">
      <alignment horizontal="left" vertical="center" wrapText="1"/>
    </xf>
    <xf numFmtId="0" fontId="8" fillId="0" borderId="0" xfId="0" applyFont="1" applyAlignment="1">
      <alignment wrapText="1"/>
    </xf>
    <xf numFmtId="0" fontId="80" fillId="43" borderId="222" xfId="0" applyFont="1" applyFill="1" applyBorder="1" applyAlignment="1">
      <alignment horizontal="left" vertical="center" wrapText="1"/>
    </xf>
    <xf numFmtId="0" fontId="80" fillId="43" borderId="152" xfId="0" applyFont="1" applyFill="1" applyBorder="1" applyAlignment="1">
      <alignment horizontal="left" vertical="center" wrapText="1"/>
    </xf>
    <xf numFmtId="0" fontId="49" fillId="0" borderId="0" xfId="0" applyFont="1" applyAlignment="1">
      <alignment wrapText="1"/>
    </xf>
    <xf numFmtId="0" fontId="106" fillId="0" borderId="20" xfId="0" applyFont="1" applyBorder="1"/>
    <xf numFmtId="0" fontId="49" fillId="0" borderId="81" xfId="0" quotePrefix="1" applyFont="1" applyBorder="1" applyAlignment="1">
      <alignment horizontal="left" vertical="center"/>
    </xf>
    <xf numFmtId="0" fontId="8" fillId="0" borderId="0" xfId="0" applyFont="1"/>
    <xf numFmtId="164" fontId="49" fillId="0" borderId="0" xfId="0" applyNumberFormat="1" applyFont="1" applyAlignment="1">
      <alignment horizontal="left" vertical="center"/>
    </xf>
    <xf numFmtId="0" fontId="56" fillId="7" borderId="223" xfId="0" applyFont="1" applyFill="1" applyBorder="1" applyAlignment="1">
      <alignment horizontal="left" vertical="center" wrapText="1"/>
    </xf>
    <xf numFmtId="0" fontId="49" fillId="0" borderId="215" xfId="0" applyFont="1" applyBorder="1" applyAlignment="1">
      <alignment horizontal="left" vertical="center"/>
    </xf>
    <xf numFmtId="0" fontId="46" fillId="9" borderId="224" xfId="0" quotePrefix="1" applyFont="1" applyFill="1" applyBorder="1" applyAlignment="1">
      <alignment horizontal="center" vertical="center"/>
    </xf>
    <xf numFmtId="0" fontId="49" fillId="0" borderId="194" xfId="0" applyFont="1" applyBorder="1" applyAlignment="1">
      <alignment horizontal="left" vertical="center" wrapText="1"/>
    </xf>
    <xf numFmtId="164" fontId="49" fillId="0" borderId="194" xfId="0" applyNumberFormat="1" applyFont="1" applyBorder="1" applyAlignment="1">
      <alignment horizontal="left" vertical="center"/>
    </xf>
    <xf numFmtId="0" fontId="46" fillId="9" borderId="194" xfId="0" applyFont="1" applyFill="1" applyBorder="1" applyAlignment="1">
      <alignment horizontal="center" vertical="center"/>
    </xf>
    <xf numFmtId="0" fontId="46" fillId="9" borderId="194" xfId="0" quotePrefix="1" applyFont="1" applyFill="1" applyBorder="1" applyAlignment="1">
      <alignment horizontal="center" vertical="center"/>
    </xf>
    <xf numFmtId="2" fontId="53" fillId="10" borderId="10" xfId="0" applyNumberFormat="1" applyFont="1" applyFill="1" applyBorder="1" applyAlignment="1">
      <alignment horizontal="center" vertical="center" wrapText="1"/>
    </xf>
    <xf numFmtId="0" fontId="49" fillId="0" borderId="225" xfId="0" applyFont="1" applyBorder="1" applyAlignment="1">
      <alignment horizontal="left" vertical="center"/>
    </xf>
    <xf numFmtId="0" fontId="49" fillId="0" borderId="224" xfId="0" quotePrefix="1" applyFont="1" applyBorder="1" applyAlignment="1">
      <alignment horizontal="left" vertical="center" wrapText="1"/>
    </xf>
    <xf numFmtId="2" fontId="49" fillId="0" borderId="224" xfId="0" applyNumberFormat="1" applyFont="1" applyBorder="1" applyAlignment="1">
      <alignment horizontal="left" vertical="center"/>
    </xf>
    <xf numFmtId="0" fontId="49" fillId="0" borderId="224" xfId="0" quotePrefix="1" applyFont="1" applyBorder="1" applyAlignment="1">
      <alignment horizontal="left" vertical="center"/>
    </xf>
    <xf numFmtId="0" fontId="49" fillId="0" borderId="224" xfId="0" applyFont="1" applyBorder="1" applyAlignment="1">
      <alignment horizontal="left" vertical="center"/>
    </xf>
    <xf numFmtId="0" fontId="49" fillId="0" borderId="226" xfId="0" applyFont="1" applyBorder="1" applyAlignment="1">
      <alignment horizontal="left" vertical="center"/>
    </xf>
    <xf numFmtId="0" fontId="0" fillId="0" borderId="0" xfId="0" applyAlignment="1">
      <alignment vertical="center"/>
    </xf>
    <xf numFmtId="164" fontId="35" fillId="0" borderId="0" xfId="0" applyNumberFormat="1" applyFont="1" applyAlignment="1">
      <alignment horizontal="left" vertical="center"/>
    </xf>
    <xf numFmtId="0" fontId="49" fillId="9" borderId="210" xfId="0" applyFont="1" applyFill="1" applyBorder="1" applyAlignment="1">
      <alignment horizontal="left" vertical="center"/>
    </xf>
    <xf numFmtId="0" fontId="46" fillId="27" borderId="84" xfId="0" applyFont="1" applyFill="1" applyBorder="1" applyAlignment="1">
      <alignment horizontal="left" vertical="center" wrapText="1"/>
    </xf>
    <xf numFmtId="0" fontId="49" fillId="27" borderId="84" xfId="0" applyFont="1" applyFill="1" applyBorder="1" applyAlignment="1">
      <alignment horizontal="left" vertical="center" wrapText="1"/>
    </xf>
    <xf numFmtId="0" fontId="46" fillId="27" borderId="133" xfId="0" applyFont="1" applyFill="1" applyBorder="1" applyAlignment="1">
      <alignment horizontal="left" vertical="center" wrapText="1"/>
    </xf>
    <xf numFmtId="0" fontId="49" fillId="27" borderId="133" xfId="0" applyFont="1" applyFill="1" applyBorder="1" applyAlignment="1">
      <alignment horizontal="left" vertical="center" wrapText="1"/>
    </xf>
    <xf numFmtId="0" fontId="49" fillId="27" borderId="84" xfId="0" applyFont="1" applyFill="1" applyBorder="1" applyAlignment="1">
      <alignment horizontal="left" vertical="center"/>
    </xf>
    <xf numFmtId="0" fontId="49" fillId="27" borderId="49" xfId="0" applyFont="1" applyFill="1" applyBorder="1" applyAlignment="1">
      <alignment horizontal="left" vertical="center"/>
    </xf>
    <xf numFmtId="0" fontId="0" fillId="0" borderId="214" xfId="0" applyBorder="1" applyAlignment="1">
      <alignment horizontal="left" vertical="center"/>
    </xf>
    <xf numFmtId="0" fontId="0" fillId="0" borderId="215" xfId="0" applyBorder="1" applyAlignment="1">
      <alignment horizontal="left" vertical="center"/>
    </xf>
    <xf numFmtId="0" fontId="0" fillId="0" borderId="216" xfId="0" applyBorder="1" applyAlignment="1">
      <alignment horizontal="left" vertical="center"/>
    </xf>
    <xf numFmtId="0" fontId="34" fillId="0" borderId="0" xfId="0" applyFont="1" applyAlignment="1">
      <alignment horizontal="left" vertical="center"/>
    </xf>
    <xf numFmtId="0" fontId="34" fillId="0" borderId="0" xfId="0" applyFont="1" applyAlignment="1">
      <alignment vertical="center"/>
    </xf>
    <xf numFmtId="0" fontId="91" fillId="27" borderId="84" xfId="0" applyFont="1" applyFill="1" applyBorder="1" applyAlignment="1">
      <alignment horizontal="left" vertical="center"/>
    </xf>
    <xf numFmtId="165" fontId="49" fillId="27" borderId="84" xfId="0" applyNumberFormat="1" applyFont="1" applyFill="1" applyBorder="1" applyAlignment="1">
      <alignment horizontal="left" vertical="center"/>
    </xf>
    <xf numFmtId="2" fontId="49" fillId="27" borderId="84" xfId="0" applyNumberFormat="1" applyFont="1" applyFill="1" applyBorder="1" applyAlignment="1">
      <alignment horizontal="left" vertical="center"/>
    </xf>
    <xf numFmtId="0" fontId="49" fillId="27" borderId="133" xfId="0" applyFont="1" applyFill="1" applyBorder="1" applyAlignment="1">
      <alignment horizontal="left" vertical="center"/>
    </xf>
    <xf numFmtId="0" fontId="91" fillId="27" borderId="133" xfId="0" applyFont="1" applyFill="1" applyBorder="1" applyAlignment="1">
      <alignment horizontal="left" vertical="center"/>
    </xf>
    <xf numFmtId="2" fontId="49" fillId="27" borderId="133" xfId="0" applyNumberFormat="1" applyFont="1" applyFill="1" applyBorder="1" applyAlignment="1">
      <alignment horizontal="left" vertical="center"/>
    </xf>
    <xf numFmtId="0" fontId="46" fillId="0" borderId="226" xfId="0" applyFont="1" applyBorder="1" applyAlignment="1">
      <alignment horizontal="left" vertical="center"/>
    </xf>
    <xf numFmtId="0" fontId="53" fillId="9" borderId="225" xfId="0" applyFont="1" applyFill="1" applyBorder="1" applyAlignment="1">
      <alignment horizontal="left" vertical="center" wrapText="1"/>
    </xf>
    <xf numFmtId="166" fontId="53" fillId="9" borderId="210" xfId="0" applyNumberFormat="1" applyFont="1" applyFill="1" applyBorder="1" applyAlignment="1">
      <alignment horizontal="left" vertical="center" wrapText="1"/>
    </xf>
    <xf numFmtId="166" fontId="53" fillId="9" borderId="210" xfId="0" applyNumberFormat="1" applyFont="1" applyFill="1" applyBorder="1" applyAlignment="1">
      <alignment horizontal="center" vertical="center" wrapText="1"/>
    </xf>
    <xf numFmtId="0" fontId="53" fillId="9" borderId="226" xfId="0" applyFont="1" applyFill="1" applyBorder="1" applyAlignment="1">
      <alignment horizontal="left" vertical="center" wrapText="1"/>
    </xf>
    <xf numFmtId="0" fontId="46" fillId="0" borderId="225" xfId="0" applyFont="1" applyBorder="1" applyAlignment="1">
      <alignment horizontal="left" vertical="center"/>
    </xf>
    <xf numFmtId="8" fontId="49" fillId="0" borderId="210" xfId="0" applyNumberFormat="1" applyFont="1" applyBorder="1" applyAlignment="1">
      <alignment horizontal="left" vertical="center" wrapText="1"/>
    </xf>
    <xf numFmtId="164" fontId="46" fillId="0" borderId="210" xfId="0" applyNumberFormat="1" applyFont="1" applyBorder="1" applyAlignment="1">
      <alignment horizontal="left" vertical="center"/>
    </xf>
    <xf numFmtId="0" fontId="46" fillId="18" borderId="228" xfId="0" applyFont="1" applyFill="1" applyBorder="1" applyAlignment="1">
      <alignment horizontal="center" vertical="center"/>
    </xf>
    <xf numFmtId="0" fontId="46" fillId="5" borderId="231" xfId="0" applyFont="1" applyFill="1" applyBorder="1" applyAlignment="1">
      <alignment horizontal="center" vertical="center"/>
    </xf>
    <xf numFmtId="0" fontId="46" fillId="5" borderId="228" xfId="0" applyFont="1" applyFill="1" applyBorder="1" applyAlignment="1">
      <alignment horizontal="center" vertical="center"/>
    </xf>
    <xf numFmtId="0" fontId="61" fillId="7" borderId="230" xfId="3" applyFont="1" applyFill="1" applyBorder="1" applyAlignment="1">
      <alignment horizontal="center" vertical="center" wrapText="1"/>
    </xf>
    <xf numFmtId="0" fontId="57" fillId="7" borderId="235" xfId="0" applyFont="1" applyFill="1" applyBorder="1" applyAlignment="1">
      <alignment horizontal="left" vertical="center"/>
    </xf>
    <xf numFmtId="0" fontId="57" fillId="7" borderId="230" xfId="0" applyFont="1" applyFill="1" applyBorder="1" applyAlignment="1">
      <alignment horizontal="left" vertical="center" wrapText="1"/>
    </xf>
    <xf numFmtId="0" fontId="57" fillId="7" borderId="230" xfId="0" applyFont="1" applyFill="1" applyBorder="1" applyAlignment="1">
      <alignment horizontal="center" vertical="center" wrapText="1"/>
    </xf>
    <xf numFmtId="0" fontId="57" fillId="7" borderId="236" xfId="0" applyFont="1" applyFill="1" applyBorder="1" applyAlignment="1">
      <alignment horizontal="left" vertical="center" wrapText="1"/>
    </xf>
    <xf numFmtId="0" fontId="49" fillId="14" borderId="237" xfId="0" applyFont="1" applyFill="1" applyBorder="1" applyAlignment="1">
      <alignment horizontal="left" vertical="center" wrapText="1"/>
    </xf>
    <xf numFmtId="0" fontId="49" fillId="14" borderId="231" xfId="0" applyFont="1" applyFill="1" applyBorder="1" applyAlignment="1">
      <alignment horizontal="left" vertical="center"/>
    </xf>
    <xf numFmtId="0" fontId="49" fillId="14" borderId="231" xfId="0" applyFont="1" applyFill="1" applyBorder="1" applyAlignment="1">
      <alignment horizontal="center" vertical="center"/>
    </xf>
    <xf numFmtId="166" fontId="49" fillId="14" borderId="231" xfId="0" applyNumberFormat="1" applyFont="1" applyFill="1" applyBorder="1" applyAlignment="1">
      <alignment horizontal="center" vertical="center"/>
    </xf>
    <xf numFmtId="0" fontId="49" fillId="14" borderId="231" xfId="0" quotePrefix="1" applyFont="1" applyFill="1" applyBorder="1" applyAlignment="1">
      <alignment horizontal="center" vertical="center"/>
    </xf>
    <xf numFmtId="0" fontId="49" fillId="14" borderId="238" xfId="0" applyFont="1" applyFill="1" applyBorder="1" applyAlignment="1">
      <alignment horizontal="left" vertical="center"/>
    </xf>
    <xf numFmtId="0" fontId="49" fillId="14" borderId="225" xfId="0" applyFont="1" applyFill="1" applyBorder="1" applyAlignment="1">
      <alignment horizontal="left" vertical="center" wrapText="1"/>
    </xf>
    <xf numFmtId="0" fontId="49" fillId="14" borderId="145" xfId="0" applyFont="1" applyFill="1" applyBorder="1" applyAlignment="1">
      <alignment horizontal="left" vertical="center"/>
    </xf>
    <xf numFmtId="0" fontId="49" fillId="14" borderId="145" xfId="0" applyFont="1" applyFill="1" applyBorder="1" applyAlignment="1">
      <alignment horizontal="center" vertical="center"/>
    </xf>
    <xf numFmtId="166" fontId="49" fillId="14" borderId="145" xfId="0" applyNumberFormat="1" applyFont="1" applyFill="1" applyBorder="1" applyAlignment="1">
      <alignment horizontal="center" vertical="center"/>
    </xf>
    <xf numFmtId="0" fontId="49" fillId="14" borderId="145" xfId="0" quotePrefix="1" applyFont="1" applyFill="1" applyBorder="1" applyAlignment="1">
      <alignment horizontal="center" vertical="center"/>
    </xf>
    <xf numFmtId="0" fontId="49" fillId="14" borderId="226" xfId="0" applyFont="1" applyFill="1" applyBorder="1" applyAlignment="1">
      <alignment horizontal="left" vertical="center"/>
    </xf>
    <xf numFmtId="0" fontId="49" fillId="14" borderId="227" xfId="0" applyFont="1" applyFill="1" applyBorder="1" applyAlignment="1">
      <alignment horizontal="left" vertical="center" wrapText="1"/>
    </xf>
    <xf numFmtId="0" fontId="49" fillId="14" borderId="228" xfId="0" applyFont="1" applyFill="1" applyBorder="1" applyAlignment="1">
      <alignment horizontal="left" vertical="center"/>
    </xf>
    <xf numFmtId="0" fontId="49" fillId="14" borderId="228" xfId="0" applyFont="1" applyFill="1" applyBorder="1" applyAlignment="1">
      <alignment horizontal="center" vertical="center"/>
    </xf>
    <xf numFmtId="166" fontId="49" fillId="14" borderId="228" xfId="0" applyNumberFormat="1" applyFont="1" applyFill="1" applyBorder="1" applyAlignment="1">
      <alignment horizontal="center" vertical="center"/>
    </xf>
    <xf numFmtId="0" fontId="49" fillId="14" borderId="228" xfId="0" quotePrefix="1" applyFont="1" applyFill="1" applyBorder="1" applyAlignment="1">
      <alignment horizontal="center" vertical="center"/>
    </xf>
    <xf numFmtId="0" fontId="49" fillId="14" borderId="229" xfId="0" applyFont="1" applyFill="1" applyBorder="1" applyAlignment="1">
      <alignment horizontal="left" vertical="center"/>
    </xf>
    <xf numFmtId="0" fontId="49" fillId="20" borderId="237" xfId="0" applyFont="1" applyFill="1" applyBorder="1" applyAlignment="1">
      <alignment horizontal="left" vertical="center" wrapText="1"/>
    </xf>
    <xf numFmtId="0" fontId="49" fillId="20" borderId="231" xfId="0" applyFont="1" applyFill="1" applyBorder="1" applyAlignment="1">
      <alignment horizontal="left" vertical="center"/>
    </xf>
    <xf numFmtId="0" fontId="49" fillId="20" borderId="231" xfId="0" applyFont="1" applyFill="1" applyBorder="1" applyAlignment="1">
      <alignment horizontal="center" vertical="center"/>
    </xf>
    <xf numFmtId="166" fontId="49" fillId="20" borderId="231" xfId="0" applyNumberFormat="1" applyFont="1" applyFill="1" applyBorder="1" applyAlignment="1">
      <alignment horizontal="center" vertical="center"/>
    </xf>
    <xf numFmtId="0" fontId="49" fillId="20" borderId="231" xfId="0" quotePrefix="1" applyFont="1" applyFill="1" applyBorder="1" applyAlignment="1">
      <alignment horizontal="center" vertical="center"/>
    </xf>
    <xf numFmtId="0" fontId="49" fillId="20" borderId="238" xfId="0" applyFont="1" applyFill="1" applyBorder="1" applyAlignment="1">
      <alignment horizontal="left" vertical="center"/>
    </xf>
    <xf numFmtId="0" fontId="49" fillId="20" borderId="227" xfId="0" applyFont="1" applyFill="1" applyBorder="1" applyAlignment="1">
      <alignment horizontal="left" vertical="center" wrapText="1"/>
    </xf>
    <xf numFmtId="0" fontId="49" fillId="20" borderId="228" xfId="0" applyFont="1" applyFill="1" applyBorder="1" applyAlignment="1">
      <alignment horizontal="left" vertical="center"/>
    </xf>
    <xf numFmtId="0" fontId="49" fillId="20" borderId="228" xfId="0" applyFont="1" applyFill="1" applyBorder="1" applyAlignment="1">
      <alignment horizontal="center" vertical="center"/>
    </xf>
    <xf numFmtId="166" fontId="49" fillId="20" borderId="228" xfId="0" applyNumberFormat="1" applyFont="1" applyFill="1" applyBorder="1" applyAlignment="1">
      <alignment horizontal="center" vertical="center"/>
    </xf>
    <xf numFmtId="0" fontId="49" fillId="20" borderId="228" xfId="0" quotePrefix="1" applyFont="1" applyFill="1" applyBorder="1" applyAlignment="1">
      <alignment horizontal="center" vertical="center"/>
    </xf>
    <xf numFmtId="0" fontId="49" fillId="20" borderId="229" xfId="0" applyFont="1" applyFill="1" applyBorder="1" applyAlignment="1">
      <alignment horizontal="left" vertical="center"/>
    </xf>
    <xf numFmtId="2" fontId="53" fillId="9" borderId="145" xfId="0" applyNumberFormat="1" applyFont="1" applyFill="1" applyBorder="1" applyAlignment="1">
      <alignment horizontal="left" vertical="center" wrapText="1"/>
    </xf>
    <xf numFmtId="2" fontId="53" fillId="9" borderId="145" xfId="0" applyNumberFormat="1" applyFont="1" applyFill="1" applyBorder="1" applyAlignment="1">
      <alignment horizontal="center" vertical="center" wrapText="1"/>
    </xf>
    <xf numFmtId="0" fontId="53" fillId="9" borderId="145" xfId="0" applyFont="1" applyFill="1" applyBorder="1" applyAlignment="1">
      <alignment horizontal="left" vertical="center" wrapText="1"/>
    </xf>
    <xf numFmtId="165" fontId="53" fillId="9" borderId="145" xfId="0" applyNumberFormat="1" applyFont="1" applyFill="1" applyBorder="1" applyAlignment="1">
      <alignment horizontal="left" vertical="center" wrapText="1"/>
    </xf>
    <xf numFmtId="0" fontId="46" fillId="9" borderId="145" xfId="0" applyFont="1" applyFill="1" applyBorder="1" applyAlignment="1">
      <alignment horizontal="left" vertical="center"/>
    </xf>
    <xf numFmtId="0" fontId="6" fillId="0" borderId="237" xfId="0" applyFont="1" applyBorder="1" applyAlignment="1">
      <alignment horizontal="left" vertical="center"/>
    </xf>
    <xf numFmtId="0" fontId="6" fillId="0" borderId="231" xfId="0" applyFont="1" applyBorder="1" applyAlignment="1">
      <alignment horizontal="left" vertical="center" wrapText="1"/>
    </xf>
    <xf numFmtId="2" fontId="6" fillId="0" borderId="231" xfId="0" applyNumberFormat="1" applyFont="1" applyBorder="1" applyAlignment="1">
      <alignment horizontal="left" vertical="center"/>
    </xf>
    <xf numFmtId="0" fontId="6" fillId="0" borderId="231" xfId="0" applyFont="1" applyBorder="1" applyAlignment="1">
      <alignment horizontal="left" vertical="center"/>
    </xf>
    <xf numFmtId="0" fontId="6" fillId="0" borderId="238" xfId="0" applyFont="1" applyBorder="1" applyAlignment="1">
      <alignment horizontal="left" vertical="center"/>
    </xf>
    <xf numFmtId="0" fontId="6" fillId="0" borderId="225" xfId="0" applyFont="1" applyBorder="1" applyAlignment="1">
      <alignment horizontal="left" vertical="center"/>
    </xf>
    <xf numFmtId="0" fontId="6" fillId="0" borderId="145" xfId="0" applyFont="1" applyBorder="1" applyAlignment="1">
      <alignment horizontal="left" vertical="center" wrapText="1"/>
    </xf>
    <xf numFmtId="0" fontId="6" fillId="0" borderId="145" xfId="0" applyFont="1" applyBorder="1" applyAlignment="1">
      <alignment horizontal="left" vertical="center"/>
    </xf>
    <xf numFmtId="0" fontId="6" fillId="0" borderId="226" xfId="0" applyFont="1" applyBorder="1" applyAlignment="1">
      <alignment horizontal="left" vertical="center"/>
    </xf>
    <xf numFmtId="0" fontId="6" fillId="0" borderId="87" xfId="0" applyFont="1" applyBorder="1" applyAlignment="1">
      <alignment horizontal="left" vertical="center"/>
    </xf>
    <xf numFmtId="0" fontId="6" fillId="0" borderId="84" xfId="0" applyFont="1" applyBorder="1" applyAlignment="1">
      <alignment horizontal="left" vertical="center" wrapText="1"/>
    </xf>
    <xf numFmtId="2" fontId="6" fillId="0" borderId="84" xfId="0" applyNumberFormat="1" applyFont="1" applyBorder="1" applyAlignment="1">
      <alignment horizontal="left" vertical="center" wrapText="1"/>
    </xf>
    <xf numFmtId="0" fontId="6" fillId="0" borderId="84" xfId="0" applyFont="1" applyBorder="1" applyAlignment="1">
      <alignment horizontal="left" vertical="center"/>
    </xf>
    <xf numFmtId="0" fontId="6" fillId="0" borderId="88" xfId="0" applyFont="1" applyBorder="1" applyAlignment="1">
      <alignment horizontal="left" vertical="center"/>
    </xf>
    <xf numFmtId="2" fontId="6" fillId="0" borderId="84" xfId="0" applyNumberFormat="1" applyFont="1" applyBorder="1" applyAlignment="1">
      <alignment horizontal="left" vertical="center"/>
    </xf>
    <xf numFmtId="0" fontId="6" fillId="0" borderId="227" xfId="0" applyFont="1" applyBorder="1" applyAlignment="1">
      <alignment horizontal="left" vertical="center"/>
    </xf>
    <xf numFmtId="0" fontId="6" fillId="0" borderId="228" xfId="0" applyFont="1" applyBorder="1" applyAlignment="1">
      <alignment horizontal="left" vertical="center" wrapText="1"/>
    </xf>
    <xf numFmtId="0" fontId="6" fillId="0" borderId="228" xfId="0" applyFont="1" applyBorder="1" applyAlignment="1">
      <alignment horizontal="left" vertical="center"/>
    </xf>
    <xf numFmtId="0" fontId="6" fillId="0" borderId="229" xfId="0" applyFont="1" applyBorder="1" applyAlignment="1">
      <alignment horizontal="left" vertical="center"/>
    </xf>
    <xf numFmtId="0" fontId="49" fillId="7" borderId="225" xfId="0" applyFont="1" applyFill="1" applyBorder="1" applyAlignment="1">
      <alignment horizontal="left" vertical="center"/>
    </xf>
    <xf numFmtId="0" fontId="49" fillId="7" borderId="145" xfId="0" quotePrefix="1" applyFont="1" applyFill="1" applyBorder="1" applyAlignment="1">
      <alignment horizontal="left" vertical="center" wrapText="1"/>
    </xf>
    <xf numFmtId="0" fontId="49" fillId="7" borderId="145" xfId="0" quotePrefix="1" applyFont="1" applyFill="1" applyBorder="1" applyAlignment="1">
      <alignment horizontal="left" vertical="center"/>
    </xf>
    <xf numFmtId="0" fontId="49" fillId="7" borderId="145" xfId="0" applyFont="1" applyFill="1" applyBorder="1" applyAlignment="1">
      <alignment horizontal="left" vertical="center"/>
    </xf>
    <xf numFmtId="0" fontId="49" fillId="7" borderId="226" xfId="0" applyFont="1" applyFill="1" applyBorder="1" applyAlignment="1">
      <alignment horizontal="left" vertical="center"/>
    </xf>
    <xf numFmtId="0" fontId="29" fillId="7" borderId="239" xfId="0" applyFont="1" applyFill="1" applyBorder="1" applyAlignment="1">
      <alignment horizontal="left" vertical="center" wrapText="1"/>
    </xf>
    <xf numFmtId="0" fontId="57" fillId="13" borderId="240" xfId="0" applyFont="1" applyFill="1" applyBorder="1" applyAlignment="1">
      <alignment horizontal="left" vertical="center"/>
    </xf>
    <xf numFmtId="0" fontId="73" fillId="13" borderId="241" xfId="0" applyFont="1" applyFill="1" applyBorder="1" applyAlignment="1">
      <alignment horizontal="left" vertical="center"/>
    </xf>
    <xf numFmtId="0" fontId="57" fillId="13" borderId="241" xfId="0" applyFont="1" applyFill="1" applyBorder="1" applyAlignment="1">
      <alignment horizontal="left" vertical="center"/>
    </xf>
    <xf numFmtId="0" fontId="57" fillId="13" borderId="242" xfId="0" applyFont="1" applyFill="1" applyBorder="1" applyAlignment="1">
      <alignment horizontal="left" vertical="center"/>
    </xf>
    <xf numFmtId="0" fontId="49" fillId="4" borderId="243" xfId="0" applyFont="1" applyFill="1" applyBorder="1" applyAlignment="1">
      <alignment horizontal="left" vertical="center"/>
    </xf>
    <xf numFmtId="0" fontId="49" fillId="4" borderId="244" xfId="0" applyFont="1" applyFill="1" applyBorder="1" applyAlignment="1">
      <alignment horizontal="left" vertical="center" wrapText="1"/>
    </xf>
    <xf numFmtId="11" fontId="49" fillId="4" borderId="244" xfId="0" applyNumberFormat="1" applyFont="1" applyFill="1" applyBorder="1" applyAlignment="1">
      <alignment horizontal="left" vertical="center"/>
    </xf>
    <xf numFmtId="0" fontId="49" fillId="4" borderId="244" xfId="0" applyFont="1" applyFill="1" applyBorder="1" applyAlignment="1">
      <alignment horizontal="left" vertical="center"/>
    </xf>
    <xf numFmtId="0" fontId="49" fillId="4" borderId="245" xfId="0" applyFont="1" applyFill="1" applyBorder="1" applyAlignment="1">
      <alignment horizontal="left" vertical="center"/>
    </xf>
    <xf numFmtId="0" fontId="49" fillId="4" borderId="145" xfId="0" applyFont="1" applyFill="1" applyBorder="1" applyAlignment="1">
      <alignment horizontal="left" vertical="center"/>
    </xf>
    <xf numFmtId="0" fontId="49" fillId="4" borderId="226" xfId="0" applyFont="1" applyFill="1" applyBorder="1" applyAlignment="1">
      <alignment horizontal="left" vertical="center"/>
    </xf>
    <xf numFmtId="0" fontId="49" fillId="4" borderId="228" xfId="0" applyFont="1" applyFill="1" applyBorder="1" applyAlignment="1">
      <alignment horizontal="left" vertical="center"/>
    </xf>
    <xf numFmtId="0" fontId="49" fillId="4" borderId="229" xfId="0" applyFont="1" applyFill="1" applyBorder="1" applyAlignment="1">
      <alignment horizontal="left" vertical="center"/>
    </xf>
    <xf numFmtId="0" fontId="56" fillId="7" borderId="217" xfId="0" applyFont="1" applyFill="1" applyBorder="1" applyAlignment="1">
      <alignment horizontal="center" vertical="center" wrapText="1"/>
    </xf>
    <xf numFmtId="0" fontId="57" fillId="13" borderId="232" xfId="0" applyFont="1" applyFill="1" applyBorder="1" applyAlignment="1">
      <alignment horizontal="left" vertical="center"/>
    </xf>
    <xf numFmtId="0" fontId="73" fillId="13" borderId="233" xfId="0" applyFont="1" applyFill="1" applyBorder="1" applyAlignment="1">
      <alignment horizontal="left" vertical="center"/>
    </xf>
    <xf numFmtId="0" fontId="57" fillId="13" borderId="233" xfId="0" applyFont="1" applyFill="1" applyBorder="1" applyAlignment="1">
      <alignment horizontal="left" vertical="center"/>
    </xf>
    <xf numFmtId="0" fontId="57" fillId="13" borderId="234" xfId="0" applyFont="1" applyFill="1" applyBorder="1" applyAlignment="1">
      <alignment horizontal="left" vertical="center"/>
    </xf>
    <xf numFmtId="0" fontId="46" fillId="4" borderId="244" xfId="0" quotePrefix="1" applyFont="1" applyFill="1" applyBorder="1" applyAlignment="1">
      <alignment horizontal="left" vertical="center" wrapText="1"/>
    </xf>
    <xf numFmtId="164" fontId="49" fillId="4" borderId="244" xfId="0" applyNumberFormat="1" applyFont="1" applyFill="1" applyBorder="1" applyAlignment="1">
      <alignment horizontal="left" vertical="center"/>
    </xf>
    <xf numFmtId="0" fontId="49" fillId="4" borderId="225" xfId="0" applyFont="1" applyFill="1" applyBorder="1" applyAlignment="1">
      <alignment horizontal="left" vertical="center"/>
    </xf>
    <xf numFmtId="0" fontId="49" fillId="4" borderId="145" xfId="0" applyFont="1" applyFill="1" applyBorder="1" applyAlignment="1">
      <alignment horizontal="left" vertical="center" wrapText="1"/>
    </xf>
    <xf numFmtId="0" fontId="46" fillId="4" borderId="145" xfId="0" quotePrefix="1" applyFont="1" applyFill="1" applyBorder="1" applyAlignment="1">
      <alignment horizontal="left" vertical="center" wrapText="1"/>
    </xf>
    <xf numFmtId="164" fontId="49" fillId="4" borderId="145" xfId="0" applyNumberFormat="1" applyFont="1" applyFill="1" applyBorder="1" applyAlignment="1">
      <alignment horizontal="left" vertical="center"/>
    </xf>
    <xf numFmtId="0" fontId="49" fillId="4" borderId="227" xfId="0" applyFont="1" applyFill="1" applyBorder="1" applyAlignment="1">
      <alignment horizontal="left" vertical="center"/>
    </xf>
    <xf numFmtId="0" fontId="49" fillId="4" borderId="228" xfId="0" applyFont="1" applyFill="1" applyBorder="1" applyAlignment="1">
      <alignment horizontal="left" vertical="center" wrapText="1"/>
    </xf>
    <xf numFmtId="0" fontId="46" fillId="4" borderId="228" xfId="0" quotePrefix="1" applyFont="1" applyFill="1" applyBorder="1" applyAlignment="1">
      <alignment horizontal="left" vertical="center" wrapText="1"/>
    </xf>
    <xf numFmtId="164" fontId="49" fillId="4" borderId="228" xfId="0" applyNumberFormat="1" applyFont="1" applyFill="1" applyBorder="1" applyAlignment="1">
      <alignment horizontal="left" vertical="center"/>
    </xf>
    <xf numFmtId="0" fontId="49" fillId="20" borderId="243" xfId="2" applyFont="1" applyFill="1" applyBorder="1" applyAlignment="1">
      <alignment horizontal="left" vertical="center" wrapText="1"/>
    </xf>
    <xf numFmtId="0" fontId="49" fillId="20" borderId="244" xfId="0" applyFont="1" applyFill="1" applyBorder="1" applyAlignment="1">
      <alignment horizontal="left" vertical="center" wrapText="1"/>
    </xf>
    <xf numFmtId="2" fontId="49" fillId="20" borderId="244" xfId="0" applyNumberFormat="1" applyFont="1" applyFill="1" applyBorder="1" applyAlignment="1">
      <alignment horizontal="left" vertical="center"/>
    </xf>
    <xf numFmtId="0" fontId="49" fillId="20" borderId="244" xfId="0" applyFont="1" applyFill="1" applyBorder="1" applyAlignment="1">
      <alignment horizontal="left" vertical="center"/>
    </xf>
    <xf numFmtId="0" fontId="49" fillId="20" borderId="245" xfId="0" applyFont="1" applyFill="1" applyBorder="1" applyAlignment="1">
      <alignment horizontal="left" vertical="center"/>
    </xf>
    <xf numFmtId="0" fontId="49" fillId="20" borderId="225" xfId="2" applyFont="1" applyFill="1" applyBorder="1" applyAlignment="1">
      <alignment horizontal="left" vertical="center" wrapText="1"/>
    </xf>
    <xf numFmtId="0" fontId="49" fillId="20" borderId="145" xfId="0" applyFont="1" applyFill="1" applyBorder="1" applyAlignment="1">
      <alignment horizontal="left" vertical="center" wrapText="1"/>
    </xf>
    <xf numFmtId="2" fontId="49" fillId="20" borderId="145" xfId="0" applyNumberFormat="1" applyFont="1" applyFill="1" applyBorder="1" applyAlignment="1">
      <alignment horizontal="left" vertical="center"/>
    </xf>
    <xf numFmtId="0" fontId="49" fillId="20" borderId="145" xfId="0" applyFont="1" applyFill="1" applyBorder="1" applyAlignment="1">
      <alignment horizontal="left" vertical="center"/>
    </xf>
    <xf numFmtId="0" fontId="49" fillId="20" borderId="226" xfId="0" applyFont="1" applyFill="1" applyBorder="1" applyAlignment="1">
      <alignment horizontal="left" vertical="center"/>
    </xf>
    <xf numFmtId="0" fontId="49" fillId="20" borderId="87" xfId="2" applyFont="1" applyFill="1" applyBorder="1" applyAlignment="1">
      <alignment horizontal="left" vertical="center" wrapText="1"/>
    </xf>
    <xf numFmtId="0" fontId="49" fillId="20" borderId="106" xfId="2" applyFont="1" applyFill="1" applyBorder="1" applyAlignment="1">
      <alignment horizontal="left" vertical="center" wrapText="1"/>
    </xf>
    <xf numFmtId="0" fontId="49" fillId="20" borderId="228" xfId="0" applyFont="1" applyFill="1" applyBorder="1" applyAlignment="1">
      <alignment horizontal="left" vertical="center" wrapText="1"/>
    </xf>
    <xf numFmtId="2" fontId="49" fillId="20" borderId="82" xfId="0" applyNumberFormat="1" applyFont="1" applyFill="1" applyBorder="1" applyAlignment="1">
      <alignment horizontal="left" vertical="center"/>
    </xf>
    <xf numFmtId="0" fontId="49" fillId="20" borderId="82" xfId="0" applyFont="1" applyFill="1" applyBorder="1" applyAlignment="1">
      <alignment horizontal="left" vertical="center"/>
    </xf>
    <xf numFmtId="0" fontId="49" fillId="27" borderId="145" xfId="0" applyFont="1" applyFill="1" applyBorder="1" applyAlignment="1">
      <alignment horizontal="left" vertical="center"/>
    </xf>
    <xf numFmtId="0" fontId="96" fillId="27" borderId="109" xfId="2" applyFont="1" applyFill="1" applyBorder="1" applyAlignment="1">
      <alignment horizontal="left" vertical="center" wrapText="1"/>
    </xf>
    <xf numFmtId="0" fontId="49" fillId="27" borderId="111" xfId="0" applyFont="1" applyFill="1" applyBorder="1" applyAlignment="1">
      <alignment horizontal="center" vertical="center"/>
    </xf>
    <xf numFmtId="0" fontId="96" fillId="27" borderId="227" xfId="2" applyFont="1" applyFill="1" applyBorder="1" applyAlignment="1">
      <alignment horizontal="left" vertical="center" wrapText="1"/>
    </xf>
    <xf numFmtId="0" fontId="49" fillId="27" borderId="228" xfId="0" applyFont="1" applyFill="1" applyBorder="1" applyAlignment="1">
      <alignment horizontal="left" vertical="center"/>
    </xf>
    <xf numFmtId="0" fontId="91" fillId="27" borderId="228" xfId="0" applyFont="1" applyFill="1" applyBorder="1" applyAlignment="1">
      <alignment horizontal="left" vertical="center"/>
    </xf>
    <xf numFmtId="2" fontId="49" fillId="27" borderId="228" xfId="0" applyNumberFormat="1" applyFont="1" applyFill="1" applyBorder="1" applyAlignment="1">
      <alignment horizontal="left" vertical="center"/>
    </xf>
    <xf numFmtId="0" fontId="46" fillId="27" borderId="228" xfId="0" applyFont="1" applyFill="1" applyBorder="1" applyAlignment="1">
      <alignment horizontal="left" vertical="center" wrapText="1"/>
    </xf>
    <xf numFmtId="0" fontId="49" fillId="27" borderId="228" xfId="0" applyFont="1" applyFill="1" applyBorder="1" applyAlignment="1">
      <alignment horizontal="left" vertical="center" wrapText="1"/>
    </xf>
    <xf numFmtId="0" fontId="49" fillId="27" borderId="229" xfId="0" applyFont="1" applyFill="1" applyBorder="1" applyAlignment="1">
      <alignment horizontal="center" vertical="center"/>
    </xf>
    <xf numFmtId="0" fontId="96" fillId="0" borderId="0" xfId="2" applyFont="1" applyAlignment="1">
      <alignment horizontal="left" vertical="center" wrapText="1"/>
    </xf>
    <xf numFmtId="0" fontId="91" fillId="0" borderId="0" xfId="0" applyFont="1" applyAlignment="1">
      <alignment horizontal="left" vertical="center"/>
    </xf>
    <xf numFmtId="2" fontId="49" fillId="0" borderId="0" xfId="0" applyNumberFormat="1" applyFont="1" applyAlignment="1">
      <alignment horizontal="left" vertical="center"/>
    </xf>
    <xf numFmtId="0" fontId="46" fillId="0" borderId="0" xfId="0" applyFont="1" applyAlignment="1">
      <alignment horizontal="left" vertical="center" wrapText="1"/>
    </xf>
    <xf numFmtId="0" fontId="49" fillId="0" borderId="0" xfId="0" applyFont="1" applyAlignment="1">
      <alignment horizontal="center" vertical="center"/>
    </xf>
    <xf numFmtId="0" fontId="56" fillId="7" borderId="239" xfId="0" applyFont="1" applyFill="1" applyBorder="1" applyAlignment="1">
      <alignment horizontal="left" vertical="center" wrapText="1"/>
    </xf>
    <xf numFmtId="0" fontId="57" fillId="7" borderId="240" xfId="0" applyFont="1" applyFill="1" applyBorder="1" applyAlignment="1">
      <alignment horizontal="left" vertical="center"/>
    </xf>
    <xf numFmtId="0" fontId="73" fillId="7" borderId="241" xfId="0" applyFont="1" applyFill="1" applyBorder="1" applyAlignment="1">
      <alignment horizontal="left" vertical="center"/>
    </xf>
    <xf numFmtId="0" fontId="57" fillId="7" borderId="241" xfId="0" applyFont="1" applyFill="1" applyBorder="1" applyAlignment="1">
      <alignment horizontal="left" vertical="center"/>
    </xf>
    <xf numFmtId="0" fontId="57" fillId="7" borderId="242" xfId="0" applyFont="1" applyFill="1" applyBorder="1" applyAlignment="1">
      <alignment horizontal="left" vertical="center"/>
    </xf>
    <xf numFmtId="164" fontId="49" fillId="20" borderId="84" xfId="0" applyNumberFormat="1" applyFont="1" applyFill="1" applyBorder="1" applyAlignment="1">
      <alignment horizontal="left" vertical="center"/>
    </xf>
    <xf numFmtId="0" fontId="49" fillId="20" borderId="227" xfId="0" applyFont="1" applyFill="1" applyBorder="1" applyAlignment="1">
      <alignment horizontal="left" vertical="center"/>
    </xf>
    <xf numFmtId="164" fontId="49" fillId="20" borderId="228" xfId="0" applyNumberFormat="1" applyFont="1" applyFill="1" applyBorder="1" applyAlignment="1">
      <alignment horizontal="left" vertical="center"/>
    </xf>
    <xf numFmtId="0" fontId="0" fillId="29" borderId="224" xfId="0" applyFill="1" applyBorder="1" applyAlignment="1">
      <alignment horizontal="left" vertical="center"/>
    </xf>
    <xf numFmtId="0" fontId="46" fillId="29" borderId="224" xfId="0" applyFont="1" applyFill="1" applyBorder="1"/>
    <xf numFmtId="0" fontId="0" fillId="29" borderId="224" xfId="0" applyFill="1" applyBorder="1"/>
    <xf numFmtId="0" fontId="53" fillId="20" borderId="225" xfId="0" applyFont="1" applyFill="1" applyBorder="1" applyAlignment="1">
      <alignment horizontal="left" vertical="center"/>
    </xf>
    <xf numFmtId="0" fontId="53" fillId="20" borderId="225" xfId="0" applyFont="1" applyFill="1" applyBorder="1" applyAlignment="1">
      <alignment horizontal="left"/>
    </xf>
    <xf numFmtId="0" fontId="53" fillId="22" borderId="225" xfId="0" applyFont="1" applyFill="1" applyBorder="1" applyAlignment="1">
      <alignment horizontal="left"/>
    </xf>
    <xf numFmtId="0" fontId="53" fillId="10" borderId="225" xfId="0" applyFont="1" applyFill="1" applyBorder="1" applyAlignment="1">
      <alignment horizontal="left" vertical="center"/>
    </xf>
    <xf numFmtId="0" fontId="49" fillId="10" borderId="225" xfId="0" applyFont="1" applyFill="1" applyBorder="1" applyAlignment="1">
      <alignment horizontal="left" vertical="center"/>
    </xf>
    <xf numFmtId="0" fontId="5" fillId="0" borderId="224" xfId="0" applyFont="1" applyBorder="1" applyAlignment="1">
      <alignment horizontal="left" vertical="center"/>
    </xf>
    <xf numFmtId="0" fontId="76" fillId="8" borderId="225" xfId="0" applyFont="1" applyFill="1" applyBorder="1" applyAlignment="1">
      <alignment horizontal="left" vertical="center"/>
    </xf>
    <xf numFmtId="0" fontId="49" fillId="8" borderId="224" xfId="0" quotePrefix="1" applyFont="1" applyFill="1" applyBorder="1" applyAlignment="1">
      <alignment horizontal="left" vertical="center"/>
    </xf>
    <xf numFmtId="0" fontId="49" fillId="8" borderId="224" xfId="0" applyFont="1" applyFill="1" applyBorder="1" applyAlignment="1">
      <alignment horizontal="left" vertical="center"/>
    </xf>
    <xf numFmtId="0" fontId="49" fillId="8" borderId="226" xfId="0" applyFont="1" applyFill="1" applyBorder="1" applyAlignment="1">
      <alignment horizontal="left" vertical="center"/>
    </xf>
    <xf numFmtId="0" fontId="49" fillId="8" borderId="224" xfId="0" applyFont="1" applyFill="1" applyBorder="1" applyAlignment="1">
      <alignment horizontal="left" vertical="center" wrapText="1"/>
    </xf>
    <xf numFmtId="2" fontId="49" fillId="8" borderId="224" xfId="0" applyNumberFormat="1" applyFont="1" applyFill="1" applyBorder="1" applyAlignment="1">
      <alignment horizontal="center" vertical="center" wrapText="1"/>
    </xf>
    <xf numFmtId="0" fontId="49" fillId="8" borderId="224" xfId="0" applyFont="1" applyFill="1" applyBorder="1" applyAlignment="1">
      <alignment horizontal="center" vertical="center" wrapText="1"/>
    </xf>
    <xf numFmtId="0" fontId="49" fillId="8" borderId="224" xfId="0" quotePrefix="1" applyFont="1" applyFill="1" applyBorder="1" applyAlignment="1">
      <alignment horizontal="center" vertical="center" wrapText="1"/>
    </xf>
    <xf numFmtId="0" fontId="49" fillId="8" borderId="226" xfId="0" applyFont="1" applyFill="1" applyBorder="1" applyAlignment="1">
      <alignment horizontal="center" vertical="center" wrapText="1"/>
    </xf>
    <xf numFmtId="0" fontId="49" fillId="8" borderId="246" xfId="0" applyFont="1" applyFill="1" applyBorder="1" applyAlignment="1">
      <alignment horizontal="left" vertical="center" wrapText="1"/>
    </xf>
    <xf numFmtId="0" fontId="46" fillId="0" borderId="225" xfId="0" applyFont="1" applyBorder="1" applyAlignment="1">
      <alignment horizontal="left" vertical="center" wrapText="1"/>
    </xf>
    <xf numFmtId="164" fontId="46" fillId="0" borderId="210" xfId="0" applyNumberFormat="1" applyFont="1" applyBorder="1" applyAlignment="1">
      <alignment horizontal="left" vertical="center" wrapText="1"/>
    </xf>
    <xf numFmtId="0" fontId="46" fillId="0" borderId="224" xfId="0" applyFont="1" applyBorder="1" applyAlignment="1">
      <alignment horizontal="left" vertical="center" wrapText="1"/>
    </xf>
    <xf numFmtId="0" fontId="46" fillId="0" borderId="226" xfId="0" applyFont="1" applyBorder="1" applyAlignment="1">
      <alignment horizontal="left" vertical="center" wrapText="1"/>
    </xf>
    <xf numFmtId="0" fontId="46" fillId="0" borderId="227" xfId="0" applyFont="1" applyBorder="1" applyAlignment="1">
      <alignment horizontal="left" vertical="center" wrapText="1"/>
    </xf>
    <xf numFmtId="0" fontId="46" fillId="0" borderId="228" xfId="0" applyFont="1" applyBorder="1" applyAlignment="1">
      <alignment horizontal="left" vertical="center" wrapText="1"/>
    </xf>
    <xf numFmtId="8" fontId="49" fillId="0" borderId="228" xfId="0" applyNumberFormat="1" applyFont="1" applyBorder="1" applyAlignment="1">
      <alignment horizontal="left" vertical="center" wrapText="1"/>
    </xf>
    <xf numFmtId="164" fontId="46" fillId="0" borderId="228" xfId="0" applyNumberFormat="1" applyFont="1" applyBorder="1" applyAlignment="1">
      <alignment horizontal="left" vertical="center" wrapText="1"/>
    </xf>
    <xf numFmtId="0" fontId="49" fillId="0" borderId="228" xfId="0" applyFont="1" applyBorder="1" applyAlignment="1">
      <alignment horizontal="left" vertical="center"/>
    </xf>
    <xf numFmtId="0" fontId="46" fillId="0" borderId="229" xfId="0" applyFont="1" applyBorder="1" applyAlignment="1">
      <alignment horizontal="left" vertical="center" wrapText="1"/>
    </xf>
    <xf numFmtId="0" fontId="67" fillId="0" borderId="225" xfId="0" applyFont="1" applyBorder="1" applyAlignment="1">
      <alignment horizontal="left"/>
    </xf>
    <xf numFmtId="0" fontId="0" fillId="0" borderId="210" xfId="0" applyBorder="1" applyAlignment="1">
      <alignment horizontal="left"/>
    </xf>
    <xf numFmtId="11" fontId="15" fillId="0" borderId="210" xfId="35" applyNumberFormat="1" applyBorder="1" applyAlignment="1">
      <alignment horizontal="center"/>
    </xf>
    <xf numFmtId="0" fontId="7" fillId="0" borderId="210" xfId="39" applyFont="1" applyBorder="1" applyAlignment="1">
      <alignment horizontal="center"/>
    </xf>
    <xf numFmtId="0" fontId="0" fillId="0" borderId="210" xfId="0" applyBorder="1" applyAlignment="1">
      <alignment horizontal="center"/>
    </xf>
    <xf numFmtId="0" fontId="0" fillId="0" borderId="224" xfId="0" applyBorder="1"/>
    <xf numFmtId="0" fontId="0" fillId="0" borderId="226" xfId="0" applyBorder="1"/>
    <xf numFmtId="0" fontId="29" fillId="45" borderId="225" xfId="0" applyFont="1" applyFill="1" applyBorder="1" applyAlignment="1">
      <alignment horizontal="center" vertical="center"/>
    </xf>
    <xf numFmtId="0" fontId="29" fillId="45" borderId="210" xfId="0" applyFont="1" applyFill="1" applyBorder="1" applyAlignment="1">
      <alignment horizontal="center" vertical="center"/>
    </xf>
    <xf numFmtId="0" fontId="0" fillId="45" borderId="210" xfId="0" applyFill="1" applyBorder="1" applyAlignment="1">
      <alignment horizontal="left" vertical="center"/>
    </xf>
    <xf numFmtId="0" fontId="0" fillId="45" borderId="210" xfId="0" applyFill="1" applyBorder="1" applyAlignment="1">
      <alignment horizontal="center" vertical="center"/>
    </xf>
    <xf numFmtId="0" fontId="0" fillId="45" borderId="210" xfId="0" quotePrefix="1" applyFill="1" applyBorder="1" applyAlignment="1">
      <alignment horizontal="center" vertical="center"/>
    </xf>
    <xf numFmtId="0" fontId="46" fillId="45" borderId="210" xfId="0" applyFont="1" applyFill="1" applyBorder="1" applyAlignment="1">
      <alignment horizontal="left" vertical="center"/>
    </xf>
    <xf numFmtId="0" fontId="0" fillId="45" borderId="226" xfId="0" applyFill="1" applyBorder="1"/>
    <xf numFmtId="0" fontId="49" fillId="45" borderId="225" xfId="0" applyFont="1" applyFill="1" applyBorder="1" applyAlignment="1">
      <alignment horizontal="left" vertical="center" wrapText="1"/>
    </xf>
    <xf numFmtId="2" fontId="49" fillId="45" borderId="210" xfId="0" applyNumberFormat="1" applyFont="1" applyFill="1" applyBorder="1" applyAlignment="1">
      <alignment horizontal="left" vertical="center" wrapText="1"/>
    </xf>
    <xf numFmtId="2" fontId="49" fillId="45" borderId="210" xfId="0" applyNumberFormat="1" applyFont="1" applyFill="1" applyBorder="1" applyAlignment="1">
      <alignment horizontal="center" vertical="center" wrapText="1"/>
    </xf>
    <xf numFmtId="0" fontId="49" fillId="45" borderId="210" xfId="0" applyFont="1" applyFill="1" applyBorder="1" applyAlignment="1">
      <alignment horizontal="center" vertical="center" wrapText="1"/>
    </xf>
    <xf numFmtId="0" fontId="49" fillId="45" borderId="224" xfId="0" applyFont="1" applyFill="1" applyBorder="1" applyAlignment="1">
      <alignment horizontal="center" vertical="center" wrapText="1"/>
    </xf>
    <xf numFmtId="0" fontId="49" fillId="45" borderId="226" xfId="0" applyFont="1" applyFill="1" applyBorder="1" applyAlignment="1">
      <alignment horizontal="left" vertical="center"/>
    </xf>
    <xf numFmtId="0" fontId="49" fillId="45" borderId="227" xfId="0" applyFont="1" applyFill="1" applyBorder="1" applyAlignment="1">
      <alignment horizontal="left" vertical="center" wrapText="1"/>
    </xf>
    <xf numFmtId="2" fontId="49" fillId="45" borderId="228" xfId="0" applyNumberFormat="1" applyFont="1" applyFill="1" applyBorder="1" applyAlignment="1">
      <alignment horizontal="left" vertical="center" wrapText="1"/>
    </xf>
    <xf numFmtId="2" fontId="49" fillId="45" borderId="228" xfId="0" applyNumberFormat="1" applyFont="1" applyFill="1" applyBorder="1" applyAlignment="1">
      <alignment horizontal="center" vertical="center" wrapText="1"/>
    </xf>
    <xf numFmtId="0" fontId="49" fillId="45" borderId="228" xfId="0" applyFont="1" applyFill="1" applyBorder="1" applyAlignment="1">
      <alignment horizontal="center" vertical="center" wrapText="1"/>
    </xf>
    <xf numFmtId="0" fontId="49" fillId="45" borderId="229" xfId="0" applyFont="1" applyFill="1" applyBorder="1" applyAlignment="1">
      <alignment horizontal="left" vertical="center"/>
    </xf>
    <xf numFmtId="164" fontId="53" fillId="9" borderId="15" xfId="0" applyNumberFormat="1" applyFont="1" applyFill="1" applyBorder="1" applyAlignment="1">
      <alignment horizontal="left" vertical="center" wrapText="1"/>
    </xf>
    <xf numFmtId="165" fontId="53" fillId="9" borderId="224" xfId="0" applyNumberFormat="1" applyFont="1" applyFill="1" applyBorder="1" applyAlignment="1">
      <alignment horizontal="left" vertical="center" wrapText="1"/>
    </xf>
    <xf numFmtId="0" fontId="53" fillId="9" borderId="224" xfId="0" applyFont="1" applyFill="1" applyBorder="1" applyAlignment="1">
      <alignment horizontal="center" vertical="center" wrapText="1"/>
    </xf>
    <xf numFmtId="0" fontId="53" fillId="9" borderId="224" xfId="0" applyFont="1" applyFill="1" applyBorder="1" applyAlignment="1">
      <alignment horizontal="left" vertical="center" wrapText="1"/>
    </xf>
    <xf numFmtId="0" fontId="53" fillId="9" borderId="225" xfId="0" applyFont="1" applyFill="1" applyBorder="1" applyAlignment="1">
      <alignment horizontal="left" vertical="center"/>
    </xf>
    <xf numFmtId="166" fontId="53" fillId="9" borderId="224" xfId="0" applyNumberFormat="1" applyFont="1" applyFill="1" applyBorder="1" applyAlignment="1">
      <alignment horizontal="center" vertical="center"/>
    </xf>
    <xf numFmtId="0" fontId="53" fillId="9" borderId="224" xfId="0" quotePrefix="1" applyFont="1" applyFill="1" applyBorder="1" applyAlignment="1">
      <alignment horizontal="center" vertical="center" wrapText="1"/>
    </xf>
    <xf numFmtId="0" fontId="53" fillId="9" borderId="224" xfId="0" applyFont="1" applyFill="1" applyBorder="1" applyAlignment="1">
      <alignment horizontal="left" vertical="center"/>
    </xf>
    <xf numFmtId="0" fontId="56" fillId="9" borderId="226" xfId="0" applyFont="1" applyFill="1" applyBorder="1" applyAlignment="1">
      <alignment horizontal="left" vertical="center"/>
    </xf>
    <xf numFmtId="0" fontId="49" fillId="7" borderId="224" xfId="0" quotePrefix="1" applyFont="1" applyFill="1" applyBorder="1" applyAlignment="1">
      <alignment horizontal="left" vertical="center" wrapText="1"/>
    </xf>
    <xf numFmtId="0" fontId="49" fillId="7" borderId="224" xfId="0" quotePrefix="1" applyFont="1" applyFill="1" applyBorder="1" applyAlignment="1">
      <alignment horizontal="left" vertical="center"/>
    </xf>
    <xf numFmtId="0" fontId="49" fillId="7" borderId="224" xfId="0" applyFont="1" applyFill="1" applyBorder="1" applyAlignment="1">
      <alignment horizontal="left" vertical="center"/>
    </xf>
    <xf numFmtId="0" fontId="49" fillId="9" borderId="224" xfId="0" applyFont="1" applyFill="1" applyBorder="1" applyAlignment="1">
      <alignment horizontal="left" vertical="center"/>
    </xf>
    <xf numFmtId="0" fontId="53" fillId="9" borderId="226" xfId="0" applyFont="1" applyFill="1" applyBorder="1" applyAlignment="1">
      <alignment horizontal="left" vertical="center"/>
    </xf>
    <xf numFmtId="0" fontId="49" fillId="0" borderId="15" xfId="0" quotePrefix="1" applyFont="1" applyBorder="1" applyAlignment="1">
      <alignment horizontal="left" vertical="center" wrapText="1"/>
    </xf>
    <xf numFmtId="164" fontId="53" fillId="9" borderId="224" xfId="0" applyNumberFormat="1" applyFont="1" applyFill="1" applyBorder="1" applyAlignment="1">
      <alignment horizontal="center" vertical="center" wrapText="1"/>
    </xf>
    <xf numFmtId="164" fontId="53" fillId="9" borderId="145" xfId="0" applyNumberFormat="1" applyFont="1" applyFill="1" applyBorder="1" applyAlignment="1">
      <alignment horizontal="center" vertical="center" wrapText="1"/>
    </xf>
    <xf numFmtId="0" fontId="46" fillId="8" borderId="224" xfId="0" quotePrefix="1" applyFont="1" applyFill="1" applyBorder="1" applyAlignment="1">
      <alignment horizontal="left" vertical="center"/>
    </xf>
    <xf numFmtId="0" fontId="76" fillId="21" borderId="91" xfId="0" applyFont="1" applyFill="1" applyBorder="1" applyAlignment="1">
      <alignment horizontal="left" vertical="center"/>
    </xf>
    <xf numFmtId="0" fontId="76" fillId="21" borderId="9" xfId="0" applyFont="1" applyFill="1" applyBorder="1" applyAlignment="1">
      <alignment horizontal="left" vertical="center"/>
    </xf>
    <xf numFmtId="0" fontId="57" fillId="7" borderId="241" xfId="0" applyFont="1" applyFill="1" applyBorder="1" applyAlignment="1">
      <alignment horizontal="left" vertical="center" wrapText="1"/>
    </xf>
    <xf numFmtId="0" fontId="57" fillId="7" borderId="241" xfId="0" applyFont="1" applyFill="1" applyBorder="1" applyAlignment="1">
      <alignment horizontal="center" vertical="center" wrapText="1"/>
    </xf>
    <xf numFmtId="0" fontId="57" fillId="7" borderId="242" xfId="0" applyFont="1" applyFill="1" applyBorder="1" applyAlignment="1">
      <alignment horizontal="left" vertical="center" wrapText="1"/>
    </xf>
    <xf numFmtId="0" fontId="49" fillId="25" borderId="226" xfId="0" applyFont="1" applyFill="1" applyBorder="1" applyAlignment="1">
      <alignment horizontal="left" vertical="center"/>
    </xf>
    <xf numFmtId="0" fontId="49" fillId="15" borderId="243" xfId="0" applyFont="1" applyFill="1" applyBorder="1" applyAlignment="1">
      <alignment horizontal="left" vertical="center" wrapText="1"/>
    </xf>
    <xf numFmtId="2" fontId="49" fillId="15" borderId="244" xfId="0" applyNumberFormat="1" applyFont="1" applyFill="1" applyBorder="1" applyAlignment="1">
      <alignment horizontal="left" vertical="center" wrapText="1"/>
    </xf>
    <xf numFmtId="165" fontId="49" fillId="15" borderId="244" xfId="0" applyNumberFormat="1" applyFont="1" applyFill="1" applyBorder="1" applyAlignment="1">
      <alignment horizontal="center" vertical="center" wrapText="1"/>
    </xf>
    <xf numFmtId="0" fontId="49" fillId="15" borderId="244" xfId="0" applyFont="1" applyFill="1" applyBorder="1" applyAlignment="1">
      <alignment horizontal="center" vertical="center" wrapText="1"/>
    </xf>
    <xf numFmtId="0" fontId="49" fillId="15" borderId="84" xfId="0" applyFont="1" applyFill="1" applyBorder="1" applyAlignment="1">
      <alignment horizontal="left" vertical="center"/>
    </xf>
    <xf numFmtId="0" fontId="49" fillId="15" borderId="245" xfId="0" applyFont="1" applyFill="1" applyBorder="1" applyAlignment="1">
      <alignment horizontal="left" vertical="center" wrapText="1"/>
    </xf>
    <xf numFmtId="0" fontId="76" fillId="8" borderId="224" xfId="0" applyFont="1" applyFill="1" applyBorder="1" applyAlignment="1">
      <alignment horizontal="left" vertical="center"/>
    </xf>
    <xf numFmtId="0" fontId="49" fillId="15" borderId="87" xfId="0" applyFont="1" applyFill="1" applyBorder="1" applyAlignment="1">
      <alignment horizontal="left" vertical="center"/>
    </xf>
    <xf numFmtId="0" fontId="49" fillId="15" borderId="84" xfId="0" applyFont="1" applyFill="1" applyBorder="1" applyAlignment="1">
      <alignment horizontal="left" vertical="center" wrapText="1"/>
    </xf>
    <xf numFmtId="164" fontId="49" fillId="15" borderId="84" xfId="0" applyNumberFormat="1" applyFont="1" applyFill="1" applyBorder="1" applyAlignment="1">
      <alignment horizontal="left" vertical="center"/>
    </xf>
    <xf numFmtId="0" fontId="49" fillId="15" borderId="88" xfId="0" applyFont="1" applyFill="1" applyBorder="1" applyAlignment="1">
      <alignment horizontal="left" vertical="center"/>
    </xf>
    <xf numFmtId="164" fontId="49" fillId="15" borderId="84" xfId="0" quotePrefix="1" applyNumberFormat="1" applyFont="1" applyFill="1" applyBorder="1" applyAlignment="1">
      <alignment horizontal="left" vertical="center"/>
    </xf>
    <xf numFmtId="0" fontId="49" fillId="15" borderId="214" xfId="0" applyFont="1" applyFill="1" applyBorder="1" applyAlignment="1">
      <alignment horizontal="left" vertical="center"/>
    </xf>
    <xf numFmtId="0" fontId="49" fillId="15" borderId="215" xfId="0" applyFont="1" applyFill="1" applyBorder="1" applyAlignment="1">
      <alignment horizontal="left" vertical="center" wrapText="1"/>
    </xf>
    <xf numFmtId="164" fontId="49" fillId="15" borderId="215" xfId="0" applyNumberFormat="1" applyFont="1" applyFill="1" applyBorder="1" applyAlignment="1">
      <alignment horizontal="left" vertical="center"/>
    </xf>
    <xf numFmtId="0" fontId="49" fillId="15" borderId="215" xfId="0" applyFont="1" applyFill="1" applyBorder="1" applyAlignment="1">
      <alignment horizontal="left" vertical="center"/>
    </xf>
    <xf numFmtId="0" fontId="49" fillId="15" borderId="216" xfId="0" applyFont="1" applyFill="1" applyBorder="1" applyAlignment="1">
      <alignment horizontal="left" vertical="center"/>
    </xf>
    <xf numFmtId="0" fontId="49" fillId="15" borderId="218" xfId="0" applyFont="1" applyFill="1" applyBorder="1" applyAlignment="1">
      <alignment horizontal="left" vertical="center"/>
    </xf>
    <xf numFmtId="0" fontId="49" fillId="15" borderId="244" xfId="0" applyFont="1" applyFill="1" applyBorder="1" applyAlignment="1">
      <alignment horizontal="left" vertical="center" wrapText="1"/>
    </xf>
    <xf numFmtId="0" fontId="49" fillId="15" borderId="244" xfId="0" applyFont="1" applyFill="1" applyBorder="1" applyAlignment="1">
      <alignment horizontal="left" vertical="center"/>
    </xf>
    <xf numFmtId="164" fontId="49" fillId="15" borderId="244" xfId="0" applyNumberFormat="1" applyFont="1" applyFill="1" applyBorder="1" applyAlignment="1">
      <alignment horizontal="left" vertical="center"/>
    </xf>
    <xf numFmtId="0" fontId="49" fillId="15" borderId="220" xfId="0" applyFont="1" applyFill="1" applyBorder="1" applyAlignment="1">
      <alignment horizontal="left" vertical="center"/>
    </xf>
    <xf numFmtId="0" fontId="49" fillId="15" borderId="106" xfId="0" applyFont="1" applyFill="1" applyBorder="1" applyAlignment="1">
      <alignment horizontal="left" vertical="center"/>
    </xf>
    <xf numFmtId="0" fontId="49" fillId="15" borderId="82" xfId="0" applyFont="1" applyFill="1" applyBorder="1" applyAlignment="1">
      <alignment horizontal="left" vertical="center" wrapText="1"/>
    </xf>
    <xf numFmtId="0" fontId="49" fillId="15" borderId="82" xfId="0" applyFont="1" applyFill="1" applyBorder="1" applyAlignment="1">
      <alignment horizontal="left" vertical="center"/>
    </xf>
    <xf numFmtId="164" fontId="49" fillId="15" borderId="82" xfId="0" applyNumberFormat="1" applyFont="1" applyFill="1" applyBorder="1" applyAlignment="1">
      <alignment horizontal="left" vertical="center"/>
    </xf>
    <xf numFmtId="0" fontId="49" fillId="15" borderId="105" xfId="0" applyFont="1" applyFill="1" applyBorder="1" applyAlignment="1">
      <alignment horizontal="left" vertical="center"/>
    </xf>
    <xf numFmtId="164" fontId="49" fillId="15" borderId="82" xfId="0" quotePrefix="1" applyNumberFormat="1" applyFont="1" applyFill="1" applyBorder="1" applyAlignment="1">
      <alignment horizontal="left" vertical="center"/>
    </xf>
    <xf numFmtId="0" fontId="49" fillId="15" borderId="218" xfId="0" applyFont="1" applyFill="1" applyBorder="1" applyAlignment="1">
      <alignment horizontal="left" vertical="center" wrapText="1"/>
    </xf>
    <xf numFmtId="0" fontId="49" fillId="15" borderId="220" xfId="0" applyFont="1" applyFill="1" applyBorder="1" applyAlignment="1">
      <alignment horizontal="left" vertical="center" wrapText="1"/>
    </xf>
    <xf numFmtId="0" fontId="49" fillId="15" borderId="87" xfId="0" applyFont="1" applyFill="1" applyBorder="1" applyAlignment="1">
      <alignment horizontal="left" vertical="center" wrapText="1"/>
    </xf>
    <xf numFmtId="0" fontId="49" fillId="15" borderId="88" xfId="0" applyFont="1" applyFill="1" applyBorder="1" applyAlignment="1">
      <alignment horizontal="left" vertical="center" wrapText="1"/>
    </xf>
    <xf numFmtId="0" fontId="49" fillId="15" borderId="106" xfId="0" applyFont="1" applyFill="1" applyBorder="1" applyAlignment="1">
      <alignment horizontal="left" vertical="center" wrapText="1"/>
    </xf>
    <xf numFmtId="0" fontId="49" fillId="15" borderId="105" xfId="0" applyFont="1" applyFill="1" applyBorder="1" applyAlignment="1">
      <alignment horizontal="left" vertical="center" wrapText="1"/>
    </xf>
    <xf numFmtId="0" fontId="76" fillId="25" borderId="225" xfId="0" quotePrefix="1" applyFont="1" applyFill="1" applyBorder="1" applyAlignment="1">
      <alignment horizontal="left" vertical="center"/>
    </xf>
    <xf numFmtId="0" fontId="49" fillId="25" borderId="224" xfId="0" quotePrefix="1" applyFont="1" applyFill="1" applyBorder="1" applyAlignment="1">
      <alignment horizontal="left" vertical="center"/>
    </xf>
    <xf numFmtId="0" fontId="76" fillId="25" borderId="224" xfId="0" quotePrefix="1" applyFont="1" applyFill="1" applyBorder="1" applyAlignment="1">
      <alignment horizontal="left" vertical="center"/>
    </xf>
    <xf numFmtId="164" fontId="49" fillId="25" borderId="224" xfId="0" applyNumberFormat="1" applyFont="1" applyFill="1" applyBorder="1" applyAlignment="1">
      <alignment horizontal="left" vertical="center"/>
    </xf>
    <xf numFmtId="164" fontId="49" fillId="8" borderId="224" xfId="0" applyNumberFormat="1" applyFont="1" applyFill="1" applyBorder="1" applyAlignment="1">
      <alignment horizontal="left" vertical="center"/>
    </xf>
    <xf numFmtId="0" fontId="76" fillId="8" borderId="224" xfId="0" quotePrefix="1" applyFont="1" applyFill="1" applyBorder="1" applyAlignment="1">
      <alignment horizontal="left" vertical="center"/>
    </xf>
    <xf numFmtId="0" fontId="76" fillId="8" borderId="177" xfId="0" quotePrefix="1" applyFont="1" applyFill="1" applyBorder="1" applyAlignment="1">
      <alignment horizontal="left" vertical="center"/>
    </xf>
    <xf numFmtId="2" fontId="49" fillId="21" borderId="228" xfId="0" applyNumberFormat="1" applyFont="1" applyFill="1" applyBorder="1" applyAlignment="1">
      <alignment horizontal="center" vertical="center" wrapText="1"/>
    </xf>
    <xf numFmtId="0" fontId="76" fillId="8" borderId="187" xfId="0" quotePrefix="1" applyFont="1" applyFill="1" applyBorder="1" applyAlignment="1">
      <alignment horizontal="left" vertical="center" wrapText="1"/>
    </xf>
    <xf numFmtId="0" fontId="76" fillId="5" borderId="224" xfId="0" quotePrefix="1" applyFont="1" applyFill="1" applyBorder="1" applyAlignment="1">
      <alignment horizontal="left" vertical="center"/>
    </xf>
    <xf numFmtId="0" fontId="49" fillId="21" borderId="224" xfId="0" quotePrefix="1" applyFont="1" applyFill="1" applyBorder="1" applyAlignment="1">
      <alignment horizontal="left" vertical="center"/>
    </xf>
    <xf numFmtId="0" fontId="49" fillId="21" borderId="224" xfId="0" applyFont="1" applyFill="1" applyBorder="1" applyAlignment="1">
      <alignment horizontal="left" vertical="center"/>
    </xf>
    <xf numFmtId="0" fontId="49" fillId="21" borderId="226" xfId="0" applyFont="1" applyFill="1" applyBorder="1" applyAlignment="1">
      <alignment horizontal="left" vertical="center"/>
    </xf>
    <xf numFmtId="0" fontId="76" fillId="21" borderId="225" xfId="0" applyFont="1" applyFill="1" applyBorder="1" applyAlignment="1">
      <alignment horizontal="left" vertical="center"/>
    </xf>
    <xf numFmtId="0" fontId="76" fillId="21" borderId="224" xfId="0" quotePrefix="1" applyFont="1" applyFill="1" applyBorder="1" applyAlignment="1">
      <alignment horizontal="left" vertical="center"/>
    </xf>
    <xf numFmtId="0" fontId="49" fillId="5" borderId="83" xfId="0" applyFont="1" applyFill="1" applyBorder="1" applyAlignment="1">
      <alignment horizontal="left" vertical="center" wrapText="1"/>
    </xf>
    <xf numFmtId="0" fontId="76" fillId="21" borderId="177" xfId="0" quotePrefix="1" applyFont="1" applyFill="1" applyBorder="1" applyAlignment="1">
      <alignment horizontal="left" vertical="center"/>
    </xf>
    <xf numFmtId="0" fontId="76" fillId="21" borderId="187" xfId="0" quotePrefix="1" applyFont="1" applyFill="1" applyBorder="1" applyAlignment="1">
      <alignment horizontal="left" vertical="center" wrapText="1"/>
    </xf>
    <xf numFmtId="164" fontId="49" fillId="21" borderId="187" xfId="0" applyNumberFormat="1" applyFont="1" applyFill="1" applyBorder="1" applyAlignment="1">
      <alignment horizontal="left" vertical="center"/>
    </xf>
    <xf numFmtId="0" fontId="49" fillId="21" borderId="187" xfId="0" applyFont="1" applyFill="1" applyBorder="1" applyAlignment="1">
      <alignment horizontal="left" vertical="center" wrapText="1"/>
    </xf>
    <xf numFmtId="0" fontId="49" fillId="21" borderId="187" xfId="0" quotePrefix="1" applyFont="1" applyFill="1" applyBorder="1" applyAlignment="1">
      <alignment horizontal="left" vertical="center"/>
    </xf>
    <xf numFmtId="0" fontId="49" fillId="21" borderId="187" xfId="0" applyFont="1" applyFill="1" applyBorder="1" applyAlignment="1">
      <alignment horizontal="left" vertical="center"/>
    </xf>
    <xf numFmtId="0" fontId="49" fillId="21" borderId="186" xfId="0" applyFont="1" applyFill="1" applyBorder="1" applyAlignment="1">
      <alignment horizontal="left" vertical="center" wrapText="1"/>
    </xf>
    <xf numFmtId="2" fontId="46" fillId="0" borderId="224" xfId="0" applyNumberFormat="1" applyFont="1" applyBorder="1" applyAlignment="1">
      <alignment horizontal="left" vertical="center"/>
    </xf>
    <xf numFmtId="0" fontId="57" fillId="7" borderId="241" xfId="3" applyFont="1" applyFill="1" applyBorder="1" applyAlignment="1">
      <alignment horizontal="center" vertical="center" wrapText="1"/>
    </xf>
    <xf numFmtId="0" fontId="49" fillId="11" borderId="225" xfId="0" applyFont="1" applyFill="1" applyBorder="1" applyAlignment="1">
      <alignment horizontal="left" vertical="center"/>
    </xf>
    <xf numFmtId="164" fontId="49" fillId="11" borderId="224" xfId="0" applyNumberFormat="1" applyFont="1" applyFill="1" applyBorder="1" applyAlignment="1">
      <alignment horizontal="left" vertical="center"/>
    </xf>
    <xf numFmtId="0" fontId="0" fillId="11" borderId="224" xfId="0" applyFill="1" applyBorder="1" applyAlignment="1">
      <alignment horizontal="left"/>
    </xf>
    <xf numFmtId="2" fontId="49" fillId="11" borderId="224" xfId="0" applyNumberFormat="1" applyFont="1" applyFill="1" applyBorder="1" applyAlignment="1">
      <alignment horizontal="left" vertical="center" wrapText="1"/>
    </xf>
    <xf numFmtId="0" fontId="0" fillId="19" borderId="224" xfId="0" applyFill="1" applyBorder="1" applyAlignment="1">
      <alignment horizontal="left"/>
    </xf>
    <xf numFmtId="0" fontId="49" fillId="19" borderId="225" xfId="0" applyFont="1" applyFill="1" applyBorder="1" applyAlignment="1">
      <alignment horizontal="left" vertical="center"/>
    </xf>
    <xf numFmtId="0" fontId="49" fillId="11" borderId="224" xfId="0" applyFont="1" applyFill="1" applyBorder="1" applyAlignment="1">
      <alignment horizontal="left" vertical="center" wrapText="1"/>
    </xf>
    <xf numFmtId="0" fontId="53" fillId="11" borderId="224" xfId="0" applyFont="1" applyFill="1" applyBorder="1" applyAlignment="1">
      <alignment horizontal="left" vertical="center" wrapText="1"/>
    </xf>
    <xf numFmtId="0" fontId="53" fillId="19" borderId="225" xfId="0" applyFont="1" applyFill="1" applyBorder="1" applyAlignment="1">
      <alignment horizontal="left" vertical="center"/>
    </xf>
    <xf numFmtId="0" fontId="53" fillId="19" borderId="224" xfId="0" applyFont="1" applyFill="1" applyBorder="1" applyAlignment="1">
      <alignment horizontal="left" vertical="center" wrapText="1"/>
    </xf>
    <xf numFmtId="0" fontId="49" fillId="19" borderId="224" xfId="0" applyFont="1" applyFill="1" applyBorder="1" applyAlignment="1">
      <alignment horizontal="left" vertical="center" wrapText="1"/>
    </xf>
    <xf numFmtId="0" fontId="49" fillId="19" borderId="225" xfId="0" applyFont="1" applyFill="1" applyBorder="1" applyAlignment="1">
      <alignment horizontal="left" vertical="center" wrapText="1"/>
    </xf>
    <xf numFmtId="0" fontId="49" fillId="11" borderId="225" xfId="0" applyFont="1" applyFill="1" applyBorder="1" applyAlignment="1">
      <alignment horizontal="left" vertical="center" wrapText="1"/>
    </xf>
    <xf numFmtId="164" fontId="49" fillId="0" borderId="15" xfId="0" applyNumberFormat="1" applyFont="1" applyBorder="1" applyAlignment="1">
      <alignment horizontal="left" vertical="center"/>
    </xf>
    <xf numFmtId="0" fontId="49" fillId="0" borderId="224" xfId="0" applyFont="1" applyBorder="1" applyAlignment="1">
      <alignment horizontal="left" vertical="center" wrapText="1"/>
    </xf>
    <xf numFmtId="0" fontId="49" fillId="0" borderId="244" xfId="0" applyFont="1" applyBorder="1" applyAlignment="1">
      <alignment horizontal="left" vertical="center" wrapText="1"/>
    </xf>
    <xf numFmtId="0" fontId="49" fillId="19" borderId="224" xfId="0" quotePrefix="1" applyFont="1" applyFill="1" applyBorder="1" applyAlignment="1">
      <alignment horizontal="left" vertical="center" wrapText="1"/>
    </xf>
    <xf numFmtId="0" fontId="49" fillId="11" borderId="224" xfId="0" quotePrefix="1" applyFont="1" applyFill="1" applyBorder="1" applyAlignment="1">
      <alignment horizontal="left" vertical="center" wrapText="1"/>
    </xf>
    <xf numFmtId="0" fontId="46" fillId="11" borderId="224" xfId="0" applyFont="1" applyFill="1" applyBorder="1" applyAlignment="1">
      <alignment horizontal="center" vertical="center"/>
    </xf>
    <xf numFmtId="0" fontId="73" fillId="0" borderId="225" xfId="3" applyFont="1" applyBorder="1" applyAlignment="1">
      <alignment horizontal="left" vertical="center" wrapText="1"/>
    </xf>
    <xf numFmtId="2" fontId="46" fillId="0" borderId="224" xfId="0" applyNumberFormat="1" applyFont="1" applyBorder="1" applyAlignment="1">
      <alignment horizontal="center" vertical="center"/>
    </xf>
    <xf numFmtId="0" fontId="46" fillId="0" borderId="224" xfId="0" applyFont="1" applyBorder="1" applyAlignment="1">
      <alignment horizontal="center" vertical="center"/>
    </xf>
    <xf numFmtId="0" fontId="46" fillId="0" borderId="224" xfId="0" applyFont="1" applyBorder="1" applyAlignment="1">
      <alignment horizontal="left" vertical="center"/>
    </xf>
    <xf numFmtId="2" fontId="109" fillId="48" borderId="224" xfId="94" applyNumberFormat="1" applyBorder="1" applyAlignment="1">
      <alignment horizontal="center" vertical="center"/>
    </xf>
    <xf numFmtId="0" fontId="46" fillId="8" borderId="15" xfId="0" applyFont="1" applyFill="1" applyBorder="1" applyAlignment="1">
      <alignment horizontal="center" vertical="center"/>
    </xf>
    <xf numFmtId="0" fontId="46" fillId="8" borderId="224" xfId="0" applyFont="1" applyFill="1" applyBorder="1" applyAlignment="1">
      <alignment horizontal="center" vertical="center"/>
    </xf>
    <xf numFmtId="0" fontId="46" fillId="21" borderId="224" xfId="0" applyFont="1" applyFill="1" applyBorder="1" applyAlignment="1">
      <alignment horizontal="center" vertical="center"/>
    </xf>
    <xf numFmtId="0" fontId="46" fillId="10" borderId="224" xfId="0" applyFont="1" applyFill="1" applyBorder="1" applyAlignment="1">
      <alignment horizontal="center" vertical="center"/>
    </xf>
    <xf numFmtId="0" fontId="46" fillId="12" borderId="224" xfId="0" applyFont="1" applyFill="1" applyBorder="1" applyAlignment="1">
      <alignment horizontal="center" vertical="center"/>
    </xf>
    <xf numFmtId="0" fontId="46" fillId="18" borderId="224" xfId="0" applyFont="1" applyFill="1" applyBorder="1" applyAlignment="1">
      <alignment horizontal="center" vertical="center"/>
    </xf>
    <xf numFmtId="0" fontId="46" fillId="42" borderId="224" xfId="0" applyFont="1" applyFill="1" applyBorder="1" applyAlignment="1">
      <alignment horizontal="center" vertical="center"/>
    </xf>
    <xf numFmtId="0" fontId="46" fillId="9" borderId="224" xfId="0" applyFont="1" applyFill="1" applyBorder="1" applyAlignment="1">
      <alignment horizontal="center" vertical="center"/>
    </xf>
    <xf numFmtId="0" fontId="46" fillId="7" borderId="224" xfId="0" applyFont="1" applyFill="1" applyBorder="1" applyAlignment="1">
      <alignment horizontal="center" vertical="center"/>
    </xf>
    <xf numFmtId="0" fontId="46" fillId="16" borderId="224" xfId="0" applyFont="1" applyFill="1" applyBorder="1" applyAlignment="1">
      <alignment horizontal="center" vertical="center"/>
    </xf>
    <xf numFmtId="0" fontId="46" fillId="15" borderId="224" xfId="0" applyFont="1" applyFill="1" applyBorder="1" applyAlignment="1">
      <alignment horizontal="center" vertical="center"/>
    </xf>
    <xf numFmtId="0" fontId="0" fillId="45" borderId="224" xfId="0" applyFill="1" applyBorder="1" applyAlignment="1">
      <alignment horizontal="center" vertical="center"/>
    </xf>
    <xf numFmtId="0" fontId="57" fillId="28" borderId="224" xfId="0" applyFont="1" applyFill="1" applyBorder="1" applyAlignment="1">
      <alignment horizontal="center" vertical="center"/>
    </xf>
    <xf numFmtId="0" fontId="46" fillId="4" borderId="224" xfId="0" applyFont="1" applyFill="1" applyBorder="1" applyAlignment="1">
      <alignment horizontal="center" vertical="center"/>
    </xf>
    <xf numFmtId="0" fontId="49" fillId="5" borderId="244" xfId="0" applyFont="1" applyFill="1" applyBorder="1" applyAlignment="1">
      <alignment horizontal="center" vertical="center"/>
    </xf>
    <xf numFmtId="0" fontId="49" fillId="5" borderId="224" xfId="0" applyFont="1" applyFill="1" applyBorder="1" applyAlignment="1">
      <alignment horizontal="center" vertical="center"/>
    </xf>
    <xf numFmtId="0" fontId="49" fillId="5" borderId="228" xfId="0" applyFont="1" applyFill="1" applyBorder="1" applyAlignment="1">
      <alignment horizontal="center" vertical="center"/>
    </xf>
    <xf numFmtId="0" fontId="46" fillId="9" borderId="224" xfId="0" applyFont="1" applyFill="1" applyBorder="1" applyAlignment="1">
      <alignment horizontal="left" vertical="center"/>
    </xf>
    <xf numFmtId="0" fontId="0" fillId="45" borderId="224" xfId="0" quotePrefix="1" applyFill="1" applyBorder="1" applyAlignment="1">
      <alignment horizontal="center" vertical="center"/>
    </xf>
    <xf numFmtId="0" fontId="56" fillId="49" borderId="0" xfId="0" applyFont="1" applyFill="1" applyAlignment="1">
      <alignment horizontal="center" vertical="center"/>
    </xf>
    <xf numFmtId="0" fontId="53" fillId="9" borderId="243" xfId="0" applyFont="1" applyFill="1" applyBorder="1" applyAlignment="1">
      <alignment horizontal="left" vertical="center" wrapText="1"/>
    </xf>
    <xf numFmtId="0" fontId="49" fillId="24" borderId="225" xfId="0" applyFont="1" applyFill="1" applyBorder="1" applyAlignment="1">
      <alignment horizontal="left" vertical="center" wrapText="1"/>
    </xf>
    <xf numFmtId="166" fontId="49" fillId="24" borderId="224" xfId="0" applyNumberFormat="1" applyFont="1" applyFill="1" applyBorder="1" applyAlignment="1">
      <alignment horizontal="left" vertical="center" wrapText="1"/>
    </xf>
    <xf numFmtId="2" fontId="49" fillId="24" borderId="224" xfId="0" applyNumberFormat="1" applyFont="1" applyFill="1" applyBorder="1" applyAlignment="1">
      <alignment horizontal="center" vertical="center" wrapText="1"/>
    </xf>
    <xf numFmtId="0" fontId="49" fillId="24" borderId="224" xfId="0" applyFont="1" applyFill="1" applyBorder="1" applyAlignment="1">
      <alignment horizontal="center" vertical="center" wrapText="1"/>
    </xf>
    <xf numFmtId="0" fontId="46" fillId="24" borderId="224" xfId="0" applyFont="1" applyFill="1" applyBorder="1" applyAlignment="1">
      <alignment horizontal="center"/>
    </xf>
    <xf numFmtId="0" fontId="76" fillId="24" borderId="224" xfId="0" applyFont="1" applyFill="1" applyBorder="1" applyAlignment="1">
      <alignment horizontal="left" vertical="center" wrapText="1"/>
    </xf>
    <xf numFmtId="0" fontId="49" fillId="24" borderId="226" xfId="0" applyFont="1" applyFill="1" applyBorder="1" applyAlignment="1">
      <alignment horizontal="left" vertical="center" wrapText="1"/>
    </xf>
    <xf numFmtId="0" fontId="49" fillId="9" borderId="37" xfId="0" applyFont="1" applyFill="1" applyBorder="1" applyAlignment="1">
      <alignment horizontal="left" vertical="center" wrapText="1"/>
    </xf>
    <xf numFmtId="2" fontId="49" fillId="9" borderId="15" xfId="0" applyNumberFormat="1" applyFont="1" applyFill="1" applyBorder="1" applyAlignment="1">
      <alignment horizontal="left" vertical="center" wrapText="1"/>
    </xf>
    <xf numFmtId="2" fontId="49" fillId="9" borderId="15" xfId="0" applyNumberFormat="1" applyFont="1" applyFill="1" applyBorder="1" applyAlignment="1">
      <alignment horizontal="center" vertical="center" wrapText="1"/>
    </xf>
    <xf numFmtId="0" fontId="49" fillId="9" borderId="15" xfId="0" applyFont="1" applyFill="1" applyBorder="1" applyAlignment="1">
      <alignment horizontal="center" vertical="center" wrapText="1"/>
    </xf>
    <xf numFmtId="0" fontId="49" fillId="9" borderId="15" xfId="0" applyFont="1" applyFill="1" applyBorder="1" applyAlignment="1">
      <alignment horizontal="left" vertical="center" wrapText="1"/>
    </xf>
    <xf numFmtId="0" fontId="49" fillId="9" borderId="38" xfId="0" applyFont="1" applyFill="1" applyBorder="1" applyAlignment="1">
      <alignment horizontal="left" vertical="center" wrapText="1"/>
    </xf>
    <xf numFmtId="11" fontId="46" fillId="0" borderId="224" xfId="0" applyNumberFormat="1" applyFont="1" applyBorder="1" applyAlignment="1">
      <alignment horizontal="center" vertical="center"/>
    </xf>
    <xf numFmtId="164" fontId="109" fillId="48" borderId="224" xfId="94" applyNumberFormat="1" applyBorder="1" applyAlignment="1">
      <alignment horizontal="center" vertical="center"/>
    </xf>
    <xf numFmtId="164" fontId="46" fillId="0" borderId="224" xfId="0" applyNumberFormat="1" applyFont="1" applyBorder="1" applyAlignment="1">
      <alignment horizontal="center" vertical="center"/>
    </xf>
    <xf numFmtId="1" fontId="109" fillId="48" borderId="224" xfId="94" applyNumberFormat="1" applyBorder="1" applyAlignment="1">
      <alignment horizontal="center" vertical="center"/>
    </xf>
    <xf numFmtId="0" fontId="109" fillId="48" borderId="224" xfId="94" applyBorder="1" applyAlignment="1">
      <alignment horizontal="center" vertical="center"/>
    </xf>
    <xf numFmtId="166" fontId="109" fillId="48" borderId="224" xfId="94" applyNumberFormat="1" applyBorder="1" applyAlignment="1">
      <alignment horizontal="center" vertical="center"/>
    </xf>
    <xf numFmtId="166" fontId="109" fillId="48" borderId="228" xfId="94" applyNumberFormat="1" applyBorder="1" applyAlignment="1">
      <alignment horizontal="center" vertical="center"/>
    </xf>
    <xf numFmtId="0" fontId="46" fillId="21" borderId="224" xfId="0" quotePrefix="1" applyFont="1" applyFill="1" applyBorder="1" applyAlignment="1">
      <alignment horizontal="center" vertical="center"/>
    </xf>
    <xf numFmtId="0" fontId="46" fillId="11" borderId="224" xfId="0" quotePrefix="1" applyFont="1" applyFill="1" applyBorder="1" applyAlignment="1">
      <alignment horizontal="center" vertical="center"/>
    </xf>
    <xf numFmtId="0" fontId="49" fillId="42" borderId="224" xfId="0" quotePrefix="1" applyFont="1" applyFill="1" applyBorder="1" applyAlignment="1">
      <alignment horizontal="center" vertical="center"/>
    </xf>
    <xf numFmtId="0" fontId="46" fillId="42" borderId="224" xfId="0" quotePrefix="1" applyFont="1" applyFill="1" applyBorder="1" applyAlignment="1">
      <alignment horizontal="center" vertical="center"/>
    </xf>
    <xf numFmtId="0" fontId="49" fillId="0" borderId="38" xfId="0" applyFont="1" applyBorder="1" applyAlignment="1">
      <alignment horizontal="left" vertical="center"/>
    </xf>
    <xf numFmtId="0" fontId="53" fillId="0" borderId="0" xfId="0" applyFont="1" applyAlignment="1">
      <alignment horizontal="left"/>
    </xf>
    <xf numFmtId="0" fontId="53" fillId="0" borderId="7" xfId="0" applyFont="1" applyBorder="1" applyAlignment="1">
      <alignment horizontal="left" vertical="center"/>
    </xf>
    <xf numFmtId="0" fontId="58" fillId="0" borderId="30" xfId="0" applyFont="1" applyBorder="1" applyAlignment="1">
      <alignment horizontal="left" vertical="center"/>
    </xf>
    <xf numFmtId="0" fontId="49" fillId="0" borderId="30" xfId="0" applyFont="1" applyBorder="1" applyAlignment="1">
      <alignment horizontal="left" vertical="center"/>
    </xf>
    <xf numFmtId="0" fontId="49" fillId="0" borderId="116" xfId="0" applyFont="1" applyBorder="1" applyAlignment="1">
      <alignment horizontal="left" vertical="center" wrapText="1"/>
    </xf>
    <xf numFmtId="0" fontId="49" fillId="0" borderId="87" xfId="0" applyFont="1" applyBorder="1" applyAlignment="1">
      <alignment horizontal="left" vertical="center" wrapText="1"/>
    </xf>
    <xf numFmtId="0" fontId="49" fillId="0" borderId="106" xfId="0" applyFont="1" applyBorder="1" applyAlignment="1">
      <alignment horizontal="left" vertical="center" wrapText="1"/>
    </xf>
    <xf numFmtId="0" fontId="49" fillId="0" borderId="147" xfId="0" applyFont="1" applyBorder="1" applyAlignment="1">
      <alignment horizontal="left" vertical="center"/>
    </xf>
    <xf numFmtId="0" fontId="46" fillId="0" borderId="99" xfId="0" applyFont="1" applyBorder="1" applyAlignment="1">
      <alignment horizontal="left"/>
    </xf>
    <xf numFmtId="0" fontId="46" fillId="0" borderId="121" xfId="0" applyFont="1" applyBorder="1" applyAlignment="1">
      <alignment horizontal="left"/>
    </xf>
    <xf numFmtId="0" fontId="46" fillId="0" borderId="207" xfId="0" applyFont="1" applyBorder="1" applyAlignment="1">
      <alignment horizontal="left"/>
    </xf>
    <xf numFmtId="0" fontId="49" fillId="0" borderId="37" xfId="2" applyFont="1" applyBorder="1" applyAlignment="1">
      <alignment horizontal="left" vertical="center" wrapText="1"/>
    </xf>
    <xf numFmtId="0" fontId="49" fillId="0" borderId="91" xfId="2" applyFont="1" applyBorder="1" applyAlignment="1">
      <alignment horizontal="left" vertical="center" wrapText="1"/>
    </xf>
    <xf numFmtId="0" fontId="49" fillId="0" borderId="161" xfId="2" applyFont="1" applyBorder="1" applyAlignment="1">
      <alignment horizontal="left" vertical="center" wrapText="1"/>
    </xf>
    <xf numFmtId="0" fontId="49" fillId="0" borderId="207" xfId="2" applyFont="1" applyBorder="1" applyAlignment="1">
      <alignment horizontal="left" vertical="center" wrapText="1"/>
    </xf>
    <xf numFmtId="0" fontId="53" fillId="0" borderId="158" xfId="0" applyFont="1" applyBorder="1" applyAlignment="1">
      <alignment horizontal="left" vertical="center"/>
    </xf>
    <xf numFmtId="0" fontId="49" fillId="0" borderId="74" xfId="0" applyFont="1" applyBorder="1" applyAlignment="1">
      <alignment horizontal="left" vertical="center"/>
    </xf>
    <xf numFmtId="166" fontId="49" fillId="0" borderId="94" xfId="0" applyNumberFormat="1" applyFont="1" applyBorder="1" applyAlignment="1">
      <alignment horizontal="left" vertical="center" wrapText="1"/>
    </xf>
    <xf numFmtId="166" fontId="49" fillId="0" borderId="83" xfId="0" applyNumberFormat="1" applyFont="1" applyBorder="1" applyAlignment="1">
      <alignment horizontal="left" vertical="center" wrapText="1"/>
    </xf>
    <xf numFmtId="164" fontId="53" fillId="0" borderId="83" xfId="0" applyNumberFormat="1" applyFont="1" applyBorder="1" applyAlignment="1">
      <alignment horizontal="left" vertical="center"/>
    </xf>
    <xf numFmtId="2" fontId="49" fillId="0" borderId="83" xfId="0" applyNumberFormat="1" applyFont="1" applyBorder="1" applyAlignment="1">
      <alignment horizontal="left" vertical="center" wrapText="1"/>
    </xf>
    <xf numFmtId="0" fontId="49" fillId="0" borderId="10" xfId="0" applyFont="1" applyBorder="1" applyAlignment="1">
      <alignment horizontal="left" vertical="center"/>
    </xf>
    <xf numFmtId="0" fontId="49" fillId="0" borderId="36" xfId="0" applyFont="1" applyBorder="1" applyAlignment="1">
      <alignment horizontal="left" vertical="center" wrapText="1"/>
    </xf>
    <xf numFmtId="166" fontId="49" fillId="0" borderId="132" xfId="0" applyNumberFormat="1" applyFont="1" applyBorder="1" applyAlignment="1">
      <alignment horizontal="left" vertical="center"/>
    </xf>
    <xf numFmtId="166" fontId="49" fillId="0" borderId="84" xfId="0" applyNumberFormat="1" applyFont="1" applyBorder="1" applyAlignment="1">
      <alignment horizontal="left" vertical="center"/>
    </xf>
    <xf numFmtId="166" fontId="49" fillId="0" borderId="82" xfId="0" applyNumberFormat="1" applyFont="1" applyBorder="1" applyAlignment="1">
      <alignment horizontal="left" vertical="center"/>
    </xf>
    <xf numFmtId="2" fontId="49" fillId="0" borderId="117" xfId="0" applyNumberFormat="1" applyFont="1" applyBorder="1" applyAlignment="1">
      <alignment horizontal="left" vertical="center" wrapText="1"/>
    </xf>
    <xf numFmtId="0" fontId="49" fillId="0" borderId="60" xfId="0" applyFont="1" applyBorder="1" applyAlignment="1">
      <alignment horizontal="left" vertical="center"/>
    </xf>
    <xf numFmtId="0" fontId="49" fillId="0" borderId="97" xfId="0" applyFont="1" applyBorder="1" applyAlignment="1">
      <alignment horizontal="left" vertical="center"/>
    </xf>
    <xf numFmtId="0" fontId="49" fillId="0" borderId="15" xfId="0" applyFont="1" applyBorder="1" applyAlignment="1">
      <alignment horizontal="left" vertical="center" wrapText="1"/>
    </xf>
    <xf numFmtId="0" fontId="49" fillId="0" borderId="162" xfId="0" applyFont="1" applyBorder="1" applyAlignment="1">
      <alignment horizontal="left" vertical="center" wrapText="1"/>
    </xf>
    <xf numFmtId="0" fontId="49" fillId="0" borderId="209" xfId="0" applyFont="1" applyBorder="1" applyAlignment="1">
      <alignment horizontal="left" vertical="center" wrapText="1"/>
    </xf>
    <xf numFmtId="0" fontId="49" fillId="0" borderId="75" xfId="0" applyFont="1" applyBorder="1" applyAlignment="1">
      <alignment horizontal="left" vertical="center"/>
    </xf>
    <xf numFmtId="2" fontId="53" fillId="0" borderId="0" xfId="0" applyNumberFormat="1" applyFont="1" applyAlignment="1">
      <alignment horizontal="center" vertical="center" wrapText="1"/>
    </xf>
    <xf numFmtId="166" fontId="53" fillId="0" borderId="0" xfId="0" applyNumberFormat="1" applyFont="1" applyAlignment="1">
      <alignment horizontal="center" vertical="center" wrapText="1"/>
    </xf>
    <xf numFmtId="166" fontId="49" fillId="0" borderId="60" xfId="0" applyNumberFormat="1" applyFont="1" applyBorder="1" applyAlignment="1">
      <alignment horizontal="center" vertical="center" wrapText="1"/>
    </xf>
    <xf numFmtId="166" fontId="49" fillId="0" borderId="6" xfId="0" applyNumberFormat="1" applyFont="1" applyBorder="1" applyAlignment="1">
      <alignment horizontal="center" vertical="center" wrapText="1"/>
    </xf>
    <xf numFmtId="164" fontId="53" fillId="0" borderId="6" xfId="0" applyNumberFormat="1" applyFont="1" applyBorder="1" applyAlignment="1">
      <alignment horizontal="center" vertical="center"/>
    </xf>
    <xf numFmtId="2" fontId="49" fillId="0" borderId="6" xfId="0" applyNumberFormat="1" applyFont="1" applyBorder="1" applyAlignment="1">
      <alignment horizontal="center" vertical="center" wrapText="1"/>
    </xf>
    <xf numFmtId="0" fontId="49" fillId="0" borderId="36" xfId="0" applyFont="1" applyBorder="1" applyAlignment="1">
      <alignment horizontal="center" vertical="center" wrapText="1"/>
    </xf>
    <xf numFmtId="164" fontId="49" fillId="0" borderId="36" xfId="0" applyNumberFormat="1" applyFont="1" applyBorder="1" applyAlignment="1">
      <alignment horizontal="center" vertical="center" wrapText="1"/>
    </xf>
    <xf numFmtId="0" fontId="53" fillId="0" borderId="0" xfId="0" applyFont="1" applyAlignment="1">
      <alignment horizontal="center" vertical="center" wrapText="1"/>
    </xf>
    <xf numFmtId="0" fontId="49" fillId="0" borderId="15" xfId="0" applyFont="1" applyBorder="1" applyAlignment="1">
      <alignment horizontal="center" vertical="center" wrapText="1"/>
    </xf>
    <xf numFmtId="166" fontId="49" fillId="0" borderId="132" xfId="0" applyNumberFormat="1" applyFont="1" applyBorder="1" applyAlignment="1">
      <alignment horizontal="center" vertical="center"/>
    </xf>
    <xf numFmtId="166" fontId="49" fillId="0" borderId="84" xfId="0" applyNumberFormat="1" applyFont="1" applyBorder="1" applyAlignment="1">
      <alignment horizontal="center" vertical="center"/>
    </xf>
    <xf numFmtId="166" fontId="49" fillId="0" borderId="82" xfId="0" applyNumberFormat="1" applyFont="1" applyBorder="1" applyAlignment="1">
      <alignment horizontal="center" vertical="center"/>
    </xf>
    <xf numFmtId="165" fontId="53" fillId="0" borderId="0" xfId="0" applyNumberFormat="1" applyFont="1" applyAlignment="1">
      <alignment horizontal="center" vertical="center" wrapText="1"/>
    </xf>
    <xf numFmtId="2" fontId="49" fillId="0" borderId="117" xfId="0" applyNumberFormat="1" applyFont="1" applyBorder="1" applyAlignment="1">
      <alignment horizontal="center" vertical="center" wrapText="1"/>
    </xf>
    <xf numFmtId="2" fontId="49" fillId="0" borderId="84" xfId="0" applyNumberFormat="1" applyFont="1" applyBorder="1" applyAlignment="1">
      <alignment horizontal="center" vertical="center" wrapText="1"/>
    </xf>
    <xf numFmtId="2" fontId="49" fillId="0" borderId="82" xfId="0" applyNumberFormat="1" applyFont="1" applyBorder="1" applyAlignment="1">
      <alignment horizontal="center" vertical="center" wrapText="1"/>
    </xf>
    <xf numFmtId="0" fontId="49" fillId="0" borderId="60" xfId="0" applyFont="1" applyBorder="1" applyAlignment="1">
      <alignment horizontal="center" vertical="center"/>
    </xf>
    <xf numFmtId="0" fontId="49" fillId="0" borderId="90" xfId="0" applyFont="1" applyBorder="1" applyAlignment="1">
      <alignment horizontal="center" vertical="center"/>
    </xf>
    <xf numFmtId="0" fontId="49" fillId="0" borderId="84" xfId="0" applyFont="1" applyBorder="1" applyAlignment="1">
      <alignment horizontal="center" vertical="center"/>
    </xf>
    <xf numFmtId="165" fontId="49" fillId="0" borderId="209" xfId="0" applyNumberFormat="1" applyFont="1" applyBorder="1" applyAlignment="1">
      <alignment horizontal="center" vertical="center"/>
    </xf>
    <xf numFmtId="0" fontId="49" fillId="0" borderId="100" xfId="0" applyFont="1" applyBorder="1" applyAlignment="1">
      <alignment horizontal="center" vertical="center" wrapText="1"/>
    </xf>
    <xf numFmtId="0" fontId="49" fillId="0" borderId="132" xfId="0" applyFont="1" applyBorder="1" applyAlignment="1">
      <alignment horizontal="center" vertical="center" wrapText="1"/>
    </xf>
    <xf numFmtId="0" fontId="49" fillId="0" borderId="108" xfId="0" applyFont="1" applyBorder="1" applyAlignment="1">
      <alignment horizontal="center" vertical="center" wrapText="1"/>
    </xf>
    <xf numFmtId="0" fontId="49" fillId="0" borderId="162" xfId="0" applyFont="1" applyBorder="1" applyAlignment="1">
      <alignment horizontal="center" vertical="center" wrapText="1"/>
    </xf>
    <xf numFmtId="0" fontId="53" fillId="0" borderId="209" xfId="0" applyFont="1" applyBorder="1" applyAlignment="1">
      <alignment horizontal="center" vertical="center"/>
    </xf>
    <xf numFmtId="0" fontId="49" fillId="0" borderId="75" xfId="0" applyFont="1" applyBorder="1" applyAlignment="1">
      <alignment horizontal="center" vertical="center"/>
    </xf>
    <xf numFmtId="0" fontId="49" fillId="0" borderId="60" xfId="0" applyFont="1" applyBorder="1" applyAlignment="1">
      <alignment horizontal="center" vertical="center" wrapText="1"/>
    </xf>
    <xf numFmtId="0" fontId="49" fillId="0" borderId="6" xfId="0" applyFont="1" applyBorder="1" applyAlignment="1">
      <alignment horizontal="center" vertical="center" wrapText="1"/>
    </xf>
    <xf numFmtId="0" fontId="49" fillId="0" borderId="117" xfId="0" applyFont="1" applyBorder="1" applyAlignment="1">
      <alignment horizontal="center" vertical="center" wrapText="1"/>
    </xf>
    <xf numFmtId="0" fontId="49" fillId="0" borderId="120" xfId="0" applyFont="1" applyBorder="1" applyAlignment="1">
      <alignment horizontal="center" vertical="center" wrapText="1"/>
    </xf>
    <xf numFmtId="0" fontId="49" fillId="0" borderId="97" xfId="0" applyFont="1" applyBorder="1" applyAlignment="1">
      <alignment horizontal="center" vertical="center"/>
    </xf>
    <xf numFmtId="0" fontId="49" fillId="0" borderId="49" xfId="0" applyFont="1" applyBorder="1" applyAlignment="1">
      <alignment horizontal="center" vertical="center" wrapText="1"/>
    </xf>
    <xf numFmtId="0" fontId="49" fillId="0" borderId="210" xfId="0" quotePrefix="1" applyFont="1" applyBorder="1" applyAlignment="1">
      <alignment horizontal="center" vertical="center" wrapText="1"/>
    </xf>
    <xf numFmtId="0" fontId="53" fillId="0" borderId="6" xfId="0" applyFont="1" applyBorder="1" applyAlignment="1">
      <alignment horizontal="center" vertical="center"/>
    </xf>
    <xf numFmtId="0" fontId="49" fillId="0" borderId="132" xfId="0" applyFont="1" applyBorder="1" applyAlignment="1">
      <alignment horizontal="center" vertical="center"/>
    </xf>
    <xf numFmtId="0" fontId="49" fillId="0" borderId="82" xfId="0" applyFont="1" applyBorder="1" applyAlignment="1">
      <alignment horizontal="center" vertical="center"/>
    </xf>
    <xf numFmtId="0" fontId="49" fillId="0" borderId="6" xfId="0" quotePrefix="1" applyFont="1" applyBorder="1" applyAlignment="1">
      <alignment horizontal="center" vertical="center" wrapText="1"/>
    </xf>
    <xf numFmtId="0" fontId="49" fillId="0" borderId="36" xfId="0" quotePrefix="1" applyFont="1" applyBorder="1" applyAlignment="1">
      <alignment horizontal="center" vertical="center" wrapText="1"/>
    </xf>
    <xf numFmtId="0" fontId="49" fillId="0" borderId="90" xfId="0" quotePrefix="1" applyFont="1" applyBorder="1" applyAlignment="1">
      <alignment horizontal="center" vertical="center" wrapText="1"/>
    </xf>
    <xf numFmtId="0" fontId="0" fillId="0" borderId="127" xfId="0" applyBorder="1" applyAlignment="1">
      <alignment horizontal="center"/>
    </xf>
    <xf numFmtId="0" fontId="49" fillId="0" borderId="108" xfId="0" quotePrefix="1" applyFont="1" applyBorder="1" applyAlignment="1">
      <alignment horizontal="center" vertical="center" wrapText="1"/>
    </xf>
    <xf numFmtId="0" fontId="49" fillId="0" borderId="120" xfId="0" quotePrefix="1" applyFont="1" applyBorder="1" applyAlignment="1">
      <alignment horizontal="center" vertical="center" wrapText="1"/>
    </xf>
    <xf numFmtId="0" fontId="49" fillId="0" borderId="71" xfId="0" applyFont="1" applyBorder="1" applyAlignment="1">
      <alignment horizontal="center" vertical="center"/>
    </xf>
    <xf numFmtId="0" fontId="49" fillId="0" borderId="60" xfId="0" applyFont="1" applyBorder="1" applyAlignment="1">
      <alignment horizontal="left" vertical="center" wrapText="1"/>
    </xf>
    <xf numFmtId="0" fontId="49" fillId="0" borderId="6" xfId="0" applyFont="1" applyBorder="1" applyAlignment="1">
      <alignment horizontal="left" vertical="center" wrapText="1"/>
    </xf>
    <xf numFmtId="0" fontId="53" fillId="0" borderId="6" xfId="0" applyFont="1" applyBorder="1" applyAlignment="1">
      <alignment horizontal="left" vertical="center"/>
    </xf>
    <xf numFmtId="0" fontId="49" fillId="0" borderId="82" xfId="0" applyFont="1" applyBorder="1" applyAlignment="1">
      <alignment horizontal="left" vertical="center"/>
    </xf>
    <xf numFmtId="0" fontId="49" fillId="0" borderId="117" xfId="0" applyFont="1" applyBorder="1" applyAlignment="1">
      <alignment horizontal="left" vertical="center" wrapText="1"/>
    </xf>
    <xf numFmtId="0" fontId="49" fillId="0" borderId="61" xfId="0" applyFont="1" applyBorder="1" applyAlignment="1">
      <alignment horizontal="left" vertical="center" wrapText="1"/>
    </xf>
    <xf numFmtId="0" fontId="49" fillId="0" borderId="8" xfId="0" applyFont="1" applyBorder="1" applyAlignment="1">
      <alignment horizontal="left" vertical="center" wrapText="1"/>
    </xf>
    <xf numFmtId="0" fontId="53" fillId="0" borderId="8" xfId="0" applyFont="1" applyBorder="1" applyAlignment="1">
      <alignment horizontal="left" vertical="center"/>
    </xf>
    <xf numFmtId="0" fontId="49" fillId="0" borderId="11" xfId="0" applyFont="1" applyBorder="1" applyAlignment="1">
      <alignment horizontal="left" vertical="center"/>
    </xf>
    <xf numFmtId="0" fontId="57" fillId="0" borderId="39" xfId="0" applyFont="1" applyBorder="1" applyAlignment="1">
      <alignment horizontal="left" vertical="center"/>
    </xf>
    <xf numFmtId="0" fontId="49" fillId="0" borderId="39" xfId="0" applyFont="1" applyBorder="1" applyAlignment="1">
      <alignment horizontal="left" vertical="center" wrapText="1"/>
    </xf>
    <xf numFmtId="0" fontId="49" fillId="0" borderId="38" xfId="0" applyFont="1" applyBorder="1" applyAlignment="1">
      <alignment horizontal="left" vertical="center" wrapText="1"/>
    </xf>
    <xf numFmtId="0" fontId="49" fillId="0" borderId="105" xfId="0" applyFont="1" applyBorder="1" applyAlignment="1">
      <alignment horizontal="left" vertical="center"/>
    </xf>
    <xf numFmtId="0" fontId="49" fillId="0" borderId="118" xfId="0" applyFont="1" applyBorder="1" applyAlignment="1">
      <alignment horizontal="left" vertical="center" wrapText="1"/>
    </xf>
    <xf numFmtId="0" fontId="49" fillId="0" borderId="122" xfId="0" applyFont="1" applyBorder="1" applyAlignment="1">
      <alignment horizontal="left" vertical="center" wrapText="1"/>
    </xf>
    <xf numFmtId="0" fontId="49" fillId="0" borderId="124" xfId="0" applyFont="1" applyBorder="1" applyAlignment="1">
      <alignment horizontal="left" vertical="center" wrapText="1"/>
    </xf>
    <xf numFmtId="0" fontId="49" fillId="0" borderId="61" xfId="0" applyFont="1" applyBorder="1" applyAlignment="1">
      <alignment horizontal="left" vertical="center"/>
    </xf>
    <xf numFmtId="0" fontId="49" fillId="0" borderId="101" xfId="0" applyFont="1" applyBorder="1" applyAlignment="1">
      <alignment horizontal="left" vertical="center" wrapText="1"/>
    </xf>
    <xf numFmtId="0" fontId="49" fillId="0" borderId="92" xfId="0" applyFont="1" applyBorder="1" applyAlignment="1">
      <alignment horizontal="left" vertical="center" wrapText="1"/>
    </xf>
    <xf numFmtId="0" fontId="49" fillId="0" borderId="163" xfId="0" applyFont="1" applyBorder="1" applyAlignment="1">
      <alignment horizontal="left" vertical="center" wrapText="1"/>
    </xf>
    <xf numFmtId="0" fontId="53" fillId="0" borderId="160" xfId="0" applyFont="1" applyBorder="1" applyAlignment="1">
      <alignment horizontal="center" vertical="center"/>
    </xf>
    <xf numFmtId="0" fontId="49" fillId="0" borderId="76" xfId="0" applyFont="1" applyBorder="1" applyAlignment="1">
      <alignment horizontal="left" vertical="center"/>
    </xf>
    <xf numFmtId="165" fontId="53" fillId="0" borderId="0" xfId="0" applyNumberFormat="1" applyFont="1" applyAlignment="1">
      <alignment horizontal="center" vertical="center"/>
    </xf>
    <xf numFmtId="165" fontId="76" fillId="0" borderId="0" xfId="0" applyNumberFormat="1" applyFont="1" applyAlignment="1">
      <alignment horizontal="center" vertical="center"/>
    </xf>
    <xf numFmtId="0" fontId="57" fillId="0" borderId="0" xfId="0" applyFont="1" applyAlignment="1">
      <alignment horizontal="center" vertical="center"/>
    </xf>
    <xf numFmtId="0" fontId="53" fillId="0" borderId="210" xfId="0" applyFont="1" applyBorder="1" applyAlignment="1">
      <alignment horizontal="center" vertical="center" wrapText="1"/>
    </xf>
    <xf numFmtId="165" fontId="53" fillId="0" borderId="210" xfId="0" applyNumberFormat="1" applyFont="1" applyBorder="1" applyAlignment="1">
      <alignment horizontal="center" vertical="center"/>
    </xf>
    <xf numFmtId="0" fontId="56" fillId="0" borderId="210" xfId="0" applyFont="1" applyBorder="1" applyAlignment="1">
      <alignment horizontal="center" vertical="center"/>
    </xf>
    <xf numFmtId="165" fontId="56" fillId="0" borderId="210" xfId="0" applyNumberFormat="1" applyFont="1" applyBorder="1" applyAlignment="1">
      <alignment horizontal="center" vertical="center"/>
    </xf>
    <xf numFmtId="165" fontId="56" fillId="0" borderId="0" xfId="0" applyNumberFormat="1" applyFont="1" applyAlignment="1">
      <alignment horizontal="center" vertical="center"/>
    </xf>
    <xf numFmtId="0" fontId="56" fillId="0" borderId="0" xfId="0" applyFont="1" applyAlignment="1">
      <alignment horizontal="left" vertical="center" wrapText="1"/>
    </xf>
    <xf numFmtId="8" fontId="91" fillId="0" borderId="210" xfId="0" applyNumberFormat="1" applyFont="1" applyBorder="1" applyAlignment="1">
      <alignment horizontal="left" vertical="center" wrapText="1"/>
    </xf>
    <xf numFmtId="0" fontId="63" fillId="7" borderId="7" xfId="0" applyFont="1" applyFill="1" applyBorder="1" applyAlignment="1">
      <alignment horizontal="left" vertical="center"/>
    </xf>
    <xf numFmtId="0" fontId="49" fillId="9" borderId="227" xfId="0" applyFont="1" applyFill="1" applyBorder="1" applyAlignment="1">
      <alignment horizontal="left" vertical="center" wrapText="1"/>
    </xf>
    <xf numFmtId="2" fontId="49" fillId="9" borderId="228" xfId="0" applyNumberFormat="1" applyFont="1" applyFill="1" applyBorder="1" applyAlignment="1">
      <alignment horizontal="left" vertical="center" wrapText="1"/>
    </xf>
    <xf numFmtId="2" fontId="49" fillId="9" borderId="228" xfId="0" applyNumberFormat="1" applyFont="1" applyFill="1" applyBorder="1" applyAlignment="1">
      <alignment horizontal="center" vertical="center" wrapText="1"/>
    </xf>
    <xf numFmtId="0" fontId="49" fillId="9" borderId="228" xfId="0" applyFont="1" applyFill="1" applyBorder="1" applyAlignment="1">
      <alignment horizontal="center" vertical="center" wrapText="1"/>
    </xf>
    <xf numFmtId="0" fontId="49" fillId="9" borderId="228" xfId="0" applyFont="1" applyFill="1" applyBorder="1" applyAlignment="1">
      <alignment horizontal="left" vertical="center" wrapText="1"/>
    </xf>
    <xf numFmtId="0" fontId="49" fillId="9" borderId="229" xfId="0" applyFont="1" applyFill="1" applyBorder="1" applyAlignment="1">
      <alignment horizontal="left" vertical="center" wrapText="1"/>
    </xf>
    <xf numFmtId="0" fontId="49" fillId="0" borderId="81" xfId="0" applyFont="1" applyBorder="1" applyAlignment="1">
      <alignment horizontal="center" vertical="center" wrapText="1"/>
    </xf>
    <xf numFmtId="0" fontId="49" fillId="0" borderId="225" xfId="0" applyFont="1" applyBorder="1" applyAlignment="1">
      <alignment horizontal="left" vertical="center" wrapText="1"/>
    </xf>
    <xf numFmtId="0" fontId="91" fillId="0" borderId="224" xfId="0" applyFont="1" applyBorder="1" applyAlignment="1">
      <alignment horizontal="left" vertical="center" wrapText="1"/>
    </xf>
    <xf numFmtId="164" fontId="0" fillId="0" borderId="224" xfId="0" applyNumberFormat="1" applyBorder="1" applyAlignment="1">
      <alignment horizontal="left" vertical="center"/>
    </xf>
    <xf numFmtId="0" fontId="0" fillId="0" borderId="226" xfId="0" applyBorder="1" applyAlignment="1">
      <alignment horizontal="left" vertical="center"/>
    </xf>
    <xf numFmtId="2" fontId="49" fillId="11" borderId="224" xfId="0" applyNumberFormat="1" applyFont="1" applyFill="1" applyBorder="1" applyAlignment="1">
      <alignment horizontal="center" vertical="center" wrapText="1"/>
    </xf>
    <xf numFmtId="0" fontId="49" fillId="11" borderId="224" xfId="0" applyFont="1" applyFill="1" applyBorder="1" applyAlignment="1">
      <alignment horizontal="center" vertical="center" wrapText="1"/>
    </xf>
    <xf numFmtId="0" fontId="49" fillId="11" borderId="224" xfId="0" applyFont="1" applyFill="1" applyBorder="1" applyAlignment="1">
      <alignment horizontal="center" vertical="center"/>
    </xf>
    <xf numFmtId="0" fontId="49" fillId="11" borderId="226" xfId="0" applyFont="1" applyFill="1" applyBorder="1" applyAlignment="1">
      <alignment horizontal="left" vertical="center" wrapText="1"/>
    </xf>
    <xf numFmtId="0" fontId="49" fillId="0" borderId="227" xfId="0" applyFont="1" applyBorder="1" applyAlignment="1">
      <alignment horizontal="left" vertical="center"/>
    </xf>
    <xf numFmtId="0" fontId="49" fillId="0" borderId="228" xfId="0" applyFont="1" applyBorder="1" applyAlignment="1">
      <alignment horizontal="center" vertical="center"/>
    </xf>
    <xf numFmtId="0" fontId="49" fillId="0" borderId="229" xfId="0" applyFont="1" applyBorder="1" applyAlignment="1">
      <alignment horizontal="left" vertical="center"/>
    </xf>
    <xf numFmtId="164" fontId="46" fillId="0" borderId="224" xfId="0" applyNumberFormat="1" applyFont="1" applyBorder="1" applyAlignment="1">
      <alignment horizontal="left" vertical="center"/>
    </xf>
    <xf numFmtId="0" fontId="46" fillId="0" borderId="227" xfId="0" applyFont="1" applyBorder="1" applyAlignment="1">
      <alignment horizontal="left" vertical="center"/>
    </xf>
    <xf numFmtId="164" fontId="46" fillId="0" borderId="228" xfId="0" applyNumberFormat="1" applyFont="1" applyBorder="1" applyAlignment="1">
      <alignment horizontal="left" vertical="center"/>
    </xf>
    <xf numFmtId="0" fontId="46" fillId="0" borderId="228" xfId="0" applyFont="1" applyBorder="1" applyAlignment="1">
      <alignment horizontal="left" vertical="center"/>
    </xf>
    <xf numFmtId="0" fontId="46" fillId="0" borderId="229" xfId="0" applyFont="1" applyBorder="1" applyAlignment="1">
      <alignment horizontal="left" vertical="center"/>
    </xf>
    <xf numFmtId="164" fontId="49" fillId="0" borderId="224" xfId="0" quotePrefix="1" applyNumberFormat="1" applyFont="1" applyBorder="1" applyAlignment="1">
      <alignment horizontal="left" vertical="center"/>
    </xf>
    <xf numFmtId="0" fontId="2" fillId="0" borderId="226" xfId="0" applyFont="1" applyBorder="1" applyAlignment="1">
      <alignment horizontal="left" vertical="center"/>
    </xf>
    <xf numFmtId="0" fontId="49" fillId="0" borderId="132" xfId="0" applyFont="1" applyBorder="1" applyAlignment="1">
      <alignment horizontal="left" vertical="center"/>
    </xf>
    <xf numFmtId="0" fontId="49" fillId="0" borderId="122" xfId="0" applyFont="1" applyBorder="1" applyAlignment="1">
      <alignment horizontal="left" vertical="center"/>
    </xf>
    <xf numFmtId="0" fontId="49" fillId="0" borderId="120" xfId="0" applyFont="1" applyBorder="1" applyAlignment="1">
      <alignment horizontal="left" vertical="center"/>
    </xf>
    <xf numFmtId="0" fontId="49" fillId="0" borderId="124" xfId="0" applyFont="1" applyBorder="1" applyAlignment="1">
      <alignment horizontal="left" vertical="center"/>
    </xf>
    <xf numFmtId="0" fontId="57" fillId="7" borderId="130" xfId="0" applyFont="1" applyFill="1" applyBorder="1" applyAlignment="1">
      <alignment horizontal="left" vertical="center" wrapText="1"/>
    </xf>
    <xf numFmtId="0" fontId="57" fillId="7" borderId="131" xfId="0" applyFont="1" applyFill="1" applyBorder="1" applyAlignment="1">
      <alignment horizontal="left" vertical="center" wrapText="1"/>
    </xf>
    <xf numFmtId="0" fontId="49" fillId="0" borderId="15" xfId="0" applyFont="1" applyBorder="1" applyAlignment="1">
      <alignment horizontal="left" vertical="center"/>
    </xf>
    <xf numFmtId="0" fontId="49" fillId="0" borderId="38" xfId="0" applyFont="1" applyBorder="1" applyAlignment="1">
      <alignment horizontal="left" vertical="center"/>
    </xf>
    <xf numFmtId="0" fontId="42" fillId="3" borderId="20" xfId="0" applyFont="1" applyFill="1" applyBorder="1" applyAlignment="1">
      <alignment horizontal="center" vertical="top" wrapText="1"/>
    </xf>
    <xf numFmtId="0" fontId="42" fillId="3" borderId="0" xfId="0" applyFont="1" applyFill="1" applyAlignment="1">
      <alignment horizontal="center" vertical="top" wrapText="1"/>
    </xf>
    <xf numFmtId="0" fontId="42" fillId="3" borderId="21" xfId="0" applyFont="1" applyFill="1" applyBorder="1" applyAlignment="1">
      <alignment horizontal="center" vertical="top" wrapText="1"/>
    </xf>
    <xf numFmtId="0" fontId="42" fillId="3" borderId="22" xfId="0" applyFont="1" applyFill="1" applyBorder="1" applyAlignment="1">
      <alignment wrapText="1"/>
    </xf>
    <xf numFmtId="0" fontId="42" fillId="3" borderId="23" xfId="0" applyFont="1" applyFill="1" applyBorder="1" applyAlignment="1">
      <alignment wrapText="1"/>
    </xf>
    <xf numFmtId="0" fontId="42" fillId="3" borderId="24" xfId="0" applyFont="1" applyFill="1" applyBorder="1" applyAlignment="1">
      <alignment wrapText="1"/>
    </xf>
    <xf numFmtId="0" fontId="0" fillId="2" borderId="0" xfId="0" applyFill="1" applyAlignment="1">
      <alignment wrapText="1"/>
    </xf>
    <xf numFmtId="0" fontId="46" fillId="8" borderId="84" xfId="0" quotePrefix="1" applyNumberFormat="1" applyFont="1" applyFill="1" applyBorder="1" applyAlignment="1">
      <alignment horizontal="center" vertical="center"/>
    </xf>
    <xf numFmtId="0" fontId="46" fillId="8" borderId="108" xfId="0" quotePrefix="1" applyNumberFormat="1" applyFont="1" applyFill="1" applyBorder="1" applyAlignment="1">
      <alignment horizontal="center" vertical="center"/>
    </xf>
    <xf numFmtId="0" fontId="46" fillId="8" borderId="108" xfId="0" applyNumberFormat="1" applyFont="1" applyFill="1" applyBorder="1" applyAlignment="1">
      <alignment horizontal="center" vertical="center"/>
    </xf>
    <xf numFmtId="0" fontId="46" fillId="21" borderId="108" xfId="0" applyNumberFormat="1" applyFont="1" applyFill="1" applyBorder="1" applyAlignment="1">
      <alignment horizontal="center" vertical="center"/>
    </xf>
    <xf numFmtId="0" fontId="46" fillId="11" borderId="108" xfId="0" applyNumberFormat="1" applyFont="1" applyFill="1" applyBorder="1" applyAlignment="1">
      <alignment horizontal="center" vertical="center"/>
    </xf>
    <xf numFmtId="0" fontId="46" fillId="11" borderId="145" xfId="0" applyNumberFormat="1" applyFont="1" applyFill="1" applyBorder="1" applyAlignment="1">
      <alignment horizontal="center" vertical="center"/>
    </xf>
    <xf numFmtId="0" fontId="46" fillId="11" borderId="154" xfId="0" applyNumberFormat="1" applyFont="1" applyFill="1" applyBorder="1" applyAlignment="1">
      <alignment horizontal="center" vertical="center"/>
    </xf>
    <xf numFmtId="0" fontId="46" fillId="11" borderId="154" xfId="0" quotePrefix="1" applyNumberFormat="1" applyFont="1" applyFill="1" applyBorder="1" applyAlignment="1">
      <alignment horizontal="center" vertical="center"/>
    </xf>
    <xf numFmtId="0" fontId="46" fillId="11" borderId="210" xfId="0" applyNumberFormat="1" applyFont="1" applyFill="1" applyBorder="1" applyAlignment="1">
      <alignment horizontal="center" vertical="center"/>
    </xf>
    <xf numFmtId="0" fontId="46" fillId="10" borderId="210" xfId="0" quotePrefix="1" applyNumberFormat="1" applyFont="1" applyFill="1" applyBorder="1" applyAlignment="1">
      <alignment horizontal="center" vertical="center"/>
    </xf>
    <xf numFmtId="0" fontId="46" fillId="10" borderId="108" xfId="0" quotePrefix="1" applyNumberFormat="1" applyFont="1" applyFill="1" applyBorder="1" applyAlignment="1">
      <alignment horizontal="center" vertical="center"/>
    </xf>
    <xf numFmtId="0" fontId="46" fillId="22" borderId="108" xfId="0" applyNumberFormat="1" applyFont="1" applyFill="1" applyBorder="1" applyAlignment="1">
      <alignment horizontal="center" vertical="center"/>
    </xf>
    <xf numFmtId="0" fontId="46" fillId="20" borderId="108" xfId="0" quotePrefix="1" applyNumberFormat="1" applyFont="1" applyFill="1" applyBorder="1" applyAlignment="1">
      <alignment horizontal="center" vertical="center"/>
    </xf>
    <xf numFmtId="0" fontId="46" fillId="20" borderId="108" xfId="0" applyNumberFormat="1" applyFont="1" applyFill="1" applyBorder="1" applyAlignment="1">
      <alignment horizontal="center" vertical="center"/>
    </xf>
    <xf numFmtId="0" fontId="46" fillId="12" borderId="108" xfId="0" quotePrefix="1" applyNumberFormat="1" applyFont="1" applyFill="1" applyBorder="1" applyAlignment="1">
      <alignment horizontal="center" vertical="center"/>
    </xf>
    <xf numFmtId="0" fontId="46" fillId="12" borderId="108" xfId="0" applyNumberFormat="1" applyFont="1" applyFill="1" applyBorder="1" applyAlignment="1">
      <alignment horizontal="center" vertical="center"/>
    </xf>
    <xf numFmtId="0" fontId="46" fillId="18" borderId="108" xfId="0" applyNumberFormat="1" applyFont="1" applyFill="1" applyBorder="1" applyAlignment="1">
      <alignment horizontal="center" vertical="center"/>
    </xf>
    <xf numFmtId="0" fontId="46" fillId="42" borderId="210" xfId="0" applyNumberFormat="1" applyFont="1" applyFill="1" applyBorder="1" applyAlignment="1">
      <alignment horizontal="center" vertical="center"/>
    </xf>
    <xf numFmtId="0" fontId="46" fillId="9" borderId="108" xfId="0" applyNumberFormat="1" applyFont="1" applyFill="1" applyBorder="1" applyAlignment="1">
      <alignment horizontal="center" vertical="center"/>
    </xf>
    <xf numFmtId="0" fontId="46" fillId="9" borderId="210" xfId="0" applyNumberFormat="1" applyFont="1" applyFill="1" applyBorder="1" applyAlignment="1">
      <alignment horizontal="center" vertical="center"/>
    </xf>
    <xf numFmtId="0" fontId="46" fillId="9" borderId="108" xfId="0" quotePrefix="1" applyNumberFormat="1" applyFont="1" applyFill="1" applyBorder="1" applyAlignment="1">
      <alignment horizontal="center" vertical="center"/>
    </xf>
    <xf numFmtId="0" fontId="46" fillId="7" borderId="108" xfId="0" applyNumberFormat="1" applyFont="1" applyFill="1" applyBorder="1" applyAlignment="1">
      <alignment horizontal="center" vertical="center"/>
    </xf>
    <xf numFmtId="0" fontId="46" fillId="16" borderId="108" xfId="0" quotePrefix="1" applyNumberFormat="1" applyFont="1" applyFill="1" applyBorder="1" applyAlignment="1">
      <alignment horizontal="center" vertical="center"/>
    </xf>
    <xf numFmtId="0" fontId="46" fillId="16" borderId="108" xfId="0" applyNumberFormat="1" applyFont="1" applyFill="1" applyBorder="1" applyAlignment="1">
      <alignment horizontal="center" vertical="center"/>
    </xf>
    <xf numFmtId="0" fontId="46" fillId="9" borderId="145" xfId="0" applyNumberFormat="1" applyFont="1" applyFill="1" applyBorder="1" applyAlignment="1">
      <alignment horizontal="center" vertical="center"/>
    </xf>
    <xf numFmtId="0" fontId="46" fillId="15" borderId="108" xfId="0" applyNumberFormat="1" applyFont="1" applyFill="1" applyBorder="1" applyAlignment="1">
      <alignment horizontal="center" vertical="center"/>
    </xf>
    <xf numFmtId="0" fontId="46" fillId="15" borderId="145" xfId="0" applyNumberFormat="1" applyFont="1" applyFill="1" applyBorder="1" applyAlignment="1">
      <alignment horizontal="center" vertical="center"/>
    </xf>
    <xf numFmtId="0" fontId="0" fillId="45" borderId="210" xfId="0" applyNumberFormat="1" applyFill="1" applyBorder="1" applyAlignment="1">
      <alignment horizontal="center" vertical="center"/>
    </xf>
    <xf numFmtId="0" fontId="57" fillId="28" borderId="154" xfId="0" applyNumberFormat="1" applyFont="1" applyFill="1" applyBorder="1" applyAlignment="1">
      <alignment horizontal="center" vertical="center"/>
    </xf>
    <xf numFmtId="0" fontId="46" fillId="4" borderId="108" xfId="0" applyNumberFormat="1" applyFont="1" applyFill="1" applyBorder="1" applyAlignment="1">
      <alignment horizontal="center" vertical="center"/>
    </xf>
    <xf numFmtId="0" fontId="46" fillId="4" borderId="154" xfId="0" applyNumberFormat="1" applyFont="1" applyFill="1" applyBorder="1" applyAlignment="1">
      <alignment horizontal="center" vertical="center"/>
    </xf>
    <xf numFmtId="0" fontId="46" fillId="18" borderId="154" xfId="0" applyNumberFormat="1" applyFont="1" applyFill="1" applyBorder="1" applyAlignment="1">
      <alignment horizontal="center" vertical="center"/>
    </xf>
    <xf numFmtId="0" fontId="46" fillId="18" borderId="119" xfId="0" applyNumberFormat="1" applyFont="1" applyFill="1" applyBorder="1" applyAlignment="1">
      <alignment horizontal="center" vertical="center"/>
    </xf>
    <xf numFmtId="0" fontId="46" fillId="18" borderId="209" xfId="0" applyNumberFormat="1" applyFont="1" applyFill="1" applyBorder="1" applyAlignment="1">
      <alignment horizontal="center" vertical="center"/>
    </xf>
    <xf numFmtId="0" fontId="46" fillId="8" borderId="84" xfId="0" applyNumberFormat="1" applyFont="1" applyFill="1" applyBorder="1" applyAlignment="1">
      <alignment horizontal="center" vertical="center"/>
    </xf>
    <xf numFmtId="0" fontId="46" fillId="10" borderId="210" xfId="0" applyNumberFormat="1" applyFont="1" applyFill="1" applyBorder="1" applyAlignment="1">
      <alignment horizontal="center" vertical="center"/>
    </xf>
    <xf numFmtId="0" fontId="46" fillId="10" borderId="108" xfId="0" applyNumberFormat="1" applyFont="1" applyFill="1" applyBorder="1" applyAlignment="1">
      <alignment horizontal="center" vertical="center"/>
    </xf>
    <xf numFmtId="0" fontId="46" fillId="21" borderId="108" xfId="0" quotePrefix="1" applyNumberFormat="1" applyFont="1" applyFill="1" applyBorder="1" applyAlignment="1">
      <alignment horizontal="center" vertical="center"/>
    </xf>
    <xf numFmtId="0" fontId="46" fillId="8" borderId="15" xfId="0" applyNumberFormat="1" applyFont="1" applyFill="1" applyBorder="1" applyAlignment="1">
      <alignment horizontal="center" vertical="center"/>
    </xf>
    <xf numFmtId="0" fontId="46" fillId="8" borderId="224" xfId="0" applyNumberFormat="1" applyFont="1" applyFill="1" applyBorder="1" applyAlignment="1">
      <alignment horizontal="center" vertical="center"/>
    </xf>
    <xf numFmtId="0" fontId="46" fillId="11" borderId="224" xfId="0" applyNumberFormat="1" applyFont="1" applyFill="1" applyBorder="1" applyAlignment="1">
      <alignment horizontal="center" vertical="center"/>
    </xf>
    <xf numFmtId="0" fontId="46" fillId="9" borderId="224" xfId="0" applyNumberFormat="1" applyFont="1" applyFill="1" applyBorder="1" applyAlignment="1">
      <alignment horizontal="center" vertical="center"/>
    </xf>
    <xf numFmtId="0" fontId="46" fillId="7" borderId="224" xfId="0" applyNumberFormat="1" applyFont="1" applyFill="1" applyBorder="1" applyAlignment="1">
      <alignment horizontal="center" vertical="center"/>
    </xf>
    <xf numFmtId="0" fontId="46" fillId="16" borderId="224" xfId="0" applyNumberFormat="1" applyFont="1" applyFill="1" applyBorder="1" applyAlignment="1">
      <alignment horizontal="center" vertical="center"/>
    </xf>
    <xf numFmtId="0" fontId="46" fillId="15" borderId="224" xfId="0" applyNumberFormat="1" applyFont="1" applyFill="1" applyBorder="1" applyAlignment="1">
      <alignment horizontal="center" vertical="center"/>
    </xf>
    <xf numFmtId="0" fontId="0" fillId="45" borderId="224" xfId="0" applyNumberFormat="1" applyFill="1" applyBorder="1" applyAlignment="1">
      <alignment horizontal="center" vertical="center"/>
    </xf>
    <xf numFmtId="0" fontId="57" fillId="28" borderId="224" xfId="0" applyNumberFormat="1" applyFont="1" applyFill="1" applyBorder="1" applyAlignment="1">
      <alignment horizontal="center" vertical="center"/>
    </xf>
    <xf numFmtId="0" fontId="46" fillId="4" borderId="224" xfId="0" applyNumberFormat="1" applyFont="1" applyFill="1" applyBorder="1" applyAlignment="1">
      <alignment horizontal="center" vertical="center"/>
    </xf>
    <xf numFmtId="0" fontId="46" fillId="18" borderId="224" xfId="0" applyNumberFormat="1" applyFont="1" applyFill="1" applyBorder="1" applyAlignment="1">
      <alignment horizontal="center" vertical="center"/>
    </xf>
    <xf numFmtId="0" fontId="46" fillId="18" borderId="228" xfId="0" applyNumberFormat="1" applyFont="1" applyFill="1" applyBorder="1" applyAlignment="1">
      <alignment horizontal="center" vertical="center"/>
    </xf>
    <xf numFmtId="0" fontId="0" fillId="45" borderId="210" xfId="0" quotePrefix="1" applyNumberFormat="1" applyFill="1" applyBorder="1" applyAlignment="1">
      <alignment horizontal="center" vertical="center"/>
    </xf>
    <xf numFmtId="0" fontId="46" fillId="11" borderId="145" xfId="0" quotePrefix="1" applyNumberFormat="1" applyFont="1" applyFill="1" applyBorder="1" applyAlignment="1">
      <alignment horizontal="center" vertical="center"/>
    </xf>
    <xf numFmtId="0" fontId="46" fillId="11" borderId="108" xfId="0" quotePrefix="1" applyNumberFormat="1" applyFont="1" applyFill="1" applyBorder="1" applyAlignment="1">
      <alignment horizontal="center" vertical="center"/>
    </xf>
    <xf numFmtId="0" fontId="46" fillId="11" borderId="210" xfId="0" quotePrefix="1" applyNumberFormat="1" applyFont="1" applyFill="1" applyBorder="1" applyAlignment="1">
      <alignment horizontal="center" vertical="center"/>
    </xf>
    <xf numFmtId="0" fontId="46" fillId="9" borderId="194" xfId="0" quotePrefix="1" applyNumberFormat="1" applyFont="1" applyFill="1" applyBorder="1" applyAlignment="1">
      <alignment horizontal="center" vertical="center"/>
    </xf>
    <xf numFmtId="0" fontId="46" fillId="7" borderId="108" xfId="0" quotePrefix="1" applyNumberFormat="1" applyFont="1" applyFill="1" applyBorder="1" applyAlignment="1">
      <alignment horizontal="center" vertical="center"/>
    </xf>
    <xf numFmtId="0" fontId="46" fillId="9" borderId="145" xfId="0" quotePrefix="1" applyNumberFormat="1" applyFont="1" applyFill="1" applyBorder="1" applyAlignment="1">
      <alignment horizontal="center" vertical="center"/>
    </xf>
    <xf numFmtId="0" fontId="46" fillId="15" borderId="108" xfId="0" quotePrefix="1" applyNumberFormat="1" applyFont="1" applyFill="1" applyBorder="1" applyAlignment="1">
      <alignment horizontal="center" vertical="center"/>
    </xf>
    <xf numFmtId="0" fontId="46" fillId="15" borderId="145" xfId="0" quotePrefix="1" applyNumberFormat="1" applyFont="1" applyFill="1" applyBorder="1" applyAlignment="1">
      <alignment horizontal="center" vertical="center"/>
    </xf>
    <xf numFmtId="0" fontId="46" fillId="4" borderId="108" xfId="0" quotePrefix="1" applyNumberFormat="1" applyFont="1" applyFill="1" applyBorder="1" applyAlignment="1">
      <alignment horizontal="center" vertical="center"/>
    </xf>
    <xf numFmtId="0" fontId="46" fillId="4" borderId="154" xfId="0" quotePrefix="1" applyNumberFormat="1" applyFont="1" applyFill="1" applyBorder="1" applyAlignment="1">
      <alignment horizontal="center" vertical="center"/>
    </xf>
    <xf numFmtId="0" fontId="46" fillId="8" borderId="210" xfId="0" applyNumberFormat="1" applyFont="1" applyFill="1" applyBorder="1" applyAlignment="1">
      <alignment horizontal="center" vertical="center"/>
    </xf>
    <xf numFmtId="0" fontId="46" fillId="21" borderId="210" xfId="0" applyNumberFormat="1" applyFont="1" applyFill="1" applyBorder="1" applyAlignment="1">
      <alignment horizontal="center" vertical="center"/>
    </xf>
    <xf numFmtId="0" fontId="46" fillId="22" borderId="210" xfId="0" applyNumberFormat="1" applyFont="1" applyFill="1" applyBorder="1" applyAlignment="1">
      <alignment horizontal="center" vertical="center"/>
    </xf>
    <xf numFmtId="0" fontId="46" fillId="20" borderId="210" xfId="0" quotePrefix="1" applyNumberFormat="1" applyFont="1" applyFill="1" applyBorder="1" applyAlignment="1">
      <alignment horizontal="center" vertical="center"/>
    </xf>
    <xf numFmtId="0" fontId="46" fillId="20" borderId="210" xfId="0" applyNumberFormat="1" applyFont="1" applyFill="1" applyBorder="1" applyAlignment="1">
      <alignment horizontal="center" vertical="center"/>
    </xf>
    <xf numFmtId="0" fontId="46" fillId="12" borderId="210" xfId="0" applyNumberFormat="1" applyFont="1" applyFill="1" applyBorder="1" applyAlignment="1">
      <alignment horizontal="center" vertical="center"/>
    </xf>
    <xf numFmtId="0" fontId="46" fillId="18" borderId="210" xfId="0" applyNumberFormat="1" applyFont="1" applyFill="1" applyBorder="1" applyAlignment="1">
      <alignment horizontal="center" vertical="center"/>
    </xf>
    <xf numFmtId="0" fontId="46" fillId="7" borderId="210" xfId="0" applyNumberFormat="1" applyFont="1" applyFill="1" applyBorder="1" applyAlignment="1">
      <alignment horizontal="center" vertical="center"/>
    </xf>
    <xf numFmtId="0" fontId="46" fillId="16" borderId="210" xfId="0" applyNumberFormat="1" applyFont="1" applyFill="1" applyBorder="1" applyAlignment="1">
      <alignment horizontal="center" vertical="center"/>
    </xf>
    <xf numFmtId="0" fontId="46" fillId="15" borderId="210" xfId="0" applyNumberFormat="1" applyFont="1" applyFill="1" applyBorder="1" applyAlignment="1">
      <alignment horizontal="center" vertical="center"/>
    </xf>
    <xf numFmtId="0" fontId="57" fillId="28" borderId="210" xfId="0" applyNumberFormat="1" applyFont="1" applyFill="1" applyBorder="1" applyAlignment="1">
      <alignment horizontal="center" vertical="center"/>
    </xf>
    <xf numFmtId="0" fontId="46" fillId="4" borderId="210" xfId="0" applyNumberFormat="1" applyFont="1" applyFill="1" applyBorder="1" applyAlignment="1">
      <alignment horizontal="center" vertical="center"/>
    </xf>
    <xf numFmtId="0" fontId="0" fillId="42" borderId="210" xfId="0" quotePrefix="1" applyNumberFormat="1" applyFill="1" applyBorder="1" applyAlignment="1">
      <alignment horizontal="center" vertical="center"/>
    </xf>
    <xf numFmtId="0" fontId="46" fillId="9" borderId="194" xfId="0" applyNumberFormat="1" applyFont="1" applyFill="1" applyBorder="1" applyAlignment="1">
      <alignment horizontal="center" vertical="center"/>
    </xf>
    <xf numFmtId="0" fontId="0" fillId="9" borderId="145" xfId="0" quotePrefix="1" applyNumberFormat="1" applyFill="1" applyBorder="1" applyAlignment="1">
      <alignment horizontal="center" vertical="center"/>
    </xf>
    <xf numFmtId="0" fontId="46" fillId="9" borderId="210" xfId="0" quotePrefix="1" applyNumberFormat="1" applyFont="1" applyFill="1" applyBorder="1" applyAlignment="1">
      <alignment horizontal="center" vertical="center"/>
    </xf>
    <xf numFmtId="0" fontId="46" fillId="9" borderId="224" xfId="0" quotePrefix="1" applyNumberFormat="1" applyFont="1" applyFill="1" applyBorder="1" applyAlignment="1">
      <alignment horizontal="center" vertical="center"/>
    </xf>
    <xf numFmtId="0" fontId="0" fillId="45" borderId="224" xfId="0" quotePrefix="1" applyNumberFormat="1" applyFill="1" applyBorder="1" applyAlignment="1">
      <alignment horizontal="center" vertical="center"/>
    </xf>
    <xf numFmtId="0" fontId="46" fillId="18" borderId="108" xfId="0" quotePrefix="1" applyNumberFormat="1" applyFont="1" applyFill="1" applyBorder="1" applyAlignment="1">
      <alignment horizontal="center" vertical="center"/>
    </xf>
    <xf numFmtId="0" fontId="46" fillId="7" borderId="154" xfId="0" quotePrefix="1" applyNumberFormat="1" applyFont="1" applyFill="1" applyBorder="1" applyAlignment="1">
      <alignment horizontal="center" vertical="center"/>
    </xf>
    <xf numFmtId="0" fontId="49" fillId="16" borderId="108" xfId="3" quotePrefix="1" applyNumberFormat="1" applyFont="1" applyFill="1" applyBorder="1" applyAlignment="1">
      <alignment horizontal="center" vertical="center"/>
    </xf>
    <xf numFmtId="0" fontId="46" fillId="21" borderId="224" xfId="0" applyNumberFormat="1" applyFont="1" applyFill="1" applyBorder="1" applyAlignment="1">
      <alignment horizontal="center" vertical="center"/>
    </xf>
    <xf numFmtId="0" fontId="46" fillId="10" borderId="224" xfId="0" applyNumberFormat="1" applyFont="1" applyFill="1" applyBorder="1" applyAlignment="1">
      <alignment horizontal="center" vertical="center"/>
    </xf>
    <xf numFmtId="0" fontId="46" fillId="12" borderId="224" xfId="0" applyNumberFormat="1" applyFont="1" applyFill="1" applyBorder="1" applyAlignment="1">
      <alignment horizontal="center" vertical="center"/>
    </xf>
    <xf numFmtId="0" fontId="49" fillId="42" borderId="210" xfId="0" quotePrefix="1" applyNumberFormat="1" applyFont="1" applyFill="1" applyBorder="1" applyAlignment="1">
      <alignment horizontal="center" vertical="center"/>
    </xf>
    <xf numFmtId="0" fontId="49" fillId="42" borderId="224" xfId="0" quotePrefix="1" applyNumberFormat="1" applyFont="1" applyFill="1" applyBorder="1" applyAlignment="1">
      <alignment horizontal="center" vertical="center"/>
    </xf>
    <xf numFmtId="0" fontId="46" fillId="8" borderId="71" xfId="0" quotePrefix="1" applyNumberFormat="1" applyFont="1" applyFill="1" applyBorder="1" applyAlignment="1">
      <alignment horizontal="center" vertical="center"/>
    </xf>
    <xf numFmtId="0" fontId="46" fillId="8" borderId="132" xfId="0" quotePrefix="1" applyNumberFormat="1" applyFont="1" applyFill="1" applyBorder="1" applyAlignment="1">
      <alignment horizontal="center" vertical="center"/>
    </xf>
    <xf numFmtId="0" fontId="46" fillId="8" borderId="132" xfId="0" applyNumberFormat="1" applyFont="1" applyFill="1" applyBorder="1" applyAlignment="1">
      <alignment horizontal="center" vertical="center"/>
    </xf>
    <xf numFmtId="0" fontId="46" fillId="21" borderId="132" xfId="0" quotePrefix="1" applyNumberFormat="1" applyFont="1" applyFill="1" applyBorder="1" applyAlignment="1">
      <alignment horizontal="center" vertical="center"/>
    </xf>
    <xf numFmtId="0" fontId="46" fillId="11" borderId="132" xfId="0" quotePrefix="1" applyNumberFormat="1" applyFont="1" applyFill="1" applyBorder="1" applyAlignment="1">
      <alignment horizontal="center" vertical="center"/>
    </xf>
    <xf numFmtId="0" fontId="46" fillId="42" borderId="224" xfId="0" applyNumberFormat="1" applyFont="1" applyFill="1" applyBorder="1" applyAlignment="1">
      <alignment horizontal="center" vertical="center"/>
    </xf>
    <xf numFmtId="0" fontId="46" fillId="21" borderId="224" xfId="0" quotePrefix="1" applyNumberFormat="1" applyFont="1" applyFill="1" applyBorder="1" applyAlignment="1">
      <alignment horizontal="center" vertical="center"/>
    </xf>
    <xf numFmtId="0" fontId="46" fillId="11" borderId="224" xfId="0" quotePrefix="1" applyNumberFormat="1" applyFont="1" applyFill="1" applyBorder="1" applyAlignment="1">
      <alignment horizontal="center" vertical="center"/>
    </xf>
    <xf numFmtId="0" fontId="46" fillId="42" borderId="210" xfId="0" quotePrefix="1" applyNumberFormat="1" applyFont="1" applyFill="1" applyBorder="1" applyAlignment="1">
      <alignment horizontal="center" vertical="center"/>
    </xf>
    <xf numFmtId="0" fontId="46" fillId="42" borderId="224" xfId="0" quotePrefix="1" applyNumberFormat="1" applyFont="1" applyFill="1" applyBorder="1" applyAlignment="1">
      <alignment horizontal="center" vertical="center"/>
    </xf>
    <xf numFmtId="0" fontId="49" fillId="7" borderId="145" xfId="3" quotePrefix="1" applyNumberFormat="1" applyFont="1" applyFill="1" applyBorder="1" applyAlignment="1">
      <alignment horizontal="center" vertical="center"/>
    </xf>
    <xf numFmtId="0" fontId="46" fillId="7" borderId="145" xfId="0" applyNumberFormat="1" applyFont="1" applyFill="1" applyBorder="1" applyAlignment="1">
      <alignment horizontal="center" vertical="center"/>
    </xf>
    <xf numFmtId="0" fontId="46" fillId="7" borderId="145" xfId="0" quotePrefix="1" applyNumberFormat="1" applyFont="1" applyFill="1" applyBorder="1" applyAlignment="1">
      <alignment horizontal="center" vertical="center"/>
    </xf>
    <xf numFmtId="0" fontId="49" fillId="9" borderId="145" xfId="3" quotePrefix="1" applyNumberFormat="1" applyFont="1" applyFill="1" applyBorder="1" applyAlignment="1">
      <alignment horizontal="center" vertical="center"/>
    </xf>
    <xf numFmtId="0" fontId="0" fillId="9" borderId="145" xfId="0" applyNumberFormat="1" applyFill="1" applyBorder="1" applyAlignment="1">
      <alignment horizontal="center" vertical="center"/>
    </xf>
    <xf numFmtId="0" fontId="49" fillId="7" borderId="108" xfId="3" quotePrefix="1" applyNumberFormat="1" applyFont="1" applyFill="1" applyBorder="1" applyAlignment="1">
      <alignment horizontal="center" vertical="center"/>
    </xf>
    <xf numFmtId="0" fontId="46" fillId="8" borderId="148" xfId="0" quotePrefix="1" applyNumberFormat="1" applyFont="1" applyFill="1" applyBorder="1" applyAlignment="1">
      <alignment horizontal="center" vertical="center"/>
    </xf>
    <xf numFmtId="0" fontId="46" fillId="8" borderId="145" xfId="0" quotePrefix="1" applyNumberFormat="1" applyFont="1" applyFill="1" applyBorder="1" applyAlignment="1">
      <alignment horizontal="center" vertical="center"/>
    </xf>
    <xf numFmtId="0" fontId="46" fillId="21" borderId="145" xfId="0" quotePrefix="1" applyNumberFormat="1" applyFont="1" applyFill="1" applyBorder="1" applyAlignment="1">
      <alignment horizontal="center" vertical="center"/>
    </xf>
    <xf numFmtId="0" fontId="46" fillId="10" borderId="145" xfId="0" applyNumberFormat="1" applyFont="1" applyFill="1" applyBorder="1" applyAlignment="1">
      <alignment horizontal="center" vertical="center"/>
    </xf>
    <xf numFmtId="0" fontId="46" fillId="12" borderId="145" xfId="0" quotePrefix="1" applyNumberFormat="1" applyFont="1" applyFill="1" applyBorder="1" applyAlignment="1">
      <alignment horizontal="center" vertical="center"/>
    </xf>
    <xf numFmtId="0" fontId="46" fillId="12" borderId="145" xfId="0" applyNumberFormat="1" applyFont="1" applyFill="1" applyBorder="1" applyAlignment="1">
      <alignment horizontal="center" vertical="center"/>
    </xf>
    <xf numFmtId="0" fontId="46" fillId="18" borderId="145" xfId="0" quotePrefix="1" applyNumberFormat="1" applyFont="1" applyFill="1" applyBorder="1" applyAlignment="1">
      <alignment horizontal="center" vertical="center"/>
    </xf>
    <xf numFmtId="0" fontId="46" fillId="18" borderId="145" xfId="0" applyNumberFormat="1" applyFont="1" applyFill="1" applyBorder="1" applyAlignment="1">
      <alignment horizontal="center" vertical="center"/>
    </xf>
    <xf numFmtId="0" fontId="46" fillId="16" borderId="145" xfId="0" quotePrefix="1" applyNumberFormat="1" applyFont="1" applyFill="1" applyBorder="1" applyAlignment="1">
      <alignment horizontal="center" vertical="center"/>
    </xf>
    <xf numFmtId="0" fontId="46" fillId="4" borderId="145" xfId="0" applyNumberFormat="1" applyFont="1" applyFill="1" applyBorder="1" applyAlignment="1">
      <alignment horizontal="center" vertical="center"/>
    </xf>
    <xf numFmtId="0" fontId="46" fillId="8" borderId="15" xfId="0" quotePrefix="1" applyNumberFormat="1" applyFont="1" applyFill="1" applyBorder="1" applyAlignment="1">
      <alignment horizontal="center" vertical="center"/>
    </xf>
    <xf numFmtId="0" fontId="46" fillId="8" borderId="210" xfId="0" quotePrefix="1" applyNumberFormat="1" applyFont="1" applyFill="1" applyBorder="1" applyAlignment="1">
      <alignment horizontal="center" vertical="center"/>
    </xf>
    <xf numFmtId="0" fontId="46" fillId="21" borderId="210" xfId="0" quotePrefix="1" applyNumberFormat="1" applyFont="1" applyFill="1" applyBorder="1" applyAlignment="1">
      <alignment horizontal="center" vertical="center"/>
    </xf>
    <xf numFmtId="0" fontId="46" fillId="12" borderId="210" xfId="0" quotePrefix="1" applyNumberFormat="1" applyFont="1" applyFill="1" applyBorder="1" applyAlignment="1">
      <alignment horizontal="center" vertical="center"/>
    </xf>
    <xf numFmtId="0" fontId="46" fillId="18" borderId="210" xfId="0" quotePrefix="1" applyNumberFormat="1" applyFont="1" applyFill="1" applyBorder="1" applyAlignment="1">
      <alignment horizontal="center" vertical="center"/>
    </xf>
    <xf numFmtId="0" fontId="46" fillId="7" borderId="210" xfId="0" quotePrefix="1" applyNumberFormat="1" applyFont="1" applyFill="1" applyBorder="1" applyAlignment="1">
      <alignment horizontal="center" vertical="center"/>
    </xf>
    <xf numFmtId="0" fontId="46" fillId="16" borderId="210" xfId="0" quotePrefix="1" applyNumberFormat="1" applyFont="1" applyFill="1" applyBorder="1" applyAlignment="1">
      <alignment horizontal="center" vertical="center"/>
    </xf>
    <xf numFmtId="0" fontId="46" fillId="15" borderId="210" xfId="0" quotePrefix="1" applyNumberFormat="1" applyFont="1" applyFill="1" applyBorder="1" applyAlignment="1">
      <alignment horizontal="center" vertical="center"/>
    </xf>
    <xf numFmtId="0" fontId="46" fillId="4" borderId="210" xfId="0" quotePrefix="1" applyNumberFormat="1" applyFont="1" applyFill="1" applyBorder="1" applyAlignment="1">
      <alignment horizontal="center" vertical="center"/>
    </xf>
    <xf numFmtId="0" fontId="46" fillId="8" borderId="154" xfId="0" quotePrefix="1" applyNumberFormat="1" applyFont="1" applyFill="1" applyBorder="1" applyAlignment="1">
      <alignment horizontal="center" vertical="center"/>
    </xf>
    <xf numFmtId="0" fontId="46" fillId="21" borderId="154" xfId="0" quotePrefix="1" applyNumberFormat="1" applyFont="1" applyFill="1" applyBorder="1" applyAlignment="1">
      <alignment horizontal="center" vertical="center"/>
    </xf>
    <xf numFmtId="0" fontId="46" fillId="10" borderId="154" xfId="0" applyNumberFormat="1" applyFont="1" applyFill="1" applyBorder="1" applyAlignment="1">
      <alignment horizontal="center" vertical="center"/>
    </xf>
    <xf numFmtId="0" fontId="46" fillId="22" borderId="154" xfId="0" applyNumberFormat="1" applyFont="1" applyFill="1" applyBorder="1" applyAlignment="1">
      <alignment horizontal="center" vertical="center"/>
    </xf>
    <xf numFmtId="0" fontId="46" fillId="20" borderId="154" xfId="0" quotePrefix="1" applyNumberFormat="1" applyFont="1" applyFill="1" applyBorder="1" applyAlignment="1">
      <alignment horizontal="center" vertical="center"/>
    </xf>
    <xf numFmtId="0" fontId="46" fillId="20" borderId="154" xfId="0" applyNumberFormat="1" applyFont="1" applyFill="1" applyBorder="1" applyAlignment="1">
      <alignment horizontal="center" vertical="center"/>
    </xf>
    <xf numFmtId="0" fontId="46" fillId="12" borderId="154" xfId="0" quotePrefix="1" applyNumberFormat="1" applyFont="1" applyFill="1" applyBorder="1" applyAlignment="1">
      <alignment horizontal="center" vertical="center"/>
    </xf>
    <xf numFmtId="0" fontId="46" fillId="12" borderId="154" xfId="0" applyNumberFormat="1" applyFont="1" applyFill="1" applyBorder="1" applyAlignment="1">
      <alignment horizontal="center" vertical="center"/>
    </xf>
    <xf numFmtId="0" fontId="46" fillId="18" borderId="154" xfId="0" quotePrefix="1" applyNumberFormat="1" applyFont="1" applyFill="1" applyBorder="1" applyAlignment="1">
      <alignment horizontal="center" vertical="center"/>
    </xf>
    <xf numFmtId="0" fontId="46" fillId="9" borderId="154" xfId="0" applyNumberFormat="1" applyFont="1" applyFill="1" applyBorder="1" applyAlignment="1">
      <alignment horizontal="center" vertical="center"/>
    </xf>
    <xf numFmtId="0" fontId="46" fillId="7" borderId="154" xfId="0" applyNumberFormat="1" applyFont="1" applyFill="1" applyBorder="1" applyAlignment="1">
      <alignment horizontal="center" vertical="center"/>
    </xf>
    <xf numFmtId="0" fontId="46" fillId="16" borderId="154" xfId="0" quotePrefix="1" applyNumberFormat="1" applyFont="1" applyFill="1" applyBorder="1" applyAlignment="1">
      <alignment horizontal="center" vertical="center"/>
    </xf>
    <xf numFmtId="0" fontId="46" fillId="9" borderId="154" xfId="0" quotePrefix="1" applyNumberFormat="1" applyFont="1" applyFill="1" applyBorder="1" applyAlignment="1">
      <alignment horizontal="center" vertical="center"/>
    </xf>
    <xf numFmtId="0" fontId="46" fillId="15" borderId="154" xfId="0" quotePrefix="1" applyNumberFormat="1" applyFont="1" applyFill="1" applyBorder="1" applyAlignment="1">
      <alignment horizontal="center" vertical="center"/>
    </xf>
    <xf numFmtId="0" fontId="91" fillId="28" borderId="154" xfId="0" applyNumberFormat="1" applyFont="1" applyFill="1" applyBorder="1" applyAlignment="1">
      <alignment horizontal="center" vertical="center"/>
    </xf>
    <xf numFmtId="0" fontId="91" fillId="28" borderId="210" xfId="0" applyNumberFormat="1" applyFont="1" applyFill="1" applyBorder="1" applyAlignment="1">
      <alignment horizontal="center" vertical="center"/>
    </xf>
    <xf numFmtId="0" fontId="46" fillId="18" borderId="119" xfId="0" quotePrefix="1" applyNumberFormat="1" applyFont="1" applyFill="1" applyBorder="1" applyAlignment="1">
      <alignment horizontal="center" vertical="center"/>
    </xf>
    <xf numFmtId="0" fontId="46" fillId="11" borderId="210" xfId="0" applyNumberFormat="1" applyFont="1" applyFill="1" applyBorder="1" applyAlignment="1">
      <alignment horizontal="left" vertical="center"/>
    </xf>
    <xf numFmtId="0" fontId="0" fillId="45" borderId="210" xfId="0" applyNumberFormat="1" applyFill="1" applyBorder="1" applyAlignment="1">
      <alignment horizontal="left" vertical="center"/>
    </xf>
    <xf numFmtId="0" fontId="46" fillId="18" borderId="209" xfId="0" quotePrefix="1" applyNumberFormat="1" applyFont="1" applyFill="1" applyBorder="1" applyAlignment="1">
      <alignment horizontal="center" vertical="center"/>
    </xf>
    <xf numFmtId="0" fontId="46" fillId="47" borderId="224" xfId="0" applyNumberFormat="1" applyFont="1" applyFill="1" applyBorder="1" applyAlignment="1">
      <alignment horizontal="center" vertical="center"/>
    </xf>
    <xf numFmtId="0" fontId="46" fillId="10" borderId="210" xfId="0" quotePrefix="1" applyNumberFormat="1" applyFont="1" applyFill="1" applyBorder="1" applyAlignment="1">
      <alignment horizontal="left" vertical="center"/>
    </xf>
    <xf numFmtId="0" fontId="46" fillId="10" borderId="108" xfId="0" quotePrefix="1" applyNumberFormat="1" applyFont="1" applyFill="1" applyBorder="1" applyAlignment="1">
      <alignment horizontal="left" vertical="center"/>
    </xf>
    <xf numFmtId="0" fontId="46" fillId="22" borderId="108" xfId="0" quotePrefix="1" applyNumberFormat="1" applyFont="1" applyFill="1" applyBorder="1" applyAlignment="1">
      <alignment horizontal="left" vertical="center"/>
    </xf>
    <xf numFmtId="0" fontId="46" fillId="28" borderId="154" xfId="0" quotePrefix="1" applyNumberFormat="1" applyFont="1" applyFill="1" applyBorder="1" applyAlignment="1">
      <alignment horizontal="left" vertical="center"/>
    </xf>
    <xf numFmtId="0" fontId="46" fillId="30" borderId="84" xfId="0" quotePrefix="1" applyNumberFormat="1" applyFont="1" applyFill="1" applyBorder="1" applyAlignment="1">
      <alignment horizontal="left" vertical="center"/>
    </xf>
    <xf numFmtId="0" fontId="46" fillId="30" borderId="224" xfId="0" quotePrefix="1" applyNumberFormat="1" applyFont="1" applyFill="1" applyBorder="1" applyAlignment="1">
      <alignment horizontal="left" vertical="center"/>
    </xf>
    <xf numFmtId="0" fontId="46" fillId="30" borderId="108" xfId="0" quotePrefix="1" applyNumberFormat="1" applyFont="1" applyFill="1" applyBorder="1" applyAlignment="1">
      <alignment horizontal="left" vertical="center"/>
    </xf>
    <xf numFmtId="0" fontId="46" fillId="31" borderId="108" xfId="0" quotePrefix="1" applyNumberFormat="1" applyFont="1" applyFill="1" applyBorder="1" applyAlignment="1">
      <alignment horizontal="left" vertical="center"/>
    </xf>
    <xf numFmtId="0" fontId="46" fillId="32" borderId="154" xfId="0" quotePrefix="1" applyNumberFormat="1" applyFont="1" applyFill="1" applyBorder="1" applyAlignment="1">
      <alignment horizontal="left" vertical="center"/>
    </xf>
    <xf numFmtId="0" fontId="46" fillId="32" borderId="210" xfId="0" quotePrefix="1" applyNumberFormat="1" applyFont="1" applyFill="1" applyBorder="1" applyAlignment="1">
      <alignment horizontal="left" vertical="center"/>
    </xf>
    <xf numFmtId="0" fontId="46" fillId="33" borderId="108" xfId="0" quotePrefix="1" applyNumberFormat="1" applyFont="1" applyFill="1" applyBorder="1" applyAlignment="1">
      <alignment horizontal="left" vertical="center"/>
    </xf>
    <xf numFmtId="0" fontId="46" fillId="34" borderId="108" xfId="0" quotePrefix="1" applyNumberFormat="1" applyFont="1" applyFill="1" applyBorder="1" applyAlignment="1">
      <alignment horizontal="left" vertical="center"/>
    </xf>
    <xf numFmtId="0" fontId="46" fillId="35" borderId="108" xfId="0" quotePrefix="1" applyNumberFormat="1" applyFont="1" applyFill="1" applyBorder="1" applyAlignment="1">
      <alignment horizontal="left" vertical="center"/>
    </xf>
    <xf numFmtId="0" fontId="46" fillId="44" borderId="210" xfId="0" quotePrefix="1" applyNumberFormat="1" applyFont="1" applyFill="1" applyBorder="1" applyAlignment="1">
      <alignment horizontal="left"/>
    </xf>
    <xf numFmtId="0" fontId="0" fillId="44" borderId="210" xfId="0" quotePrefix="1" applyNumberFormat="1" applyFill="1" applyBorder="1" applyAlignment="1">
      <alignment horizontal="left"/>
    </xf>
    <xf numFmtId="0" fontId="46" fillId="36" borderId="224" xfId="0" quotePrefix="1" applyNumberFormat="1" applyFont="1" applyFill="1" applyBorder="1" applyAlignment="1">
      <alignment horizontal="left" vertical="center"/>
    </xf>
    <xf numFmtId="0" fontId="46" fillId="36" borderId="119" xfId="0" quotePrefix="1" applyNumberFormat="1" applyFont="1" applyFill="1" applyBorder="1" applyAlignment="1">
      <alignment horizontal="left" vertical="center"/>
    </xf>
    <xf numFmtId="0" fontId="46" fillId="36" borderId="145" xfId="0" quotePrefix="1" applyNumberFormat="1" applyFont="1" applyFill="1" applyBorder="1" applyAlignment="1">
      <alignment horizontal="left" vertical="center"/>
    </xf>
    <xf numFmtId="0" fontId="46" fillId="36" borderId="108" xfId="0" quotePrefix="1" applyNumberFormat="1" applyFont="1" applyFill="1" applyBorder="1" applyAlignment="1">
      <alignment horizontal="left" vertical="center"/>
    </xf>
    <xf numFmtId="0" fontId="46" fillId="36" borderId="210" xfId="0" quotePrefix="1" applyNumberFormat="1" applyFont="1" applyFill="1" applyBorder="1" applyAlignment="1">
      <alignment horizontal="left" vertical="center"/>
    </xf>
    <xf numFmtId="0" fontId="46" fillId="37" borderId="145" xfId="0" quotePrefix="1" applyNumberFormat="1" applyFont="1" applyFill="1" applyBorder="1" applyAlignment="1">
      <alignment horizontal="left" vertical="center"/>
    </xf>
    <xf numFmtId="0" fontId="46" fillId="38" borderId="108" xfId="0" quotePrefix="1" applyNumberFormat="1" applyFont="1" applyFill="1" applyBorder="1" applyAlignment="1">
      <alignment horizontal="left" vertical="center"/>
    </xf>
    <xf numFmtId="0" fontId="46" fillId="39" borderId="108" xfId="0" quotePrefix="1" applyNumberFormat="1" applyFont="1" applyFill="1" applyBorder="1" applyAlignment="1">
      <alignment horizontal="left" vertical="center"/>
    </xf>
    <xf numFmtId="0" fontId="46" fillId="39" borderId="145" xfId="0" quotePrefix="1" applyNumberFormat="1" applyFont="1" applyFill="1" applyBorder="1" applyAlignment="1">
      <alignment horizontal="left" vertical="center"/>
    </xf>
    <xf numFmtId="0" fontId="46" fillId="46" borderId="210" xfId="0" quotePrefix="1" applyNumberFormat="1" applyFont="1" applyFill="1" applyBorder="1" applyAlignment="1">
      <alignment horizontal="left" vertical="center"/>
    </xf>
    <xf numFmtId="0" fontId="46" fillId="40" borderId="108" xfId="0" quotePrefix="1" applyNumberFormat="1" applyFont="1" applyFill="1" applyBorder="1" applyAlignment="1">
      <alignment horizontal="left" vertical="center"/>
    </xf>
    <xf numFmtId="0" fontId="46" fillId="40" borderId="154" xfId="0" quotePrefix="1" applyNumberFormat="1" applyFont="1" applyFill="1" applyBorder="1" applyAlignment="1">
      <alignment horizontal="left" vertical="center"/>
    </xf>
    <xf numFmtId="0" fontId="46" fillId="35" borderId="154" xfId="0" quotePrefix="1" applyNumberFormat="1" applyFont="1" applyFill="1" applyBorder="1" applyAlignment="1">
      <alignment horizontal="left" vertical="center"/>
    </xf>
    <xf numFmtId="0" fontId="46" fillId="35" borderId="119" xfId="0" quotePrefix="1" applyNumberFormat="1" applyFont="1" applyFill="1" applyBorder="1" applyAlignment="1">
      <alignment horizontal="left" vertical="center"/>
    </xf>
    <xf numFmtId="0" fontId="46" fillId="35" borderId="209" xfId="0" quotePrefix="1" applyNumberFormat="1" applyFont="1" applyFill="1" applyBorder="1" applyAlignment="1">
      <alignment horizontal="left" vertical="center"/>
    </xf>
    <xf numFmtId="0" fontId="48" fillId="5" borderId="0" xfId="0" applyFont="1" applyFill="1" applyBorder="1" applyAlignment="1">
      <alignment horizontal="left" vertical="center"/>
    </xf>
  </cellXfs>
  <cellStyles count="95">
    <cellStyle name="Lien hypertexte" xfId="4" builtinId="8"/>
    <cellStyle name="Neutre" xfId="94" builtinId="28"/>
    <cellStyle name="Normal" xfId="0" builtinId="0"/>
    <cellStyle name="Normal 10" xfId="16" xr:uid="{00000000-0005-0000-0000-000002000000}"/>
    <cellStyle name="Normal 10 2" xfId="28" xr:uid="{00000000-0005-0000-0000-000003000000}"/>
    <cellStyle name="Normal 10 2 2" xfId="74" xr:uid="{00000000-0005-0000-0000-000004000000}"/>
    <cellStyle name="Normal 10 3" xfId="30" xr:uid="{00000000-0005-0000-0000-000005000000}"/>
    <cellStyle name="Normal 10 3 2" xfId="76" xr:uid="{00000000-0005-0000-0000-000006000000}"/>
    <cellStyle name="Normal 10 4" xfId="63" xr:uid="{00000000-0005-0000-0000-000007000000}"/>
    <cellStyle name="Normal 11" xfId="19" xr:uid="{00000000-0005-0000-0000-000008000000}"/>
    <cellStyle name="Normal 11 2" xfId="24" xr:uid="{00000000-0005-0000-0000-000009000000}"/>
    <cellStyle name="Normal 11 2 2" xfId="31" xr:uid="{00000000-0005-0000-0000-00000A000000}"/>
    <cellStyle name="Normal 11 2 2 2" xfId="77" xr:uid="{00000000-0005-0000-0000-00000B000000}"/>
    <cellStyle name="Normal 11 2 3" xfId="44" xr:uid="{00000000-0005-0000-0000-00000C000000}"/>
    <cellStyle name="Normal 11 2 3 2" xfId="49" xr:uid="{00000000-0005-0000-0000-00000D000000}"/>
    <cellStyle name="Normal 11 2 3 3" xfId="89" xr:uid="{00000000-0005-0000-0000-00000E000000}"/>
    <cellStyle name="Normal 11 2 4" xfId="70" xr:uid="{00000000-0005-0000-0000-00000F000000}"/>
    <cellStyle name="Normal 11 2 7" xfId="47" xr:uid="{00000000-0005-0000-0000-000010000000}"/>
    <cellStyle name="Normal 11 2 7 2" xfId="92" xr:uid="{00000000-0005-0000-0000-000011000000}"/>
    <cellStyle name="Normal 11 3" xfId="66" xr:uid="{00000000-0005-0000-0000-000012000000}"/>
    <cellStyle name="Normal 12" xfId="23" xr:uid="{00000000-0005-0000-0000-000013000000}"/>
    <cellStyle name="Normal 12 2" xfId="69" xr:uid="{00000000-0005-0000-0000-000014000000}"/>
    <cellStyle name="Normal 13" xfId="27" xr:uid="{00000000-0005-0000-0000-000015000000}"/>
    <cellStyle name="Normal 13 2" xfId="73" xr:uid="{00000000-0005-0000-0000-000016000000}"/>
    <cellStyle name="Normal 14" xfId="29" xr:uid="{00000000-0005-0000-0000-000017000000}"/>
    <cellStyle name="Normal 14 2" xfId="75" xr:uid="{00000000-0005-0000-0000-000018000000}"/>
    <cellStyle name="Normal 2" xfId="1" xr:uid="{00000000-0005-0000-0000-000019000000}"/>
    <cellStyle name="Normál 2" xfId="11" xr:uid="{00000000-0005-0000-0000-00001A000000}"/>
    <cellStyle name="Normal 2 2" xfId="6" xr:uid="{00000000-0005-0000-0000-00001B000000}"/>
    <cellStyle name="Normál 2 2" xfId="58" xr:uid="{00000000-0005-0000-0000-00001C000000}"/>
    <cellStyle name="Normal 2 3" xfId="22" xr:uid="{00000000-0005-0000-0000-00001D000000}"/>
    <cellStyle name="Normal 2 4" xfId="51" xr:uid="{00000000-0005-0000-0000-00001E000000}"/>
    <cellStyle name="Normál 24" xfId="40" xr:uid="{00000000-0005-0000-0000-00001F000000}"/>
    <cellStyle name="Normál 24 2" xfId="85" xr:uid="{00000000-0005-0000-0000-000020000000}"/>
    <cellStyle name="Normál 25" xfId="41" xr:uid="{00000000-0005-0000-0000-000021000000}"/>
    <cellStyle name="Normál 25 2" xfId="86" xr:uid="{00000000-0005-0000-0000-000022000000}"/>
    <cellStyle name="Normál 26" xfId="39" xr:uid="{00000000-0005-0000-0000-000023000000}"/>
    <cellStyle name="Normál 26 2" xfId="84" xr:uid="{00000000-0005-0000-0000-000024000000}"/>
    <cellStyle name="Normál 27" xfId="43" xr:uid="{00000000-0005-0000-0000-000025000000}"/>
    <cellStyle name="Normál 27 2" xfId="88" xr:uid="{00000000-0005-0000-0000-000026000000}"/>
    <cellStyle name="Normál 28" xfId="42" xr:uid="{00000000-0005-0000-0000-000027000000}"/>
    <cellStyle name="Normál 28 2" xfId="87" xr:uid="{00000000-0005-0000-0000-000028000000}"/>
    <cellStyle name="Normal 3" xfId="3" xr:uid="{00000000-0005-0000-0000-000029000000}"/>
    <cellStyle name="Normál 3" xfId="48" xr:uid="{00000000-0005-0000-0000-00002A000000}"/>
    <cellStyle name="Normal 3 2" xfId="13" xr:uid="{00000000-0005-0000-0000-00002B000000}"/>
    <cellStyle name="Normál 3 2" xfId="93" xr:uid="{00000000-0005-0000-0000-00002C000000}"/>
    <cellStyle name="Normal 3 2 2" xfId="60" xr:uid="{00000000-0005-0000-0000-00002D000000}"/>
    <cellStyle name="Normal 3 3" xfId="17" xr:uid="{00000000-0005-0000-0000-00002E000000}"/>
    <cellStyle name="Normal 3 3 2" xfId="64" xr:uid="{00000000-0005-0000-0000-00002F000000}"/>
    <cellStyle name="Normal 3 4" xfId="20" xr:uid="{00000000-0005-0000-0000-000030000000}"/>
    <cellStyle name="Normal 3 4 2" xfId="67" xr:uid="{00000000-0005-0000-0000-000031000000}"/>
    <cellStyle name="Normal 3 5" xfId="25" xr:uid="{00000000-0005-0000-0000-000032000000}"/>
    <cellStyle name="Normal 3 5 2" xfId="32" xr:uid="{00000000-0005-0000-0000-000033000000}"/>
    <cellStyle name="Normal 3 5 2 2" xfId="78" xr:uid="{00000000-0005-0000-0000-000034000000}"/>
    <cellStyle name="Normal 3 5 3" xfId="71" xr:uid="{00000000-0005-0000-0000-000035000000}"/>
    <cellStyle name="Normal 3 6" xfId="52" xr:uid="{00000000-0005-0000-0000-000036000000}"/>
    <cellStyle name="Normál 35" xfId="35" xr:uid="{00000000-0005-0000-0000-000037000000}"/>
    <cellStyle name="Normál 35 2" xfId="80" xr:uid="{00000000-0005-0000-0000-000038000000}"/>
    <cellStyle name="Normal 4" xfId="5" xr:uid="{00000000-0005-0000-0000-000039000000}"/>
    <cellStyle name="Normal 4 2" xfId="8" xr:uid="{00000000-0005-0000-0000-00003A000000}"/>
    <cellStyle name="Normal 4 2 2" xfId="55" xr:uid="{00000000-0005-0000-0000-00003B000000}"/>
    <cellStyle name="Normal 4 3" xfId="14" xr:uid="{00000000-0005-0000-0000-00003C000000}"/>
    <cellStyle name="Normal 4 3 2" xfId="61" xr:uid="{00000000-0005-0000-0000-00003D000000}"/>
    <cellStyle name="Normal 4 4" xfId="18" xr:uid="{00000000-0005-0000-0000-00003E000000}"/>
    <cellStyle name="Normal 4 4 2" xfId="65" xr:uid="{00000000-0005-0000-0000-00003F000000}"/>
    <cellStyle name="Normal 4 5" xfId="21" xr:uid="{00000000-0005-0000-0000-000040000000}"/>
    <cellStyle name="Normal 4 5 2" xfId="68" xr:uid="{00000000-0005-0000-0000-000041000000}"/>
    <cellStyle name="Normal 4 6" xfId="26" xr:uid="{00000000-0005-0000-0000-000042000000}"/>
    <cellStyle name="Normal 4 6 2" xfId="33" xr:uid="{00000000-0005-0000-0000-000043000000}"/>
    <cellStyle name="Normal 4 6 2 2" xfId="79" xr:uid="{00000000-0005-0000-0000-000044000000}"/>
    <cellStyle name="Normal 4 6 3" xfId="72" xr:uid="{00000000-0005-0000-0000-000045000000}"/>
    <cellStyle name="Normal 4 7" xfId="53" xr:uid="{00000000-0005-0000-0000-000046000000}"/>
    <cellStyle name="Normál 40" xfId="36" xr:uid="{00000000-0005-0000-0000-000047000000}"/>
    <cellStyle name="Normál 40 2" xfId="81" xr:uid="{00000000-0005-0000-0000-000048000000}"/>
    <cellStyle name="Normál 40 4" xfId="45" xr:uid="{00000000-0005-0000-0000-000049000000}"/>
    <cellStyle name="Normál 40 4 2" xfId="90" xr:uid="{00000000-0005-0000-0000-00004A000000}"/>
    <cellStyle name="Normál 42" xfId="37" xr:uid="{00000000-0005-0000-0000-00004B000000}"/>
    <cellStyle name="Normál 42 2" xfId="82" xr:uid="{00000000-0005-0000-0000-00004C000000}"/>
    <cellStyle name="Normál 46" xfId="38" xr:uid="{00000000-0005-0000-0000-00004D000000}"/>
    <cellStyle name="Normál 46 2" xfId="83" xr:uid="{00000000-0005-0000-0000-00004E000000}"/>
    <cellStyle name="Normál 46 4" xfId="46" xr:uid="{00000000-0005-0000-0000-00004F000000}"/>
    <cellStyle name="Normál 46 4 2" xfId="91" xr:uid="{00000000-0005-0000-0000-000050000000}"/>
    <cellStyle name="Normal 5" xfId="7" xr:uid="{00000000-0005-0000-0000-000051000000}"/>
    <cellStyle name="Normal 5 2" xfId="54" xr:uid="{00000000-0005-0000-0000-000052000000}"/>
    <cellStyle name="Normal 6" xfId="9" xr:uid="{00000000-0005-0000-0000-000053000000}"/>
    <cellStyle name="Normal 6 2" xfId="56" xr:uid="{00000000-0005-0000-0000-000054000000}"/>
    <cellStyle name="Normal 7" xfId="10" xr:uid="{00000000-0005-0000-0000-000055000000}"/>
    <cellStyle name="Normal 7 2" xfId="57" xr:uid="{00000000-0005-0000-0000-000056000000}"/>
    <cellStyle name="Normal 8" xfId="12" xr:uid="{00000000-0005-0000-0000-000057000000}"/>
    <cellStyle name="Normal 8 2" xfId="59" xr:uid="{00000000-0005-0000-0000-000058000000}"/>
    <cellStyle name="Normal 9" xfId="15" xr:uid="{00000000-0005-0000-0000-000059000000}"/>
    <cellStyle name="Normal 9 2" xfId="62" xr:uid="{00000000-0005-0000-0000-00005A000000}"/>
    <cellStyle name="Normal 9 6" xfId="50" xr:uid="{00000000-0005-0000-0000-00005B000000}"/>
    <cellStyle name="Normal_ASM1" xfId="34" xr:uid="{00000000-0005-0000-0000-00005C000000}"/>
    <cellStyle name="Normal_Kinetic matrix" xfId="2" xr:uid="{00000000-0005-0000-0000-00005D000000}"/>
  </cellStyles>
  <dxfs count="147">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Light16"/>
  <colors>
    <mruColors>
      <color rgb="FFC0C0C0"/>
      <color rgb="FFFFFF66"/>
      <color rgb="FFFFFFCC"/>
      <color rgb="FFFFFFFF"/>
      <color rgb="FF333333"/>
      <color rgb="FF498787"/>
      <color rgb="FF499687"/>
      <color rgb="FF498F87"/>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38100</xdr:colOff>
      <xdr:row>0</xdr:row>
      <xdr:rowOff>104775</xdr:rowOff>
    </xdr:from>
    <xdr:to>
      <xdr:col>4</xdr:col>
      <xdr:colOff>1038225</xdr:colOff>
      <xdr:row>0</xdr:row>
      <xdr:rowOff>504825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1990725" y="10477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240</xdr:row>
      <xdr:rowOff>58232</xdr:rowOff>
    </xdr:from>
    <xdr:ext cx="5000625" cy="833438"/>
    <xdr:pic>
      <xdr:nvPicPr>
        <xdr:cNvPr id="9" name="Picture 1">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236</xdr:row>
      <xdr:rowOff>80341</xdr:rowOff>
    </xdr:from>
    <xdr:ext cx="3455193" cy="622300"/>
    <xdr:pic>
      <xdr:nvPicPr>
        <xdr:cNvPr id="10" name="Picture 2">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148</xdr:row>
      <xdr:rowOff>114300</xdr:rowOff>
    </xdr:from>
    <xdr:to>
      <xdr:col>5</xdr:col>
      <xdr:colOff>476251</xdr:colOff>
      <xdr:row>151</xdr:row>
      <xdr:rowOff>133350</xdr:rowOff>
    </xdr:to>
    <xdr:sp macro="" textlink="">
      <xdr:nvSpPr>
        <xdr:cNvPr id="11" name="Curved Up Arrow 3">
          <a:extLst>
            <a:ext uri="{FF2B5EF4-FFF2-40B4-BE49-F238E27FC236}">
              <a16:creationId xmlns:a16="http://schemas.microsoft.com/office/drawing/2014/main" id="{00000000-0008-0000-0000-00000B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5</xdr:row>
      <xdr:rowOff>0</xdr:rowOff>
    </xdr:from>
    <xdr:to>
      <xdr:col>15</xdr:col>
      <xdr:colOff>213370</xdr:colOff>
      <xdr:row>13</xdr:row>
      <xdr:rowOff>91443</xdr:rowOff>
    </xdr:to>
    <xdr:pic>
      <xdr:nvPicPr>
        <xdr:cNvPr id="5" name="Kép 4">
          <a:extLst>
            <a:ext uri="{FF2B5EF4-FFF2-40B4-BE49-F238E27FC236}">
              <a16:creationId xmlns:a16="http://schemas.microsoft.com/office/drawing/2014/main" id="{63924C7D-2C49-7AB5-9F52-07D44A47350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025640" y="1325880"/>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592076</xdr:colOff>
      <xdr:row>0</xdr:row>
      <xdr:rowOff>65815</xdr:rowOff>
    </xdr:from>
    <xdr:to>
      <xdr:col>1</xdr:col>
      <xdr:colOff>1370680</xdr:colOff>
      <xdr:row>0</xdr:row>
      <xdr:rowOff>588464</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590550" y="57150"/>
          <a:ext cx="1438275"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twoCellAnchor editAs="oneCell">
    <xdr:from>
      <xdr:col>10</xdr:col>
      <xdr:colOff>573665</xdr:colOff>
      <xdr:row>368</xdr:row>
      <xdr:rowOff>0</xdr:rowOff>
    </xdr:from>
    <xdr:to>
      <xdr:col>15</xdr:col>
      <xdr:colOff>1542458</xdr:colOff>
      <xdr:row>392</xdr:row>
      <xdr:rowOff>141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9578841" y="76851541"/>
          <a:ext cx="7201985" cy="5284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76010</xdr:colOff>
      <xdr:row>0</xdr:row>
      <xdr:rowOff>63500</xdr:rowOff>
    </xdr:from>
    <xdr:to>
      <xdr:col>3</xdr:col>
      <xdr:colOff>646529</xdr:colOff>
      <xdr:row>0</xdr:row>
      <xdr:rowOff>595313</xdr:rowOff>
    </xdr:to>
    <xdr:sp macro="[0]!bt_chkcont_click" textlink="">
      <xdr:nvSpPr>
        <xdr:cNvPr id="2" name="bt_chkcont">
          <a:extLst>
            <a:ext uri="{FF2B5EF4-FFF2-40B4-BE49-F238E27FC236}">
              <a16:creationId xmlns:a16="http://schemas.microsoft.com/office/drawing/2014/main" id="{00000000-0008-0000-03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920108</xdr:colOff>
      <xdr:row>0</xdr:row>
      <xdr:rowOff>76200</xdr:rowOff>
    </xdr:from>
    <xdr:to>
      <xdr:col>3</xdr:col>
      <xdr:colOff>2357590</xdr:colOff>
      <xdr:row>0</xdr:row>
      <xdr:rowOff>608013</xdr:rowOff>
    </xdr:to>
    <xdr:sp macro="[0]!bt_chkcont_norates_click" textlink="">
      <xdr:nvSpPr>
        <xdr:cNvPr id="3" name="bt_chkcont">
          <a:extLst>
            <a:ext uri="{FF2B5EF4-FFF2-40B4-BE49-F238E27FC236}">
              <a16:creationId xmlns:a16="http://schemas.microsoft.com/office/drawing/2014/main" id="{00000000-0008-0000-0300-000003000000}"/>
            </a:ext>
          </a:extLst>
        </xdr:cNvPr>
        <xdr:cNvSpPr/>
      </xdr:nvSpPr>
      <xdr:spPr>
        <a:xfrm>
          <a:off x="2057400" y="76200"/>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83007</xdr:colOff>
      <xdr:row>0</xdr:row>
      <xdr:rowOff>466725</xdr:rowOff>
    </xdr:to>
    <xdr:sp macro="[0]!bt_pewpph" textlink="">
      <xdr:nvSpPr>
        <xdr:cNvPr id="2" name="bt_prepph">
          <a:extLst>
            <a:ext uri="{FF2B5EF4-FFF2-40B4-BE49-F238E27FC236}">
              <a16:creationId xmlns:a16="http://schemas.microsoft.com/office/drawing/2014/main" id="{00000000-0008-0000-0400-000002000000}"/>
            </a:ext>
          </a:extLst>
        </xdr:cNvPr>
        <xdr:cNvSpPr/>
      </xdr:nvSpPr>
      <xdr:spPr>
        <a:xfrm>
          <a:off x="190500" y="95250"/>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05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200025</xdr:colOff>
      <xdr:row>0</xdr:row>
      <xdr:rowOff>400050</xdr:rowOff>
    </xdr:to>
    <xdr:sp macro="[0]!bt_chksp_click" textlink="">
      <xdr:nvSpPr>
        <xdr:cNvPr id="3" name="bt_chksp">
          <a:extLst>
            <a:ext uri="{FF2B5EF4-FFF2-40B4-BE49-F238E27FC236}">
              <a16:creationId xmlns:a16="http://schemas.microsoft.com/office/drawing/2014/main" id="{00000000-0008-0000-0500-000003000000}"/>
            </a:ext>
          </a:extLst>
        </xdr:cNvPr>
        <xdr:cNvSpPr/>
      </xdr:nvSpPr>
      <xdr:spPr>
        <a:xfrm>
          <a:off x="2876550" y="0"/>
          <a:ext cx="1609725" cy="400050"/>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1092993</xdr:colOff>
      <xdr:row>0</xdr:row>
      <xdr:rowOff>523875</xdr:rowOff>
    </xdr:to>
    <xdr:sp macro="[0]!bt_crkinma_click" textlink="">
      <xdr:nvSpPr>
        <xdr:cNvPr id="2" name="bt_crkinma">
          <a:extLst>
            <a:ext uri="{FF2B5EF4-FFF2-40B4-BE49-F238E27FC236}">
              <a16:creationId xmlns:a16="http://schemas.microsoft.com/office/drawing/2014/main" id="{00000000-0008-0000-07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0</xdr:colOff>
      <xdr:row>0</xdr:row>
      <xdr:rowOff>95250</xdr:rowOff>
    </xdr:from>
    <xdr:to>
      <xdr:col>2</xdr:col>
      <xdr:colOff>1581150</xdr:colOff>
      <xdr:row>0</xdr:row>
      <xdr:rowOff>523875</xdr:rowOff>
    </xdr:to>
    <xdr:sp macro="[0]!bt_chkst_click" textlink="">
      <xdr:nvSpPr>
        <xdr:cNvPr id="3" name="bt_chkst">
          <a:extLst>
            <a:ext uri="{FF2B5EF4-FFF2-40B4-BE49-F238E27FC236}">
              <a16:creationId xmlns:a16="http://schemas.microsoft.com/office/drawing/2014/main" id="{00000000-0008-0000-07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8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179299</xdr:rowOff>
    </xdr:from>
    <xdr:to>
      <xdr:col>1</xdr:col>
      <xdr:colOff>1390686</xdr:colOff>
      <xdr:row>0</xdr:row>
      <xdr:rowOff>549729</xdr:rowOff>
    </xdr:to>
    <xdr:sp macro="[0]!bt_calcvar" textlink="">
      <xdr:nvSpPr>
        <xdr:cNvPr id="2" name="bt_calc">
          <a:extLst>
            <a:ext uri="{FF2B5EF4-FFF2-40B4-BE49-F238E27FC236}">
              <a16:creationId xmlns:a16="http://schemas.microsoft.com/office/drawing/2014/main" id="{00000000-0008-0000-0A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C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persons/person.xml><?xml version="1.0" encoding="utf-8"?>
<personList xmlns="http://schemas.microsoft.com/office/spreadsheetml/2018/threadedcomments" xmlns:x="http://schemas.openxmlformats.org/spreadsheetml/2006/main">
  <person displayName="Ferenc Házi" id="{172AC7F8-EE4B-4123-BD89-353DA38FC102}" userId="09190b45b532d636" providerId="Windows Liv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59" dT="2020-02-03T15:48:49.14" personId="{172AC7F8-EE4B-4123-BD89-353DA38FC102}" id="{EFC543CF-5BE4-43AF-B9F4-EDB24559D8ED}">
    <text>+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H2S&amp;NoIon=on&amp;Units=SI&amp;cSO=on" TargetMode="External"/><Relationship Id="rId7" Type="http://schemas.openxmlformats.org/officeDocument/2006/relationships/hyperlink" Target="http://webbook.nist.gov/cgi/cbook.cgi?Formula=CH4&amp;NoIon=on&amp;Units=SI&amp;cSO=on" TargetMode="External"/><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Formula=NH3&amp;NoIon=on&amp;Units=SI&amp;cSO=on"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printerSettings" Target="../printerSettings/printerSettings9.bin"/><Relationship Id="rId5" Type="http://schemas.openxmlformats.org/officeDocument/2006/relationships/hyperlink" Target="http://webbook.nist.gov/cgi/cbook.cgi?Formula=H2&amp;NoIon=on&amp;Units=SI&amp;cSO=on" TargetMode="External"/><Relationship Id="rId10" Type="http://schemas.openxmlformats.org/officeDocument/2006/relationships/hyperlink" Target="http://webbook.nist.gov/cgi/cbook.cgi?ID=C124389&amp;Mask=10"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ww.vias.org/genchem/standard_enthalpies_table.html"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11.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22"/>
  <dimension ref="A1:L260"/>
  <sheetViews>
    <sheetView showGridLines="0" tabSelected="1" zoomScaleNormal="100" workbookViewId="0"/>
  </sheetViews>
  <sheetFormatPr baseColWidth="10" defaultColWidth="9.140625" defaultRowHeight="15" x14ac:dyDescent="0.25"/>
  <cols>
    <col min="1" max="1" width="3.7109375" customWidth="1"/>
    <col min="2" max="2" width="13.140625" customWidth="1"/>
    <col min="3" max="3" width="12.28515625" customWidth="1"/>
    <col min="5" max="5" width="25.140625" customWidth="1"/>
    <col min="6" max="6" width="25.28515625" customWidth="1"/>
    <col min="7" max="7" width="13.28515625" customWidth="1"/>
    <col min="14" max="14" width="5.140625" customWidth="1"/>
  </cols>
  <sheetData>
    <row r="1" spans="2:8" s="47" customFormat="1" ht="47.25" customHeight="1" x14ac:dyDescent="0.25"/>
    <row r="3" spans="2:8" x14ac:dyDescent="0.25">
      <c r="B3" s="52" t="s">
        <v>153</v>
      </c>
      <c r="C3" s="1" t="s">
        <v>3067</v>
      </c>
      <c r="D3" t="s">
        <v>4304</v>
      </c>
    </row>
    <row r="4" spans="2:8" x14ac:dyDescent="0.25">
      <c r="B4" s="119"/>
      <c r="C4" s="1"/>
      <c r="D4" s="122" t="s">
        <v>4293</v>
      </c>
    </row>
    <row r="5" spans="2:8" x14ac:dyDescent="0.25">
      <c r="D5" t="s">
        <v>220</v>
      </c>
    </row>
    <row r="6" spans="2:8" x14ac:dyDescent="0.25">
      <c r="D6" t="s">
        <v>221</v>
      </c>
    </row>
    <row r="7" spans="2:8" x14ac:dyDescent="0.25">
      <c r="D7" t="s">
        <v>3324</v>
      </c>
    </row>
    <row r="8" spans="2:8" x14ac:dyDescent="0.25">
      <c r="D8" t="s">
        <v>222</v>
      </c>
    </row>
    <row r="9" spans="2:8" x14ac:dyDescent="0.25">
      <c r="D9" t="s">
        <v>3325</v>
      </c>
    </row>
    <row r="10" spans="2:8" x14ac:dyDescent="0.25">
      <c r="D10" t="s">
        <v>4287</v>
      </c>
    </row>
    <row r="11" spans="2:8" x14ac:dyDescent="0.25">
      <c r="D11" t="s">
        <v>283</v>
      </c>
    </row>
    <row r="12" spans="2:8" x14ac:dyDescent="0.25">
      <c r="D12" t="s">
        <v>1613</v>
      </c>
    </row>
    <row r="13" spans="2:8" x14ac:dyDescent="0.25">
      <c r="D13" t="s">
        <v>285</v>
      </c>
    </row>
    <row r="14" spans="2:8" x14ac:dyDescent="0.25">
      <c r="D14" t="s">
        <v>286</v>
      </c>
    </row>
    <row r="15" spans="2:8" x14ac:dyDescent="0.25">
      <c r="D15" t="s">
        <v>2105</v>
      </c>
      <c r="H15" s="1275" t="s">
        <v>1166</v>
      </c>
    </row>
    <row r="19" spans="1:10" x14ac:dyDescent="0.25">
      <c r="B19" s="52" t="s">
        <v>27</v>
      </c>
      <c r="C19" s="53"/>
      <c r="H19" s="52" t="s">
        <v>212</v>
      </c>
      <c r="I19" s="53"/>
      <c r="J19" s="53"/>
    </row>
    <row r="20" spans="1:10" x14ac:dyDescent="0.25">
      <c r="A20" s="119" t="s">
        <v>1904</v>
      </c>
      <c r="H20">
        <v>1</v>
      </c>
      <c r="I20" t="s">
        <v>213</v>
      </c>
    </row>
    <row r="21" spans="1:10" x14ac:dyDescent="0.25">
      <c r="A21">
        <v>1</v>
      </c>
      <c r="B21" t="s">
        <v>1905</v>
      </c>
      <c r="H21">
        <v>2</v>
      </c>
      <c r="I21" t="s">
        <v>3540</v>
      </c>
    </row>
    <row r="22" spans="1:10" x14ac:dyDescent="0.25">
      <c r="A22">
        <v>2</v>
      </c>
      <c r="B22" t="s">
        <v>1906</v>
      </c>
    </row>
    <row r="23" spans="1:10" x14ac:dyDescent="0.25">
      <c r="B23">
        <v>1</v>
      </c>
      <c r="C23" t="s">
        <v>1907</v>
      </c>
    </row>
    <row r="24" spans="1:10" x14ac:dyDescent="0.25">
      <c r="B24">
        <v>2</v>
      </c>
      <c r="C24" t="s">
        <v>1908</v>
      </c>
    </row>
    <row r="25" spans="1:10" x14ac:dyDescent="0.25">
      <c r="B25">
        <v>3</v>
      </c>
      <c r="C25" t="s">
        <v>1909</v>
      </c>
    </row>
    <row r="26" spans="1:10" x14ac:dyDescent="0.25">
      <c r="B26">
        <v>4</v>
      </c>
      <c r="C26" t="s">
        <v>1910</v>
      </c>
    </row>
    <row r="27" spans="1:10" x14ac:dyDescent="0.25">
      <c r="B27">
        <v>5</v>
      </c>
      <c r="C27" t="s">
        <v>1911</v>
      </c>
    </row>
    <row r="28" spans="1:10" x14ac:dyDescent="0.25">
      <c r="A28">
        <v>3</v>
      </c>
      <c r="B28" t="s">
        <v>1912</v>
      </c>
    </row>
    <row r="29" spans="1:10" x14ac:dyDescent="0.25">
      <c r="C29" t="s">
        <v>1913</v>
      </c>
    </row>
    <row r="31" spans="1:10" x14ac:dyDescent="0.25">
      <c r="A31" s="1" t="s">
        <v>28</v>
      </c>
      <c r="B31" s="1" t="s">
        <v>29</v>
      </c>
    </row>
    <row r="32" spans="1:10" x14ac:dyDescent="0.25">
      <c r="B32">
        <v>1</v>
      </c>
      <c r="C32" t="s">
        <v>792</v>
      </c>
    </row>
    <row r="33" spans="2:5" x14ac:dyDescent="0.25">
      <c r="D33" t="s">
        <v>30</v>
      </c>
    </row>
    <row r="34" spans="2:5" x14ac:dyDescent="0.25">
      <c r="D34">
        <v>1</v>
      </c>
      <c r="E34" t="s">
        <v>31</v>
      </c>
    </row>
    <row r="35" spans="2:5" x14ac:dyDescent="0.25">
      <c r="D35">
        <v>2</v>
      </c>
      <c r="E35" t="s">
        <v>101</v>
      </c>
    </row>
    <row r="36" spans="2:5" x14ac:dyDescent="0.25">
      <c r="D36">
        <v>3</v>
      </c>
      <c r="E36" t="s">
        <v>154</v>
      </c>
    </row>
    <row r="37" spans="2:5" x14ac:dyDescent="0.25">
      <c r="D37">
        <v>4</v>
      </c>
      <c r="E37" t="s">
        <v>33</v>
      </c>
    </row>
    <row r="38" spans="2:5" x14ac:dyDescent="0.25">
      <c r="B38">
        <v>2</v>
      </c>
      <c r="C38" t="s">
        <v>793</v>
      </c>
    </row>
    <row r="39" spans="2:5" x14ac:dyDescent="0.25">
      <c r="D39">
        <v>1</v>
      </c>
      <c r="E39" t="s">
        <v>34</v>
      </c>
    </row>
    <row r="40" spans="2:5" x14ac:dyDescent="0.25">
      <c r="D40">
        <v>2</v>
      </c>
      <c r="E40" t="s">
        <v>155</v>
      </c>
    </row>
    <row r="41" spans="2:5" x14ac:dyDescent="0.25">
      <c r="D41">
        <v>3</v>
      </c>
      <c r="E41" t="s">
        <v>156</v>
      </c>
    </row>
    <row r="42" spans="2:5" x14ac:dyDescent="0.25">
      <c r="D42">
        <v>3</v>
      </c>
      <c r="E42" t="s">
        <v>157</v>
      </c>
    </row>
    <row r="43" spans="2:5" x14ac:dyDescent="0.25">
      <c r="D43">
        <v>4</v>
      </c>
      <c r="E43" t="s">
        <v>158</v>
      </c>
    </row>
    <row r="44" spans="2:5" x14ac:dyDescent="0.25">
      <c r="D44" s="120" t="s">
        <v>159</v>
      </c>
      <c r="E44" t="s">
        <v>36</v>
      </c>
    </row>
    <row r="45" spans="2:5" x14ac:dyDescent="0.25">
      <c r="D45">
        <v>6</v>
      </c>
      <c r="E45" t="s">
        <v>37</v>
      </c>
    </row>
    <row r="46" spans="2:5" x14ac:dyDescent="0.25">
      <c r="B46">
        <v>3</v>
      </c>
      <c r="C46" t="s">
        <v>38</v>
      </c>
    </row>
    <row r="47" spans="2:5" x14ac:dyDescent="0.25">
      <c r="D47">
        <v>1</v>
      </c>
      <c r="E47" t="s">
        <v>39</v>
      </c>
    </row>
    <row r="48" spans="2:5" x14ac:dyDescent="0.25">
      <c r="D48">
        <v>2</v>
      </c>
      <c r="E48" t="s">
        <v>40</v>
      </c>
    </row>
    <row r="49" spans="2:10" x14ac:dyDescent="0.25">
      <c r="D49">
        <v>3</v>
      </c>
      <c r="E49" t="s">
        <v>41</v>
      </c>
    </row>
    <row r="50" spans="2:10" x14ac:dyDescent="0.25">
      <c r="B50">
        <v>4</v>
      </c>
      <c r="C50" t="s">
        <v>160</v>
      </c>
    </row>
    <row r="51" spans="2:10" x14ac:dyDescent="0.25">
      <c r="D51">
        <v>1</v>
      </c>
      <c r="E51" t="s">
        <v>161</v>
      </c>
    </row>
    <row r="52" spans="2:10" x14ac:dyDescent="0.25">
      <c r="B52">
        <v>5</v>
      </c>
      <c r="C52" t="s">
        <v>793</v>
      </c>
    </row>
    <row r="53" spans="2:10" x14ac:dyDescent="0.25">
      <c r="D53">
        <v>1</v>
      </c>
      <c r="E53" t="s">
        <v>42</v>
      </c>
    </row>
    <row r="54" spans="2:10" x14ac:dyDescent="0.25">
      <c r="D54">
        <v>2</v>
      </c>
      <c r="E54" t="s">
        <v>99</v>
      </c>
    </row>
    <row r="55" spans="2:10" x14ac:dyDescent="0.25">
      <c r="D55">
        <v>3</v>
      </c>
      <c r="E55" t="s">
        <v>43</v>
      </c>
    </row>
    <row r="56" spans="2:10" x14ac:dyDescent="0.25">
      <c r="B56">
        <v>6</v>
      </c>
      <c r="C56" t="s">
        <v>1900</v>
      </c>
      <c r="J56" s="121"/>
    </row>
    <row r="57" spans="2:10" x14ac:dyDescent="0.25">
      <c r="D57">
        <v>1</v>
      </c>
      <c r="E57" t="s">
        <v>1899</v>
      </c>
    </row>
    <row r="58" spans="2:10" x14ac:dyDescent="0.25">
      <c r="D58">
        <v>2</v>
      </c>
      <c r="E58" t="s">
        <v>1901</v>
      </c>
    </row>
    <row r="59" spans="2:10" x14ac:dyDescent="0.25">
      <c r="D59">
        <v>3</v>
      </c>
      <c r="E59" t="s">
        <v>1902</v>
      </c>
    </row>
    <row r="60" spans="2:10" x14ac:dyDescent="0.25">
      <c r="D60">
        <v>4</v>
      </c>
      <c r="E60" t="s">
        <v>1903</v>
      </c>
    </row>
    <row r="62" spans="2:10" x14ac:dyDescent="0.25">
      <c r="B62" s="1" t="s">
        <v>794</v>
      </c>
    </row>
    <row r="63" spans="2:10" x14ac:dyDescent="0.25">
      <c r="B63">
        <v>1</v>
      </c>
      <c r="C63" t="s">
        <v>795</v>
      </c>
    </row>
    <row r="64" spans="2:10" x14ac:dyDescent="0.25">
      <c r="D64" t="s">
        <v>44</v>
      </c>
    </row>
    <row r="65" spans="2:5" x14ac:dyDescent="0.25">
      <c r="D65">
        <v>1</v>
      </c>
      <c r="E65" t="s">
        <v>45</v>
      </c>
    </row>
    <row r="66" spans="2:5" x14ac:dyDescent="0.25">
      <c r="D66">
        <v>2</v>
      </c>
      <c r="E66" t="s">
        <v>46</v>
      </c>
    </row>
    <row r="67" spans="2:5" x14ac:dyDescent="0.25">
      <c r="D67">
        <v>3</v>
      </c>
      <c r="E67" t="s">
        <v>119</v>
      </c>
    </row>
    <row r="68" spans="2:5" x14ac:dyDescent="0.25">
      <c r="D68">
        <v>4</v>
      </c>
      <c r="E68" t="s">
        <v>1898</v>
      </c>
    </row>
    <row r="69" spans="2:5" x14ac:dyDescent="0.25">
      <c r="B69">
        <v>2</v>
      </c>
      <c r="C69" t="s">
        <v>796</v>
      </c>
    </row>
    <row r="70" spans="2:5" x14ac:dyDescent="0.25">
      <c r="D70">
        <v>1</v>
      </c>
      <c r="E70" t="s">
        <v>162</v>
      </c>
    </row>
    <row r="71" spans="2:5" x14ac:dyDescent="0.25">
      <c r="D71">
        <v>2</v>
      </c>
      <c r="E71" t="s">
        <v>163</v>
      </c>
    </row>
    <row r="72" spans="2:5" x14ac:dyDescent="0.25">
      <c r="B72">
        <v>3</v>
      </c>
      <c r="C72" t="s">
        <v>3541</v>
      </c>
    </row>
    <row r="73" spans="2:5" x14ac:dyDescent="0.25">
      <c r="D73">
        <v>1</v>
      </c>
      <c r="E73" t="s">
        <v>3542</v>
      </c>
    </row>
    <row r="74" spans="2:5" x14ac:dyDescent="0.25">
      <c r="B74">
        <v>4</v>
      </c>
      <c r="C74" t="s">
        <v>3543</v>
      </c>
    </row>
    <row r="75" spans="2:5" x14ac:dyDescent="0.25">
      <c r="D75">
        <v>1</v>
      </c>
      <c r="E75" t="s">
        <v>3544</v>
      </c>
    </row>
    <row r="76" spans="2:5" x14ac:dyDescent="0.25">
      <c r="D76">
        <v>2</v>
      </c>
      <c r="E76" t="s">
        <v>3545</v>
      </c>
    </row>
    <row r="77" spans="2:5" x14ac:dyDescent="0.25">
      <c r="D77">
        <v>3</v>
      </c>
      <c r="E77" t="s">
        <v>3546</v>
      </c>
    </row>
    <row r="79" spans="2:5" x14ac:dyDescent="0.25">
      <c r="B79">
        <v>5</v>
      </c>
      <c r="C79" t="s">
        <v>796</v>
      </c>
    </row>
    <row r="80" spans="2:5" x14ac:dyDescent="0.25">
      <c r="D80">
        <v>1</v>
      </c>
      <c r="E80" t="s">
        <v>47</v>
      </c>
    </row>
    <row r="81" spans="1:6" x14ac:dyDescent="0.25">
      <c r="D81">
        <v>2</v>
      </c>
      <c r="E81" t="s">
        <v>164</v>
      </c>
    </row>
    <row r="83" spans="1:6" x14ac:dyDescent="0.25">
      <c r="A83" s="1" t="s">
        <v>48</v>
      </c>
      <c r="B83" s="1" t="s">
        <v>49</v>
      </c>
    </row>
    <row r="84" spans="1:6" x14ac:dyDescent="0.25">
      <c r="B84">
        <v>1</v>
      </c>
      <c r="C84" t="s">
        <v>792</v>
      </c>
    </row>
    <row r="85" spans="1:6" x14ac:dyDescent="0.25">
      <c r="D85" t="s">
        <v>30</v>
      </c>
    </row>
    <row r="86" spans="1:6" x14ac:dyDescent="0.25">
      <c r="D86">
        <v>1</v>
      </c>
      <c r="E86" t="s">
        <v>50</v>
      </c>
    </row>
    <row r="87" spans="1:6" x14ac:dyDescent="0.25">
      <c r="D87">
        <v>2</v>
      </c>
      <c r="E87" t="s">
        <v>102</v>
      </c>
    </row>
    <row r="88" spans="1:6" x14ac:dyDescent="0.25">
      <c r="D88">
        <v>3</v>
      </c>
      <c r="E88" t="s">
        <v>32</v>
      </c>
    </row>
    <row r="89" spans="1:6" x14ac:dyDescent="0.25">
      <c r="E89" s="787" t="s">
        <v>51</v>
      </c>
      <c r="F89" t="s">
        <v>52</v>
      </c>
    </row>
    <row r="90" spans="1:6" x14ac:dyDescent="0.25">
      <c r="E90" s="787" t="s">
        <v>53</v>
      </c>
      <c r="F90" t="s">
        <v>3547</v>
      </c>
    </row>
    <row r="91" spans="1:6" x14ac:dyDescent="0.25">
      <c r="F91" t="s">
        <v>54</v>
      </c>
    </row>
    <row r="92" spans="1:6" x14ac:dyDescent="0.25">
      <c r="B92">
        <v>2</v>
      </c>
      <c r="C92" t="s">
        <v>793</v>
      </c>
    </row>
    <row r="93" spans="1:6" x14ac:dyDescent="0.25">
      <c r="D93">
        <v>1</v>
      </c>
      <c r="E93" t="s">
        <v>55</v>
      </c>
    </row>
    <row r="94" spans="1:6" x14ac:dyDescent="0.25">
      <c r="D94">
        <v>2</v>
      </c>
      <c r="E94" t="s">
        <v>155</v>
      </c>
    </row>
    <row r="95" spans="1:6" x14ac:dyDescent="0.25">
      <c r="D95" s="120" t="s">
        <v>35</v>
      </c>
      <c r="E95" t="s">
        <v>36</v>
      </c>
    </row>
    <row r="96" spans="1:6" x14ac:dyDescent="0.25">
      <c r="D96">
        <v>4</v>
      </c>
      <c r="E96" t="s">
        <v>56</v>
      </c>
    </row>
    <row r="97" spans="2:10" x14ac:dyDescent="0.25">
      <c r="B97">
        <v>3</v>
      </c>
      <c r="C97" t="s">
        <v>38</v>
      </c>
    </row>
    <row r="98" spans="2:10" x14ac:dyDescent="0.25">
      <c r="D98">
        <v>1</v>
      </c>
      <c r="E98" t="s">
        <v>57</v>
      </c>
    </row>
    <row r="99" spans="2:10" x14ac:dyDescent="0.25">
      <c r="D99">
        <v>2</v>
      </c>
      <c r="E99" t="s">
        <v>40</v>
      </c>
    </row>
    <row r="100" spans="2:10" x14ac:dyDescent="0.25">
      <c r="D100">
        <v>3</v>
      </c>
      <c r="E100" t="s">
        <v>41</v>
      </c>
    </row>
    <row r="101" spans="2:10" x14ac:dyDescent="0.25">
      <c r="B101">
        <v>4</v>
      </c>
      <c r="C101" t="s">
        <v>160</v>
      </c>
    </row>
    <row r="102" spans="2:10" x14ac:dyDescent="0.25">
      <c r="D102">
        <v>1</v>
      </c>
      <c r="E102" t="s">
        <v>161</v>
      </c>
    </row>
    <row r="103" spans="2:10" x14ac:dyDescent="0.25">
      <c r="B103">
        <v>5</v>
      </c>
      <c r="C103" t="s">
        <v>793</v>
      </c>
    </row>
    <row r="104" spans="2:10" x14ac:dyDescent="0.25">
      <c r="D104">
        <v>1</v>
      </c>
      <c r="E104" t="s">
        <v>42</v>
      </c>
    </row>
    <row r="105" spans="2:10" x14ac:dyDescent="0.25">
      <c r="D105">
        <v>2</v>
      </c>
      <c r="E105" t="s">
        <v>99</v>
      </c>
    </row>
    <row r="106" spans="2:10" x14ac:dyDescent="0.25">
      <c r="D106">
        <v>3</v>
      </c>
      <c r="E106" t="s">
        <v>43</v>
      </c>
      <c r="J106" s="121"/>
    </row>
    <row r="107" spans="2:10" x14ac:dyDescent="0.25">
      <c r="B107">
        <v>6</v>
      </c>
      <c r="C107" t="s">
        <v>1900</v>
      </c>
    </row>
    <row r="108" spans="2:10" x14ac:dyDescent="0.25">
      <c r="D108">
        <v>1</v>
      </c>
      <c r="E108" t="s">
        <v>1899</v>
      </c>
    </row>
    <row r="109" spans="2:10" x14ac:dyDescent="0.25">
      <c r="D109">
        <v>2</v>
      </c>
      <c r="E109" t="s">
        <v>1901</v>
      </c>
    </row>
    <row r="110" spans="2:10" x14ac:dyDescent="0.25">
      <c r="D110">
        <v>3</v>
      </c>
      <c r="E110" t="s">
        <v>1902</v>
      </c>
    </row>
    <row r="111" spans="2:10" x14ac:dyDescent="0.25">
      <c r="D111">
        <v>4</v>
      </c>
      <c r="E111" t="s">
        <v>1903</v>
      </c>
    </row>
    <row r="112" spans="2:10" x14ac:dyDescent="0.25">
      <c r="B112" s="1" t="s">
        <v>58</v>
      </c>
    </row>
    <row r="113" spans="2:6" x14ac:dyDescent="0.25">
      <c r="B113">
        <v>1</v>
      </c>
      <c r="C113" t="s">
        <v>795</v>
      </c>
    </row>
    <row r="114" spans="2:6" x14ac:dyDescent="0.25">
      <c r="D114" t="s">
        <v>44</v>
      </c>
    </row>
    <row r="115" spans="2:6" x14ac:dyDescent="0.25">
      <c r="D115">
        <v>1</v>
      </c>
      <c r="E115" t="s">
        <v>59</v>
      </c>
    </row>
    <row r="116" spans="2:6" x14ac:dyDescent="0.25">
      <c r="D116">
        <v>2</v>
      </c>
      <c r="E116" t="s">
        <v>46</v>
      </c>
    </row>
    <row r="117" spans="2:6" x14ac:dyDescent="0.25">
      <c r="E117" s="787" t="s">
        <v>51</v>
      </c>
      <c r="F117" t="s">
        <v>60</v>
      </c>
    </row>
    <row r="118" spans="2:6" x14ac:dyDescent="0.25">
      <c r="E118" s="787" t="s">
        <v>53</v>
      </c>
      <c r="F118" t="s">
        <v>61</v>
      </c>
    </row>
    <row r="119" spans="2:6" x14ac:dyDescent="0.25">
      <c r="F119" t="s">
        <v>62</v>
      </c>
    </row>
    <row r="120" spans="2:6" x14ac:dyDescent="0.25">
      <c r="D120">
        <v>3</v>
      </c>
      <c r="E120" t="s">
        <v>1898</v>
      </c>
    </row>
    <row r="121" spans="2:6" x14ac:dyDescent="0.25">
      <c r="B121">
        <v>2</v>
      </c>
      <c r="C121" t="s">
        <v>796</v>
      </c>
    </row>
    <row r="122" spans="2:6" x14ac:dyDescent="0.25">
      <c r="D122">
        <v>1</v>
      </c>
      <c r="E122" t="s">
        <v>63</v>
      </c>
    </row>
    <row r="123" spans="2:6" x14ac:dyDescent="0.25">
      <c r="D123">
        <v>2</v>
      </c>
      <c r="E123" t="s">
        <v>163</v>
      </c>
    </row>
    <row r="124" spans="2:6" x14ac:dyDescent="0.25">
      <c r="E124" t="s">
        <v>3548</v>
      </c>
    </row>
    <row r="125" spans="2:6" x14ac:dyDescent="0.25">
      <c r="B125">
        <v>3</v>
      </c>
      <c r="C125" t="s">
        <v>3541</v>
      </c>
    </row>
    <row r="126" spans="2:6" x14ac:dyDescent="0.25">
      <c r="D126">
        <v>1</v>
      </c>
      <c r="E126" t="s">
        <v>3542</v>
      </c>
    </row>
    <row r="127" spans="2:6" x14ac:dyDescent="0.25">
      <c r="B127">
        <v>4</v>
      </c>
      <c r="C127" t="s">
        <v>3543</v>
      </c>
    </row>
    <row r="128" spans="2:6" x14ac:dyDescent="0.25">
      <c r="D128">
        <v>1</v>
      </c>
      <c r="E128" t="s">
        <v>3544</v>
      </c>
    </row>
    <row r="129" spans="2:7" x14ac:dyDescent="0.25">
      <c r="D129">
        <v>2</v>
      </c>
      <c r="E129" t="s">
        <v>3545</v>
      </c>
    </row>
    <row r="130" spans="2:7" x14ac:dyDescent="0.25">
      <c r="D130">
        <v>3</v>
      </c>
      <c r="E130" t="s">
        <v>3549</v>
      </c>
    </row>
    <row r="131" spans="2:7" x14ac:dyDescent="0.25">
      <c r="D131">
        <v>4</v>
      </c>
      <c r="E131" t="s">
        <v>3546</v>
      </c>
    </row>
    <row r="132" spans="2:7" x14ac:dyDescent="0.25">
      <c r="B132">
        <v>5</v>
      </c>
      <c r="C132" t="s">
        <v>796</v>
      </c>
    </row>
    <row r="133" spans="2:7" x14ac:dyDescent="0.25">
      <c r="D133">
        <v>1</v>
      </c>
      <c r="E133" t="s">
        <v>47</v>
      </c>
    </row>
    <row r="138" spans="2:7" x14ac:dyDescent="0.25">
      <c r="B138" s="52" t="s">
        <v>64</v>
      </c>
      <c r="C138" s="52"/>
      <c r="D138" s="52"/>
    </row>
    <row r="140" spans="2:7" x14ac:dyDescent="0.25">
      <c r="B140" s="1" t="s">
        <v>65</v>
      </c>
      <c r="C140" t="s">
        <v>66</v>
      </c>
    </row>
    <row r="141" spans="2:7" x14ac:dyDescent="0.25">
      <c r="C141" t="s">
        <v>67</v>
      </c>
    </row>
    <row r="142" spans="2:7" x14ac:dyDescent="0.25">
      <c r="C142" t="s">
        <v>125</v>
      </c>
    </row>
    <row r="143" spans="2:7" ht="15.75" thickBot="1" x14ac:dyDescent="0.3">
      <c r="C143" s="788"/>
      <c r="D143" s="789"/>
      <c r="E143" s="789"/>
      <c r="F143" s="789"/>
      <c r="G143" s="788"/>
    </row>
    <row r="144" spans="2:7" x14ac:dyDescent="0.25">
      <c r="C144" s="123"/>
      <c r="D144" s="790" t="s">
        <v>26</v>
      </c>
      <c r="E144" s="791"/>
      <c r="F144" s="792">
        <v>3.52</v>
      </c>
      <c r="G144" s="793"/>
    </row>
    <row r="145" spans="2:7" x14ac:dyDescent="0.25">
      <c r="C145" s="123"/>
      <c r="D145" s="794" t="s">
        <v>68</v>
      </c>
      <c r="E145" s="795"/>
      <c r="F145" s="796">
        <v>1.23</v>
      </c>
      <c r="G145" s="793"/>
    </row>
    <row r="146" spans="2:7" x14ac:dyDescent="0.25">
      <c r="C146" s="123"/>
      <c r="D146" s="794" t="s">
        <v>69</v>
      </c>
      <c r="E146" s="795"/>
      <c r="F146" s="796">
        <v>0.02</v>
      </c>
      <c r="G146" s="793"/>
    </row>
    <row r="147" spans="2:7" ht="15.75" thickBot="1" x14ac:dyDescent="0.3">
      <c r="C147" s="123"/>
      <c r="D147" s="797" t="s">
        <v>70</v>
      </c>
      <c r="E147" s="798"/>
      <c r="F147" s="799">
        <v>4.21</v>
      </c>
      <c r="G147" s="793"/>
    </row>
    <row r="148" spans="2:7" x14ac:dyDescent="0.25">
      <c r="C148" s="788"/>
      <c r="D148" s="124"/>
      <c r="E148" s="124"/>
      <c r="F148" s="124"/>
      <c r="G148" s="788"/>
    </row>
    <row r="156" spans="2:7" x14ac:dyDescent="0.25">
      <c r="B156" s="1" t="s">
        <v>792</v>
      </c>
    </row>
    <row r="157" spans="2:7" x14ac:dyDescent="0.25">
      <c r="C157" s="8" t="s">
        <v>71</v>
      </c>
    </row>
    <row r="158" spans="2:7" x14ac:dyDescent="0.25">
      <c r="C158" t="s">
        <v>72</v>
      </c>
    </row>
    <row r="159" spans="2:7" x14ac:dyDescent="0.25">
      <c r="C159" t="s">
        <v>73</v>
      </c>
    </row>
    <row r="160" spans="2:7" x14ac:dyDescent="0.25">
      <c r="C160" t="s">
        <v>74</v>
      </c>
    </row>
    <row r="162" spans="2:4" x14ac:dyDescent="0.25">
      <c r="C162" s="8" t="s">
        <v>75</v>
      </c>
    </row>
    <row r="163" spans="2:4" x14ac:dyDescent="0.25">
      <c r="C163" t="s">
        <v>76</v>
      </c>
    </row>
    <row r="164" spans="2:4" x14ac:dyDescent="0.25">
      <c r="D164" t="s">
        <v>16</v>
      </c>
    </row>
    <row r="165" spans="2:4" x14ac:dyDescent="0.25">
      <c r="C165" t="s">
        <v>103</v>
      </c>
    </row>
    <row r="167" spans="2:4" x14ac:dyDescent="0.25">
      <c r="B167" s="1" t="s">
        <v>795</v>
      </c>
    </row>
    <row r="168" spans="2:4" x14ac:dyDescent="0.25">
      <c r="C168" s="8" t="s">
        <v>77</v>
      </c>
    </row>
    <row r="169" spans="2:4" x14ac:dyDescent="0.25">
      <c r="C169" t="s">
        <v>78</v>
      </c>
    </row>
    <row r="170" spans="2:4" x14ac:dyDescent="0.25">
      <c r="C170" t="s">
        <v>73</v>
      </c>
    </row>
    <row r="172" spans="2:4" x14ac:dyDescent="0.25">
      <c r="C172" s="8" t="s">
        <v>79</v>
      </c>
    </row>
    <row r="173" spans="2:4" x14ac:dyDescent="0.25">
      <c r="C173" s="126" t="s">
        <v>17</v>
      </c>
    </row>
    <row r="174" spans="2:4" x14ac:dyDescent="0.25">
      <c r="C174" s="126"/>
      <c r="D174" t="s">
        <v>16</v>
      </c>
    </row>
    <row r="175" spans="2:4" x14ac:dyDescent="0.25">
      <c r="C175" s="126"/>
    </row>
    <row r="176" spans="2:4" x14ac:dyDescent="0.25">
      <c r="B176" s="1" t="s">
        <v>793</v>
      </c>
      <c r="C176" s="126"/>
    </row>
    <row r="177" spans="3:5" x14ac:dyDescent="0.25">
      <c r="C177" s="8" t="s">
        <v>104</v>
      </c>
    </row>
    <row r="178" spans="3:5" x14ac:dyDescent="0.25">
      <c r="C178" t="s">
        <v>105</v>
      </c>
    </row>
    <row r="179" spans="3:5" x14ac:dyDescent="0.25">
      <c r="D179" t="s">
        <v>80</v>
      </c>
    </row>
    <row r="180" spans="3:5" x14ac:dyDescent="0.25">
      <c r="E180" t="s">
        <v>81</v>
      </c>
    </row>
    <row r="181" spans="3:5" x14ac:dyDescent="0.25">
      <c r="E181" t="s">
        <v>82</v>
      </c>
    </row>
    <row r="182" spans="3:5" x14ac:dyDescent="0.25">
      <c r="D182" t="s">
        <v>18</v>
      </c>
    </row>
    <row r="183" spans="3:5" x14ac:dyDescent="0.25">
      <c r="E183" t="s">
        <v>19</v>
      </c>
    </row>
    <row r="184" spans="3:5" x14ac:dyDescent="0.25">
      <c r="E184" t="s">
        <v>10</v>
      </c>
    </row>
    <row r="185" spans="3:5" x14ac:dyDescent="0.25">
      <c r="E185" t="s">
        <v>83</v>
      </c>
    </row>
    <row r="186" spans="3:5" x14ac:dyDescent="0.25">
      <c r="D186" t="s">
        <v>84</v>
      </c>
    </row>
    <row r="187" spans="3:5" x14ac:dyDescent="0.25">
      <c r="D187" t="s">
        <v>100</v>
      </c>
    </row>
    <row r="188" spans="3:5" x14ac:dyDescent="0.25">
      <c r="D188" t="s">
        <v>20</v>
      </c>
    </row>
    <row r="189" spans="3:5" x14ac:dyDescent="0.25">
      <c r="C189" t="s">
        <v>106</v>
      </c>
    </row>
    <row r="191" spans="3:5" x14ac:dyDescent="0.25">
      <c r="D191" t="s">
        <v>797</v>
      </c>
    </row>
    <row r="192" spans="3:5" ht="15.75" thickBot="1" x14ac:dyDescent="0.3"/>
    <row r="193" spans="4:12" ht="15.75" thickBot="1" x14ac:dyDescent="0.3">
      <c r="E193" s="800" t="s">
        <v>0</v>
      </c>
      <c r="F193" s="801" t="s">
        <v>1</v>
      </c>
      <c r="G193" s="2641" t="s">
        <v>5</v>
      </c>
      <c r="H193" s="2641"/>
      <c r="I193" s="2641"/>
      <c r="J193" s="2641"/>
      <c r="K193" s="2641"/>
      <c r="L193" s="2642"/>
    </row>
    <row r="194" spans="4:12" x14ac:dyDescent="0.25">
      <c r="E194" s="133" t="s">
        <v>165</v>
      </c>
      <c r="F194" s="88" t="s">
        <v>166</v>
      </c>
      <c r="G194" s="2643" t="s">
        <v>167</v>
      </c>
      <c r="H194" s="2643"/>
      <c r="I194" s="2643"/>
      <c r="J194" s="2643"/>
      <c r="K194" s="2643"/>
      <c r="L194" s="2644"/>
    </row>
    <row r="195" spans="4:12" x14ac:dyDescent="0.25">
      <c r="E195" s="762" t="s">
        <v>168</v>
      </c>
      <c r="F195" s="763" t="s">
        <v>169</v>
      </c>
      <c r="G195" s="2637" t="s">
        <v>170</v>
      </c>
      <c r="H195" s="2637"/>
      <c r="I195" s="2637"/>
      <c r="J195" s="2637"/>
      <c r="K195" s="2637"/>
      <c r="L195" s="2638"/>
    </row>
    <row r="196" spans="4:12" x14ac:dyDescent="0.25">
      <c r="E196" s="762" t="s">
        <v>171</v>
      </c>
      <c r="F196" s="763" t="s">
        <v>172</v>
      </c>
      <c r="G196" s="2637" t="s">
        <v>173</v>
      </c>
      <c r="H196" s="2637"/>
      <c r="I196" s="2637"/>
      <c r="J196" s="2637"/>
      <c r="K196" s="2637"/>
      <c r="L196" s="2638"/>
    </row>
    <row r="197" spans="4:12" x14ac:dyDescent="0.25">
      <c r="E197" s="762" t="s">
        <v>174</v>
      </c>
      <c r="F197" s="763" t="s">
        <v>175</v>
      </c>
      <c r="G197" s="2637" t="s">
        <v>176</v>
      </c>
      <c r="H197" s="2637"/>
      <c r="I197" s="2637"/>
      <c r="J197" s="2637"/>
      <c r="K197" s="2637"/>
      <c r="L197" s="2638"/>
    </row>
    <row r="198" spans="4:12" x14ac:dyDescent="0.25">
      <c r="E198" s="762" t="s">
        <v>177</v>
      </c>
      <c r="F198" s="763" t="s">
        <v>178</v>
      </c>
      <c r="G198" s="2637" t="s">
        <v>179</v>
      </c>
      <c r="H198" s="2637"/>
      <c r="I198" s="2637"/>
      <c r="J198" s="2637"/>
      <c r="K198" s="2637"/>
      <c r="L198" s="2638"/>
    </row>
    <row r="199" spans="4:12" x14ac:dyDescent="0.25">
      <c r="E199" s="762" t="s">
        <v>180</v>
      </c>
      <c r="F199" s="763" t="s">
        <v>181</v>
      </c>
      <c r="G199" s="2637" t="s">
        <v>182</v>
      </c>
      <c r="H199" s="2637"/>
      <c r="I199" s="2637"/>
      <c r="J199" s="2637"/>
      <c r="K199" s="2637"/>
      <c r="L199" s="2638"/>
    </row>
    <row r="200" spans="4:12" x14ac:dyDescent="0.25">
      <c r="E200" s="762" t="s">
        <v>183</v>
      </c>
      <c r="F200" s="763" t="s">
        <v>184</v>
      </c>
      <c r="G200" s="2637" t="s">
        <v>185</v>
      </c>
      <c r="H200" s="2637"/>
      <c r="I200" s="2637"/>
      <c r="J200" s="2637"/>
      <c r="K200" s="2637"/>
      <c r="L200" s="2638"/>
    </row>
    <row r="201" spans="4:12" x14ac:dyDescent="0.25">
      <c r="E201" s="762" t="s">
        <v>151</v>
      </c>
      <c r="F201" s="763" t="s">
        <v>149</v>
      </c>
      <c r="G201" s="2637" t="s">
        <v>150</v>
      </c>
      <c r="H201" s="2637"/>
      <c r="I201" s="2637"/>
      <c r="J201" s="2637"/>
      <c r="K201" s="2637"/>
      <c r="L201" s="2638"/>
    </row>
    <row r="202" spans="4:12" ht="15.75" thickBot="1" x14ac:dyDescent="0.3">
      <c r="E202" s="802" t="s">
        <v>186</v>
      </c>
      <c r="F202" s="803" t="s">
        <v>187</v>
      </c>
      <c r="G202" s="2639" t="s">
        <v>188</v>
      </c>
      <c r="H202" s="2639"/>
      <c r="I202" s="2639"/>
      <c r="J202" s="2639"/>
      <c r="K202" s="2639"/>
      <c r="L202" s="2640"/>
    </row>
    <row r="203" spans="4:12" x14ac:dyDescent="0.25">
      <c r="E203" s="45"/>
      <c r="F203" s="46"/>
      <c r="G203" s="46"/>
    </row>
    <row r="204" spans="4:12" ht="15.75" thickBot="1" x14ac:dyDescent="0.3">
      <c r="D204" t="s">
        <v>189</v>
      </c>
    </row>
    <row r="205" spans="4:12" ht="15.75" thickBot="1" x14ac:dyDescent="0.3">
      <c r="E205" s="340" t="s">
        <v>0</v>
      </c>
      <c r="F205" s="262" t="s">
        <v>1</v>
      </c>
      <c r="G205" s="804" t="s">
        <v>5</v>
      </c>
    </row>
    <row r="206" spans="4:12" x14ac:dyDescent="0.25">
      <c r="E206" s="805" t="s">
        <v>190</v>
      </c>
      <c r="F206" s="806" t="s">
        <v>191</v>
      </c>
      <c r="G206" s="807" t="s">
        <v>192</v>
      </c>
    </row>
    <row r="207" spans="4:12" x14ac:dyDescent="0.25">
      <c r="E207" s="808" t="s">
        <v>193</v>
      </c>
      <c r="F207" s="809" t="s">
        <v>194</v>
      </c>
      <c r="G207" s="810" t="s">
        <v>195</v>
      </c>
    </row>
    <row r="208" spans="4:12" x14ac:dyDescent="0.25">
      <c r="E208" s="808" t="s">
        <v>196</v>
      </c>
      <c r="F208" s="811" t="s">
        <v>197</v>
      </c>
      <c r="G208" s="812" t="s">
        <v>198</v>
      </c>
    </row>
    <row r="209" spans="2:7" x14ac:dyDescent="0.25">
      <c r="E209" s="808" t="s">
        <v>199</v>
      </c>
      <c r="F209" s="811" t="s">
        <v>200</v>
      </c>
      <c r="G209" s="812" t="s">
        <v>201</v>
      </c>
    </row>
    <row r="210" spans="2:7" x14ac:dyDescent="0.25">
      <c r="E210" s="808" t="s">
        <v>202</v>
      </c>
      <c r="F210" s="811" t="s">
        <v>203</v>
      </c>
      <c r="G210" s="812" t="s">
        <v>204</v>
      </c>
    </row>
    <row r="211" spans="2:7" ht="15.75" thickBot="1" x14ac:dyDescent="0.3">
      <c r="E211" s="813" t="s">
        <v>205</v>
      </c>
      <c r="F211" s="814" t="s">
        <v>206</v>
      </c>
      <c r="G211" s="815" t="s">
        <v>207</v>
      </c>
    </row>
    <row r="213" spans="2:7" x14ac:dyDescent="0.25">
      <c r="D213" t="s">
        <v>208</v>
      </c>
    </row>
    <row r="215" spans="2:7" x14ac:dyDescent="0.25">
      <c r="C215" t="s">
        <v>3550</v>
      </c>
    </row>
    <row r="216" spans="2:7" x14ac:dyDescent="0.25">
      <c r="C216" t="s">
        <v>111</v>
      </c>
    </row>
    <row r="217" spans="2:7" x14ac:dyDescent="0.25">
      <c r="D217" t="s">
        <v>114</v>
      </c>
    </row>
    <row r="218" spans="2:7" x14ac:dyDescent="0.25">
      <c r="C218" t="s">
        <v>112</v>
      </c>
    </row>
    <row r="219" spans="2:7" x14ac:dyDescent="0.25">
      <c r="C219" t="s">
        <v>209</v>
      </c>
    </row>
    <row r="222" spans="2:7" x14ac:dyDescent="0.25">
      <c r="B222" s="1" t="s">
        <v>796</v>
      </c>
    </row>
    <row r="223" spans="2:7" x14ac:dyDescent="0.25">
      <c r="C223" s="8" t="s">
        <v>85</v>
      </c>
    </row>
    <row r="224" spans="2:7" x14ac:dyDescent="0.25">
      <c r="C224" t="s">
        <v>86</v>
      </c>
    </row>
    <row r="225" spans="3:7" x14ac:dyDescent="0.25">
      <c r="D225" t="s">
        <v>87</v>
      </c>
      <c r="F225" s="125"/>
      <c r="G225" s="125"/>
    </row>
    <row r="226" spans="3:7" x14ac:dyDescent="0.25">
      <c r="E226" t="s">
        <v>21</v>
      </c>
    </row>
    <row r="227" spans="3:7" x14ac:dyDescent="0.25">
      <c r="E227" t="s">
        <v>22</v>
      </c>
    </row>
    <row r="228" spans="3:7" x14ac:dyDescent="0.25">
      <c r="D228" t="s">
        <v>88</v>
      </c>
    </row>
    <row r="229" spans="3:7" ht="18" x14ac:dyDescent="0.35">
      <c r="E229" t="s">
        <v>23</v>
      </c>
    </row>
    <row r="230" spans="3:7" ht="18" x14ac:dyDescent="0.35">
      <c r="E230" t="s">
        <v>89</v>
      </c>
    </row>
    <row r="231" spans="3:7" x14ac:dyDescent="0.25">
      <c r="D231" t="s">
        <v>25</v>
      </c>
    </row>
    <row r="232" spans="3:7" x14ac:dyDescent="0.25">
      <c r="D232" t="s">
        <v>24</v>
      </c>
    </row>
    <row r="233" spans="3:7" x14ac:dyDescent="0.25">
      <c r="D233" t="s">
        <v>90</v>
      </c>
    </row>
    <row r="235" spans="3:7" x14ac:dyDescent="0.25">
      <c r="C235" s="8"/>
    </row>
    <row r="239" spans="3:7" x14ac:dyDescent="0.25">
      <c r="D239" t="s">
        <v>91</v>
      </c>
    </row>
    <row r="243" spans="2:4" x14ac:dyDescent="0.25">
      <c r="D243" t="s">
        <v>92</v>
      </c>
    </row>
    <row r="246" spans="2:4" x14ac:dyDescent="0.25">
      <c r="B246" s="8" t="s">
        <v>121</v>
      </c>
    </row>
    <row r="247" spans="2:4" x14ac:dyDescent="0.25">
      <c r="B247" s="8"/>
      <c r="C247" s="8" t="s">
        <v>122</v>
      </c>
    </row>
    <row r="248" spans="2:4" x14ac:dyDescent="0.25">
      <c r="B248" s="8"/>
      <c r="C248" t="s">
        <v>123</v>
      </c>
    </row>
    <row r="249" spans="2:4" x14ac:dyDescent="0.25">
      <c r="B249" s="8"/>
      <c r="D249" t="s">
        <v>124</v>
      </c>
    </row>
    <row r="250" spans="2:4" x14ac:dyDescent="0.25">
      <c r="B250" s="8"/>
    </row>
    <row r="251" spans="2:4" x14ac:dyDescent="0.25">
      <c r="B251" s="8" t="s">
        <v>160</v>
      </c>
    </row>
    <row r="252" spans="2:4" x14ac:dyDescent="0.25">
      <c r="B252" s="8"/>
      <c r="C252" s="8" t="s">
        <v>210</v>
      </c>
    </row>
    <row r="253" spans="2:4" x14ac:dyDescent="0.25">
      <c r="B253" s="8"/>
      <c r="C253" t="s">
        <v>211</v>
      </c>
    </row>
    <row r="254" spans="2:4" x14ac:dyDescent="0.25">
      <c r="B254" s="8"/>
    </row>
    <row r="255" spans="2:4" x14ac:dyDescent="0.25">
      <c r="B255" s="8" t="s">
        <v>94</v>
      </c>
    </row>
    <row r="256" spans="2:4" x14ac:dyDescent="0.25">
      <c r="C256" t="s">
        <v>798</v>
      </c>
    </row>
    <row r="257" spans="3:4" x14ac:dyDescent="0.25">
      <c r="C257" s="8" t="s">
        <v>98</v>
      </c>
    </row>
    <row r="258" spans="3:4" x14ac:dyDescent="0.25">
      <c r="D258" t="s">
        <v>95</v>
      </c>
    </row>
    <row r="259" spans="3:4" x14ac:dyDescent="0.25">
      <c r="D259" t="s">
        <v>96</v>
      </c>
    </row>
    <row r="260" spans="3:4" x14ac:dyDescent="0.25">
      <c r="D260" t="s">
        <v>97</v>
      </c>
    </row>
  </sheetData>
  <mergeCells count="10">
    <mergeCell ref="G199:L199"/>
    <mergeCell ref="G200:L200"/>
    <mergeCell ref="G201:L201"/>
    <mergeCell ref="G202:L202"/>
    <mergeCell ref="G193:L193"/>
    <mergeCell ref="G194:L194"/>
    <mergeCell ref="G195:L195"/>
    <mergeCell ref="G196:L196"/>
    <mergeCell ref="G197:L197"/>
    <mergeCell ref="G198:L198"/>
  </mergeCells>
  <hyperlinks>
    <hyperlink ref="H15"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unka2"/>
  <dimension ref="A1:R485"/>
  <sheetViews>
    <sheetView showGridLines="0" zoomScaleNormal="100" workbookViewId="0">
      <pane ySplit="1" topLeftCell="A12" activePane="bottomLeft" state="frozen"/>
      <selection pane="bottomLeft" activeCell="B485" sqref="B485:D485"/>
    </sheetView>
  </sheetViews>
  <sheetFormatPr baseColWidth="10" defaultColWidth="9.140625" defaultRowHeight="15" outlineLevelRow="1" x14ac:dyDescent="0.25"/>
  <cols>
    <col min="1" max="1" width="9.7109375" style="104" bestFit="1" customWidth="1"/>
    <col min="2" max="2" width="23.5703125" style="113" bestFit="1" customWidth="1"/>
    <col min="3" max="3" width="92.140625" style="113" bestFit="1" customWidth="1"/>
    <col min="4" max="4" width="21.140625" style="104" customWidth="1"/>
    <col min="5" max="6" width="14.28515625" style="104" customWidth="1"/>
    <col min="7" max="7" width="16.28515625" style="104" customWidth="1"/>
    <col min="8" max="8" width="11.28515625" style="104" customWidth="1"/>
    <col min="9" max="9" width="18.5703125" style="113" customWidth="1"/>
    <col min="10" max="10" width="96.28515625" style="113" bestFit="1" customWidth="1"/>
    <col min="11" max="11" width="8.7109375" style="104" customWidth="1"/>
    <col min="12" max="12" width="19.5703125" style="104" customWidth="1"/>
    <col min="13" max="13" width="7.7109375" style="104" customWidth="1"/>
    <col min="14" max="14" width="9.140625" style="104" customWidth="1"/>
    <col min="15" max="15" width="48.140625" style="104" bestFit="1" customWidth="1"/>
    <col min="16" max="16" width="53.7109375" style="104" bestFit="1" customWidth="1"/>
    <col min="17" max="16384" width="9.140625" style="104"/>
  </cols>
  <sheetData>
    <row r="1" spans="1:16" s="102" customFormat="1" ht="57.6" customHeight="1" x14ac:dyDescent="0.25">
      <c r="A1" s="101"/>
      <c r="B1" s="138"/>
      <c r="C1" s="138"/>
      <c r="I1" s="138"/>
      <c r="J1" s="138"/>
    </row>
    <row r="2" spans="1:16" s="103" customFormat="1" ht="15.75" thickBot="1" x14ac:dyDescent="0.3">
      <c r="B2" s="135"/>
      <c r="C2" s="140"/>
      <c r="D2" s="136"/>
      <c r="E2" s="137"/>
      <c r="F2" s="137"/>
      <c r="G2" s="137"/>
      <c r="H2" s="137"/>
      <c r="I2" s="140"/>
      <c r="J2" s="140"/>
    </row>
    <row r="3" spans="1:16" s="256" customFormat="1" ht="15.75" thickBot="1" x14ac:dyDescent="0.3">
      <c r="A3" s="258" t="s">
        <v>1155</v>
      </c>
      <c r="B3" s="961"/>
      <c r="C3" s="260"/>
      <c r="D3" s="265"/>
      <c r="E3" s="266"/>
      <c r="F3" s="266"/>
      <c r="G3" s="266"/>
      <c r="H3" s="266"/>
      <c r="I3" s="260"/>
      <c r="J3" s="260"/>
      <c r="K3" s="257"/>
      <c r="L3" s="257"/>
      <c r="M3" s="257"/>
      <c r="N3" s="257"/>
      <c r="O3" s="257"/>
      <c r="P3" s="257"/>
    </row>
    <row r="4" spans="1:16" s="103" customFormat="1" ht="15.75" thickBot="1" x14ac:dyDescent="0.3">
      <c r="B4" s="113"/>
      <c r="C4" s="1012"/>
      <c r="D4" s="2535"/>
      <c r="E4" s="2543"/>
      <c r="F4" s="2543"/>
      <c r="G4" s="2543"/>
      <c r="H4" s="2543"/>
      <c r="I4" s="1012"/>
      <c r="J4" s="1007"/>
    </row>
    <row r="5" spans="1:16" ht="15.75" thickBot="1" x14ac:dyDescent="0.3">
      <c r="A5" s="103"/>
      <c r="C5" s="1291" t="s">
        <v>2169</v>
      </c>
      <c r="D5" s="104" t="s">
        <v>299</v>
      </c>
    </row>
    <row r="6" spans="1:16" s="103" customFormat="1" ht="15.75" thickBot="1" x14ac:dyDescent="0.3">
      <c r="B6" s="259" t="s">
        <v>0</v>
      </c>
      <c r="C6" s="261" t="s">
        <v>1</v>
      </c>
      <c r="D6" s="263" t="s">
        <v>839</v>
      </c>
      <c r="E6" s="263" t="s">
        <v>470</v>
      </c>
      <c r="F6" s="263" t="s">
        <v>471</v>
      </c>
      <c r="G6" s="263" t="s">
        <v>2</v>
      </c>
      <c r="H6" s="263" t="s">
        <v>298</v>
      </c>
      <c r="I6" s="261" t="s">
        <v>116</v>
      </c>
      <c r="J6" s="267" t="s">
        <v>117</v>
      </c>
    </row>
    <row r="7" spans="1:16" s="103" customFormat="1" ht="18" outlineLevel="1" x14ac:dyDescent="0.25">
      <c r="B7" s="161" t="s">
        <v>1184</v>
      </c>
      <c r="C7" s="479" t="s">
        <v>274</v>
      </c>
      <c r="D7" s="162">
        <v>4</v>
      </c>
      <c r="E7" s="163">
        <v>0</v>
      </c>
      <c r="F7" s="163" t="s">
        <v>1253</v>
      </c>
      <c r="G7" s="163" t="s">
        <v>443</v>
      </c>
      <c r="H7" s="163">
        <v>1</v>
      </c>
      <c r="I7" s="1296" t="s">
        <v>1996</v>
      </c>
      <c r="J7" s="1297"/>
    </row>
    <row r="8" spans="1:16" s="103" customFormat="1" ht="18" outlineLevel="1" x14ac:dyDescent="0.25">
      <c r="B8" s="161" t="s">
        <v>1186</v>
      </c>
      <c r="C8" s="479" t="s">
        <v>2446</v>
      </c>
      <c r="D8" s="162">
        <v>0.3</v>
      </c>
      <c r="E8" s="163">
        <v>0</v>
      </c>
      <c r="F8" s="163" t="s">
        <v>1253</v>
      </c>
      <c r="G8" s="163" t="s">
        <v>443</v>
      </c>
      <c r="H8" s="163">
        <v>1</v>
      </c>
      <c r="I8" s="1296"/>
      <c r="J8" s="1298"/>
    </row>
    <row r="9" spans="1:16" s="103" customFormat="1" ht="18" outlineLevel="1" x14ac:dyDescent="0.25">
      <c r="B9" s="161" t="s">
        <v>1185</v>
      </c>
      <c r="C9" s="479" t="s">
        <v>2447</v>
      </c>
      <c r="D9" s="164">
        <v>0.62</v>
      </c>
      <c r="E9" s="163">
        <v>0</v>
      </c>
      <c r="F9" s="163" t="s">
        <v>1253</v>
      </c>
      <c r="G9" s="163" t="s">
        <v>443</v>
      </c>
      <c r="H9" s="163">
        <v>2</v>
      </c>
      <c r="I9" s="1296"/>
      <c r="J9" s="1298"/>
    </row>
    <row r="10" spans="1:16" s="103" customFormat="1" ht="18" outlineLevel="1" x14ac:dyDescent="0.25">
      <c r="B10" s="161" t="s">
        <v>1718</v>
      </c>
      <c r="C10" s="479" t="s">
        <v>2448</v>
      </c>
      <c r="D10" s="164">
        <v>0.6</v>
      </c>
      <c r="E10" s="163">
        <v>0</v>
      </c>
      <c r="F10" s="163" t="s">
        <v>1253</v>
      </c>
      <c r="G10" s="393" t="s">
        <v>1989</v>
      </c>
      <c r="H10" s="163">
        <v>2</v>
      </c>
      <c r="I10" s="1296"/>
      <c r="J10" s="1298" t="s">
        <v>5073</v>
      </c>
    </row>
    <row r="11" spans="1:16" s="103" customFormat="1" ht="18" outlineLevel="1" x14ac:dyDescent="0.25">
      <c r="B11" s="2304" t="s">
        <v>5054</v>
      </c>
      <c r="C11" s="2308" t="s">
        <v>4888</v>
      </c>
      <c r="D11" s="2309">
        <v>0.6</v>
      </c>
      <c r="E11" s="2310">
        <v>0</v>
      </c>
      <c r="F11" s="2310" t="s">
        <v>1253</v>
      </c>
      <c r="G11" s="2311" t="s">
        <v>1989</v>
      </c>
      <c r="H11" s="2310">
        <v>2</v>
      </c>
      <c r="I11" s="2308"/>
      <c r="J11" s="2313"/>
    </row>
    <row r="12" spans="1:16" s="103" customFormat="1" ht="18" outlineLevel="1" x14ac:dyDescent="0.25">
      <c r="B12" s="161" t="s">
        <v>1914</v>
      </c>
      <c r="C12" s="479" t="s">
        <v>2449</v>
      </c>
      <c r="D12" s="162">
        <v>5</v>
      </c>
      <c r="E12" s="163">
        <v>0</v>
      </c>
      <c r="F12" s="163" t="s">
        <v>1253</v>
      </c>
      <c r="G12" s="163" t="s">
        <v>1180</v>
      </c>
      <c r="H12" s="163">
        <v>1</v>
      </c>
      <c r="I12" s="1296" t="s">
        <v>1995</v>
      </c>
      <c r="J12" s="1297"/>
    </row>
    <row r="13" spans="1:16" s="103" customFormat="1" ht="18.75" outlineLevel="1" x14ac:dyDescent="0.25">
      <c r="B13" s="161" t="s">
        <v>1917</v>
      </c>
      <c r="C13" s="479" t="s">
        <v>2450</v>
      </c>
      <c r="D13" s="816">
        <v>0.15</v>
      </c>
      <c r="E13" s="163">
        <v>0</v>
      </c>
      <c r="F13" s="163" t="s">
        <v>1253</v>
      </c>
      <c r="G13" s="163" t="s">
        <v>1179</v>
      </c>
      <c r="H13" s="163">
        <v>2</v>
      </c>
      <c r="I13" s="1296" t="s">
        <v>1994</v>
      </c>
      <c r="J13" s="1297"/>
    </row>
    <row r="14" spans="1:16" s="103" customFormat="1" ht="18" outlineLevel="1" x14ac:dyDescent="0.25">
      <c r="B14" s="161" t="s">
        <v>1915</v>
      </c>
      <c r="C14" s="479" t="s">
        <v>2451</v>
      </c>
      <c r="D14" s="162">
        <v>0.5</v>
      </c>
      <c r="E14" s="163">
        <v>0</v>
      </c>
      <c r="F14" s="163" t="s">
        <v>1253</v>
      </c>
      <c r="G14" s="163" t="s">
        <v>1180</v>
      </c>
      <c r="H14" s="163">
        <v>1</v>
      </c>
      <c r="I14" s="1296"/>
      <c r="J14" s="1297"/>
    </row>
    <row r="15" spans="1:16" s="103" customFormat="1" ht="18" outlineLevel="1" x14ac:dyDescent="0.25">
      <c r="B15" s="161" t="s">
        <v>1916</v>
      </c>
      <c r="C15" s="479" t="s">
        <v>2452</v>
      </c>
      <c r="D15" s="162">
        <v>0.1</v>
      </c>
      <c r="E15" s="163">
        <v>0</v>
      </c>
      <c r="F15" s="163" t="s">
        <v>1253</v>
      </c>
      <c r="G15" s="163" t="s">
        <v>1180</v>
      </c>
      <c r="H15" s="163">
        <v>1</v>
      </c>
      <c r="I15" s="1296"/>
      <c r="J15" s="1297"/>
      <c r="L15" s="2603"/>
    </row>
    <row r="16" spans="1:16" s="103" customFormat="1" ht="18" outlineLevel="1" x14ac:dyDescent="0.25">
      <c r="B16" s="161" t="s">
        <v>1918</v>
      </c>
      <c r="C16" s="479" t="s">
        <v>2453</v>
      </c>
      <c r="D16" s="164">
        <v>1.25</v>
      </c>
      <c r="E16" s="163">
        <v>0</v>
      </c>
      <c r="F16" s="163" t="s">
        <v>1253</v>
      </c>
      <c r="G16" s="163" t="s">
        <v>884</v>
      </c>
      <c r="H16" s="163">
        <v>2</v>
      </c>
      <c r="I16" s="1296"/>
      <c r="J16" s="1297"/>
    </row>
    <row r="17" spans="2:10" s="103" customFormat="1" ht="18" outlineLevel="1" x14ac:dyDescent="0.25">
      <c r="B17" s="2304" t="s">
        <v>5100</v>
      </c>
      <c r="C17" s="2308" t="s">
        <v>5101</v>
      </c>
      <c r="D17" s="2309">
        <v>0.23</v>
      </c>
      <c r="E17" s="1496">
        <v>0</v>
      </c>
      <c r="F17" s="1496">
        <v>2</v>
      </c>
      <c r="G17" s="1429" t="s">
        <v>282</v>
      </c>
      <c r="H17" s="1429">
        <v>3</v>
      </c>
      <c r="I17" s="1428"/>
      <c r="J17" s="1430" t="s">
        <v>4353</v>
      </c>
    </row>
    <row r="18" spans="2:10" s="103" customFormat="1" ht="18" outlineLevel="1" x14ac:dyDescent="0.25">
      <c r="B18" s="2304" t="s">
        <v>5079</v>
      </c>
      <c r="C18" s="2308" t="s">
        <v>5080</v>
      </c>
      <c r="D18" s="2309">
        <v>1.5</v>
      </c>
      <c r="E18" s="1496">
        <v>0</v>
      </c>
      <c r="F18" s="1496">
        <v>2</v>
      </c>
      <c r="G18" s="1429" t="s">
        <v>282</v>
      </c>
      <c r="H18" s="1429">
        <v>3</v>
      </c>
      <c r="I18" s="1428"/>
      <c r="J18" s="1430" t="s">
        <v>4353</v>
      </c>
    </row>
    <row r="19" spans="2:10" s="103" customFormat="1" ht="18" outlineLevel="1" x14ac:dyDescent="0.25">
      <c r="B19" s="161" t="s">
        <v>2230</v>
      </c>
      <c r="C19" s="479" t="s">
        <v>2454</v>
      </c>
      <c r="D19" s="164">
        <v>0.05</v>
      </c>
      <c r="E19" s="163">
        <v>0</v>
      </c>
      <c r="F19" s="163" t="s">
        <v>1253</v>
      </c>
      <c r="G19" s="163" t="s">
        <v>884</v>
      </c>
      <c r="H19" s="163">
        <v>2</v>
      </c>
      <c r="I19" s="1296"/>
      <c r="J19" s="1297"/>
    </row>
    <row r="20" spans="2:10" s="103" customFormat="1" ht="18" outlineLevel="1" x14ac:dyDescent="0.25">
      <c r="B20" s="2304" t="s">
        <v>5074</v>
      </c>
      <c r="C20" s="2308" t="s">
        <v>5056</v>
      </c>
      <c r="D20" s="2309">
        <v>150</v>
      </c>
      <c r="E20" s="2310">
        <v>0</v>
      </c>
      <c r="F20" s="2310" t="s">
        <v>1253</v>
      </c>
      <c r="G20" s="163" t="s">
        <v>1180</v>
      </c>
      <c r="H20" s="2310">
        <v>2</v>
      </c>
      <c r="I20" s="2310"/>
      <c r="J20" s="2312"/>
    </row>
    <row r="21" spans="2:10" s="103" customFormat="1" ht="18" outlineLevel="1" x14ac:dyDescent="0.25">
      <c r="B21" s="2304" t="s">
        <v>5084</v>
      </c>
      <c r="C21" s="2308" t="s">
        <v>5087</v>
      </c>
      <c r="D21" s="2309">
        <v>0.03</v>
      </c>
      <c r="E21" s="1496">
        <v>0</v>
      </c>
      <c r="F21" s="1496">
        <v>2</v>
      </c>
      <c r="G21" s="1429" t="s">
        <v>282</v>
      </c>
      <c r="H21" s="1429">
        <v>3</v>
      </c>
      <c r="I21" s="1428"/>
      <c r="J21" s="1430" t="s">
        <v>4353</v>
      </c>
    </row>
    <row r="22" spans="2:10" s="103" customFormat="1" ht="18" outlineLevel="1" x14ac:dyDescent="0.25">
      <c r="B22" s="161" t="s">
        <v>2151</v>
      </c>
      <c r="C22" s="479" t="s">
        <v>2673</v>
      </c>
      <c r="D22" s="162">
        <v>50</v>
      </c>
      <c r="E22" s="163">
        <v>0</v>
      </c>
      <c r="F22" s="163" t="s">
        <v>1253</v>
      </c>
      <c r="G22" s="163" t="s">
        <v>1180</v>
      </c>
      <c r="H22" s="163">
        <v>1</v>
      </c>
      <c r="I22" s="1296"/>
      <c r="J22" s="1297"/>
    </row>
    <row r="23" spans="2:10" s="103" customFormat="1" ht="18" outlineLevel="1" x14ac:dyDescent="0.25">
      <c r="B23" s="1427" t="s">
        <v>4351</v>
      </c>
      <c r="C23" s="1428" t="s">
        <v>4352</v>
      </c>
      <c r="D23" s="1510">
        <v>1.2E-2</v>
      </c>
      <c r="E23" s="1496">
        <v>0</v>
      </c>
      <c r="F23" s="1496">
        <v>2</v>
      </c>
      <c r="G23" s="1429" t="s">
        <v>282</v>
      </c>
      <c r="H23" s="1429">
        <v>3</v>
      </c>
      <c r="I23" s="1428"/>
      <c r="J23" s="1430" t="s">
        <v>4353</v>
      </c>
    </row>
    <row r="24" spans="2:10" s="103" customFormat="1" ht="18" outlineLevel="1" x14ac:dyDescent="0.25">
      <c r="B24" s="962" t="s">
        <v>1919</v>
      </c>
      <c r="C24" s="857" t="s">
        <v>3668</v>
      </c>
      <c r="D24" s="858">
        <v>5</v>
      </c>
      <c r="E24" s="859">
        <v>0</v>
      </c>
      <c r="F24" s="859" t="s">
        <v>1253</v>
      </c>
      <c r="G24" s="859" t="s">
        <v>1180</v>
      </c>
      <c r="H24" s="859">
        <v>1</v>
      </c>
      <c r="I24" s="857"/>
      <c r="J24" s="1299"/>
    </row>
    <row r="25" spans="2:10" s="103" customFormat="1" ht="18.75" outlineLevel="1" thickBot="1" x14ac:dyDescent="0.4">
      <c r="B25" s="963" t="s">
        <v>3667</v>
      </c>
      <c r="C25" s="853" t="s">
        <v>4336</v>
      </c>
      <c r="D25" s="854">
        <v>350</v>
      </c>
      <c r="E25" s="855">
        <v>0</v>
      </c>
      <c r="F25" s="856" t="s">
        <v>1253</v>
      </c>
      <c r="G25" s="856" t="s">
        <v>1180</v>
      </c>
      <c r="H25" s="856">
        <v>1</v>
      </c>
      <c r="I25" s="853"/>
      <c r="J25" s="1300"/>
    </row>
    <row r="26" spans="2:10" s="103" customFormat="1" ht="15.75" thickBot="1" x14ac:dyDescent="0.3">
      <c r="B26" s="113"/>
      <c r="C26" s="1012"/>
      <c r="D26" s="2535"/>
      <c r="E26" s="2543"/>
      <c r="F26" s="2543"/>
      <c r="G26" s="2543"/>
      <c r="H26" s="2543"/>
      <c r="I26" s="1012"/>
      <c r="J26" s="1007"/>
    </row>
    <row r="27" spans="2:10" s="103" customFormat="1" ht="15.75" thickBot="1" x14ac:dyDescent="0.3">
      <c r="B27" s="113"/>
      <c r="C27" s="410" t="s">
        <v>2136</v>
      </c>
      <c r="D27" s="104" t="s">
        <v>299</v>
      </c>
      <c r="E27" s="104"/>
      <c r="F27" s="104"/>
      <c r="G27" s="104"/>
      <c r="H27" s="104"/>
      <c r="I27" s="113"/>
      <c r="J27" s="1007"/>
    </row>
    <row r="28" spans="2:10" s="103" customFormat="1" ht="15.75" thickBot="1" x14ac:dyDescent="0.3">
      <c r="B28" s="259" t="s">
        <v>0</v>
      </c>
      <c r="C28" s="261" t="s">
        <v>1</v>
      </c>
      <c r="D28" s="263" t="s">
        <v>839</v>
      </c>
      <c r="E28" s="263" t="s">
        <v>470</v>
      </c>
      <c r="F28" s="263" t="s">
        <v>471</v>
      </c>
      <c r="G28" s="263" t="s">
        <v>2</v>
      </c>
      <c r="H28" s="263" t="s">
        <v>298</v>
      </c>
      <c r="I28" s="261" t="s">
        <v>116</v>
      </c>
      <c r="J28" s="1301" t="s">
        <v>117</v>
      </c>
    </row>
    <row r="29" spans="2:10" s="103" customFormat="1" ht="18" outlineLevel="1" x14ac:dyDescent="0.25">
      <c r="B29" s="964" t="s">
        <v>1187</v>
      </c>
      <c r="C29" s="487" t="s">
        <v>2455</v>
      </c>
      <c r="D29" s="488">
        <v>1.3</v>
      </c>
      <c r="E29" s="489">
        <v>0</v>
      </c>
      <c r="F29" s="489" t="s">
        <v>1253</v>
      </c>
      <c r="G29" s="489" t="s">
        <v>443</v>
      </c>
      <c r="H29" s="489">
        <v>1</v>
      </c>
      <c r="I29" s="487"/>
      <c r="J29" s="1302"/>
    </row>
    <row r="30" spans="2:10" s="103" customFormat="1" ht="18" outlineLevel="1" x14ac:dyDescent="0.25">
      <c r="B30" s="965" t="s">
        <v>1188</v>
      </c>
      <c r="C30" s="480" t="s">
        <v>2456</v>
      </c>
      <c r="D30" s="490">
        <v>0.05</v>
      </c>
      <c r="E30" s="491">
        <v>0</v>
      </c>
      <c r="F30" s="491" t="s">
        <v>1253</v>
      </c>
      <c r="G30" s="491" t="s">
        <v>443</v>
      </c>
      <c r="H30" s="491">
        <v>2</v>
      </c>
      <c r="I30" s="480"/>
      <c r="J30" s="1303"/>
    </row>
    <row r="31" spans="2:10" s="103" customFormat="1" ht="18" customHeight="1" outlineLevel="1" x14ac:dyDescent="0.25">
      <c r="B31" s="966" t="s">
        <v>1189</v>
      </c>
      <c r="C31" s="481" t="s">
        <v>2457</v>
      </c>
      <c r="D31" s="485">
        <v>10</v>
      </c>
      <c r="E31" s="486">
        <v>0</v>
      </c>
      <c r="F31" s="486" t="s">
        <v>1253</v>
      </c>
      <c r="G31" s="486" t="s">
        <v>443</v>
      </c>
      <c r="H31" s="486">
        <v>1</v>
      </c>
      <c r="I31" s="1304"/>
      <c r="J31" s="1305" t="s">
        <v>1157</v>
      </c>
    </row>
    <row r="32" spans="2:10" s="103" customFormat="1" ht="18" outlineLevel="1" x14ac:dyDescent="0.25">
      <c r="B32" s="967" t="s">
        <v>1920</v>
      </c>
      <c r="C32" s="480" t="s">
        <v>2458</v>
      </c>
      <c r="D32" s="483">
        <v>0.5</v>
      </c>
      <c r="E32" s="484">
        <v>0</v>
      </c>
      <c r="F32" s="484" t="s">
        <v>1253</v>
      </c>
      <c r="G32" s="484" t="s">
        <v>1180</v>
      </c>
      <c r="H32" s="484">
        <v>1</v>
      </c>
      <c r="I32" s="1306"/>
      <c r="J32" s="1307"/>
    </row>
    <row r="33" spans="2:10" s="103" customFormat="1" ht="18.75" outlineLevel="1" x14ac:dyDescent="0.25">
      <c r="B33" s="965" t="s">
        <v>3459</v>
      </c>
      <c r="C33" s="480" t="s">
        <v>3460</v>
      </c>
      <c r="D33" s="490">
        <v>0.05</v>
      </c>
      <c r="E33" s="491">
        <v>0</v>
      </c>
      <c r="F33" s="491" t="s">
        <v>1253</v>
      </c>
      <c r="G33" s="491" t="s">
        <v>1179</v>
      </c>
      <c r="H33" s="491">
        <v>2</v>
      </c>
      <c r="I33" s="480"/>
      <c r="J33" s="1303"/>
    </row>
    <row r="34" spans="2:10" s="103" customFormat="1" ht="18" outlineLevel="1" x14ac:dyDescent="0.25">
      <c r="B34" s="965" t="s">
        <v>1921</v>
      </c>
      <c r="C34" s="480" t="s">
        <v>2459</v>
      </c>
      <c r="D34" s="490">
        <v>0.05</v>
      </c>
      <c r="E34" s="491">
        <v>0</v>
      </c>
      <c r="F34" s="491" t="s">
        <v>1253</v>
      </c>
      <c r="G34" s="491" t="s">
        <v>884</v>
      </c>
      <c r="H34" s="491">
        <v>2</v>
      </c>
      <c r="I34" s="480"/>
      <c r="J34" s="1303"/>
    </row>
    <row r="35" spans="2:10" s="103" customFormat="1" ht="18" outlineLevel="1" x14ac:dyDescent="0.25">
      <c r="B35" s="965" t="s">
        <v>2231</v>
      </c>
      <c r="C35" s="480" t="s">
        <v>2460</v>
      </c>
      <c r="D35" s="490">
        <v>0.02</v>
      </c>
      <c r="E35" s="491">
        <v>0</v>
      </c>
      <c r="F35" s="491" t="s">
        <v>1253</v>
      </c>
      <c r="G35" s="491" t="s">
        <v>884</v>
      </c>
      <c r="H35" s="491">
        <v>2</v>
      </c>
      <c r="I35" s="480"/>
      <c r="J35" s="1303"/>
    </row>
    <row r="36" spans="2:10" s="103" customFormat="1" ht="18" outlineLevel="1" x14ac:dyDescent="0.25">
      <c r="B36" s="2367" t="s">
        <v>5075</v>
      </c>
      <c r="C36" s="2422" t="s">
        <v>5396</v>
      </c>
      <c r="D36" s="490">
        <v>150</v>
      </c>
      <c r="E36" s="491">
        <v>0</v>
      </c>
      <c r="F36" s="491" t="s">
        <v>1253</v>
      </c>
      <c r="G36" s="484" t="s">
        <v>1180</v>
      </c>
      <c r="H36" s="491">
        <v>2</v>
      </c>
      <c r="I36" s="480"/>
      <c r="J36" s="1303"/>
    </row>
    <row r="37" spans="2:10" s="103" customFormat="1" ht="18.75" outlineLevel="1" thickBot="1" x14ac:dyDescent="0.3">
      <c r="B37" s="2368" t="s">
        <v>5090</v>
      </c>
      <c r="C37" s="482" t="s">
        <v>5094</v>
      </c>
      <c r="D37" s="2414">
        <v>0.03</v>
      </c>
      <c r="E37" s="492">
        <v>0</v>
      </c>
      <c r="F37" s="492">
        <v>2</v>
      </c>
      <c r="G37" s="492" t="s">
        <v>282</v>
      </c>
      <c r="H37" s="492">
        <v>3</v>
      </c>
      <c r="I37" s="482"/>
      <c r="J37" s="1308" t="s">
        <v>4353</v>
      </c>
    </row>
    <row r="38" spans="2:10" s="103" customFormat="1" ht="15.75" thickBot="1" x14ac:dyDescent="0.3">
      <c r="B38" s="1007"/>
      <c r="C38" s="1007"/>
      <c r="I38" s="1007"/>
      <c r="J38" s="1007"/>
    </row>
    <row r="39" spans="2:10" s="103" customFormat="1" ht="15.75" thickBot="1" x14ac:dyDescent="0.3">
      <c r="B39" s="113"/>
      <c r="C39" s="1130" t="s">
        <v>4109</v>
      </c>
      <c r="D39" s="104" t="s">
        <v>299</v>
      </c>
      <c r="E39" s="104"/>
      <c r="F39" s="104"/>
      <c r="G39" s="104"/>
      <c r="H39" s="104"/>
      <c r="I39" s="113"/>
      <c r="J39" s="1007"/>
    </row>
    <row r="40" spans="2:10" s="103" customFormat="1" ht="15.75" thickBot="1" x14ac:dyDescent="0.3">
      <c r="B40" s="259" t="s">
        <v>0</v>
      </c>
      <c r="C40" s="261" t="s">
        <v>1</v>
      </c>
      <c r="D40" s="263" t="s">
        <v>839</v>
      </c>
      <c r="E40" s="263" t="s">
        <v>470</v>
      </c>
      <c r="F40" s="263" t="s">
        <v>471</v>
      </c>
      <c r="G40" s="263" t="s">
        <v>2</v>
      </c>
      <c r="H40" s="263" t="s">
        <v>298</v>
      </c>
      <c r="I40" s="261" t="s">
        <v>116</v>
      </c>
      <c r="J40" s="1301" t="s">
        <v>117</v>
      </c>
    </row>
    <row r="41" spans="2:10" s="103" customFormat="1" ht="18" outlineLevel="1" x14ac:dyDescent="0.25">
      <c r="B41" s="968" t="s">
        <v>4082</v>
      </c>
      <c r="C41" s="1116" t="s">
        <v>4081</v>
      </c>
      <c r="D41" s="769">
        <v>1</v>
      </c>
      <c r="E41" s="770">
        <v>0</v>
      </c>
      <c r="F41" s="770" t="s">
        <v>1253</v>
      </c>
      <c r="G41" s="1121" t="s">
        <v>443</v>
      </c>
      <c r="H41" s="770">
        <v>2</v>
      </c>
      <c r="I41" s="1309" t="s">
        <v>1993</v>
      </c>
      <c r="J41" s="1310"/>
    </row>
    <row r="42" spans="2:10" s="103" customFormat="1" ht="18" outlineLevel="1" x14ac:dyDescent="0.25">
      <c r="B42" s="969" t="s">
        <v>3669</v>
      </c>
      <c r="C42" s="1116" t="s">
        <v>4083</v>
      </c>
      <c r="D42" s="860">
        <v>0.1</v>
      </c>
      <c r="E42" s="861">
        <v>0</v>
      </c>
      <c r="F42" s="861" t="s">
        <v>1253</v>
      </c>
      <c r="G42" s="861" t="s">
        <v>443</v>
      </c>
      <c r="H42" s="861">
        <v>1</v>
      </c>
      <c r="I42" s="1311" t="s">
        <v>1993</v>
      </c>
      <c r="J42" s="1312"/>
    </row>
    <row r="43" spans="2:10" s="103" customFormat="1" ht="18" outlineLevel="1" x14ac:dyDescent="0.25">
      <c r="B43" s="970" t="s">
        <v>2468</v>
      </c>
      <c r="C43" s="1088" t="s">
        <v>2461</v>
      </c>
      <c r="D43" s="772">
        <v>0.45</v>
      </c>
      <c r="E43" s="773">
        <v>0</v>
      </c>
      <c r="F43" s="773" t="s">
        <v>1253</v>
      </c>
      <c r="G43" s="861" t="s">
        <v>443</v>
      </c>
      <c r="H43" s="773">
        <v>1</v>
      </c>
      <c r="I43" s="771"/>
      <c r="J43" s="1313"/>
    </row>
    <row r="44" spans="2:10" s="103" customFormat="1" ht="18" outlineLevel="1" x14ac:dyDescent="0.25">
      <c r="B44" s="970" t="s">
        <v>1702</v>
      </c>
      <c r="C44" s="774" t="s">
        <v>2462</v>
      </c>
      <c r="D44" s="772">
        <v>0.49</v>
      </c>
      <c r="E44" s="773">
        <v>0</v>
      </c>
      <c r="F44" s="773" t="s">
        <v>1253</v>
      </c>
      <c r="G44" s="1120" t="s">
        <v>443</v>
      </c>
      <c r="H44" s="773">
        <v>2</v>
      </c>
      <c r="I44" s="771"/>
      <c r="J44" s="776"/>
    </row>
    <row r="45" spans="2:10" s="103" customFormat="1" ht="18" outlineLevel="1" x14ac:dyDescent="0.25">
      <c r="B45" s="970" t="s">
        <v>4085</v>
      </c>
      <c r="C45" s="1117" t="s">
        <v>4084</v>
      </c>
      <c r="D45" s="778">
        <v>0.08</v>
      </c>
      <c r="E45" s="773">
        <v>0</v>
      </c>
      <c r="F45" s="773" t="s">
        <v>1253</v>
      </c>
      <c r="G45" s="1120" t="s">
        <v>443</v>
      </c>
      <c r="H45" s="773">
        <v>2</v>
      </c>
      <c r="I45" s="771"/>
      <c r="J45" s="1313" t="s">
        <v>4086</v>
      </c>
    </row>
    <row r="46" spans="2:10" s="103" customFormat="1" ht="18" outlineLevel="1" x14ac:dyDescent="0.25">
      <c r="B46" s="970" t="s">
        <v>4087</v>
      </c>
      <c r="C46" s="2438" t="s">
        <v>5156</v>
      </c>
      <c r="D46" s="1087">
        <v>7.0000000000000007E-2</v>
      </c>
      <c r="E46" s="773">
        <v>0</v>
      </c>
      <c r="F46" s="773" t="s">
        <v>1253</v>
      </c>
      <c r="G46" s="1120" t="s">
        <v>443</v>
      </c>
      <c r="H46" s="773">
        <v>2</v>
      </c>
      <c r="I46" s="771"/>
      <c r="J46" s="1313"/>
    </row>
    <row r="47" spans="2:10" s="103" customFormat="1" ht="18" outlineLevel="1" x14ac:dyDescent="0.25">
      <c r="B47" s="970" t="s">
        <v>2106</v>
      </c>
      <c r="C47" s="771" t="s">
        <v>2463</v>
      </c>
      <c r="D47" s="778">
        <v>5.0000000000000001E-3</v>
      </c>
      <c r="E47" s="773">
        <v>0</v>
      </c>
      <c r="F47" s="773" t="s">
        <v>1253</v>
      </c>
      <c r="G47" s="1120" t="s">
        <v>443</v>
      </c>
      <c r="H47" s="773">
        <v>2</v>
      </c>
      <c r="I47" s="771"/>
      <c r="J47" s="1313"/>
    </row>
    <row r="48" spans="2:10" s="103" customFormat="1" ht="18" outlineLevel="1" x14ac:dyDescent="0.25">
      <c r="B48" s="970" t="s">
        <v>4286</v>
      </c>
      <c r="C48" s="771" t="s">
        <v>4144</v>
      </c>
      <c r="D48" s="1119">
        <v>7</v>
      </c>
      <c r="E48" s="773">
        <v>0</v>
      </c>
      <c r="F48" s="773" t="s">
        <v>1253</v>
      </c>
      <c r="G48" s="1120" t="s">
        <v>443</v>
      </c>
      <c r="H48" s="773">
        <v>1</v>
      </c>
      <c r="I48" s="771"/>
      <c r="J48" s="1313"/>
    </row>
    <row r="49" spans="2:10" s="103" customFormat="1" ht="18" outlineLevel="1" x14ac:dyDescent="0.25">
      <c r="B49" s="2432" t="s">
        <v>5144</v>
      </c>
      <c r="C49" s="2433" t="s">
        <v>5145</v>
      </c>
      <c r="D49" s="1119">
        <v>4</v>
      </c>
      <c r="E49" s="773">
        <v>0</v>
      </c>
      <c r="F49" s="861" t="s">
        <v>1253</v>
      </c>
      <c r="G49" s="1120" t="s">
        <v>443</v>
      </c>
      <c r="H49" s="861">
        <v>1</v>
      </c>
      <c r="I49" s="1088"/>
      <c r="J49" s="1313"/>
    </row>
    <row r="50" spans="2:10" s="103" customFormat="1" ht="18" outlineLevel="1" x14ac:dyDescent="0.25">
      <c r="B50" s="970" t="s">
        <v>4088</v>
      </c>
      <c r="C50" s="1117" t="s">
        <v>4089</v>
      </c>
      <c r="D50" s="778">
        <v>0.66</v>
      </c>
      <c r="E50" s="773">
        <v>0</v>
      </c>
      <c r="F50" s="773" t="s">
        <v>1253</v>
      </c>
      <c r="G50" s="1120" t="s">
        <v>1989</v>
      </c>
      <c r="H50" s="773">
        <v>2</v>
      </c>
      <c r="I50" s="771"/>
      <c r="J50" s="1313"/>
    </row>
    <row r="51" spans="2:10" s="103" customFormat="1" ht="18" outlineLevel="1" x14ac:dyDescent="0.25">
      <c r="B51" s="970" t="s">
        <v>4091</v>
      </c>
      <c r="C51" s="1292" t="s">
        <v>4090</v>
      </c>
      <c r="D51" s="778">
        <v>0.5</v>
      </c>
      <c r="E51" s="773">
        <v>0</v>
      </c>
      <c r="F51" s="773" t="s">
        <v>1253</v>
      </c>
      <c r="G51" s="1122" t="s">
        <v>1989</v>
      </c>
      <c r="H51" s="773">
        <v>2</v>
      </c>
      <c r="I51" s="771"/>
      <c r="J51" s="1313"/>
    </row>
    <row r="52" spans="2:10" s="103" customFormat="1" ht="18" outlineLevel="1" x14ac:dyDescent="0.25">
      <c r="B52" s="970" t="s">
        <v>4093</v>
      </c>
      <c r="C52" s="1292" t="s">
        <v>4092</v>
      </c>
      <c r="D52" s="778">
        <v>0.25</v>
      </c>
      <c r="E52" s="773">
        <v>0</v>
      </c>
      <c r="F52" s="773" t="s">
        <v>1253</v>
      </c>
      <c r="G52" s="1122" t="s">
        <v>1989</v>
      </c>
      <c r="H52" s="773">
        <v>2</v>
      </c>
      <c r="I52" s="771"/>
      <c r="J52" s="1313"/>
    </row>
    <row r="53" spans="2:10" s="103" customFormat="1" ht="18" outlineLevel="1" x14ac:dyDescent="0.25">
      <c r="B53" s="970" t="s">
        <v>4094</v>
      </c>
      <c r="C53" s="2434" t="s">
        <v>5146</v>
      </c>
      <c r="D53" s="778">
        <v>0.66</v>
      </c>
      <c r="E53" s="773">
        <v>0</v>
      </c>
      <c r="F53" s="773" t="s">
        <v>1253</v>
      </c>
      <c r="G53" s="1120" t="s">
        <v>1989</v>
      </c>
      <c r="H53" s="773">
        <v>2</v>
      </c>
      <c r="I53" s="771"/>
      <c r="J53" s="1313"/>
    </row>
    <row r="54" spans="2:10" s="103" customFormat="1" ht="18" outlineLevel="1" x14ac:dyDescent="0.25">
      <c r="B54" s="970" t="s">
        <v>2182</v>
      </c>
      <c r="C54" s="771" t="s">
        <v>2464</v>
      </c>
      <c r="D54" s="778">
        <v>0.25</v>
      </c>
      <c r="E54" s="773">
        <v>0</v>
      </c>
      <c r="F54" s="773" t="s">
        <v>1253</v>
      </c>
      <c r="G54" s="1122" t="s">
        <v>1989</v>
      </c>
      <c r="H54" s="773">
        <v>2</v>
      </c>
      <c r="I54" s="771"/>
      <c r="J54" s="1313"/>
    </row>
    <row r="55" spans="2:10" s="103" customFormat="1" ht="18" outlineLevel="1" x14ac:dyDescent="0.25">
      <c r="B55" s="970" t="s">
        <v>2183</v>
      </c>
      <c r="C55" s="771" t="s">
        <v>2465</v>
      </c>
      <c r="D55" s="778">
        <v>0.5</v>
      </c>
      <c r="E55" s="773">
        <v>0</v>
      </c>
      <c r="F55" s="773" t="s">
        <v>1253</v>
      </c>
      <c r="G55" s="1122" t="s">
        <v>1989</v>
      </c>
      <c r="H55" s="773">
        <v>2</v>
      </c>
      <c r="I55" s="771"/>
      <c r="J55" s="1313"/>
    </row>
    <row r="56" spans="2:10" s="103" customFormat="1" ht="18" outlineLevel="1" x14ac:dyDescent="0.25">
      <c r="B56" s="970" t="s">
        <v>1922</v>
      </c>
      <c r="C56" s="777" t="s">
        <v>2466</v>
      </c>
      <c r="D56" s="2623">
        <v>0.15</v>
      </c>
      <c r="E56" s="2624">
        <v>0</v>
      </c>
      <c r="F56" s="2624" t="s">
        <v>1253</v>
      </c>
      <c r="G56" s="2625" t="s">
        <v>886</v>
      </c>
      <c r="H56" s="2624">
        <v>2</v>
      </c>
      <c r="I56" s="1311" t="s">
        <v>5346</v>
      </c>
      <c r="J56" s="2626" t="s">
        <v>5345</v>
      </c>
    </row>
    <row r="57" spans="2:10" s="103" customFormat="1" ht="18" outlineLevel="1" x14ac:dyDescent="0.25">
      <c r="B57" s="1431" t="s">
        <v>4354</v>
      </c>
      <c r="C57" s="1432" t="s">
        <v>4355</v>
      </c>
      <c r="D57" s="1498">
        <v>0.8</v>
      </c>
      <c r="E57" s="1497">
        <v>0</v>
      </c>
      <c r="F57" s="1497">
        <v>2</v>
      </c>
      <c r="G57" s="1434" t="s">
        <v>282</v>
      </c>
      <c r="H57" s="1433">
        <v>2</v>
      </c>
      <c r="I57" s="1432"/>
      <c r="J57" s="1435" t="s">
        <v>4353</v>
      </c>
    </row>
    <row r="58" spans="2:10" s="103" customFormat="1" ht="18" outlineLevel="1" x14ac:dyDescent="0.25">
      <c r="B58" s="1431" t="s">
        <v>4356</v>
      </c>
      <c r="C58" s="1432" t="s">
        <v>4357</v>
      </c>
      <c r="D58" s="1498">
        <v>0.4</v>
      </c>
      <c r="E58" s="1497">
        <v>0</v>
      </c>
      <c r="F58" s="1497">
        <v>2</v>
      </c>
      <c r="G58" s="1434" t="s">
        <v>282</v>
      </c>
      <c r="H58" s="1433">
        <v>2</v>
      </c>
      <c r="I58" s="1432"/>
      <c r="J58" s="1435" t="s">
        <v>4353</v>
      </c>
    </row>
    <row r="59" spans="2:10" s="103" customFormat="1" ht="18" outlineLevel="1" x14ac:dyDescent="0.25">
      <c r="B59" s="970" t="s">
        <v>4095</v>
      </c>
      <c r="C59" s="1117" t="s">
        <v>4096</v>
      </c>
      <c r="D59" s="1087">
        <v>0.1</v>
      </c>
      <c r="E59" s="861">
        <v>0</v>
      </c>
      <c r="F59" s="861" t="s">
        <v>1253</v>
      </c>
      <c r="G59" s="1120" t="s">
        <v>2124</v>
      </c>
      <c r="H59" s="861">
        <v>2</v>
      </c>
      <c r="I59" s="1088"/>
      <c r="J59" s="1313"/>
    </row>
    <row r="60" spans="2:10" s="103" customFormat="1" ht="18" outlineLevel="1" x14ac:dyDescent="0.25">
      <c r="B60" s="970" t="s">
        <v>1776</v>
      </c>
      <c r="C60" s="777" t="s">
        <v>2467</v>
      </c>
      <c r="D60" s="1087">
        <v>0.01</v>
      </c>
      <c r="E60" s="773">
        <v>0</v>
      </c>
      <c r="F60" s="773" t="s">
        <v>1253</v>
      </c>
      <c r="G60" s="1120" t="s">
        <v>2124</v>
      </c>
      <c r="H60" s="773">
        <v>2</v>
      </c>
      <c r="I60" s="771"/>
      <c r="J60" s="1313"/>
    </row>
    <row r="61" spans="2:10" s="103" customFormat="1" ht="18" outlineLevel="1" x14ac:dyDescent="0.25">
      <c r="B61" s="970" t="s">
        <v>4097</v>
      </c>
      <c r="C61" s="2435" t="s">
        <v>5147</v>
      </c>
      <c r="D61" s="1087">
        <v>0.1</v>
      </c>
      <c r="E61" s="861">
        <v>0</v>
      </c>
      <c r="F61" s="861" t="s">
        <v>1253</v>
      </c>
      <c r="G61" s="1120" t="s">
        <v>2124</v>
      </c>
      <c r="H61" s="861">
        <v>2</v>
      </c>
      <c r="I61" s="1088"/>
      <c r="J61" s="1313"/>
    </row>
    <row r="62" spans="2:10" s="103" customFormat="1" ht="18" outlineLevel="1" x14ac:dyDescent="0.25">
      <c r="B62" s="970" t="s">
        <v>4099</v>
      </c>
      <c r="C62" s="937" t="s">
        <v>4098</v>
      </c>
      <c r="D62" s="775">
        <v>0.05</v>
      </c>
      <c r="E62" s="773">
        <v>0</v>
      </c>
      <c r="F62" s="775" t="s">
        <v>1253</v>
      </c>
      <c r="G62" s="1120" t="s">
        <v>1179</v>
      </c>
      <c r="H62" s="775">
        <v>2</v>
      </c>
      <c r="I62" s="780"/>
      <c r="J62" s="1086"/>
    </row>
    <row r="63" spans="2:10" s="103" customFormat="1" ht="18" outlineLevel="1" x14ac:dyDescent="0.25">
      <c r="B63" s="890" t="s">
        <v>4102</v>
      </c>
      <c r="C63" s="781" t="s">
        <v>4100</v>
      </c>
      <c r="D63" s="1087">
        <v>0.1</v>
      </c>
      <c r="E63" s="773">
        <v>0</v>
      </c>
      <c r="F63" s="775" t="s">
        <v>1253</v>
      </c>
      <c r="G63" s="775" t="s">
        <v>884</v>
      </c>
      <c r="H63" s="775">
        <v>2</v>
      </c>
      <c r="I63" s="780"/>
      <c r="J63" s="1086"/>
    </row>
    <row r="64" spans="2:10" s="103" customFormat="1" ht="18" outlineLevel="1" x14ac:dyDescent="0.25">
      <c r="B64" s="890" t="s">
        <v>4103</v>
      </c>
      <c r="C64" s="781" t="s">
        <v>4101</v>
      </c>
      <c r="D64" s="775">
        <v>0.05</v>
      </c>
      <c r="E64" s="773">
        <v>0</v>
      </c>
      <c r="F64" s="775" t="s">
        <v>1253</v>
      </c>
      <c r="G64" s="775" t="s">
        <v>884</v>
      </c>
      <c r="H64" s="775">
        <v>2</v>
      </c>
      <c r="I64" s="780"/>
      <c r="J64" s="1086"/>
    </row>
    <row r="65" spans="2:10" s="103" customFormat="1" ht="18" outlineLevel="1" x14ac:dyDescent="0.25">
      <c r="B65" s="970" t="s">
        <v>4105</v>
      </c>
      <c r="C65" s="1118" t="s">
        <v>4104</v>
      </c>
      <c r="D65" s="779">
        <v>5</v>
      </c>
      <c r="E65" s="773">
        <v>0</v>
      </c>
      <c r="F65" s="773" t="s">
        <v>1253</v>
      </c>
      <c r="G65" s="1120" t="s">
        <v>1180</v>
      </c>
      <c r="H65" s="773">
        <v>1</v>
      </c>
      <c r="I65" s="771"/>
      <c r="J65" s="776"/>
    </row>
    <row r="66" spans="2:10" s="103" customFormat="1" ht="18" outlineLevel="1" x14ac:dyDescent="0.25">
      <c r="B66" s="970" t="s">
        <v>2107</v>
      </c>
      <c r="C66" s="782" t="s">
        <v>2678</v>
      </c>
      <c r="D66" s="772">
        <v>0.01</v>
      </c>
      <c r="E66" s="773">
        <v>0</v>
      </c>
      <c r="F66" s="773" t="s">
        <v>1253</v>
      </c>
      <c r="G66" s="1120" t="s">
        <v>2124</v>
      </c>
      <c r="H66" s="773">
        <v>2</v>
      </c>
      <c r="I66" s="771"/>
      <c r="J66" s="776"/>
    </row>
    <row r="67" spans="2:10" s="103" customFormat="1" ht="18" outlineLevel="1" x14ac:dyDescent="0.25">
      <c r="B67" s="970" t="s">
        <v>2684</v>
      </c>
      <c r="C67" s="782" t="s">
        <v>2474</v>
      </c>
      <c r="D67" s="772">
        <v>0.35</v>
      </c>
      <c r="E67" s="773">
        <v>0</v>
      </c>
      <c r="F67" s="773" t="s">
        <v>1253</v>
      </c>
      <c r="G67" s="1120" t="s">
        <v>1889</v>
      </c>
      <c r="H67" s="773">
        <v>2</v>
      </c>
      <c r="I67" s="771"/>
      <c r="J67" s="776"/>
    </row>
    <row r="68" spans="2:10" s="103" customFormat="1" ht="18" outlineLevel="1" x14ac:dyDescent="0.25">
      <c r="B68" s="1431" t="s">
        <v>4358</v>
      </c>
      <c r="C68" s="1436" t="s">
        <v>4359</v>
      </c>
      <c r="D68" s="1511">
        <v>0.17</v>
      </c>
      <c r="E68" s="1497">
        <v>0</v>
      </c>
      <c r="F68" s="1499">
        <v>2</v>
      </c>
      <c r="G68" s="1434" t="s">
        <v>282</v>
      </c>
      <c r="H68" s="1433">
        <v>2</v>
      </c>
      <c r="I68" s="1436"/>
      <c r="J68" s="1438" t="s">
        <v>4360</v>
      </c>
    </row>
    <row r="69" spans="2:10" s="103" customFormat="1" ht="18" outlineLevel="1" x14ac:dyDescent="0.25">
      <c r="B69" s="970" t="s">
        <v>4308</v>
      </c>
      <c r="C69" s="937" t="s">
        <v>4309</v>
      </c>
      <c r="D69" s="1273">
        <v>0.1</v>
      </c>
      <c r="E69" s="861">
        <v>0</v>
      </c>
      <c r="F69" s="1120">
        <v>1</v>
      </c>
      <c r="G69" s="1120" t="s">
        <v>1180</v>
      </c>
      <c r="H69" s="861">
        <v>2</v>
      </c>
      <c r="I69" s="937"/>
      <c r="J69" s="1086"/>
    </row>
    <row r="70" spans="2:10" s="103" customFormat="1" ht="18" outlineLevel="1" x14ac:dyDescent="0.25">
      <c r="B70" s="970" t="s">
        <v>2685</v>
      </c>
      <c r="C70" s="782" t="s">
        <v>2475</v>
      </c>
      <c r="D70" s="772">
        <v>0.6</v>
      </c>
      <c r="E70" s="773">
        <v>0</v>
      </c>
      <c r="F70" s="773" t="s">
        <v>1253</v>
      </c>
      <c r="G70" s="1120" t="s">
        <v>2124</v>
      </c>
      <c r="H70" s="773">
        <v>2</v>
      </c>
      <c r="I70" s="771"/>
      <c r="J70" s="776"/>
    </row>
    <row r="71" spans="2:10" s="103" customFormat="1" ht="18" outlineLevel="1" x14ac:dyDescent="0.25">
      <c r="B71" s="1431" t="s">
        <v>4361</v>
      </c>
      <c r="C71" s="1436" t="s">
        <v>4362</v>
      </c>
      <c r="D71" s="1437">
        <v>0.1</v>
      </c>
      <c r="E71" s="1433">
        <v>0</v>
      </c>
      <c r="F71" s="1434">
        <v>2</v>
      </c>
      <c r="G71" s="1434" t="s">
        <v>282</v>
      </c>
      <c r="H71" s="1433">
        <v>2</v>
      </c>
      <c r="I71" s="1436"/>
      <c r="J71" s="1438" t="s">
        <v>4360</v>
      </c>
    </row>
    <row r="72" spans="2:10" s="103" customFormat="1" ht="18" outlineLevel="1" x14ac:dyDescent="0.25">
      <c r="B72" s="970" t="s">
        <v>1923</v>
      </c>
      <c r="C72" s="780" t="s">
        <v>2476</v>
      </c>
      <c r="D72" s="775">
        <v>1E-3</v>
      </c>
      <c r="E72" s="773">
        <v>0</v>
      </c>
      <c r="F72" s="775" t="s">
        <v>1253</v>
      </c>
      <c r="G72" s="1120" t="s">
        <v>1607</v>
      </c>
      <c r="H72" s="775">
        <v>4</v>
      </c>
      <c r="I72" s="780"/>
      <c r="J72" s="1086"/>
    </row>
    <row r="73" spans="2:10" s="103" customFormat="1" ht="18" outlineLevel="1" x14ac:dyDescent="0.25">
      <c r="B73" s="970" t="s">
        <v>1924</v>
      </c>
      <c r="C73" s="780" t="s">
        <v>2477</v>
      </c>
      <c r="D73" s="775">
        <v>1E-3</v>
      </c>
      <c r="E73" s="773">
        <v>0</v>
      </c>
      <c r="F73" s="775" t="s">
        <v>1253</v>
      </c>
      <c r="G73" s="1120" t="s">
        <v>1608</v>
      </c>
      <c r="H73" s="775">
        <v>4</v>
      </c>
      <c r="I73" s="780"/>
      <c r="J73" s="1086"/>
    </row>
    <row r="74" spans="2:10" s="103" customFormat="1" ht="18" outlineLevel="1" x14ac:dyDescent="0.25">
      <c r="B74" s="970" t="s">
        <v>1925</v>
      </c>
      <c r="C74" s="780" t="s">
        <v>2478</v>
      </c>
      <c r="D74" s="775">
        <v>1E-3</v>
      </c>
      <c r="E74" s="773">
        <v>0</v>
      </c>
      <c r="F74" s="775" t="s">
        <v>1253</v>
      </c>
      <c r="G74" s="1120" t="s">
        <v>1609</v>
      </c>
      <c r="H74" s="775">
        <v>4</v>
      </c>
      <c r="I74" s="780"/>
      <c r="J74" s="1086"/>
    </row>
    <row r="75" spans="2:10" s="103" customFormat="1" ht="18" outlineLevel="1" x14ac:dyDescent="0.25">
      <c r="B75" s="970" t="s">
        <v>1182</v>
      </c>
      <c r="C75" s="780" t="s">
        <v>2479</v>
      </c>
      <c r="D75" s="775">
        <v>2E-3</v>
      </c>
      <c r="E75" s="773">
        <v>0</v>
      </c>
      <c r="F75" s="775" t="s">
        <v>1253</v>
      </c>
      <c r="G75" s="1120" t="s">
        <v>886</v>
      </c>
      <c r="H75" s="775">
        <v>3</v>
      </c>
      <c r="I75" s="780"/>
      <c r="J75" s="1086"/>
    </row>
    <row r="76" spans="2:10" s="103" customFormat="1" ht="18" outlineLevel="1" x14ac:dyDescent="0.25">
      <c r="B76" s="970" t="s">
        <v>2469</v>
      </c>
      <c r="C76" s="780" t="s">
        <v>2480</v>
      </c>
      <c r="D76" s="775">
        <v>5.0000000000000001E-3</v>
      </c>
      <c r="E76" s="773">
        <v>0</v>
      </c>
      <c r="F76" s="775" t="s">
        <v>1253</v>
      </c>
      <c r="G76" s="1120" t="s">
        <v>886</v>
      </c>
      <c r="H76" s="775">
        <v>3</v>
      </c>
      <c r="I76" s="780"/>
      <c r="J76" s="1086"/>
    </row>
    <row r="77" spans="2:10" s="103" customFormat="1" ht="18" outlineLevel="1" x14ac:dyDescent="0.25">
      <c r="B77" s="969" t="s">
        <v>2470</v>
      </c>
      <c r="C77" s="498" t="s">
        <v>2471</v>
      </c>
      <c r="D77" s="1119">
        <v>-200</v>
      </c>
      <c r="E77" s="499" t="s">
        <v>2180</v>
      </c>
      <c r="F77" s="500" t="s">
        <v>1253</v>
      </c>
      <c r="G77" s="1120" t="s">
        <v>2140</v>
      </c>
      <c r="H77" s="500">
        <v>0</v>
      </c>
      <c r="I77" s="1311"/>
      <c r="J77" s="1312"/>
    </row>
    <row r="78" spans="2:10" s="103" customFormat="1" ht="18.75" outlineLevel="1" thickBot="1" x14ac:dyDescent="0.3">
      <c r="B78" s="971" t="s">
        <v>2472</v>
      </c>
      <c r="C78" s="783" t="s">
        <v>2473</v>
      </c>
      <c r="D78" s="730">
        <v>0.1</v>
      </c>
      <c r="E78" s="784">
        <v>0</v>
      </c>
      <c r="F78" s="784" t="s">
        <v>1253</v>
      </c>
      <c r="G78" s="784" t="s">
        <v>3465</v>
      </c>
      <c r="H78" s="784">
        <v>2</v>
      </c>
      <c r="I78" s="1315"/>
      <c r="J78" s="785"/>
    </row>
    <row r="79" spans="2:10" s="103" customFormat="1" ht="18" outlineLevel="1" x14ac:dyDescent="0.25">
      <c r="B79" s="2437" t="s">
        <v>5150</v>
      </c>
      <c r="C79" s="2436" t="s">
        <v>5148</v>
      </c>
      <c r="D79" s="764">
        <v>0.1</v>
      </c>
      <c r="E79" s="765">
        <v>0</v>
      </c>
      <c r="F79" s="765" t="s">
        <v>1253</v>
      </c>
      <c r="G79" s="766" t="s">
        <v>1989</v>
      </c>
      <c r="H79" s="765">
        <v>2</v>
      </c>
      <c r="I79" s="1316"/>
      <c r="J79" s="1317"/>
    </row>
    <row r="80" spans="2:10" s="103" customFormat="1" ht="18" outlineLevel="1" x14ac:dyDescent="0.25">
      <c r="B80" s="2437" t="s">
        <v>5151</v>
      </c>
      <c r="C80" s="2436" t="s">
        <v>5149</v>
      </c>
      <c r="D80" s="764">
        <v>0.05</v>
      </c>
      <c r="E80" s="765">
        <v>0</v>
      </c>
      <c r="F80" s="765" t="s">
        <v>1253</v>
      </c>
      <c r="G80" s="1123" t="s">
        <v>2124</v>
      </c>
      <c r="H80" s="765">
        <v>2</v>
      </c>
      <c r="I80" s="1316"/>
      <c r="J80" s="1317"/>
    </row>
    <row r="81" spans="2:18" s="103" customFormat="1" ht="18" outlineLevel="1" x14ac:dyDescent="0.25">
      <c r="B81" s="2437" t="s">
        <v>5154</v>
      </c>
      <c r="C81" s="2436" t="s">
        <v>5152</v>
      </c>
      <c r="D81" s="731">
        <v>0.5</v>
      </c>
      <c r="E81" s="765">
        <v>0</v>
      </c>
      <c r="F81" s="765" t="s">
        <v>1253</v>
      </c>
      <c r="G81" s="766" t="s">
        <v>2124</v>
      </c>
      <c r="H81" s="765">
        <v>2</v>
      </c>
      <c r="I81" s="1318"/>
      <c r="J81" s="1319"/>
    </row>
    <row r="82" spans="2:18" s="103" customFormat="1" ht="18" outlineLevel="1" x14ac:dyDescent="0.25">
      <c r="B82" s="2437" t="s">
        <v>5155</v>
      </c>
      <c r="C82" s="2436" t="s">
        <v>5153</v>
      </c>
      <c r="D82" s="1439">
        <v>0.12</v>
      </c>
      <c r="E82" s="1440">
        <v>0</v>
      </c>
      <c r="F82" s="1441">
        <v>2</v>
      </c>
      <c r="G82" s="1442" t="s">
        <v>282</v>
      </c>
      <c r="H82" s="1441">
        <v>2</v>
      </c>
      <c r="I82" s="1443"/>
      <c r="J82" s="1319" t="s">
        <v>4360</v>
      </c>
    </row>
    <row r="83" spans="2:18" s="103" customFormat="1" ht="18" outlineLevel="1" x14ac:dyDescent="0.25">
      <c r="B83" s="1127" t="s">
        <v>4106</v>
      </c>
      <c r="C83" s="2436" t="s">
        <v>5157</v>
      </c>
      <c r="D83" s="1124">
        <v>-120</v>
      </c>
      <c r="E83" s="1125" t="s">
        <v>2180</v>
      </c>
      <c r="F83" s="1126" t="s">
        <v>1253</v>
      </c>
      <c r="G83" s="1123" t="s">
        <v>2140</v>
      </c>
      <c r="H83" s="1126">
        <v>0</v>
      </c>
      <c r="I83" s="1320"/>
      <c r="J83" s="1319"/>
    </row>
    <row r="84" spans="2:18" s="103" customFormat="1" ht="18" outlineLevel="1" x14ac:dyDescent="0.25">
      <c r="B84" s="1127" t="s">
        <v>4107</v>
      </c>
      <c r="C84" s="2436" t="s">
        <v>5158</v>
      </c>
      <c r="D84" s="1124">
        <v>-170</v>
      </c>
      <c r="E84" s="1125" t="s">
        <v>2180</v>
      </c>
      <c r="F84" s="1126" t="s">
        <v>1253</v>
      </c>
      <c r="G84" s="1123" t="s">
        <v>2140</v>
      </c>
      <c r="H84" s="1126">
        <v>0</v>
      </c>
      <c r="I84" s="1320"/>
      <c r="J84" s="1319"/>
    </row>
    <row r="85" spans="2:18" s="103" customFormat="1" ht="18.75" outlineLevel="1" thickBot="1" x14ac:dyDescent="0.3">
      <c r="B85" s="1128" t="s">
        <v>4108</v>
      </c>
      <c r="C85" s="1293" t="s">
        <v>2481</v>
      </c>
      <c r="D85" s="1129">
        <v>0.02</v>
      </c>
      <c r="E85" s="767">
        <v>0</v>
      </c>
      <c r="F85" s="767" t="s">
        <v>1253</v>
      </c>
      <c r="G85" s="768" t="s">
        <v>3465</v>
      </c>
      <c r="H85" s="767">
        <v>2</v>
      </c>
      <c r="I85" s="1321"/>
      <c r="J85" s="422"/>
    </row>
    <row r="86" spans="2:18" s="103" customFormat="1" ht="18" outlineLevel="1" x14ac:dyDescent="0.25">
      <c r="B86" s="1781" t="s">
        <v>4500</v>
      </c>
      <c r="C86" s="1782" t="s">
        <v>4572</v>
      </c>
      <c r="D86" s="1783">
        <v>24</v>
      </c>
      <c r="E86" s="1784">
        <v>0</v>
      </c>
      <c r="F86" s="1784" t="s">
        <v>1253</v>
      </c>
      <c r="G86" s="1785" t="s">
        <v>847</v>
      </c>
      <c r="H86" s="1784">
        <v>1</v>
      </c>
      <c r="I86" s="1786"/>
      <c r="J86" s="1787" t="s">
        <v>4501</v>
      </c>
    </row>
    <row r="87" spans="2:18" s="103" customFormat="1" ht="18.75" outlineLevel="1" thickBot="1" x14ac:dyDescent="0.3">
      <c r="B87" s="1788" t="s">
        <v>4502</v>
      </c>
      <c r="C87" s="1789" t="s">
        <v>4573</v>
      </c>
      <c r="D87" s="1790">
        <v>1000</v>
      </c>
      <c r="E87" s="1791">
        <v>1000</v>
      </c>
      <c r="F87" s="1791" t="s">
        <v>1253</v>
      </c>
      <c r="G87" s="1792" t="s">
        <v>2140</v>
      </c>
      <c r="H87" s="1791">
        <v>0</v>
      </c>
      <c r="I87" s="1793"/>
      <c r="J87" s="1794" t="s">
        <v>4503</v>
      </c>
    </row>
    <row r="88" spans="2:18" s="176" customFormat="1" ht="15.75" thickBot="1" x14ac:dyDescent="0.3">
      <c r="B88" s="2502"/>
      <c r="C88" s="1012"/>
      <c r="D88" s="2535"/>
      <c r="E88" s="2543"/>
      <c r="F88" s="2543"/>
      <c r="G88" s="2543"/>
      <c r="H88" s="2543"/>
      <c r="I88" s="1012"/>
      <c r="J88" s="1007"/>
      <c r="K88" s="103"/>
      <c r="L88" s="103"/>
      <c r="M88" s="103"/>
      <c r="N88" s="103"/>
      <c r="O88" s="103"/>
      <c r="P88" s="103"/>
      <c r="Q88" s="103"/>
      <c r="R88" s="103"/>
    </row>
    <row r="89" spans="2:18" s="176" customFormat="1" ht="15.75" thickBot="1" x14ac:dyDescent="0.3">
      <c r="B89" s="113"/>
      <c r="C89" s="542" t="s">
        <v>2914</v>
      </c>
      <c r="D89" s="104" t="s">
        <v>299</v>
      </c>
      <c r="E89" s="104"/>
      <c r="F89" s="104"/>
      <c r="G89" s="104"/>
      <c r="H89" s="104"/>
      <c r="I89" s="113"/>
      <c r="J89" s="1007"/>
      <c r="K89" s="103"/>
      <c r="L89" s="103"/>
      <c r="M89" s="103"/>
      <c r="N89" s="103"/>
      <c r="O89" s="103"/>
      <c r="P89" s="103"/>
      <c r="Q89" s="103"/>
      <c r="R89" s="103"/>
    </row>
    <row r="90" spans="2:18" s="176" customFormat="1" ht="15.75" thickBot="1" x14ac:dyDescent="0.3">
      <c r="B90" s="972" t="s">
        <v>0</v>
      </c>
      <c r="C90" s="1294" t="s">
        <v>1</v>
      </c>
      <c r="D90" s="434" t="s">
        <v>839</v>
      </c>
      <c r="E90" s="434" t="s">
        <v>470</v>
      </c>
      <c r="F90" s="434" t="s">
        <v>471</v>
      </c>
      <c r="G90" s="434" t="s">
        <v>2</v>
      </c>
      <c r="H90" s="434" t="s">
        <v>298</v>
      </c>
      <c r="I90" s="1322" t="s">
        <v>116</v>
      </c>
      <c r="J90" s="1083" t="s">
        <v>117</v>
      </c>
      <c r="K90" s="103"/>
      <c r="L90" s="103"/>
      <c r="M90" s="103"/>
      <c r="N90" s="103"/>
      <c r="O90" s="103"/>
      <c r="P90" s="103"/>
      <c r="Q90" s="103"/>
      <c r="R90" s="103"/>
    </row>
    <row r="91" spans="2:18" s="176" customFormat="1" ht="18" outlineLevel="1" x14ac:dyDescent="0.35">
      <c r="B91" s="973" t="s">
        <v>2232</v>
      </c>
      <c r="C91" s="501" t="s">
        <v>2233</v>
      </c>
      <c r="D91" s="435">
        <v>0.9</v>
      </c>
      <c r="E91" s="436">
        <v>0</v>
      </c>
      <c r="F91" s="436">
        <v>10</v>
      </c>
      <c r="G91" s="436" t="s">
        <v>847</v>
      </c>
      <c r="H91" s="436">
        <v>2</v>
      </c>
      <c r="I91" s="1323" t="s">
        <v>1997</v>
      </c>
      <c r="J91" s="1324"/>
      <c r="K91" s="103"/>
      <c r="L91" s="103"/>
      <c r="M91" s="103"/>
      <c r="N91" s="103"/>
      <c r="O91" s="103"/>
      <c r="P91" s="103"/>
      <c r="Q91" s="103"/>
      <c r="R91" s="103"/>
    </row>
    <row r="92" spans="2:18" s="176" customFormat="1" ht="18" outlineLevel="1" x14ac:dyDescent="0.35">
      <c r="B92" s="974" t="s">
        <v>2235</v>
      </c>
      <c r="C92" s="438" t="s">
        <v>2483</v>
      </c>
      <c r="D92" s="439">
        <v>0.17</v>
      </c>
      <c r="E92" s="440">
        <v>0</v>
      </c>
      <c r="F92" s="440" t="s">
        <v>1253</v>
      </c>
      <c r="G92" s="440" t="s">
        <v>847</v>
      </c>
      <c r="H92" s="440">
        <v>2</v>
      </c>
      <c r="I92" s="438"/>
      <c r="J92" s="1325"/>
      <c r="K92" s="103"/>
      <c r="L92" s="103"/>
      <c r="M92" s="103"/>
      <c r="N92" s="103"/>
      <c r="O92" s="103"/>
      <c r="P92" s="103"/>
      <c r="Q92" s="103"/>
      <c r="R92" s="103"/>
    </row>
    <row r="93" spans="2:18" s="176" customFormat="1" ht="18" outlineLevel="1" x14ac:dyDescent="0.35">
      <c r="B93" s="975" t="s">
        <v>2234</v>
      </c>
      <c r="C93" s="502" t="s">
        <v>2484</v>
      </c>
      <c r="D93" s="437">
        <v>0.7</v>
      </c>
      <c r="E93" s="178">
        <v>0</v>
      </c>
      <c r="F93" s="178" t="s">
        <v>1253</v>
      </c>
      <c r="G93" s="178" t="s">
        <v>850</v>
      </c>
      <c r="H93" s="178">
        <v>2</v>
      </c>
      <c r="I93" s="177" t="s">
        <v>2423</v>
      </c>
      <c r="J93" s="1326"/>
      <c r="K93" s="103"/>
      <c r="L93" s="103"/>
      <c r="M93" s="103"/>
      <c r="N93" s="103"/>
      <c r="O93" s="103"/>
      <c r="P93" s="103"/>
      <c r="Q93" s="103"/>
      <c r="R93" s="103"/>
    </row>
    <row r="94" spans="2:18" s="176" customFormat="1" ht="18.75" customHeight="1" outlineLevel="1" x14ac:dyDescent="0.25">
      <c r="B94" s="2301" t="s">
        <v>2237</v>
      </c>
      <c r="C94" s="503" t="s">
        <v>2486</v>
      </c>
      <c r="D94" s="1493">
        <v>1E-3</v>
      </c>
      <c r="E94" s="1448">
        <v>0</v>
      </c>
      <c r="F94" s="1448" t="s">
        <v>1253</v>
      </c>
      <c r="G94" s="1494" t="s">
        <v>4416</v>
      </c>
      <c r="H94" s="1448">
        <v>3</v>
      </c>
      <c r="I94" s="177"/>
      <c r="J94" s="1327"/>
      <c r="K94" s="103"/>
      <c r="L94" s="103"/>
      <c r="M94" s="103"/>
      <c r="N94" s="103"/>
      <c r="O94" s="103"/>
      <c r="P94" s="103"/>
      <c r="Q94" s="103"/>
      <c r="R94" s="103"/>
    </row>
    <row r="95" spans="2:18" s="176" customFormat="1" ht="18.75" customHeight="1" outlineLevel="1" x14ac:dyDescent="0.25">
      <c r="B95" s="2302" t="s">
        <v>4363</v>
      </c>
      <c r="C95" s="1446" t="s">
        <v>4366</v>
      </c>
      <c r="D95" s="1447">
        <v>1</v>
      </c>
      <c r="E95" s="1448">
        <v>0</v>
      </c>
      <c r="F95" s="1448">
        <v>2</v>
      </c>
      <c r="G95" s="1448" t="s">
        <v>282</v>
      </c>
      <c r="H95" s="1448">
        <v>2</v>
      </c>
      <c r="I95" s="1449"/>
      <c r="J95" s="1444" t="s">
        <v>4353</v>
      </c>
      <c r="K95" s="103"/>
      <c r="L95" s="103"/>
      <c r="M95" s="103"/>
      <c r="N95" s="103"/>
      <c r="O95" s="103"/>
      <c r="P95" s="103"/>
      <c r="Q95" s="103"/>
      <c r="R95" s="103"/>
    </row>
    <row r="96" spans="2:18" s="176" customFormat="1" ht="19.5" customHeight="1" outlineLevel="1" x14ac:dyDescent="0.25">
      <c r="B96" s="2301" t="s">
        <v>2236</v>
      </c>
      <c r="C96" s="503" t="s">
        <v>2485</v>
      </c>
      <c r="D96" s="1495">
        <v>4.0000000000000001E-3</v>
      </c>
      <c r="E96" s="1448">
        <v>0</v>
      </c>
      <c r="F96" s="1494" t="s">
        <v>1253</v>
      </c>
      <c r="G96" s="1494" t="s">
        <v>4416</v>
      </c>
      <c r="H96" s="1494">
        <v>3</v>
      </c>
      <c r="I96" s="177"/>
      <c r="J96" s="1327"/>
      <c r="K96" s="103"/>
      <c r="L96" s="103"/>
      <c r="M96" s="103"/>
      <c r="N96" s="103"/>
      <c r="O96" s="103"/>
      <c r="P96" s="103"/>
      <c r="Q96" s="103"/>
      <c r="R96" s="103"/>
    </row>
    <row r="97" spans="2:18" s="176" customFormat="1" ht="19.5" customHeight="1" outlineLevel="1" x14ac:dyDescent="0.25">
      <c r="B97" s="2302" t="s">
        <v>4364</v>
      </c>
      <c r="C97" s="1446" t="s">
        <v>4365</v>
      </c>
      <c r="D97" s="1447">
        <v>0.3</v>
      </c>
      <c r="E97" s="1448">
        <v>0</v>
      </c>
      <c r="F97" s="1448">
        <v>2</v>
      </c>
      <c r="G97" s="1448" t="s">
        <v>282</v>
      </c>
      <c r="H97" s="1448">
        <v>2</v>
      </c>
      <c r="I97" s="1449"/>
      <c r="J97" s="1444" t="s">
        <v>4353</v>
      </c>
      <c r="K97" s="103"/>
      <c r="L97" s="103"/>
      <c r="M97" s="103"/>
      <c r="N97" s="103"/>
      <c r="O97" s="103"/>
      <c r="P97" s="103"/>
      <c r="Q97" s="103"/>
      <c r="R97" s="103"/>
    </row>
    <row r="98" spans="2:18" s="176" customFormat="1" ht="18.75" outlineLevel="1" x14ac:dyDescent="0.35">
      <c r="B98" s="975" t="s">
        <v>2238</v>
      </c>
      <c r="C98" s="504" t="s">
        <v>2487</v>
      </c>
      <c r="D98" s="395">
        <v>0.5</v>
      </c>
      <c r="E98" s="178">
        <v>0</v>
      </c>
      <c r="F98" s="178" t="s">
        <v>1253</v>
      </c>
      <c r="G98" s="178" t="s">
        <v>849</v>
      </c>
      <c r="H98" s="178">
        <v>2</v>
      </c>
      <c r="I98" s="177"/>
      <c r="J98" s="1326"/>
      <c r="K98" s="103"/>
      <c r="L98" s="103"/>
      <c r="M98" s="103"/>
      <c r="N98" s="103"/>
      <c r="O98" s="103"/>
      <c r="P98" s="103"/>
      <c r="Q98" s="103"/>
      <c r="R98" s="103"/>
    </row>
    <row r="99" spans="2:18" s="176" customFormat="1" ht="18.75" outlineLevel="1" x14ac:dyDescent="0.35">
      <c r="B99" s="975" t="s">
        <v>2239</v>
      </c>
      <c r="C99" s="504" t="s">
        <v>2488</v>
      </c>
      <c r="D99" s="395">
        <v>0.5</v>
      </c>
      <c r="E99" s="178">
        <v>0</v>
      </c>
      <c r="F99" s="178" t="s">
        <v>1253</v>
      </c>
      <c r="G99" s="178" t="s">
        <v>849</v>
      </c>
      <c r="H99" s="178">
        <v>2</v>
      </c>
      <c r="I99" s="1328" t="s">
        <v>2423</v>
      </c>
      <c r="J99" s="1326"/>
      <c r="K99" s="103"/>
      <c r="L99" s="103"/>
      <c r="M99" s="103"/>
      <c r="N99" s="103"/>
      <c r="O99" s="103"/>
      <c r="P99" s="103"/>
      <c r="Q99" s="103"/>
      <c r="R99" s="103"/>
    </row>
    <row r="100" spans="2:18" s="176" customFormat="1" ht="18" outlineLevel="1" x14ac:dyDescent="0.35">
      <c r="B100" s="975" t="s">
        <v>2240</v>
      </c>
      <c r="C100" s="504" t="s">
        <v>2489</v>
      </c>
      <c r="D100" s="395">
        <v>0.03</v>
      </c>
      <c r="E100" s="178">
        <v>0</v>
      </c>
      <c r="F100" s="178" t="s">
        <v>1253</v>
      </c>
      <c r="G100" s="178" t="s">
        <v>850</v>
      </c>
      <c r="H100" s="178">
        <v>2</v>
      </c>
      <c r="I100" s="177"/>
      <c r="J100" s="1326"/>
      <c r="K100" s="103"/>
      <c r="L100" s="103"/>
      <c r="M100" s="103"/>
      <c r="N100" s="103"/>
      <c r="O100" s="103"/>
      <c r="P100" s="103"/>
      <c r="Q100" s="103"/>
      <c r="R100" s="103"/>
    </row>
    <row r="101" spans="2:18" s="176" customFormat="1" ht="18.75" outlineLevel="1" x14ac:dyDescent="0.35">
      <c r="B101" s="975" t="s">
        <v>2482</v>
      </c>
      <c r="C101" s="504" t="s">
        <v>2490</v>
      </c>
      <c r="D101" s="395">
        <v>9999</v>
      </c>
      <c r="E101" s="178">
        <v>0</v>
      </c>
      <c r="F101" s="178" t="s">
        <v>1253</v>
      </c>
      <c r="G101" s="178" t="s">
        <v>2918</v>
      </c>
      <c r="H101" s="178">
        <v>6</v>
      </c>
      <c r="I101" s="1328"/>
      <c r="J101" s="1326"/>
      <c r="K101" s="103"/>
      <c r="L101" s="103"/>
      <c r="M101" s="103"/>
      <c r="N101" s="103"/>
      <c r="O101" s="103"/>
      <c r="P101" s="103"/>
      <c r="Q101" s="103"/>
      <c r="R101" s="103"/>
    </row>
    <row r="102" spans="2:18" s="176" customFormat="1" ht="18" outlineLevel="1" x14ac:dyDescent="0.35">
      <c r="B102" s="975" t="s">
        <v>4714</v>
      </c>
      <c r="C102" s="504" t="s">
        <v>4716</v>
      </c>
      <c r="D102" s="395">
        <v>6</v>
      </c>
      <c r="E102" s="178">
        <v>0</v>
      </c>
      <c r="F102" s="178" t="s">
        <v>1253</v>
      </c>
      <c r="G102" s="178" t="s">
        <v>377</v>
      </c>
      <c r="H102" s="178">
        <v>1</v>
      </c>
      <c r="I102" s="177"/>
      <c r="J102" s="1326"/>
      <c r="K102" s="103"/>
      <c r="L102" s="103"/>
      <c r="M102" s="103"/>
      <c r="N102" s="103"/>
      <c r="O102" s="103"/>
      <c r="P102" s="103"/>
      <c r="Q102" s="103"/>
      <c r="R102" s="103"/>
    </row>
    <row r="103" spans="2:18" s="176" customFormat="1" ht="18.75" outlineLevel="1" thickBot="1" x14ac:dyDescent="0.4">
      <c r="B103" s="977" t="s">
        <v>4715</v>
      </c>
      <c r="C103" s="505" t="s">
        <v>4717</v>
      </c>
      <c r="D103" s="2126">
        <v>8</v>
      </c>
      <c r="E103" s="396">
        <v>0</v>
      </c>
      <c r="F103" s="396" t="s">
        <v>1253</v>
      </c>
      <c r="G103" s="556" t="s">
        <v>377</v>
      </c>
      <c r="H103" s="396">
        <v>1</v>
      </c>
      <c r="I103" s="1329"/>
      <c r="J103" s="1330"/>
      <c r="K103" s="103"/>
      <c r="L103" s="103"/>
      <c r="M103" s="103"/>
      <c r="N103" s="103"/>
      <c r="O103" s="103"/>
      <c r="P103" s="103"/>
      <c r="Q103" s="103"/>
      <c r="R103" s="103"/>
    </row>
    <row r="104" spans="2:18" s="176" customFormat="1" ht="15.75" thickBot="1" x14ac:dyDescent="0.3">
      <c r="B104" s="2502"/>
      <c r="C104" s="1012"/>
      <c r="D104" s="2535"/>
      <c r="E104" s="2543"/>
      <c r="F104" s="2543"/>
      <c r="G104" s="2543"/>
      <c r="H104" s="2543"/>
      <c r="I104" s="1012"/>
      <c r="J104" s="1007"/>
      <c r="K104" s="103"/>
      <c r="L104" s="103"/>
      <c r="M104" s="103"/>
      <c r="N104" s="103"/>
      <c r="O104" s="103"/>
      <c r="P104" s="103"/>
      <c r="Q104" s="103"/>
      <c r="R104" s="103"/>
    </row>
    <row r="105" spans="2:18" s="176" customFormat="1" ht="15.75" thickBot="1" x14ac:dyDescent="0.3">
      <c r="B105" s="113"/>
      <c r="C105" s="542" t="s">
        <v>2915</v>
      </c>
      <c r="D105" s="104" t="s">
        <v>299</v>
      </c>
      <c r="E105" s="104"/>
      <c r="F105" s="104"/>
      <c r="G105" s="104"/>
      <c r="H105" s="104"/>
      <c r="I105" s="113"/>
      <c r="J105" s="1007"/>
      <c r="K105" s="103"/>
      <c r="L105" s="103"/>
      <c r="M105" s="103"/>
      <c r="N105" s="103"/>
      <c r="O105" s="103"/>
      <c r="P105" s="103"/>
      <c r="Q105" s="103"/>
      <c r="R105" s="103"/>
    </row>
    <row r="106" spans="2:18" s="176" customFormat="1" ht="15.75" thickBot="1" x14ac:dyDescent="0.3">
      <c r="B106" s="972" t="s">
        <v>0</v>
      </c>
      <c r="C106" s="1294" t="s">
        <v>1</v>
      </c>
      <c r="D106" s="434" t="s">
        <v>839</v>
      </c>
      <c r="E106" s="434" t="s">
        <v>470</v>
      </c>
      <c r="F106" s="434" t="s">
        <v>471</v>
      </c>
      <c r="G106" s="434" t="s">
        <v>2</v>
      </c>
      <c r="H106" s="434" t="s">
        <v>298</v>
      </c>
      <c r="I106" s="1322" t="s">
        <v>116</v>
      </c>
      <c r="J106" s="1083" t="s">
        <v>117</v>
      </c>
      <c r="K106" s="103"/>
      <c r="L106" s="103"/>
      <c r="M106" s="103"/>
      <c r="N106" s="103"/>
      <c r="O106" s="103"/>
      <c r="P106" s="103"/>
      <c r="Q106" s="103"/>
      <c r="R106" s="103"/>
    </row>
    <row r="107" spans="2:18" s="176" customFormat="1" ht="18" outlineLevel="1" x14ac:dyDescent="0.35">
      <c r="B107" s="1727" t="s">
        <v>2241</v>
      </c>
      <c r="C107" s="1728" t="s">
        <v>2242</v>
      </c>
      <c r="D107" s="1729">
        <v>0.65</v>
      </c>
      <c r="E107" s="1730">
        <v>0</v>
      </c>
      <c r="F107" s="1730" t="s">
        <v>1253</v>
      </c>
      <c r="G107" s="1730" t="s">
        <v>847</v>
      </c>
      <c r="H107" s="1730">
        <v>2</v>
      </c>
      <c r="I107" s="1731" t="s">
        <v>2423</v>
      </c>
      <c r="J107" s="1732"/>
      <c r="K107" s="103"/>
      <c r="L107" s="103"/>
      <c r="M107" s="103"/>
      <c r="N107" s="103"/>
      <c r="O107" s="103"/>
      <c r="P107" s="103"/>
      <c r="Q107" s="103"/>
      <c r="R107" s="103"/>
    </row>
    <row r="108" spans="2:18" s="176" customFormat="1" ht="18" outlineLevel="1" x14ac:dyDescent="0.35">
      <c r="B108" s="1769" t="s">
        <v>2244</v>
      </c>
      <c r="C108" s="1733" t="s">
        <v>2491</v>
      </c>
      <c r="D108" s="1734">
        <v>0.15</v>
      </c>
      <c r="E108" s="1735">
        <v>0</v>
      </c>
      <c r="F108" s="1735" t="s">
        <v>1253</v>
      </c>
      <c r="G108" s="1735" t="s">
        <v>847</v>
      </c>
      <c r="H108" s="1735">
        <v>2</v>
      </c>
      <c r="I108" s="1736"/>
      <c r="J108" s="1770"/>
      <c r="K108" s="103"/>
      <c r="L108" s="103"/>
      <c r="M108" s="103"/>
      <c r="N108" s="103"/>
      <c r="O108" s="103"/>
      <c r="P108" s="103"/>
      <c r="Q108" s="103"/>
      <c r="R108" s="103"/>
    </row>
    <row r="109" spans="2:18" s="176" customFormat="1" ht="18" outlineLevel="1" x14ac:dyDescent="0.35">
      <c r="B109" s="1769" t="s">
        <v>2243</v>
      </c>
      <c r="C109" s="1733" t="s">
        <v>2492</v>
      </c>
      <c r="D109" s="1734">
        <v>0.1</v>
      </c>
      <c r="E109" s="1735">
        <v>0</v>
      </c>
      <c r="F109" s="1735" t="s">
        <v>1253</v>
      </c>
      <c r="G109" s="1735" t="s">
        <v>850</v>
      </c>
      <c r="H109" s="1735">
        <v>2</v>
      </c>
      <c r="I109" s="1736" t="s">
        <v>2423</v>
      </c>
      <c r="J109" s="1770"/>
      <c r="K109" s="103"/>
      <c r="L109" s="103"/>
      <c r="M109" s="103"/>
      <c r="N109" s="103"/>
      <c r="O109" s="103"/>
      <c r="P109" s="103"/>
      <c r="Q109" s="103"/>
      <c r="R109" s="103"/>
    </row>
    <row r="110" spans="2:18" s="176" customFormat="1" ht="18.75" outlineLevel="1" x14ac:dyDescent="0.35">
      <c r="B110" s="2300" t="s">
        <v>2245</v>
      </c>
      <c r="C110" s="1738" t="s">
        <v>2493</v>
      </c>
      <c r="D110" s="1739">
        <v>2.0000000000000002E-5</v>
      </c>
      <c r="E110" s="1735">
        <v>0</v>
      </c>
      <c r="F110" s="1735" t="s">
        <v>1253</v>
      </c>
      <c r="G110" s="1735" t="s">
        <v>1944</v>
      </c>
      <c r="H110" s="1735">
        <v>2</v>
      </c>
      <c r="I110" s="1736"/>
      <c r="J110" s="1770"/>
      <c r="K110" s="103"/>
      <c r="L110" s="103"/>
      <c r="M110" s="103"/>
      <c r="N110" s="103"/>
      <c r="O110" s="103"/>
      <c r="P110" s="103"/>
      <c r="Q110" s="103"/>
      <c r="R110" s="103"/>
    </row>
    <row r="111" spans="2:18" s="176" customFormat="1" ht="18" outlineLevel="1" x14ac:dyDescent="0.35">
      <c r="B111" s="2300" t="s">
        <v>4410</v>
      </c>
      <c r="C111" s="1738" t="s">
        <v>4411</v>
      </c>
      <c r="D111" s="1737">
        <v>2</v>
      </c>
      <c r="E111" s="1735">
        <v>0</v>
      </c>
      <c r="F111" s="1735">
        <v>2</v>
      </c>
      <c r="G111" s="1735" t="s">
        <v>282</v>
      </c>
      <c r="H111" s="1735">
        <v>2</v>
      </c>
      <c r="I111" s="1736"/>
      <c r="J111" s="1770" t="s">
        <v>4353</v>
      </c>
      <c r="K111" s="103"/>
      <c r="L111" s="103"/>
      <c r="M111" s="103"/>
      <c r="N111" s="103"/>
      <c r="O111" s="103"/>
      <c r="P111" s="103"/>
      <c r="Q111" s="103"/>
      <c r="R111" s="103"/>
    </row>
    <row r="112" spans="2:18" s="176" customFormat="1" ht="18.75" outlineLevel="1" x14ac:dyDescent="0.35">
      <c r="B112" s="1769" t="s">
        <v>2246</v>
      </c>
      <c r="C112" s="1733" t="s">
        <v>2494</v>
      </c>
      <c r="D112" s="1734">
        <v>0.5</v>
      </c>
      <c r="E112" s="1735">
        <v>0</v>
      </c>
      <c r="F112" s="1735" t="s">
        <v>1253</v>
      </c>
      <c r="G112" s="1735" t="s">
        <v>849</v>
      </c>
      <c r="H112" s="1735">
        <v>2</v>
      </c>
      <c r="I112" s="1736"/>
      <c r="J112" s="1770"/>
      <c r="K112" s="103"/>
      <c r="L112" s="103"/>
      <c r="M112" s="103"/>
      <c r="N112" s="103"/>
      <c r="O112" s="103"/>
      <c r="P112" s="103"/>
      <c r="Q112" s="103"/>
      <c r="R112" s="103"/>
    </row>
    <row r="113" spans="2:18" s="176" customFormat="1" ht="18.75" outlineLevel="1" x14ac:dyDescent="0.35">
      <c r="B113" s="1769" t="s">
        <v>2247</v>
      </c>
      <c r="C113" s="1733" t="s">
        <v>2495</v>
      </c>
      <c r="D113" s="1734">
        <v>0.5</v>
      </c>
      <c r="E113" s="1735">
        <v>0</v>
      </c>
      <c r="F113" s="1735" t="s">
        <v>1253</v>
      </c>
      <c r="G113" s="1735" t="s">
        <v>849</v>
      </c>
      <c r="H113" s="1735">
        <v>2</v>
      </c>
      <c r="I113" s="1736" t="s">
        <v>2423</v>
      </c>
      <c r="J113" s="1770"/>
      <c r="K113" s="103"/>
      <c r="L113" s="103"/>
      <c r="M113" s="103"/>
      <c r="N113" s="103"/>
      <c r="O113" s="103"/>
      <c r="P113" s="103"/>
      <c r="Q113" s="103"/>
      <c r="R113" s="103"/>
    </row>
    <row r="114" spans="2:18" s="176" customFormat="1" ht="18" outlineLevel="1" x14ac:dyDescent="0.35">
      <c r="B114" s="1769" t="s">
        <v>2248</v>
      </c>
      <c r="C114" s="1733" t="s">
        <v>2496</v>
      </c>
      <c r="D114" s="1734">
        <v>0.03</v>
      </c>
      <c r="E114" s="1735">
        <v>0</v>
      </c>
      <c r="F114" s="1735" t="s">
        <v>1253</v>
      </c>
      <c r="G114" s="1735" t="s">
        <v>850</v>
      </c>
      <c r="H114" s="1735">
        <v>2</v>
      </c>
      <c r="I114" s="1736"/>
      <c r="J114" s="1770"/>
      <c r="K114" s="103"/>
      <c r="L114" s="103"/>
      <c r="M114" s="103"/>
      <c r="N114" s="103"/>
      <c r="O114" s="103"/>
      <c r="P114" s="103"/>
      <c r="Q114" s="103"/>
      <c r="R114" s="103"/>
    </row>
    <row r="115" spans="2:18" s="176" customFormat="1" ht="18.75" outlineLevel="1" x14ac:dyDescent="0.35">
      <c r="B115" s="1769" t="s">
        <v>4876</v>
      </c>
      <c r="C115" s="1733" t="s">
        <v>2497</v>
      </c>
      <c r="D115" s="1734">
        <v>9999</v>
      </c>
      <c r="E115" s="1735">
        <v>0</v>
      </c>
      <c r="F115" s="1735" t="s">
        <v>1253</v>
      </c>
      <c r="G115" s="1735" t="s">
        <v>2170</v>
      </c>
      <c r="H115" s="1735">
        <v>4</v>
      </c>
      <c r="I115" s="1736"/>
      <c r="J115" s="1770" t="s">
        <v>3384</v>
      </c>
      <c r="K115" s="103"/>
      <c r="L115" s="103"/>
      <c r="M115" s="103"/>
      <c r="N115" s="103"/>
      <c r="O115" s="103"/>
      <c r="P115" s="103"/>
      <c r="Q115" s="103"/>
      <c r="R115" s="103"/>
    </row>
    <row r="116" spans="2:18" s="176" customFormat="1" ht="18" outlineLevel="1" x14ac:dyDescent="0.35">
      <c r="B116" s="1769" t="s">
        <v>4719</v>
      </c>
      <c r="C116" s="1733" t="s">
        <v>4721</v>
      </c>
      <c r="D116" s="1734">
        <v>6</v>
      </c>
      <c r="E116" s="1735">
        <v>0</v>
      </c>
      <c r="F116" s="1735" t="s">
        <v>1253</v>
      </c>
      <c r="G116" s="1735" t="s">
        <v>377</v>
      </c>
      <c r="H116" s="1735">
        <v>1</v>
      </c>
      <c r="I116" s="1736"/>
      <c r="J116" s="1770"/>
      <c r="K116" s="103"/>
      <c r="L116" s="103"/>
      <c r="M116" s="103"/>
      <c r="N116" s="103"/>
      <c r="O116" s="103"/>
      <c r="P116" s="103"/>
      <c r="Q116" s="103"/>
      <c r="R116" s="103"/>
    </row>
    <row r="117" spans="2:18" s="176" customFormat="1" ht="18.75" outlineLevel="1" thickBot="1" x14ac:dyDescent="0.4">
      <c r="B117" s="1740" t="s">
        <v>4718</v>
      </c>
      <c r="C117" s="1771" t="s">
        <v>4720</v>
      </c>
      <c r="D117" s="1772">
        <v>8</v>
      </c>
      <c r="E117" s="1773">
        <v>0</v>
      </c>
      <c r="F117" s="1773" t="s">
        <v>1253</v>
      </c>
      <c r="G117" s="1773" t="s">
        <v>377</v>
      </c>
      <c r="H117" s="1773">
        <v>1</v>
      </c>
      <c r="I117" s="1774"/>
      <c r="J117" s="1741"/>
      <c r="K117" s="103"/>
      <c r="L117" s="103"/>
      <c r="M117" s="103"/>
      <c r="N117" s="103"/>
      <c r="O117" s="103"/>
      <c r="P117" s="103"/>
      <c r="Q117" s="103"/>
      <c r="R117" s="103"/>
    </row>
    <row r="118" spans="2:18" s="176" customFormat="1" ht="15.75" thickBot="1" x14ac:dyDescent="0.3">
      <c r="B118" s="2502"/>
      <c r="C118" s="1012"/>
      <c r="D118" s="2535"/>
      <c r="E118" s="2543"/>
      <c r="F118" s="2543"/>
      <c r="G118" s="2543"/>
      <c r="H118" s="2543"/>
      <c r="I118" s="1012"/>
      <c r="J118" s="1007"/>
      <c r="K118" s="103"/>
      <c r="L118" s="103"/>
      <c r="M118" s="103"/>
      <c r="N118" s="103"/>
      <c r="O118" s="103"/>
      <c r="P118" s="103"/>
      <c r="Q118" s="103"/>
      <c r="R118" s="103"/>
    </row>
    <row r="119" spans="2:18" s="176" customFormat="1" ht="15.75" thickBot="1" x14ac:dyDescent="0.3">
      <c r="B119" s="113"/>
      <c r="C119" s="542" t="s">
        <v>2916</v>
      </c>
      <c r="D119" s="104" t="s">
        <v>299</v>
      </c>
      <c r="E119" s="104"/>
      <c r="F119" s="104"/>
      <c r="G119" s="104"/>
      <c r="H119" s="104"/>
      <c r="I119" s="113"/>
      <c r="J119" s="1007"/>
      <c r="K119" s="103"/>
      <c r="L119" s="103"/>
      <c r="M119" s="103"/>
      <c r="N119" s="103"/>
      <c r="O119" s="103"/>
      <c r="P119" s="103"/>
      <c r="Q119" s="103"/>
      <c r="R119" s="103"/>
    </row>
    <row r="120" spans="2:18" s="116" customFormat="1" ht="15.75" thickBot="1" x14ac:dyDescent="0.3">
      <c r="B120" s="972" t="s">
        <v>0</v>
      </c>
      <c r="C120" s="1294" t="s">
        <v>1</v>
      </c>
      <c r="D120" s="434" t="s">
        <v>839</v>
      </c>
      <c r="E120" s="434" t="s">
        <v>470</v>
      </c>
      <c r="F120" s="434" t="s">
        <v>471</v>
      </c>
      <c r="G120" s="434" t="s">
        <v>2</v>
      </c>
      <c r="H120" s="434" t="s">
        <v>298</v>
      </c>
      <c r="I120" s="1322" t="s">
        <v>116</v>
      </c>
      <c r="J120" s="1331" t="s">
        <v>117</v>
      </c>
      <c r="K120" s="103"/>
      <c r="L120" s="103"/>
      <c r="M120" s="103"/>
      <c r="N120" s="103"/>
      <c r="O120" s="103"/>
      <c r="P120" s="103"/>
      <c r="Q120" s="103"/>
      <c r="R120" s="103"/>
    </row>
    <row r="121" spans="2:18" s="176" customFormat="1" ht="18" outlineLevel="1" x14ac:dyDescent="0.35">
      <c r="B121" s="978" t="s">
        <v>2249</v>
      </c>
      <c r="C121" s="506" t="s">
        <v>2499</v>
      </c>
      <c r="D121" s="441">
        <v>0.1</v>
      </c>
      <c r="E121" s="441">
        <v>0</v>
      </c>
      <c r="F121" s="441" t="s">
        <v>1253</v>
      </c>
      <c r="G121" s="441" t="s">
        <v>847</v>
      </c>
      <c r="H121" s="441">
        <v>3</v>
      </c>
      <c r="I121" s="1332"/>
      <c r="J121" s="1488"/>
      <c r="K121" s="103"/>
      <c r="L121" s="103"/>
      <c r="M121" s="103"/>
      <c r="N121" s="103"/>
      <c r="O121" s="103"/>
      <c r="P121" s="103"/>
      <c r="Q121" s="103"/>
      <c r="R121" s="103"/>
    </row>
    <row r="122" spans="2:18" s="176" customFormat="1" ht="18" outlineLevel="1" x14ac:dyDescent="0.35">
      <c r="B122" s="979" t="s">
        <v>2250</v>
      </c>
      <c r="C122" s="507" t="s">
        <v>2500</v>
      </c>
      <c r="D122" s="443">
        <v>1.9E-2</v>
      </c>
      <c r="E122" s="443">
        <v>0</v>
      </c>
      <c r="F122" s="443" t="s">
        <v>1253</v>
      </c>
      <c r="G122" s="443" t="s">
        <v>847</v>
      </c>
      <c r="H122" s="443">
        <v>3</v>
      </c>
      <c r="I122" s="442"/>
      <c r="J122" s="1489"/>
      <c r="K122" s="103"/>
      <c r="L122" s="103"/>
      <c r="M122" s="103"/>
      <c r="N122" s="103"/>
      <c r="O122" s="103"/>
      <c r="P122" s="103"/>
      <c r="Q122" s="103"/>
      <c r="R122" s="103"/>
    </row>
    <row r="123" spans="2:18" s="176" customFormat="1" ht="18" outlineLevel="1" x14ac:dyDescent="0.35">
      <c r="B123" s="979" t="s">
        <v>2251</v>
      </c>
      <c r="C123" s="507" t="s">
        <v>2501</v>
      </c>
      <c r="D123" s="443">
        <v>2</v>
      </c>
      <c r="E123" s="443">
        <v>0</v>
      </c>
      <c r="F123" s="443" t="s">
        <v>1253</v>
      </c>
      <c r="G123" s="443" t="s">
        <v>850</v>
      </c>
      <c r="H123" s="443">
        <v>1</v>
      </c>
      <c r="I123" s="442"/>
      <c r="J123" s="1489"/>
      <c r="K123" s="103"/>
      <c r="L123" s="103"/>
      <c r="M123" s="103"/>
      <c r="N123" s="103"/>
      <c r="O123" s="103"/>
      <c r="P123" s="103"/>
      <c r="Q123" s="103"/>
      <c r="R123" s="103"/>
    </row>
    <row r="124" spans="2:18" s="176" customFormat="1" ht="18" outlineLevel="1" x14ac:dyDescent="0.35">
      <c r="B124" s="979" t="s">
        <v>2252</v>
      </c>
      <c r="C124" s="507" t="s">
        <v>2502</v>
      </c>
      <c r="D124" s="443">
        <v>1</v>
      </c>
      <c r="E124" s="443">
        <v>0</v>
      </c>
      <c r="F124" s="443" t="s">
        <v>1253</v>
      </c>
      <c r="G124" s="443" t="s">
        <v>850</v>
      </c>
      <c r="H124" s="443">
        <v>2</v>
      </c>
      <c r="I124" s="442"/>
      <c r="J124" s="1489"/>
      <c r="K124" s="103"/>
      <c r="L124" s="103"/>
      <c r="M124" s="103"/>
      <c r="N124" s="103"/>
      <c r="O124" s="103"/>
      <c r="P124" s="103"/>
      <c r="Q124" s="103"/>
      <c r="R124" s="103"/>
    </row>
    <row r="125" spans="2:18" s="176" customFormat="1" ht="18.75" outlineLevel="1" x14ac:dyDescent="0.25">
      <c r="B125" s="2298" t="s">
        <v>2253</v>
      </c>
      <c r="C125" s="507" t="s">
        <v>2503</v>
      </c>
      <c r="D125" s="443">
        <v>2.0000000000000001E-4</v>
      </c>
      <c r="E125" s="443">
        <v>0</v>
      </c>
      <c r="F125" s="443" t="s">
        <v>1253</v>
      </c>
      <c r="G125" s="443" t="s">
        <v>1944</v>
      </c>
      <c r="H125" s="443">
        <v>6</v>
      </c>
      <c r="I125" s="442"/>
      <c r="J125" s="1490"/>
      <c r="K125" s="103"/>
      <c r="L125" s="103"/>
      <c r="M125" s="103"/>
      <c r="N125" s="103"/>
      <c r="O125" s="103"/>
      <c r="P125" s="103"/>
      <c r="Q125" s="103"/>
      <c r="R125" s="103"/>
    </row>
    <row r="126" spans="2:18" s="176" customFormat="1" ht="18" outlineLevel="1" x14ac:dyDescent="0.35">
      <c r="B126" s="2299" t="s">
        <v>4406</v>
      </c>
      <c r="C126" s="1486" t="s">
        <v>4407</v>
      </c>
      <c r="D126" s="1514">
        <v>2</v>
      </c>
      <c r="E126" s="1487">
        <v>0</v>
      </c>
      <c r="F126" s="1487">
        <v>2</v>
      </c>
      <c r="G126" s="1487" t="s">
        <v>282</v>
      </c>
      <c r="H126" s="1487">
        <v>2</v>
      </c>
      <c r="I126" s="1486"/>
      <c r="J126" s="1491" t="s">
        <v>4353</v>
      </c>
      <c r="K126" s="103"/>
      <c r="L126" s="103"/>
      <c r="M126" s="103"/>
      <c r="N126" s="103"/>
      <c r="O126" s="103"/>
      <c r="P126" s="103"/>
      <c r="Q126" s="103"/>
      <c r="R126" s="103"/>
    </row>
    <row r="127" spans="2:18" s="176" customFormat="1" ht="18.75" outlineLevel="1" x14ac:dyDescent="0.35">
      <c r="B127" s="979" t="s">
        <v>3503</v>
      </c>
      <c r="C127" s="507" t="s">
        <v>3504</v>
      </c>
      <c r="D127" s="443">
        <v>0.4</v>
      </c>
      <c r="E127" s="443">
        <v>0</v>
      </c>
      <c r="F127" s="443" t="s">
        <v>1253</v>
      </c>
      <c r="G127" s="443" t="s">
        <v>849</v>
      </c>
      <c r="H127" s="443">
        <v>2</v>
      </c>
      <c r="I127" s="442"/>
      <c r="J127" s="1489"/>
      <c r="K127" s="103"/>
      <c r="L127" s="103"/>
      <c r="M127" s="103"/>
      <c r="N127" s="103"/>
      <c r="O127" s="103"/>
      <c r="P127" s="103"/>
      <c r="Q127" s="103"/>
      <c r="R127" s="103"/>
    </row>
    <row r="128" spans="2:18" s="176" customFormat="1" ht="18" outlineLevel="1" x14ac:dyDescent="0.35">
      <c r="B128" s="979" t="s">
        <v>2254</v>
      </c>
      <c r="C128" s="507" t="s">
        <v>2504</v>
      </c>
      <c r="D128" s="443">
        <v>0.1</v>
      </c>
      <c r="E128" s="443">
        <v>0</v>
      </c>
      <c r="F128" s="443" t="s">
        <v>1253</v>
      </c>
      <c r="G128" s="443" t="s">
        <v>850</v>
      </c>
      <c r="H128" s="443">
        <v>2</v>
      </c>
      <c r="I128" s="442"/>
      <c r="J128" s="1489"/>
      <c r="K128" s="103"/>
      <c r="L128" s="103"/>
      <c r="M128" s="103"/>
      <c r="N128" s="103"/>
      <c r="O128" s="103"/>
      <c r="P128" s="103"/>
      <c r="Q128" s="103"/>
      <c r="R128" s="103"/>
    </row>
    <row r="129" spans="2:18" s="176" customFormat="1" ht="19.5" outlineLevel="1" thickBot="1" x14ac:dyDescent="0.4">
      <c r="B129" s="981" t="s">
        <v>2498</v>
      </c>
      <c r="C129" s="444" t="s">
        <v>2505</v>
      </c>
      <c r="D129" s="445">
        <v>1</v>
      </c>
      <c r="E129" s="445">
        <v>0</v>
      </c>
      <c r="F129" s="445" t="s">
        <v>1253</v>
      </c>
      <c r="G129" s="557" t="s">
        <v>2918</v>
      </c>
      <c r="H129" s="445">
        <v>1</v>
      </c>
      <c r="I129" s="444"/>
      <c r="J129" s="1492"/>
      <c r="K129" s="103"/>
      <c r="L129" s="103"/>
      <c r="M129" s="103"/>
      <c r="N129" s="103"/>
      <c r="O129" s="103"/>
      <c r="P129" s="103"/>
      <c r="Q129" s="103"/>
      <c r="R129" s="103"/>
    </row>
    <row r="130" spans="2:18" s="103" customFormat="1" ht="15.75" thickBot="1" x14ac:dyDescent="0.3">
      <c r="B130" s="113"/>
      <c r="C130" s="1012"/>
      <c r="D130" s="2536"/>
      <c r="E130" s="2543"/>
      <c r="F130" s="2543"/>
      <c r="G130" s="2543"/>
      <c r="H130" s="2543"/>
      <c r="I130" s="1012"/>
      <c r="J130" s="1007"/>
    </row>
    <row r="131" spans="2:18" s="103" customFormat="1" ht="15.75" thickBot="1" x14ac:dyDescent="0.3">
      <c r="B131" s="113"/>
      <c r="C131" s="410" t="s">
        <v>2164</v>
      </c>
      <c r="D131" s="104" t="s">
        <v>299</v>
      </c>
      <c r="E131" s="104"/>
      <c r="F131" s="104"/>
      <c r="G131" s="104"/>
      <c r="H131" s="104"/>
      <c r="I131" s="113"/>
      <c r="J131" s="1007"/>
    </row>
    <row r="132" spans="2:18" s="103" customFormat="1" ht="15.75" thickBot="1" x14ac:dyDescent="0.3">
      <c r="B132" s="259" t="s">
        <v>0</v>
      </c>
      <c r="C132" s="261" t="s">
        <v>1</v>
      </c>
      <c r="D132" s="263" t="s">
        <v>839</v>
      </c>
      <c r="E132" s="263" t="s">
        <v>470</v>
      </c>
      <c r="F132" s="263" t="s">
        <v>471</v>
      </c>
      <c r="G132" s="263" t="s">
        <v>2</v>
      </c>
      <c r="H132" s="263" t="s">
        <v>298</v>
      </c>
      <c r="I132" s="261" t="s">
        <v>116</v>
      </c>
      <c r="J132" s="1301" t="s">
        <v>117</v>
      </c>
    </row>
    <row r="133" spans="2:18" s="103" customFormat="1" ht="18" outlineLevel="1" x14ac:dyDescent="0.25">
      <c r="B133" s="982" t="s">
        <v>1190</v>
      </c>
      <c r="C133" s="508" t="s">
        <v>304</v>
      </c>
      <c r="D133" s="179">
        <v>0.3</v>
      </c>
      <c r="E133" s="179">
        <v>0</v>
      </c>
      <c r="F133" s="179" t="s">
        <v>1253</v>
      </c>
      <c r="G133" s="179" t="s">
        <v>443</v>
      </c>
      <c r="H133" s="179">
        <v>1</v>
      </c>
      <c r="I133" s="1334"/>
      <c r="J133" s="1335"/>
    </row>
    <row r="134" spans="2:18" s="103" customFormat="1" ht="18" outlineLevel="1" x14ac:dyDescent="0.25">
      <c r="B134" s="167" t="s">
        <v>1191</v>
      </c>
      <c r="C134" s="509" t="s">
        <v>2507</v>
      </c>
      <c r="D134" s="169">
        <v>0.03</v>
      </c>
      <c r="E134" s="169">
        <v>0</v>
      </c>
      <c r="F134" s="169" t="s">
        <v>1253</v>
      </c>
      <c r="G134" s="169" t="s">
        <v>443</v>
      </c>
      <c r="H134" s="169">
        <v>1</v>
      </c>
      <c r="I134" s="168"/>
      <c r="J134" s="174"/>
    </row>
    <row r="135" spans="2:18" s="103" customFormat="1" ht="18" outlineLevel="1" x14ac:dyDescent="0.25">
      <c r="B135" s="167" t="s">
        <v>1926</v>
      </c>
      <c r="C135" s="509" t="s">
        <v>2508</v>
      </c>
      <c r="D135" s="169">
        <v>400</v>
      </c>
      <c r="E135" s="169">
        <v>0</v>
      </c>
      <c r="F135" s="169" t="s">
        <v>1253</v>
      </c>
      <c r="G135" s="169" t="s">
        <v>1180</v>
      </c>
      <c r="H135" s="169">
        <v>0</v>
      </c>
      <c r="I135" s="168"/>
      <c r="J135" s="174"/>
    </row>
    <row r="136" spans="2:18" s="103" customFormat="1" ht="18" outlineLevel="1" x14ac:dyDescent="0.25">
      <c r="B136" s="983" t="s">
        <v>2506</v>
      </c>
      <c r="C136" s="509" t="s">
        <v>2509</v>
      </c>
      <c r="D136" s="729">
        <v>99999</v>
      </c>
      <c r="E136" s="169">
        <v>0</v>
      </c>
      <c r="F136" s="169" t="s">
        <v>1253</v>
      </c>
      <c r="G136" s="169" t="s">
        <v>1180</v>
      </c>
      <c r="H136" s="169">
        <v>0</v>
      </c>
      <c r="I136" s="168"/>
      <c r="J136" s="174"/>
    </row>
    <row r="137" spans="2:18" s="103" customFormat="1" ht="18" outlineLevel="1" x14ac:dyDescent="0.25">
      <c r="B137" s="1685" t="s">
        <v>4437</v>
      </c>
      <c r="C137" s="1686" t="s">
        <v>4438</v>
      </c>
      <c r="D137" s="1687">
        <v>0.999</v>
      </c>
      <c r="E137" s="1688">
        <v>0</v>
      </c>
      <c r="F137" s="1688" t="s">
        <v>1253</v>
      </c>
      <c r="G137" s="1688" t="s">
        <v>2170</v>
      </c>
      <c r="H137" s="1688">
        <v>3</v>
      </c>
      <c r="I137" s="1688"/>
      <c r="J137" s="1689"/>
    </row>
    <row r="138" spans="2:18" s="103" customFormat="1" ht="18" outlineLevel="1" x14ac:dyDescent="0.25">
      <c r="B138" s="1685" t="s">
        <v>4439</v>
      </c>
      <c r="C138" s="1686" t="s">
        <v>4440</v>
      </c>
      <c r="D138" s="1688">
        <v>0.1</v>
      </c>
      <c r="E138" s="1688">
        <v>0</v>
      </c>
      <c r="F138" s="1688">
        <v>2</v>
      </c>
      <c r="G138" s="1688" t="s">
        <v>282</v>
      </c>
      <c r="H138" s="1688">
        <v>2</v>
      </c>
      <c r="I138" s="1688"/>
      <c r="J138" s="1689" t="s">
        <v>4353</v>
      </c>
    </row>
    <row r="139" spans="2:18" s="103" customFormat="1" ht="18" outlineLevel="1" x14ac:dyDescent="0.25">
      <c r="B139" s="167" t="s">
        <v>3461</v>
      </c>
      <c r="C139" s="509" t="s">
        <v>3462</v>
      </c>
      <c r="D139" s="169">
        <v>0.05</v>
      </c>
      <c r="E139" s="169">
        <v>0</v>
      </c>
      <c r="F139" s="169" t="s">
        <v>1253</v>
      </c>
      <c r="G139" s="169" t="s">
        <v>1179</v>
      </c>
      <c r="H139" s="169">
        <v>2</v>
      </c>
      <c r="I139" s="168"/>
      <c r="J139" s="174"/>
    </row>
    <row r="140" spans="2:18" s="103" customFormat="1" ht="18" outlineLevel="1" x14ac:dyDescent="0.25">
      <c r="B140" s="167" t="s">
        <v>2364</v>
      </c>
      <c r="C140" s="509" t="s">
        <v>2510</v>
      </c>
      <c r="D140" s="169">
        <v>0.05</v>
      </c>
      <c r="E140" s="169">
        <v>0</v>
      </c>
      <c r="F140" s="169" t="s">
        <v>1253</v>
      </c>
      <c r="G140" s="169" t="s">
        <v>884</v>
      </c>
      <c r="H140" s="169">
        <v>2</v>
      </c>
      <c r="I140" s="168"/>
      <c r="J140" s="174"/>
    </row>
    <row r="141" spans="2:18" s="103" customFormat="1" ht="18" outlineLevel="1" x14ac:dyDescent="0.25">
      <c r="B141" s="167" t="s">
        <v>1971</v>
      </c>
      <c r="C141" s="509" t="s">
        <v>2511</v>
      </c>
      <c r="D141" s="169">
        <v>4.5</v>
      </c>
      <c r="E141" s="169">
        <v>0</v>
      </c>
      <c r="F141" s="169" t="s">
        <v>1253</v>
      </c>
      <c r="G141" s="169" t="s">
        <v>377</v>
      </c>
      <c r="H141" s="169">
        <v>1</v>
      </c>
      <c r="I141" s="168"/>
      <c r="J141" s="174"/>
    </row>
    <row r="142" spans="2:18" s="103" customFormat="1" ht="18.75" outlineLevel="1" thickBot="1" x14ac:dyDescent="0.3">
      <c r="B142" s="984" t="s">
        <v>1972</v>
      </c>
      <c r="C142" s="170" t="s">
        <v>2512</v>
      </c>
      <c r="D142" s="171">
        <v>9.5</v>
      </c>
      <c r="E142" s="171">
        <v>0</v>
      </c>
      <c r="F142" s="171" t="s">
        <v>1253</v>
      </c>
      <c r="G142" s="171" t="s">
        <v>377</v>
      </c>
      <c r="H142" s="171">
        <v>1</v>
      </c>
      <c r="I142" s="170"/>
      <c r="J142" s="175"/>
    </row>
    <row r="143" spans="2:18" s="103" customFormat="1" ht="15.75" thickBot="1" x14ac:dyDescent="0.3">
      <c r="B143" s="113"/>
      <c r="C143" s="1012"/>
      <c r="D143" s="2536"/>
      <c r="E143" s="2543"/>
      <c r="F143" s="2543"/>
      <c r="G143" s="2543"/>
      <c r="H143" s="2543"/>
      <c r="I143" s="1012"/>
      <c r="J143" s="1007"/>
    </row>
    <row r="144" spans="2:18" s="103" customFormat="1" ht="15.75" thickBot="1" x14ac:dyDescent="0.3">
      <c r="B144" s="113"/>
      <c r="C144" s="410" t="s">
        <v>2165</v>
      </c>
      <c r="D144" s="104" t="s">
        <v>299</v>
      </c>
      <c r="E144" s="104"/>
      <c r="F144" s="104"/>
      <c r="G144" s="104"/>
      <c r="H144" s="104"/>
      <c r="I144" s="113"/>
      <c r="J144" s="1007"/>
    </row>
    <row r="145" spans="1:18" s="103" customFormat="1" ht="15.75" thickBot="1" x14ac:dyDescent="0.3">
      <c r="B145" s="985" t="s">
        <v>0</v>
      </c>
      <c r="C145" s="141" t="s">
        <v>1</v>
      </c>
      <c r="D145" s="114" t="s">
        <v>839</v>
      </c>
      <c r="E145" s="114" t="s">
        <v>470</v>
      </c>
      <c r="F145" s="114" t="s">
        <v>471</v>
      </c>
      <c r="G145" s="114" t="s">
        <v>2</v>
      </c>
      <c r="H145" s="114" t="s">
        <v>298</v>
      </c>
      <c r="I145" s="1336" t="s">
        <v>116</v>
      </c>
      <c r="J145" s="1337" t="s">
        <v>117</v>
      </c>
    </row>
    <row r="146" spans="1:18" s="103" customFormat="1" ht="18" outlineLevel="1" x14ac:dyDescent="0.25">
      <c r="B146" s="986" t="s">
        <v>851</v>
      </c>
      <c r="C146" s="510" t="s">
        <v>1042</v>
      </c>
      <c r="D146" s="269">
        <v>1.3</v>
      </c>
      <c r="E146" s="270">
        <v>0</v>
      </c>
      <c r="F146" s="270" t="s">
        <v>1253</v>
      </c>
      <c r="G146" s="270" t="s">
        <v>847</v>
      </c>
      <c r="H146" s="270">
        <v>1</v>
      </c>
      <c r="I146" s="1338"/>
      <c r="J146" s="1339"/>
    </row>
    <row r="147" spans="1:18" s="103" customFormat="1" ht="18" outlineLevel="1" x14ac:dyDescent="0.25">
      <c r="B147" s="987" t="s">
        <v>852</v>
      </c>
      <c r="C147" s="511" t="s">
        <v>2513</v>
      </c>
      <c r="D147" s="271">
        <v>0.13</v>
      </c>
      <c r="E147" s="271">
        <v>0</v>
      </c>
      <c r="F147" s="271" t="s">
        <v>1253</v>
      </c>
      <c r="G147" s="271" t="s">
        <v>847</v>
      </c>
      <c r="H147" s="271">
        <v>1</v>
      </c>
      <c r="I147" s="1340"/>
      <c r="J147" s="1341"/>
    </row>
    <row r="148" spans="1:18" s="103" customFormat="1" ht="18" outlineLevel="1" x14ac:dyDescent="0.25">
      <c r="B148" s="987" t="s">
        <v>1927</v>
      </c>
      <c r="C148" s="511" t="s">
        <v>2514</v>
      </c>
      <c r="D148" s="271">
        <v>0.1</v>
      </c>
      <c r="E148" s="271">
        <v>0</v>
      </c>
      <c r="F148" s="271" t="s">
        <v>1253</v>
      </c>
      <c r="G148" s="271" t="s">
        <v>848</v>
      </c>
      <c r="H148" s="271">
        <v>1</v>
      </c>
      <c r="I148" s="1340"/>
      <c r="J148" s="1341"/>
    </row>
    <row r="149" spans="1:18" s="103" customFormat="1" ht="18" outlineLevel="1" x14ac:dyDescent="0.25">
      <c r="B149" s="987" t="s">
        <v>3463</v>
      </c>
      <c r="C149" s="511" t="s">
        <v>3464</v>
      </c>
      <c r="D149" s="271">
        <v>0.05</v>
      </c>
      <c r="E149" s="271">
        <v>0</v>
      </c>
      <c r="F149" s="271" t="s">
        <v>1253</v>
      </c>
      <c r="G149" s="271" t="s">
        <v>849</v>
      </c>
      <c r="H149" s="271">
        <v>2</v>
      </c>
      <c r="I149" s="1340"/>
      <c r="J149" s="1341"/>
    </row>
    <row r="150" spans="1:18" s="103" customFormat="1" ht="18" outlineLevel="1" x14ac:dyDescent="0.25">
      <c r="B150" s="987" t="s">
        <v>2365</v>
      </c>
      <c r="C150" s="511" t="s">
        <v>2515</v>
      </c>
      <c r="D150" s="271">
        <v>0.05</v>
      </c>
      <c r="E150" s="271">
        <v>0</v>
      </c>
      <c r="F150" s="271" t="s">
        <v>1253</v>
      </c>
      <c r="G150" s="271" t="s">
        <v>850</v>
      </c>
      <c r="H150" s="271">
        <v>2</v>
      </c>
      <c r="I150" s="1340"/>
      <c r="J150" s="1341"/>
    </row>
    <row r="151" spans="1:18" s="103" customFormat="1" ht="18" outlineLevel="1" x14ac:dyDescent="0.25">
      <c r="B151" s="987" t="s">
        <v>1973</v>
      </c>
      <c r="C151" s="511" t="s">
        <v>2516</v>
      </c>
      <c r="D151" s="271">
        <v>4.5</v>
      </c>
      <c r="E151" s="271">
        <v>0</v>
      </c>
      <c r="F151" s="271" t="s">
        <v>1253</v>
      </c>
      <c r="G151" s="271" t="s">
        <v>377</v>
      </c>
      <c r="H151" s="271">
        <v>1</v>
      </c>
      <c r="I151" s="1340"/>
      <c r="J151" s="1341"/>
    </row>
    <row r="152" spans="1:18" s="103" customFormat="1" ht="18.75" outlineLevel="1" thickBot="1" x14ac:dyDescent="0.3">
      <c r="B152" s="988" t="s">
        <v>1974</v>
      </c>
      <c r="C152" s="272" t="s">
        <v>2517</v>
      </c>
      <c r="D152" s="273">
        <v>9.5</v>
      </c>
      <c r="E152" s="273">
        <v>0</v>
      </c>
      <c r="F152" s="273" t="s">
        <v>1253</v>
      </c>
      <c r="G152" s="273" t="s">
        <v>377</v>
      </c>
      <c r="H152" s="273">
        <v>1</v>
      </c>
      <c r="I152" s="272"/>
      <c r="J152" s="1342"/>
    </row>
    <row r="153" spans="1:18" s="103" customFormat="1" ht="15.75" thickBot="1" x14ac:dyDescent="0.3">
      <c r="B153" s="113"/>
      <c r="C153" s="1012"/>
      <c r="D153" s="2535"/>
      <c r="E153" s="2543"/>
      <c r="F153" s="2543"/>
      <c r="G153" s="2543"/>
      <c r="H153" s="2543"/>
      <c r="I153" s="1012"/>
      <c r="J153" s="1007"/>
    </row>
    <row r="154" spans="1:18" ht="15.75" thickBot="1" x14ac:dyDescent="0.3">
      <c r="A154" s="103"/>
      <c r="C154" s="1291" t="s">
        <v>4576</v>
      </c>
      <c r="D154" s="104" t="s">
        <v>299</v>
      </c>
    </row>
    <row r="155" spans="1:18" s="116" customFormat="1" ht="15.75" thickBot="1" x14ac:dyDescent="0.3">
      <c r="B155" s="972" t="s">
        <v>0</v>
      </c>
      <c r="C155" s="1294" t="s">
        <v>1</v>
      </c>
      <c r="D155" s="434" t="s">
        <v>839</v>
      </c>
      <c r="E155" s="434" t="s">
        <v>470</v>
      </c>
      <c r="F155" s="434" t="s">
        <v>471</v>
      </c>
      <c r="G155" s="434" t="s">
        <v>2</v>
      </c>
      <c r="H155" s="434" t="s">
        <v>298</v>
      </c>
      <c r="I155" s="1322" t="s">
        <v>116</v>
      </c>
      <c r="J155" s="1331" t="s">
        <v>117</v>
      </c>
      <c r="K155" s="103"/>
      <c r="L155" s="103"/>
      <c r="M155" s="103"/>
      <c r="N155" s="103"/>
      <c r="O155" s="103"/>
      <c r="P155" s="103"/>
      <c r="Q155" s="103"/>
      <c r="R155" s="103"/>
    </row>
    <row r="156" spans="1:18" s="103" customFormat="1" ht="18" outlineLevel="1" x14ac:dyDescent="0.35">
      <c r="B156" s="1994" t="s">
        <v>4577</v>
      </c>
      <c r="C156" s="1995" t="s">
        <v>4578</v>
      </c>
      <c r="D156" s="1996">
        <v>2</v>
      </c>
      <c r="E156" s="1997">
        <v>0</v>
      </c>
      <c r="F156" s="1997" t="s">
        <v>1253</v>
      </c>
      <c r="G156" s="1997" t="s">
        <v>847</v>
      </c>
      <c r="H156" s="1997">
        <v>2</v>
      </c>
      <c r="I156" s="1998"/>
      <c r="J156" s="1999"/>
    </row>
    <row r="157" spans="1:18" s="103" customFormat="1" ht="18" outlineLevel="1" x14ac:dyDescent="0.35">
      <c r="B157" s="2000" t="s">
        <v>4579</v>
      </c>
      <c r="C157" s="2001" t="s">
        <v>4580</v>
      </c>
      <c r="D157" s="2002">
        <v>0.1</v>
      </c>
      <c r="E157" s="2003">
        <v>0</v>
      </c>
      <c r="F157" s="2003" t="s">
        <v>1253</v>
      </c>
      <c r="G157" s="2003" t="s">
        <v>847</v>
      </c>
      <c r="H157" s="2003">
        <v>2</v>
      </c>
      <c r="I157" s="2004"/>
      <c r="J157" s="2005"/>
    </row>
    <row r="158" spans="1:18" s="103" customFormat="1" ht="18" outlineLevel="1" x14ac:dyDescent="0.35">
      <c r="B158" s="2000" t="s">
        <v>4581</v>
      </c>
      <c r="C158" s="2001" t="s">
        <v>4582</v>
      </c>
      <c r="D158" s="2002">
        <v>10</v>
      </c>
      <c r="E158" s="2003">
        <v>0</v>
      </c>
      <c r="F158" s="2003" t="s">
        <v>1253</v>
      </c>
      <c r="G158" s="2003" t="s">
        <v>1603</v>
      </c>
      <c r="H158" s="2003">
        <v>2</v>
      </c>
      <c r="I158" s="2004"/>
      <c r="J158" s="2005"/>
    </row>
    <row r="159" spans="1:18" s="103" customFormat="1" ht="18" outlineLevel="1" x14ac:dyDescent="0.35">
      <c r="B159" s="2000" t="s">
        <v>4583</v>
      </c>
      <c r="C159" s="2001" t="s">
        <v>4584</v>
      </c>
      <c r="D159" s="2002">
        <v>0.5</v>
      </c>
      <c r="E159" s="2003">
        <v>0</v>
      </c>
      <c r="F159" s="2003" t="s">
        <v>1253</v>
      </c>
      <c r="G159" s="2003" t="s">
        <v>850</v>
      </c>
      <c r="H159" s="2003">
        <v>2</v>
      </c>
      <c r="I159" s="2004"/>
      <c r="J159" s="2005"/>
    </row>
    <row r="160" spans="1:18" s="103" customFormat="1" ht="18.75" outlineLevel="1" x14ac:dyDescent="0.35">
      <c r="B160" s="2000" t="s">
        <v>4585</v>
      </c>
      <c r="C160" s="2001" t="s">
        <v>4586</v>
      </c>
      <c r="D160" s="2002">
        <v>0.05</v>
      </c>
      <c r="E160" s="2003">
        <v>0</v>
      </c>
      <c r="F160" s="2003" t="s">
        <v>1253</v>
      </c>
      <c r="G160" s="2003" t="s">
        <v>849</v>
      </c>
      <c r="H160" s="2003">
        <v>2</v>
      </c>
      <c r="I160" s="2004"/>
      <c r="J160" s="2005"/>
    </row>
    <row r="161" spans="2:18" s="103" customFormat="1" ht="18" outlineLevel="1" x14ac:dyDescent="0.35">
      <c r="B161" s="2000" t="s">
        <v>4587</v>
      </c>
      <c r="C161" s="2001" t="s">
        <v>4588</v>
      </c>
      <c r="D161" s="2002">
        <v>0.7</v>
      </c>
      <c r="E161" s="2003">
        <v>0</v>
      </c>
      <c r="F161" s="2003" t="s">
        <v>1253</v>
      </c>
      <c r="G161" s="2003" t="s">
        <v>884</v>
      </c>
      <c r="H161" s="2003">
        <v>1</v>
      </c>
      <c r="I161" s="2004"/>
      <c r="J161" s="2005"/>
    </row>
    <row r="162" spans="2:18" s="103" customFormat="1" ht="18.75" outlineLevel="1" thickBot="1" x14ac:dyDescent="0.4">
      <c r="B162" s="2006" t="s">
        <v>4589</v>
      </c>
      <c r="C162" s="2007" t="s">
        <v>4590</v>
      </c>
      <c r="D162" s="2008">
        <v>0.5</v>
      </c>
      <c r="E162" s="2009">
        <v>0</v>
      </c>
      <c r="F162" s="2009" t="s">
        <v>1253</v>
      </c>
      <c r="G162" s="2009" t="s">
        <v>850</v>
      </c>
      <c r="H162" s="2009">
        <v>2</v>
      </c>
      <c r="I162" s="2010"/>
      <c r="J162" s="2011"/>
    </row>
    <row r="163" spans="2:18" s="103" customFormat="1" ht="15.75" thickBot="1" x14ac:dyDescent="0.3">
      <c r="B163" s="113"/>
      <c r="C163" s="1012"/>
      <c r="D163" s="2536"/>
      <c r="E163" s="2543"/>
      <c r="F163" s="2543"/>
      <c r="G163" s="2543"/>
      <c r="H163" s="2543"/>
      <c r="I163" s="1012"/>
      <c r="J163" s="1007"/>
    </row>
    <row r="164" spans="2:18" s="103" customFormat="1" ht="15.75" thickBot="1" x14ac:dyDescent="0.3">
      <c r="B164" s="113"/>
      <c r="C164" s="139" t="s">
        <v>1362</v>
      </c>
      <c r="D164" s="104" t="s">
        <v>299</v>
      </c>
      <c r="E164" s="104"/>
      <c r="F164" s="104"/>
      <c r="G164" s="104"/>
      <c r="H164" s="104"/>
      <c r="I164" s="113"/>
      <c r="J164" s="1007"/>
    </row>
    <row r="165" spans="2:18" s="116" customFormat="1" ht="15.75" thickBot="1" x14ac:dyDescent="0.3">
      <c r="B165" s="972" t="s">
        <v>0</v>
      </c>
      <c r="C165" s="1294" t="s">
        <v>1</v>
      </c>
      <c r="D165" s="434" t="s">
        <v>839</v>
      </c>
      <c r="E165" s="434" t="s">
        <v>470</v>
      </c>
      <c r="F165" s="434" t="s">
        <v>471</v>
      </c>
      <c r="G165" s="434" t="s">
        <v>2</v>
      </c>
      <c r="H165" s="434" t="s">
        <v>298</v>
      </c>
      <c r="I165" s="1322" t="s">
        <v>116</v>
      </c>
      <c r="J165" s="1331" t="s">
        <v>117</v>
      </c>
      <c r="K165" s="103"/>
      <c r="L165" s="103"/>
      <c r="M165" s="103"/>
      <c r="N165" s="103"/>
      <c r="O165" s="103"/>
      <c r="P165" s="103"/>
      <c r="Q165" s="103"/>
      <c r="R165" s="103"/>
    </row>
    <row r="166" spans="2:18" s="103" customFormat="1" ht="18" outlineLevel="1" x14ac:dyDescent="0.25">
      <c r="B166" s="989" t="s">
        <v>1703</v>
      </c>
      <c r="C166" s="512" t="s">
        <v>2518</v>
      </c>
      <c r="D166" s="743">
        <v>0.1</v>
      </c>
      <c r="E166" s="397">
        <v>0</v>
      </c>
      <c r="F166" s="180" t="s">
        <v>1253</v>
      </c>
      <c r="G166" s="180" t="s">
        <v>1313</v>
      </c>
      <c r="H166" s="180">
        <v>2</v>
      </c>
      <c r="I166" s="1343"/>
      <c r="J166" s="204"/>
    </row>
    <row r="167" spans="2:18" s="103" customFormat="1" ht="18" outlineLevel="1" x14ac:dyDescent="0.25">
      <c r="B167" s="990" t="s">
        <v>1704</v>
      </c>
      <c r="C167" s="513" t="s">
        <v>2519</v>
      </c>
      <c r="D167" s="656">
        <v>0.1</v>
      </c>
      <c r="E167" s="398">
        <v>0</v>
      </c>
      <c r="F167" s="173" t="s">
        <v>1253</v>
      </c>
      <c r="G167" s="173" t="s">
        <v>1313</v>
      </c>
      <c r="H167" s="173">
        <v>2</v>
      </c>
      <c r="I167" s="1344"/>
      <c r="J167" s="205"/>
    </row>
    <row r="168" spans="2:18" s="103" customFormat="1" ht="18" outlineLevel="1" x14ac:dyDescent="0.25">
      <c r="B168" s="990" t="s">
        <v>1705</v>
      </c>
      <c r="C168" s="513" t="s">
        <v>2520</v>
      </c>
      <c r="D168" s="656">
        <v>10</v>
      </c>
      <c r="E168" s="398">
        <v>0</v>
      </c>
      <c r="F168" s="173" t="s">
        <v>1253</v>
      </c>
      <c r="G168" s="173" t="s">
        <v>1313</v>
      </c>
      <c r="H168" s="173">
        <v>2</v>
      </c>
      <c r="I168" s="1345"/>
      <c r="J168" s="205"/>
    </row>
    <row r="169" spans="2:18" s="103" customFormat="1" ht="18" outlineLevel="1" x14ac:dyDescent="0.25">
      <c r="B169" s="990" t="s">
        <v>1706</v>
      </c>
      <c r="C169" s="513" t="s">
        <v>2521</v>
      </c>
      <c r="D169" s="656">
        <v>10</v>
      </c>
      <c r="E169" s="398">
        <v>0</v>
      </c>
      <c r="F169" s="173" t="s">
        <v>1253</v>
      </c>
      <c r="G169" s="173" t="s">
        <v>1313</v>
      </c>
      <c r="H169" s="173">
        <v>2</v>
      </c>
      <c r="I169" s="1345"/>
      <c r="J169" s="205"/>
    </row>
    <row r="170" spans="2:18" s="116" customFormat="1" ht="18" outlineLevel="1" x14ac:dyDescent="0.25">
      <c r="B170" s="990" t="s">
        <v>1707</v>
      </c>
      <c r="C170" s="513" t="s">
        <v>2522</v>
      </c>
      <c r="D170" s="656">
        <v>5</v>
      </c>
      <c r="E170" s="398">
        <v>0</v>
      </c>
      <c r="F170" s="173" t="s">
        <v>1253</v>
      </c>
      <c r="G170" s="173" t="s">
        <v>1313</v>
      </c>
      <c r="H170" s="173">
        <v>2</v>
      </c>
      <c r="I170" s="1345"/>
      <c r="J170" s="205"/>
      <c r="K170" s="103"/>
      <c r="L170" s="103"/>
      <c r="M170" s="103"/>
      <c r="N170" s="103"/>
      <c r="O170" s="103"/>
      <c r="P170" s="103"/>
      <c r="Q170" s="103"/>
      <c r="R170" s="103"/>
    </row>
    <row r="171" spans="2:18" s="116" customFormat="1" ht="18" outlineLevel="1" x14ac:dyDescent="0.25">
      <c r="B171" s="990" t="s">
        <v>1708</v>
      </c>
      <c r="C171" s="513" t="s">
        <v>2523</v>
      </c>
      <c r="D171" s="656">
        <v>5</v>
      </c>
      <c r="E171" s="398">
        <v>0</v>
      </c>
      <c r="F171" s="173" t="s">
        <v>1253</v>
      </c>
      <c r="G171" s="173" t="s">
        <v>1313</v>
      </c>
      <c r="H171" s="173">
        <v>2</v>
      </c>
      <c r="I171" s="1345"/>
      <c r="J171" s="205"/>
      <c r="K171" s="103"/>
      <c r="L171" s="103"/>
      <c r="M171" s="103"/>
      <c r="N171" s="103"/>
      <c r="O171" s="103"/>
      <c r="P171" s="103"/>
      <c r="Q171" s="103"/>
      <c r="R171" s="103"/>
    </row>
    <row r="172" spans="2:18" s="116" customFormat="1" ht="18" outlineLevel="1" x14ac:dyDescent="0.25">
      <c r="B172" s="991" t="s">
        <v>3670</v>
      </c>
      <c r="C172" s="862" t="s">
        <v>3671</v>
      </c>
      <c r="D172" s="863">
        <v>500</v>
      </c>
      <c r="E172" s="864">
        <v>0</v>
      </c>
      <c r="F172" s="863" t="s">
        <v>1253</v>
      </c>
      <c r="G172" s="863" t="s">
        <v>1313</v>
      </c>
      <c r="H172" s="863">
        <v>2</v>
      </c>
      <c r="I172" s="1346"/>
      <c r="J172" s="1347"/>
      <c r="K172" s="103"/>
      <c r="L172" s="103"/>
      <c r="M172" s="103"/>
      <c r="N172" s="103"/>
      <c r="O172" s="103"/>
      <c r="P172" s="103"/>
      <c r="Q172" s="103"/>
      <c r="R172" s="103"/>
    </row>
    <row r="173" spans="2:18" s="116" customFormat="1" ht="18" outlineLevel="1" x14ac:dyDescent="0.25">
      <c r="B173" s="991" t="s">
        <v>3672</v>
      </c>
      <c r="C173" s="862" t="s">
        <v>3673</v>
      </c>
      <c r="D173" s="863">
        <v>500</v>
      </c>
      <c r="E173" s="864">
        <v>0</v>
      </c>
      <c r="F173" s="863" t="s">
        <v>1253</v>
      </c>
      <c r="G173" s="863" t="s">
        <v>1313</v>
      </c>
      <c r="H173" s="863">
        <v>2</v>
      </c>
      <c r="I173" s="1346"/>
      <c r="J173" s="1347"/>
      <c r="K173" s="103"/>
      <c r="L173" s="103"/>
      <c r="M173" s="103"/>
      <c r="N173" s="103"/>
      <c r="O173" s="103"/>
      <c r="P173" s="103"/>
      <c r="Q173" s="103"/>
      <c r="R173" s="103"/>
    </row>
    <row r="174" spans="2:18" s="103" customFormat="1" ht="18" outlineLevel="1" x14ac:dyDescent="0.25">
      <c r="B174" s="990" t="s">
        <v>1709</v>
      </c>
      <c r="C174" s="513" t="s">
        <v>2524</v>
      </c>
      <c r="D174" s="656">
        <v>0.01</v>
      </c>
      <c r="E174" s="398">
        <v>0</v>
      </c>
      <c r="F174" s="173" t="s">
        <v>1253</v>
      </c>
      <c r="G174" s="173" t="s">
        <v>1313</v>
      </c>
      <c r="H174" s="173">
        <v>2</v>
      </c>
      <c r="I174" s="1344"/>
      <c r="J174" s="205"/>
    </row>
    <row r="175" spans="2:18" s="103" customFormat="1" ht="18" outlineLevel="1" x14ac:dyDescent="0.25">
      <c r="B175" s="990" t="s">
        <v>1710</v>
      </c>
      <c r="C175" s="513" t="s">
        <v>2525</v>
      </c>
      <c r="D175" s="656">
        <v>0.01</v>
      </c>
      <c r="E175" s="398">
        <v>0</v>
      </c>
      <c r="F175" s="173" t="s">
        <v>1253</v>
      </c>
      <c r="G175" s="173" t="s">
        <v>1313</v>
      </c>
      <c r="H175" s="173">
        <v>3</v>
      </c>
      <c r="I175" s="1344"/>
      <c r="J175" s="205"/>
    </row>
    <row r="176" spans="2:18" s="103" customFormat="1" ht="18" outlineLevel="1" x14ac:dyDescent="0.25">
      <c r="B176" s="992" t="s">
        <v>2853</v>
      </c>
      <c r="C176" s="514" t="s">
        <v>2526</v>
      </c>
      <c r="D176" s="206">
        <v>0.01</v>
      </c>
      <c r="E176" s="206">
        <v>0</v>
      </c>
      <c r="F176" s="206" t="s">
        <v>1253</v>
      </c>
      <c r="G176" s="181" t="s">
        <v>1749</v>
      </c>
      <c r="H176" s="206">
        <v>3</v>
      </c>
      <c r="I176" s="1348"/>
      <c r="J176" s="207"/>
    </row>
    <row r="177" spans="2:18" s="103" customFormat="1" ht="18" outlineLevel="1" x14ac:dyDescent="0.25">
      <c r="B177" s="992" t="s">
        <v>2854</v>
      </c>
      <c r="C177" s="514" t="s">
        <v>2527</v>
      </c>
      <c r="D177" s="206">
        <v>0.01</v>
      </c>
      <c r="E177" s="206">
        <v>0</v>
      </c>
      <c r="F177" s="206" t="s">
        <v>1253</v>
      </c>
      <c r="G177" s="181" t="s">
        <v>1749</v>
      </c>
      <c r="H177" s="206">
        <v>3</v>
      </c>
      <c r="I177" s="1348"/>
      <c r="J177" s="207"/>
    </row>
    <row r="178" spans="2:18" s="103" customFormat="1" ht="18" outlineLevel="1" x14ac:dyDescent="0.25">
      <c r="B178" s="993" t="s">
        <v>3898</v>
      </c>
      <c r="C178" s="949" t="s">
        <v>3899</v>
      </c>
      <c r="D178" s="950">
        <v>0.01</v>
      </c>
      <c r="E178" s="950">
        <v>0</v>
      </c>
      <c r="F178" s="950" t="s">
        <v>1253</v>
      </c>
      <c r="G178" s="951" t="s">
        <v>1749</v>
      </c>
      <c r="H178" s="950">
        <v>3</v>
      </c>
      <c r="I178" s="949"/>
      <c r="J178" s="952"/>
    </row>
    <row r="179" spans="2:18" s="103" customFormat="1" ht="18" outlineLevel="1" x14ac:dyDescent="0.25">
      <c r="B179" s="992" t="s">
        <v>2855</v>
      </c>
      <c r="C179" s="514" t="s">
        <v>2528</v>
      </c>
      <c r="D179" s="206">
        <v>0.01</v>
      </c>
      <c r="E179" s="206">
        <v>0</v>
      </c>
      <c r="F179" s="206" t="s">
        <v>1253</v>
      </c>
      <c r="G179" s="181" t="s">
        <v>1749</v>
      </c>
      <c r="H179" s="206">
        <v>3</v>
      </c>
      <c r="I179" s="1348"/>
      <c r="J179" s="207"/>
    </row>
    <row r="180" spans="2:18" s="103" customFormat="1" ht="18.75" outlineLevel="1" thickBot="1" x14ac:dyDescent="0.3">
      <c r="B180" s="994" t="s">
        <v>2856</v>
      </c>
      <c r="C180" s="208" t="s">
        <v>2529</v>
      </c>
      <c r="D180" s="209">
        <v>0.01</v>
      </c>
      <c r="E180" s="209">
        <v>0</v>
      </c>
      <c r="F180" s="209" t="s">
        <v>1253</v>
      </c>
      <c r="G180" s="182" t="s">
        <v>1749</v>
      </c>
      <c r="H180" s="209">
        <v>3</v>
      </c>
      <c r="I180" s="208"/>
      <c r="J180" s="210"/>
    </row>
    <row r="181" spans="2:18" s="103" customFormat="1" ht="15.75" thickBot="1" x14ac:dyDescent="0.3">
      <c r="B181" s="113"/>
      <c r="C181" s="1012"/>
      <c r="D181" s="2536"/>
      <c r="E181" s="2543"/>
      <c r="F181" s="2543"/>
      <c r="G181" s="2543"/>
      <c r="H181" s="2543"/>
      <c r="I181" s="1012"/>
      <c r="J181" s="1007"/>
    </row>
    <row r="182" spans="2:18" s="103" customFormat="1" ht="15.75" thickBot="1" x14ac:dyDescent="0.3">
      <c r="B182" s="113"/>
      <c r="C182" s="139" t="s">
        <v>1981</v>
      </c>
      <c r="D182" s="104" t="s">
        <v>299</v>
      </c>
      <c r="E182" s="104"/>
      <c r="F182" s="104"/>
      <c r="G182" s="104"/>
      <c r="H182" s="104"/>
      <c r="I182" s="113"/>
      <c r="J182" s="1007"/>
    </row>
    <row r="183" spans="2:18" s="116" customFormat="1" ht="15.75" thickBot="1" x14ac:dyDescent="0.3">
      <c r="B183" s="972" t="s">
        <v>0</v>
      </c>
      <c r="C183" s="1294" t="s">
        <v>1</v>
      </c>
      <c r="D183" s="434" t="s">
        <v>839</v>
      </c>
      <c r="E183" s="434" t="s">
        <v>470</v>
      </c>
      <c r="F183" s="434" t="s">
        <v>471</v>
      </c>
      <c r="G183" s="434" t="s">
        <v>2</v>
      </c>
      <c r="H183" s="434" t="s">
        <v>298</v>
      </c>
      <c r="I183" s="1322" t="s">
        <v>116</v>
      </c>
      <c r="J183" s="1331" t="s">
        <v>117</v>
      </c>
      <c r="K183" s="103"/>
      <c r="L183" s="103"/>
      <c r="M183" s="103"/>
      <c r="N183" s="103"/>
      <c r="O183" s="103"/>
      <c r="P183" s="103"/>
      <c r="Q183" s="103"/>
      <c r="R183" s="103"/>
    </row>
    <row r="184" spans="2:18" s="103" customFormat="1" ht="18" outlineLevel="1" x14ac:dyDescent="0.25">
      <c r="B184" s="939" t="s">
        <v>1711</v>
      </c>
      <c r="C184" s="695" t="s">
        <v>2531</v>
      </c>
      <c r="D184" s="696">
        <v>250</v>
      </c>
      <c r="E184" s="696">
        <v>0</v>
      </c>
      <c r="F184" s="696" t="s">
        <v>1253</v>
      </c>
      <c r="G184" s="697" t="s">
        <v>847</v>
      </c>
      <c r="H184" s="696">
        <v>0</v>
      </c>
      <c r="I184" s="1349"/>
      <c r="J184" s="698"/>
    </row>
    <row r="185" spans="2:18" s="103" customFormat="1" ht="18" outlineLevel="1" x14ac:dyDescent="0.25">
      <c r="B185" s="699" t="s">
        <v>1712</v>
      </c>
      <c r="C185" s="700" t="s">
        <v>2532</v>
      </c>
      <c r="D185" s="701">
        <v>1</v>
      </c>
      <c r="E185" s="564">
        <v>0</v>
      </c>
      <c r="F185" s="563" t="s">
        <v>1253</v>
      </c>
      <c r="G185" s="561" t="s">
        <v>847</v>
      </c>
      <c r="H185" s="563">
        <v>2</v>
      </c>
      <c r="I185" s="1201"/>
      <c r="J185" s="702"/>
    </row>
    <row r="186" spans="2:18" s="103" customFormat="1" ht="18" outlineLevel="1" x14ac:dyDescent="0.25">
      <c r="B186" s="699" t="s">
        <v>3867</v>
      </c>
      <c r="C186" s="562" t="s">
        <v>2533</v>
      </c>
      <c r="D186" s="563">
        <v>150</v>
      </c>
      <c r="E186" s="564">
        <v>0</v>
      </c>
      <c r="F186" s="564" t="s">
        <v>1253</v>
      </c>
      <c r="G186" s="561" t="s">
        <v>847</v>
      </c>
      <c r="H186" s="564">
        <v>0</v>
      </c>
      <c r="I186" s="1201"/>
      <c r="J186" s="702"/>
    </row>
    <row r="187" spans="2:18" s="103" customFormat="1" ht="18" outlineLevel="1" x14ac:dyDescent="0.25">
      <c r="B187" s="699" t="s">
        <v>3868</v>
      </c>
      <c r="C187" s="700" t="s">
        <v>2534</v>
      </c>
      <c r="D187" s="701">
        <v>1</v>
      </c>
      <c r="E187" s="564">
        <v>0</v>
      </c>
      <c r="F187" s="564" t="s">
        <v>1253</v>
      </c>
      <c r="G187" s="561" t="s">
        <v>847</v>
      </c>
      <c r="H187" s="564">
        <v>2</v>
      </c>
      <c r="I187" s="1201"/>
      <c r="J187" s="702"/>
    </row>
    <row r="188" spans="2:18" s="103" customFormat="1" ht="18" outlineLevel="1" x14ac:dyDescent="0.25">
      <c r="B188" s="699" t="s">
        <v>3338</v>
      </c>
      <c r="C188" s="562" t="s">
        <v>3339</v>
      </c>
      <c r="D188" s="563">
        <v>100</v>
      </c>
      <c r="E188" s="564">
        <v>0</v>
      </c>
      <c r="F188" s="564" t="s">
        <v>1253</v>
      </c>
      <c r="G188" s="561" t="s">
        <v>847</v>
      </c>
      <c r="H188" s="564">
        <v>0</v>
      </c>
      <c r="I188" s="1201"/>
      <c r="J188" s="702"/>
    </row>
    <row r="189" spans="2:18" s="103" customFormat="1" ht="18" outlineLevel="1" x14ac:dyDescent="0.25">
      <c r="B189" s="699" t="s">
        <v>3340</v>
      </c>
      <c r="C189" s="562" t="s">
        <v>3341</v>
      </c>
      <c r="D189" s="563">
        <v>10</v>
      </c>
      <c r="E189" s="564">
        <v>0</v>
      </c>
      <c r="F189" s="564" t="s">
        <v>1253</v>
      </c>
      <c r="G189" s="561" t="s">
        <v>847</v>
      </c>
      <c r="H189" s="564">
        <v>0</v>
      </c>
      <c r="I189" s="1201"/>
      <c r="J189" s="702"/>
    </row>
    <row r="190" spans="2:18" s="103" customFormat="1" ht="18" outlineLevel="1" x14ac:dyDescent="0.25">
      <c r="B190" s="699" t="s">
        <v>3342</v>
      </c>
      <c r="C190" s="562" t="s">
        <v>3343</v>
      </c>
      <c r="D190" s="563">
        <v>100</v>
      </c>
      <c r="E190" s="564">
        <v>0</v>
      </c>
      <c r="F190" s="564" t="s">
        <v>1253</v>
      </c>
      <c r="G190" s="561" t="s">
        <v>847</v>
      </c>
      <c r="H190" s="564">
        <v>0</v>
      </c>
      <c r="I190" s="1201"/>
      <c r="J190" s="702"/>
    </row>
    <row r="191" spans="2:18" s="103" customFormat="1" ht="18" outlineLevel="1" x14ac:dyDescent="0.25">
      <c r="B191" s="703" t="s">
        <v>1713</v>
      </c>
      <c r="C191" s="559" t="s">
        <v>2535</v>
      </c>
      <c r="D191" s="560">
        <v>2</v>
      </c>
      <c r="E191" s="561">
        <v>0</v>
      </c>
      <c r="F191" s="561" t="s">
        <v>1253</v>
      </c>
      <c r="G191" s="561" t="s">
        <v>847</v>
      </c>
      <c r="H191" s="561">
        <v>1</v>
      </c>
      <c r="I191" s="1350"/>
      <c r="J191" s="704"/>
    </row>
    <row r="192" spans="2:18" s="103" customFormat="1" ht="18" outlineLevel="1" x14ac:dyDescent="0.25">
      <c r="B192" s="699" t="s">
        <v>3058</v>
      </c>
      <c r="C192" s="562" t="s">
        <v>3059</v>
      </c>
      <c r="D192" s="563">
        <v>-100</v>
      </c>
      <c r="E192" s="564" t="s">
        <v>2180</v>
      </c>
      <c r="F192" s="564" t="s">
        <v>1253</v>
      </c>
      <c r="G192" s="561" t="s">
        <v>2140</v>
      </c>
      <c r="H192" s="564">
        <v>0</v>
      </c>
      <c r="I192" s="1201"/>
      <c r="J192" s="702"/>
    </row>
    <row r="193" spans="2:18" s="103" customFormat="1" ht="18" outlineLevel="1" x14ac:dyDescent="0.25">
      <c r="B193" s="703" t="s">
        <v>3060</v>
      </c>
      <c r="C193" s="559" t="s">
        <v>3061</v>
      </c>
      <c r="D193" s="560">
        <v>0.1</v>
      </c>
      <c r="E193" s="561">
        <v>0</v>
      </c>
      <c r="F193" s="561" t="s">
        <v>1253</v>
      </c>
      <c r="G193" s="561" t="s">
        <v>1989</v>
      </c>
      <c r="H193" s="561">
        <v>2</v>
      </c>
      <c r="I193" s="1350"/>
      <c r="J193" s="704"/>
    </row>
    <row r="194" spans="2:18" s="103" customFormat="1" ht="18" outlineLevel="1" x14ac:dyDescent="0.25">
      <c r="B194" s="705" t="s">
        <v>2530</v>
      </c>
      <c r="C194" s="559" t="s">
        <v>2536</v>
      </c>
      <c r="D194" s="560">
        <v>50</v>
      </c>
      <c r="E194" s="561">
        <v>0</v>
      </c>
      <c r="F194" s="561" t="s">
        <v>1253</v>
      </c>
      <c r="G194" s="561" t="s">
        <v>847</v>
      </c>
      <c r="H194" s="561">
        <v>1</v>
      </c>
      <c r="I194" s="1350"/>
      <c r="J194" s="706"/>
    </row>
    <row r="195" spans="2:18" s="103" customFormat="1" ht="18" outlineLevel="1" x14ac:dyDescent="0.25">
      <c r="B195" s="699" t="s">
        <v>3869</v>
      </c>
      <c r="C195" s="707" t="s">
        <v>2537</v>
      </c>
      <c r="D195" s="708">
        <v>0.01</v>
      </c>
      <c r="E195" s="561">
        <v>0</v>
      </c>
      <c r="F195" s="564" t="s">
        <v>1253</v>
      </c>
      <c r="G195" s="564" t="s">
        <v>886</v>
      </c>
      <c r="H195" s="564">
        <v>3</v>
      </c>
      <c r="I195" s="1201"/>
      <c r="J195" s="702"/>
    </row>
    <row r="196" spans="2:18" s="103" customFormat="1" ht="18" outlineLevel="1" x14ac:dyDescent="0.25">
      <c r="B196" s="1450" t="s">
        <v>4367</v>
      </c>
      <c r="C196" s="1451" t="s">
        <v>4368</v>
      </c>
      <c r="D196" s="1513">
        <v>1</v>
      </c>
      <c r="E196" s="1500">
        <v>0</v>
      </c>
      <c r="F196" s="1501">
        <v>2</v>
      </c>
      <c r="G196" s="1452" t="s">
        <v>282</v>
      </c>
      <c r="H196" s="1452">
        <v>2</v>
      </c>
      <c r="I196" s="1453"/>
      <c r="J196" s="1454" t="s">
        <v>4360</v>
      </c>
    </row>
    <row r="197" spans="2:18" s="103" customFormat="1" ht="18" outlineLevel="1" x14ac:dyDescent="0.25">
      <c r="B197" s="699" t="s">
        <v>3870</v>
      </c>
      <c r="C197" s="707" t="s">
        <v>3344</v>
      </c>
      <c r="D197" s="708">
        <v>0.1</v>
      </c>
      <c r="E197" s="561">
        <v>0</v>
      </c>
      <c r="F197" s="564" t="s">
        <v>1253</v>
      </c>
      <c r="G197" s="564" t="s">
        <v>886</v>
      </c>
      <c r="H197" s="564">
        <v>3</v>
      </c>
      <c r="I197" s="1201"/>
      <c r="J197" s="702"/>
    </row>
    <row r="198" spans="2:18" s="103" customFormat="1" ht="18.75" outlineLevel="1" thickBot="1" x14ac:dyDescent="0.3">
      <c r="B198" s="709" t="s">
        <v>3871</v>
      </c>
      <c r="C198" s="710" t="s">
        <v>2538</v>
      </c>
      <c r="D198" s="711">
        <v>0.1</v>
      </c>
      <c r="E198" s="712">
        <v>0</v>
      </c>
      <c r="F198" s="713" t="s">
        <v>1253</v>
      </c>
      <c r="G198" s="713" t="s">
        <v>886</v>
      </c>
      <c r="H198" s="713">
        <v>2</v>
      </c>
      <c r="I198" s="1351"/>
      <c r="J198" s="714"/>
    </row>
    <row r="199" spans="2:18" s="103" customFormat="1" ht="15.75" thickBot="1" x14ac:dyDescent="0.3">
      <c r="B199" s="113"/>
      <c r="C199" s="1012"/>
      <c r="D199" s="2536"/>
      <c r="E199" s="2543"/>
      <c r="F199" s="2543"/>
      <c r="G199" s="2543"/>
      <c r="H199" s="2543"/>
      <c r="I199" s="1012"/>
      <c r="J199" s="1007"/>
    </row>
    <row r="200" spans="2:18" s="103" customFormat="1" ht="15.75" thickBot="1" x14ac:dyDescent="0.3">
      <c r="B200" s="113"/>
      <c r="C200" s="865" t="s">
        <v>3674</v>
      </c>
      <c r="D200" s="104" t="s">
        <v>299</v>
      </c>
      <c r="E200" s="104"/>
      <c r="F200" s="104"/>
      <c r="G200" s="104"/>
      <c r="H200" s="104"/>
      <c r="I200" s="113"/>
      <c r="J200" s="1007"/>
    </row>
    <row r="201" spans="2:18" s="116" customFormat="1" ht="15.75" thickBot="1" x14ac:dyDescent="0.3">
      <c r="B201" s="972" t="s">
        <v>0</v>
      </c>
      <c r="C201" s="1294" t="s">
        <v>1</v>
      </c>
      <c r="D201" s="434" t="s">
        <v>839</v>
      </c>
      <c r="E201" s="434" t="s">
        <v>470</v>
      </c>
      <c r="F201" s="434" t="s">
        <v>471</v>
      </c>
      <c r="G201" s="434" t="s">
        <v>2</v>
      </c>
      <c r="H201" s="434" t="s">
        <v>298</v>
      </c>
      <c r="I201" s="1322" t="s">
        <v>116</v>
      </c>
      <c r="J201" s="1331" t="s">
        <v>117</v>
      </c>
      <c r="K201" s="103"/>
      <c r="L201" s="103"/>
      <c r="M201" s="103"/>
      <c r="N201" s="103"/>
      <c r="O201" s="103"/>
      <c r="P201" s="103"/>
      <c r="Q201" s="103"/>
      <c r="R201" s="103"/>
    </row>
    <row r="202" spans="2:18" s="103" customFormat="1" ht="18" outlineLevel="1" x14ac:dyDescent="0.25">
      <c r="B202" s="866" t="s">
        <v>3675</v>
      </c>
      <c r="C202" s="867" t="s">
        <v>3676</v>
      </c>
      <c r="D202" s="868">
        <v>75</v>
      </c>
      <c r="E202" s="868">
        <v>0</v>
      </c>
      <c r="F202" s="868" t="s">
        <v>1253</v>
      </c>
      <c r="G202" s="869" t="s">
        <v>847</v>
      </c>
      <c r="H202" s="868">
        <v>0</v>
      </c>
      <c r="I202" s="895"/>
      <c r="J202" s="871"/>
    </row>
    <row r="203" spans="2:18" s="103" customFormat="1" ht="18" outlineLevel="1" x14ac:dyDescent="0.25">
      <c r="B203" s="716" t="s">
        <v>3677</v>
      </c>
      <c r="C203" s="872" t="s">
        <v>3678</v>
      </c>
      <c r="D203" s="873">
        <v>1</v>
      </c>
      <c r="E203" s="874">
        <v>0</v>
      </c>
      <c r="F203" s="875" t="s">
        <v>1253</v>
      </c>
      <c r="G203" s="876" t="s">
        <v>847</v>
      </c>
      <c r="H203" s="875">
        <v>2</v>
      </c>
      <c r="I203" s="896"/>
      <c r="J203" s="877"/>
    </row>
    <row r="204" spans="2:18" s="103" customFormat="1" ht="18" outlineLevel="1" x14ac:dyDescent="0.25">
      <c r="B204" s="716" t="s">
        <v>3679</v>
      </c>
      <c r="C204" s="878" t="s">
        <v>3680</v>
      </c>
      <c r="D204" s="875">
        <v>175</v>
      </c>
      <c r="E204" s="874">
        <v>0</v>
      </c>
      <c r="F204" s="874" t="s">
        <v>1253</v>
      </c>
      <c r="G204" s="876" t="s">
        <v>847</v>
      </c>
      <c r="H204" s="874">
        <v>0</v>
      </c>
      <c r="I204" s="896"/>
      <c r="J204" s="877"/>
    </row>
    <row r="205" spans="2:18" s="103" customFormat="1" ht="18" outlineLevel="1" x14ac:dyDescent="0.25">
      <c r="B205" s="716" t="s">
        <v>3681</v>
      </c>
      <c r="C205" s="872" t="s">
        <v>3682</v>
      </c>
      <c r="D205" s="873">
        <v>1</v>
      </c>
      <c r="E205" s="874">
        <v>0</v>
      </c>
      <c r="F205" s="874" t="s">
        <v>1253</v>
      </c>
      <c r="G205" s="876" t="s">
        <v>847</v>
      </c>
      <c r="H205" s="874">
        <v>2</v>
      </c>
      <c r="I205" s="896"/>
      <c r="J205" s="877"/>
    </row>
    <row r="206" spans="2:18" s="103" customFormat="1" ht="18" outlineLevel="1" x14ac:dyDescent="0.25">
      <c r="B206" s="716" t="s">
        <v>3683</v>
      </c>
      <c r="C206" s="878" t="s">
        <v>3684</v>
      </c>
      <c r="D206" s="875">
        <v>100</v>
      </c>
      <c r="E206" s="874">
        <v>0</v>
      </c>
      <c r="F206" s="874" t="s">
        <v>1253</v>
      </c>
      <c r="G206" s="876" t="s">
        <v>847</v>
      </c>
      <c r="H206" s="874">
        <v>0</v>
      </c>
      <c r="I206" s="896"/>
      <c r="J206" s="877"/>
    </row>
    <row r="207" spans="2:18" s="103" customFormat="1" ht="18" outlineLevel="1" x14ac:dyDescent="0.25">
      <c r="B207" s="716" t="s">
        <v>3685</v>
      </c>
      <c r="C207" s="878" t="s">
        <v>3686</v>
      </c>
      <c r="D207" s="875">
        <v>10</v>
      </c>
      <c r="E207" s="874">
        <v>0</v>
      </c>
      <c r="F207" s="874" t="s">
        <v>1253</v>
      </c>
      <c r="G207" s="876" t="s">
        <v>847</v>
      </c>
      <c r="H207" s="874">
        <v>0</v>
      </c>
      <c r="I207" s="896"/>
      <c r="J207" s="877"/>
    </row>
    <row r="208" spans="2:18" s="103" customFormat="1" ht="18" outlineLevel="1" x14ac:dyDescent="0.25">
      <c r="B208" s="716" t="s">
        <v>3687</v>
      </c>
      <c r="C208" s="878" t="s">
        <v>3688</v>
      </c>
      <c r="D208" s="875">
        <v>100</v>
      </c>
      <c r="E208" s="874">
        <v>0</v>
      </c>
      <c r="F208" s="874" t="s">
        <v>1253</v>
      </c>
      <c r="G208" s="876" t="s">
        <v>847</v>
      </c>
      <c r="H208" s="874">
        <v>0</v>
      </c>
      <c r="I208" s="896"/>
      <c r="J208" s="877"/>
    </row>
    <row r="209" spans="2:18" s="103" customFormat="1" ht="18" outlineLevel="1" x14ac:dyDescent="0.25">
      <c r="B209" s="716" t="s">
        <v>3689</v>
      </c>
      <c r="C209" s="872" t="s">
        <v>3690</v>
      </c>
      <c r="D209" s="873">
        <v>0.1</v>
      </c>
      <c r="E209" s="876">
        <v>0</v>
      </c>
      <c r="F209" s="874" t="s">
        <v>1253</v>
      </c>
      <c r="G209" s="874" t="s">
        <v>886</v>
      </c>
      <c r="H209" s="874">
        <v>2</v>
      </c>
      <c r="I209" s="896"/>
      <c r="J209" s="877"/>
    </row>
    <row r="210" spans="2:18" s="103" customFormat="1" ht="18" outlineLevel="1" x14ac:dyDescent="0.25">
      <c r="B210" s="716" t="s">
        <v>3691</v>
      </c>
      <c r="C210" s="879" t="s">
        <v>3692</v>
      </c>
      <c r="D210" s="880">
        <v>1E-3</v>
      </c>
      <c r="E210" s="876">
        <v>0</v>
      </c>
      <c r="F210" s="874" t="s">
        <v>1253</v>
      </c>
      <c r="G210" s="874" t="s">
        <v>886</v>
      </c>
      <c r="H210" s="874">
        <v>3</v>
      </c>
      <c r="I210" s="896"/>
      <c r="J210" s="877"/>
    </row>
    <row r="211" spans="2:18" s="103" customFormat="1" ht="18" outlineLevel="1" x14ac:dyDescent="0.25">
      <c r="B211" s="1455" t="s">
        <v>4369</v>
      </c>
      <c r="C211" s="1456" t="s">
        <v>4370</v>
      </c>
      <c r="D211" s="1512">
        <v>2</v>
      </c>
      <c r="E211" s="1502">
        <v>0</v>
      </c>
      <c r="F211" s="1503">
        <v>2</v>
      </c>
      <c r="G211" s="1457" t="s">
        <v>282</v>
      </c>
      <c r="H211" s="1457">
        <v>2</v>
      </c>
      <c r="I211" s="1458"/>
      <c r="J211" s="1459" t="s">
        <v>4360</v>
      </c>
    </row>
    <row r="212" spans="2:18" s="103" customFormat="1" ht="18.75" outlineLevel="1" thickBot="1" x14ac:dyDescent="0.3">
      <c r="B212" s="881" t="s">
        <v>3693</v>
      </c>
      <c r="C212" s="882" t="s">
        <v>3694</v>
      </c>
      <c r="D212" s="883">
        <v>0.1</v>
      </c>
      <c r="E212" s="884">
        <v>0</v>
      </c>
      <c r="F212" s="885" t="s">
        <v>1253</v>
      </c>
      <c r="G212" s="885" t="s">
        <v>886</v>
      </c>
      <c r="H212" s="885">
        <v>3</v>
      </c>
      <c r="I212" s="901"/>
      <c r="J212" s="886"/>
    </row>
    <row r="213" spans="2:18" s="103" customFormat="1" ht="15.75" thickBot="1" x14ac:dyDescent="0.3">
      <c r="B213" s="113"/>
      <c r="C213" s="113"/>
      <c r="D213" s="104"/>
      <c r="E213" s="104"/>
      <c r="F213" s="104"/>
      <c r="G213" s="104"/>
      <c r="H213" s="104"/>
      <c r="I213" s="113"/>
      <c r="J213" s="1007"/>
    </row>
    <row r="214" spans="2:18" s="103" customFormat="1" ht="15.75" thickBot="1" x14ac:dyDescent="0.3">
      <c r="B214" s="113"/>
      <c r="C214" s="139" t="s">
        <v>301</v>
      </c>
      <c r="D214" s="104" t="s">
        <v>299</v>
      </c>
      <c r="E214" s="104"/>
      <c r="F214" s="104"/>
      <c r="G214" s="104"/>
      <c r="H214" s="104"/>
      <c r="I214" s="113"/>
      <c r="J214" s="1007"/>
    </row>
    <row r="215" spans="2:18" s="116" customFormat="1" ht="15.75" thickBot="1" x14ac:dyDescent="0.3">
      <c r="B215" s="972" t="s">
        <v>0</v>
      </c>
      <c r="C215" s="1294" t="s">
        <v>1</v>
      </c>
      <c r="D215" s="434" t="s">
        <v>839</v>
      </c>
      <c r="E215" s="434" t="s">
        <v>470</v>
      </c>
      <c r="F215" s="434" t="s">
        <v>471</v>
      </c>
      <c r="G215" s="434" t="s">
        <v>2</v>
      </c>
      <c r="H215" s="434" t="s">
        <v>298</v>
      </c>
      <c r="I215" s="1322" t="s">
        <v>116</v>
      </c>
      <c r="J215" s="1331" t="s">
        <v>117</v>
      </c>
      <c r="K215" s="103"/>
      <c r="L215" s="103"/>
      <c r="M215" s="103"/>
      <c r="N215" s="103"/>
      <c r="O215" s="103"/>
      <c r="P215" s="103"/>
      <c r="Q215" s="103"/>
      <c r="R215" s="103"/>
    </row>
    <row r="216" spans="2:18" s="103" customFormat="1" ht="18" outlineLevel="1" x14ac:dyDescent="0.25">
      <c r="B216" s="1008" t="s">
        <v>1928</v>
      </c>
      <c r="C216" s="2519" t="s">
        <v>2539</v>
      </c>
      <c r="D216" s="2537">
        <v>5.0000000000000001E-3</v>
      </c>
      <c r="E216" s="2562">
        <v>0</v>
      </c>
      <c r="F216" s="2562" t="s">
        <v>1253</v>
      </c>
      <c r="G216" s="2562" t="s">
        <v>884</v>
      </c>
      <c r="H216" s="2562">
        <v>3</v>
      </c>
      <c r="I216" s="2579"/>
      <c r="J216" s="2584"/>
    </row>
    <row r="217" spans="2:18" s="103" customFormat="1" ht="18" outlineLevel="1" x14ac:dyDescent="0.25">
      <c r="B217" s="1009" t="s">
        <v>1929</v>
      </c>
      <c r="C217" s="2520" t="s">
        <v>2540</v>
      </c>
      <c r="D217" s="2538">
        <v>2E-3</v>
      </c>
      <c r="E217" s="2563">
        <v>0</v>
      </c>
      <c r="F217" s="2563" t="s">
        <v>1253</v>
      </c>
      <c r="G217" s="2563" t="s">
        <v>886</v>
      </c>
      <c r="H217" s="2563">
        <v>3</v>
      </c>
      <c r="I217" s="2580"/>
      <c r="J217" s="2585"/>
    </row>
    <row r="218" spans="2:18" s="103" customFormat="1" ht="18" outlineLevel="1" x14ac:dyDescent="0.25">
      <c r="B218" s="2503" t="s">
        <v>1930</v>
      </c>
      <c r="C218" s="2521" t="s">
        <v>2541</v>
      </c>
      <c r="D218" s="2539">
        <v>1.2</v>
      </c>
      <c r="E218" s="2563">
        <v>0</v>
      </c>
      <c r="F218" s="2569" t="s">
        <v>1253</v>
      </c>
      <c r="G218" s="2569" t="s">
        <v>1603</v>
      </c>
      <c r="H218" s="2569">
        <v>1</v>
      </c>
      <c r="I218" s="2581"/>
      <c r="J218" s="2586"/>
    </row>
    <row r="219" spans="2:18" s="103" customFormat="1" ht="18" outlineLevel="1" x14ac:dyDescent="0.25">
      <c r="B219" s="1009" t="s">
        <v>1931</v>
      </c>
      <c r="C219" s="1013" t="s">
        <v>2542</v>
      </c>
      <c r="D219" s="91">
        <v>0.1</v>
      </c>
      <c r="E219" s="2563">
        <v>0</v>
      </c>
      <c r="F219" s="91" t="s">
        <v>1253</v>
      </c>
      <c r="G219" s="91" t="s">
        <v>2921</v>
      </c>
      <c r="H219" s="91">
        <v>1</v>
      </c>
      <c r="I219" s="81"/>
      <c r="J219" s="1082"/>
    </row>
    <row r="220" spans="2:18" s="103" customFormat="1" ht="18" outlineLevel="1" x14ac:dyDescent="0.25">
      <c r="B220" s="1009" t="s">
        <v>1932</v>
      </c>
      <c r="C220" s="1013" t="s">
        <v>2543</v>
      </c>
      <c r="D220" s="91">
        <v>0.1</v>
      </c>
      <c r="E220" s="2563">
        <v>0</v>
      </c>
      <c r="F220" s="91" t="s">
        <v>1253</v>
      </c>
      <c r="G220" s="91" t="s">
        <v>2922</v>
      </c>
      <c r="H220" s="91">
        <v>1</v>
      </c>
      <c r="I220" s="81"/>
      <c r="J220" s="1082"/>
    </row>
    <row r="221" spans="2:18" s="103" customFormat="1" ht="18" outlineLevel="1" x14ac:dyDescent="0.25">
      <c r="B221" s="970" t="s">
        <v>3574</v>
      </c>
      <c r="C221" s="780" t="s">
        <v>3575</v>
      </c>
      <c r="D221" s="775">
        <v>1E-4</v>
      </c>
      <c r="E221" s="773">
        <v>0</v>
      </c>
      <c r="F221" s="775" t="s">
        <v>1253</v>
      </c>
      <c r="G221" s="775" t="s">
        <v>1607</v>
      </c>
      <c r="H221" s="775">
        <v>4</v>
      </c>
      <c r="I221" s="780"/>
      <c r="J221" s="1086"/>
    </row>
    <row r="222" spans="2:18" s="103" customFormat="1" ht="18" outlineLevel="1" x14ac:dyDescent="0.25">
      <c r="B222" s="970" t="s">
        <v>3576</v>
      </c>
      <c r="C222" s="780" t="s">
        <v>3577</v>
      </c>
      <c r="D222" s="775">
        <v>1E-4</v>
      </c>
      <c r="E222" s="773">
        <v>0</v>
      </c>
      <c r="F222" s="775" t="s">
        <v>1253</v>
      </c>
      <c r="G222" s="775" t="s">
        <v>1609</v>
      </c>
      <c r="H222" s="775">
        <v>4</v>
      </c>
      <c r="I222" s="780"/>
      <c r="J222" s="1086"/>
    </row>
    <row r="223" spans="2:18" s="103" customFormat="1" ht="18" outlineLevel="1" x14ac:dyDescent="0.25">
      <c r="B223" s="1009" t="s">
        <v>1716</v>
      </c>
      <c r="C223" s="2522" t="s">
        <v>2544</v>
      </c>
      <c r="D223" s="2540">
        <v>0.5</v>
      </c>
      <c r="E223" s="2563">
        <v>0</v>
      </c>
      <c r="F223" s="2563" t="s">
        <v>1253</v>
      </c>
      <c r="G223" s="2572" t="s">
        <v>1989</v>
      </c>
      <c r="H223" s="2563">
        <v>2</v>
      </c>
      <c r="I223" s="2580"/>
      <c r="J223" s="2585"/>
    </row>
    <row r="224" spans="2:18" s="103" customFormat="1" ht="18" outlineLevel="1" x14ac:dyDescent="0.25">
      <c r="B224" s="1009" t="s">
        <v>1717</v>
      </c>
      <c r="C224" s="2522" t="s">
        <v>2545</v>
      </c>
      <c r="D224" s="2540">
        <v>0.25</v>
      </c>
      <c r="E224" s="2563">
        <v>0</v>
      </c>
      <c r="F224" s="2563" t="s">
        <v>1253</v>
      </c>
      <c r="G224" s="2572" t="s">
        <v>1989</v>
      </c>
      <c r="H224" s="2563">
        <v>2</v>
      </c>
      <c r="I224" s="2580"/>
      <c r="J224" s="2585"/>
    </row>
    <row r="225" spans="1:16" s="103" customFormat="1" ht="18" outlineLevel="1" x14ac:dyDescent="0.25">
      <c r="B225" s="1009" t="s">
        <v>1950</v>
      </c>
      <c r="C225" s="2522" t="s">
        <v>2548</v>
      </c>
      <c r="D225" s="2540">
        <v>5</v>
      </c>
      <c r="E225" s="2563">
        <v>0</v>
      </c>
      <c r="F225" s="2563" t="s">
        <v>1253</v>
      </c>
      <c r="G225" s="2572" t="s">
        <v>1989</v>
      </c>
      <c r="H225" s="2563">
        <v>1</v>
      </c>
      <c r="I225" s="2580"/>
      <c r="J225" s="2585"/>
    </row>
    <row r="226" spans="1:16" s="103" customFormat="1" ht="18" outlineLevel="1" x14ac:dyDescent="0.25">
      <c r="B226" s="1009" t="s">
        <v>1951</v>
      </c>
      <c r="C226" s="2522" t="s">
        <v>2549</v>
      </c>
      <c r="D226" s="2540">
        <v>10</v>
      </c>
      <c r="E226" s="2563">
        <v>0</v>
      </c>
      <c r="F226" s="2563" t="s">
        <v>1253</v>
      </c>
      <c r="G226" s="2572" t="s">
        <v>1989</v>
      </c>
      <c r="H226" s="2563">
        <v>1</v>
      </c>
      <c r="I226" s="2580"/>
      <c r="J226" s="2585"/>
    </row>
    <row r="227" spans="1:16" s="103" customFormat="1" ht="18" outlineLevel="1" x14ac:dyDescent="0.25">
      <c r="B227" s="1009" t="s">
        <v>2102</v>
      </c>
      <c r="C227" s="2522" t="s">
        <v>2550</v>
      </c>
      <c r="D227" s="2540">
        <v>10</v>
      </c>
      <c r="E227" s="2563">
        <v>0</v>
      </c>
      <c r="F227" s="2563" t="s">
        <v>1253</v>
      </c>
      <c r="G227" s="2572" t="s">
        <v>1989</v>
      </c>
      <c r="H227" s="2563">
        <v>1</v>
      </c>
      <c r="I227" s="2580"/>
      <c r="J227" s="2585"/>
    </row>
    <row r="228" spans="1:16" s="103" customFormat="1" ht="18" outlineLevel="1" x14ac:dyDescent="0.25">
      <c r="B228" s="1009" t="s">
        <v>1164</v>
      </c>
      <c r="C228" s="1013" t="s">
        <v>2551</v>
      </c>
      <c r="D228" s="91">
        <v>3</v>
      </c>
      <c r="E228" s="91">
        <v>0</v>
      </c>
      <c r="F228" s="91" t="s">
        <v>1253</v>
      </c>
      <c r="G228" s="91" t="s">
        <v>377</v>
      </c>
      <c r="H228" s="91">
        <v>1</v>
      </c>
      <c r="I228" s="81"/>
      <c r="J228" s="1082"/>
    </row>
    <row r="229" spans="1:16" s="103" customFormat="1" ht="18.75" outlineLevel="1" thickBot="1" x14ac:dyDescent="0.3">
      <c r="B229" s="1010" t="s">
        <v>1165</v>
      </c>
      <c r="C229" s="2523" t="s">
        <v>2552</v>
      </c>
      <c r="D229" s="96">
        <v>11</v>
      </c>
      <c r="E229" s="96">
        <v>0</v>
      </c>
      <c r="F229" s="96" t="s">
        <v>1253</v>
      </c>
      <c r="G229" s="96" t="s">
        <v>377</v>
      </c>
      <c r="H229" s="96">
        <v>1</v>
      </c>
      <c r="I229" s="2523"/>
      <c r="J229" s="2587"/>
    </row>
    <row r="230" spans="1:16" s="103" customFormat="1" ht="15.75" thickBot="1" x14ac:dyDescent="0.3">
      <c r="B230" s="113"/>
      <c r="C230" s="1012"/>
      <c r="D230" s="2536"/>
      <c r="E230" s="2543"/>
      <c r="F230" s="2543"/>
      <c r="G230" s="2543"/>
      <c r="H230" s="2543"/>
      <c r="I230" s="1012"/>
      <c r="J230" s="1007"/>
    </row>
    <row r="231" spans="1:16" s="103" customFormat="1" ht="15.75" thickBot="1" x14ac:dyDescent="0.3">
      <c r="B231" s="113"/>
      <c r="C231" s="139" t="s">
        <v>300</v>
      </c>
      <c r="D231" s="104" t="s">
        <v>299</v>
      </c>
      <c r="E231" s="104"/>
      <c r="F231" s="104"/>
      <c r="G231" s="104"/>
      <c r="H231" s="104"/>
      <c r="I231" s="113"/>
      <c r="J231" s="1007"/>
    </row>
    <row r="232" spans="1:16" s="103" customFormat="1" ht="15.75" thickBot="1" x14ac:dyDescent="0.3">
      <c r="B232" s="985" t="s">
        <v>0</v>
      </c>
      <c r="C232" s="141" t="s">
        <v>1</v>
      </c>
      <c r="D232" s="114" t="s">
        <v>839</v>
      </c>
      <c r="E232" s="114" t="s">
        <v>470</v>
      </c>
      <c r="F232" s="114" t="s">
        <v>471</v>
      </c>
      <c r="G232" s="114" t="s">
        <v>2</v>
      </c>
      <c r="H232" s="114" t="s">
        <v>298</v>
      </c>
      <c r="I232" s="1336" t="s">
        <v>116</v>
      </c>
      <c r="J232" s="1337" t="s">
        <v>117</v>
      </c>
    </row>
    <row r="233" spans="1:16" s="103" customFormat="1" ht="18" outlineLevel="1" x14ac:dyDescent="0.25">
      <c r="B233" s="2476" t="s">
        <v>5263</v>
      </c>
      <c r="C233" s="516" t="s">
        <v>5294</v>
      </c>
      <c r="D233" s="426">
        <v>3</v>
      </c>
      <c r="E233" s="427">
        <v>0</v>
      </c>
      <c r="F233" s="427" t="s">
        <v>1253</v>
      </c>
      <c r="G233" s="427" t="s">
        <v>847</v>
      </c>
      <c r="H233" s="427">
        <v>1</v>
      </c>
      <c r="I233" s="1352" t="s">
        <v>5078</v>
      </c>
      <c r="J233" s="1353"/>
    </row>
    <row r="234" spans="1:16" s="2475" customFormat="1" ht="18" outlineLevel="1" x14ac:dyDescent="0.25">
      <c r="A234" s="103"/>
      <c r="B234" s="995" t="s">
        <v>5262</v>
      </c>
      <c r="C234" s="2349" t="s">
        <v>5295</v>
      </c>
      <c r="D234" s="332">
        <v>1</v>
      </c>
      <c r="E234" s="333">
        <v>0</v>
      </c>
      <c r="F234" s="333" t="s">
        <v>1253</v>
      </c>
      <c r="G234" s="333" t="s">
        <v>847</v>
      </c>
      <c r="H234" s="333">
        <v>1</v>
      </c>
      <c r="I234" s="1354" t="s">
        <v>5078</v>
      </c>
      <c r="J234" s="1355"/>
      <c r="K234" s="103"/>
      <c r="L234" s="103"/>
      <c r="M234" s="103"/>
      <c r="N234" s="103"/>
      <c r="O234" s="103"/>
      <c r="P234" s="103"/>
    </row>
    <row r="235" spans="1:16" s="103" customFormat="1" ht="18" outlineLevel="1" x14ac:dyDescent="0.25">
      <c r="B235" s="995" t="s">
        <v>1714</v>
      </c>
      <c r="C235" s="517" t="s">
        <v>2546</v>
      </c>
      <c r="D235" s="332">
        <v>0.5</v>
      </c>
      <c r="E235" s="333">
        <v>0</v>
      </c>
      <c r="F235" s="333" t="s">
        <v>1253</v>
      </c>
      <c r="G235" s="333" t="s">
        <v>1989</v>
      </c>
      <c r="H235" s="333">
        <v>2</v>
      </c>
      <c r="I235" s="1354"/>
      <c r="J235" s="1355"/>
    </row>
    <row r="236" spans="1:16" s="103" customFormat="1" ht="18" outlineLevel="1" x14ac:dyDescent="0.25">
      <c r="B236" s="996" t="s">
        <v>1715</v>
      </c>
      <c r="C236" s="518" t="s">
        <v>2547</v>
      </c>
      <c r="D236" s="332">
        <v>0.2</v>
      </c>
      <c r="E236" s="106">
        <v>0</v>
      </c>
      <c r="F236" s="106" t="s">
        <v>1253</v>
      </c>
      <c r="G236" s="106" t="s">
        <v>1989</v>
      </c>
      <c r="H236" s="106">
        <v>2</v>
      </c>
      <c r="I236" s="107"/>
      <c r="J236" s="1356"/>
    </row>
    <row r="237" spans="1:16" s="103" customFormat="1" ht="18" outlineLevel="1" x14ac:dyDescent="0.25">
      <c r="B237" s="995" t="s">
        <v>853</v>
      </c>
      <c r="C237" s="2349" t="s">
        <v>2554</v>
      </c>
      <c r="D237" s="332">
        <v>0.5</v>
      </c>
      <c r="E237" s="333">
        <v>0</v>
      </c>
      <c r="F237" s="333" t="s">
        <v>1253</v>
      </c>
      <c r="G237" s="333" t="s">
        <v>847</v>
      </c>
      <c r="H237" s="333">
        <v>1</v>
      </c>
      <c r="I237" s="1354"/>
      <c r="J237" s="1355"/>
    </row>
    <row r="238" spans="1:16" s="103" customFormat="1" ht="18" outlineLevel="1" x14ac:dyDescent="0.25">
      <c r="B238" s="995" t="s">
        <v>4891</v>
      </c>
      <c r="C238" s="2349" t="s">
        <v>4892</v>
      </c>
      <c r="D238" s="332">
        <v>1000</v>
      </c>
      <c r="E238" s="333">
        <v>0</v>
      </c>
      <c r="F238" s="333" t="s">
        <v>1253</v>
      </c>
      <c r="G238" s="333" t="s">
        <v>847</v>
      </c>
      <c r="H238" s="333">
        <v>1</v>
      </c>
      <c r="I238" s="1354"/>
      <c r="J238" s="1355"/>
    </row>
    <row r="239" spans="1:16" s="103" customFormat="1" ht="18" outlineLevel="1" x14ac:dyDescent="0.25">
      <c r="B239" s="995" t="s">
        <v>4893</v>
      </c>
      <c r="C239" s="2349" t="s">
        <v>4894</v>
      </c>
      <c r="D239" s="332">
        <v>1000</v>
      </c>
      <c r="E239" s="333">
        <v>0</v>
      </c>
      <c r="F239" s="333" t="s">
        <v>1253</v>
      </c>
      <c r="G239" s="333" t="s">
        <v>847</v>
      </c>
      <c r="H239" s="333">
        <v>1</v>
      </c>
      <c r="I239" s="1354"/>
      <c r="J239" s="1355"/>
    </row>
    <row r="240" spans="1:16" s="103" customFormat="1" ht="18" outlineLevel="1" x14ac:dyDescent="0.25">
      <c r="B240" s="995" t="s">
        <v>4917</v>
      </c>
      <c r="C240" s="2349" t="s">
        <v>4918</v>
      </c>
      <c r="D240" s="332">
        <v>5</v>
      </c>
      <c r="E240" s="333">
        <v>0</v>
      </c>
      <c r="F240" s="333" t="s">
        <v>1253</v>
      </c>
      <c r="G240" s="333" t="s">
        <v>377</v>
      </c>
      <c r="H240" s="333">
        <v>1</v>
      </c>
      <c r="I240" s="1354"/>
      <c r="J240" s="1355"/>
    </row>
    <row r="241" spans="1:16" s="103" customFormat="1" ht="18" outlineLevel="1" x14ac:dyDescent="0.25">
      <c r="B241" s="995" t="s">
        <v>4919</v>
      </c>
      <c r="C241" s="2349" t="s">
        <v>4920</v>
      </c>
      <c r="D241" s="332">
        <v>9</v>
      </c>
      <c r="E241" s="333">
        <v>0</v>
      </c>
      <c r="F241" s="333" t="s">
        <v>1253</v>
      </c>
      <c r="G241" s="333" t="s">
        <v>377</v>
      </c>
      <c r="H241" s="333">
        <v>1</v>
      </c>
      <c r="I241" s="1354"/>
      <c r="J241" s="1355"/>
    </row>
    <row r="242" spans="1:16" s="103" customFormat="1" ht="18" outlineLevel="1" x14ac:dyDescent="0.25">
      <c r="B242" s="995" t="s">
        <v>4921</v>
      </c>
      <c r="C242" s="2349" t="s">
        <v>4922</v>
      </c>
      <c r="D242" s="332">
        <v>5</v>
      </c>
      <c r="E242" s="333">
        <v>0</v>
      </c>
      <c r="F242" s="333" t="s">
        <v>1253</v>
      </c>
      <c r="G242" s="333" t="s">
        <v>377</v>
      </c>
      <c r="H242" s="333">
        <v>1</v>
      </c>
      <c r="I242" s="1354"/>
      <c r="J242" s="1355"/>
    </row>
    <row r="243" spans="1:16" s="103" customFormat="1" ht="18" outlineLevel="1" x14ac:dyDescent="0.25">
      <c r="B243" s="995" t="s">
        <v>4923</v>
      </c>
      <c r="C243" s="2349" t="s">
        <v>4924</v>
      </c>
      <c r="D243" s="332">
        <v>9</v>
      </c>
      <c r="E243" s="333">
        <v>0</v>
      </c>
      <c r="F243" s="333" t="s">
        <v>1253</v>
      </c>
      <c r="G243" s="333" t="s">
        <v>377</v>
      </c>
      <c r="H243" s="333">
        <v>1</v>
      </c>
      <c r="I243" s="1354"/>
      <c r="J243" s="1355"/>
    </row>
    <row r="244" spans="1:16" s="103" customFormat="1" ht="18" outlineLevel="1" x14ac:dyDescent="0.25">
      <c r="B244" s="996" t="s">
        <v>1933</v>
      </c>
      <c r="C244" s="519" t="s">
        <v>2555</v>
      </c>
      <c r="D244" s="110">
        <v>0.05</v>
      </c>
      <c r="E244" s="106">
        <v>0</v>
      </c>
      <c r="F244" s="106" t="s">
        <v>1253</v>
      </c>
      <c r="G244" s="106" t="s">
        <v>2171</v>
      </c>
      <c r="H244" s="106">
        <v>2</v>
      </c>
      <c r="I244" s="107"/>
      <c r="J244" s="1356"/>
    </row>
    <row r="245" spans="1:16" s="103" customFormat="1" ht="18" outlineLevel="1" x14ac:dyDescent="0.25">
      <c r="B245" s="2154" t="s">
        <v>4785</v>
      </c>
      <c r="C245" s="2199" t="s">
        <v>4786</v>
      </c>
      <c r="D245" s="2200">
        <v>500</v>
      </c>
      <c r="E245" s="876">
        <v>0</v>
      </c>
      <c r="F245" s="876" t="s">
        <v>1253</v>
      </c>
      <c r="G245" s="876" t="s">
        <v>848</v>
      </c>
      <c r="H245" s="876">
        <v>0</v>
      </c>
      <c r="I245" s="2201"/>
      <c r="J245" s="2157"/>
    </row>
    <row r="246" spans="1:16" s="103" customFormat="1" ht="18" outlineLevel="1" x14ac:dyDescent="0.25">
      <c r="B246" s="2154" t="s">
        <v>4787</v>
      </c>
      <c r="C246" s="2199" t="s">
        <v>4788</v>
      </c>
      <c r="D246" s="2200">
        <v>0.1</v>
      </c>
      <c r="E246" s="876">
        <v>0</v>
      </c>
      <c r="F246" s="876">
        <v>2</v>
      </c>
      <c r="G246" s="876" t="s">
        <v>282</v>
      </c>
      <c r="H246" s="876">
        <v>2</v>
      </c>
      <c r="I246" s="2201"/>
      <c r="J246" s="2157" t="s">
        <v>4784</v>
      </c>
    </row>
    <row r="247" spans="1:16" s="103" customFormat="1" ht="18" outlineLevel="1" x14ac:dyDescent="0.25">
      <c r="B247" s="2154" t="s">
        <v>4789</v>
      </c>
      <c r="C247" s="2350" t="s">
        <v>5264</v>
      </c>
      <c r="D247" s="2364">
        <v>5</v>
      </c>
      <c r="E247" s="2351">
        <v>0</v>
      </c>
      <c r="F247" s="2351" t="s">
        <v>1253</v>
      </c>
      <c r="G247" s="2351" t="s">
        <v>848</v>
      </c>
      <c r="H247" s="2351">
        <v>1</v>
      </c>
      <c r="I247" s="2352"/>
      <c r="J247" s="2157"/>
    </row>
    <row r="248" spans="1:16" s="103" customFormat="1" ht="18" outlineLevel="1" x14ac:dyDescent="0.25">
      <c r="B248" s="2154" t="s">
        <v>4790</v>
      </c>
      <c r="C248" s="2350" t="s">
        <v>5296</v>
      </c>
      <c r="D248" s="2364">
        <v>1</v>
      </c>
      <c r="E248" s="2351">
        <v>0</v>
      </c>
      <c r="F248" s="2351" t="s">
        <v>1253</v>
      </c>
      <c r="G248" s="2351" t="s">
        <v>848</v>
      </c>
      <c r="H248" s="2351">
        <v>1</v>
      </c>
      <c r="I248" s="2352"/>
      <c r="J248" s="2157"/>
    </row>
    <row r="249" spans="1:16" s="103" customFormat="1" ht="18" outlineLevel="1" x14ac:dyDescent="0.25">
      <c r="B249" s="2154" t="s">
        <v>4895</v>
      </c>
      <c r="C249" s="2350" t="s">
        <v>4896</v>
      </c>
      <c r="D249" s="2364">
        <v>5</v>
      </c>
      <c r="E249" s="2351">
        <v>0</v>
      </c>
      <c r="F249" s="2351" t="s">
        <v>1253</v>
      </c>
      <c r="G249" s="2351" t="s">
        <v>848</v>
      </c>
      <c r="H249" s="2351">
        <v>1</v>
      </c>
      <c r="I249" s="2352"/>
      <c r="J249" s="2157"/>
    </row>
    <row r="250" spans="1:16" s="103" customFormat="1" ht="18" outlineLevel="1" x14ac:dyDescent="0.25">
      <c r="B250" s="2154" t="s">
        <v>4897</v>
      </c>
      <c r="C250" s="2350" t="s">
        <v>5297</v>
      </c>
      <c r="D250" s="2364">
        <v>1</v>
      </c>
      <c r="E250" s="2351">
        <v>0</v>
      </c>
      <c r="F250" s="2351" t="s">
        <v>1253</v>
      </c>
      <c r="G250" s="2351" t="s">
        <v>848</v>
      </c>
      <c r="H250" s="2351">
        <v>1</v>
      </c>
      <c r="I250" s="2352"/>
      <c r="J250" s="2157"/>
    </row>
    <row r="251" spans="1:16" s="103" customFormat="1" ht="18" outlineLevel="1" x14ac:dyDescent="0.25">
      <c r="B251" s="2154" t="s">
        <v>4898</v>
      </c>
      <c r="C251" s="2350" t="s">
        <v>4899</v>
      </c>
      <c r="D251" s="2364">
        <v>5</v>
      </c>
      <c r="E251" s="2351">
        <v>0</v>
      </c>
      <c r="F251" s="2351" t="s">
        <v>1253</v>
      </c>
      <c r="G251" s="2351" t="s">
        <v>848</v>
      </c>
      <c r="H251" s="2351">
        <v>1</v>
      </c>
      <c r="I251" s="2352"/>
      <c r="J251" s="2157"/>
    </row>
    <row r="252" spans="1:16" s="103" customFormat="1" ht="18" outlineLevel="1" x14ac:dyDescent="0.25">
      <c r="B252" s="2154" t="s">
        <v>4900</v>
      </c>
      <c r="C252" s="2350" t="s">
        <v>5298</v>
      </c>
      <c r="D252" s="2364">
        <v>1</v>
      </c>
      <c r="E252" s="2351">
        <v>0</v>
      </c>
      <c r="F252" s="2351" t="s">
        <v>1253</v>
      </c>
      <c r="G252" s="2351" t="s">
        <v>848</v>
      </c>
      <c r="H252" s="2351">
        <v>1</v>
      </c>
      <c r="I252" s="2352"/>
      <c r="J252" s="2157"/>
    </row>
    <row r="253" spans="1:16" s="103" customFormat="1" ht="18" outlineLevel="1" x14ac:dyDescent="0.25">
      <c r="B253" s="2154" t="s">
        <v>4791</v>
      </c>
      <c r="C253" s="2202" t="s">
        <v>4792</v>
      </c>
      <c r="D253" s="2365">
        <v>500</v>
      </c>
      <c r="E253" s="876">
        <v>0</v>
      </c>
      <c r="F253" s="876" t="s">
        <v>1253</v>
      </c>
      <c r="G253" s="876" t="s">
        <v>848</v>
      </c>
      <c r="H253" s="876">
        <v>1</v>
      </c>
      <c r="I253" s="2201"/>
      <c r="J253" s="2157" t="s">
        <v>4793</v>
      </c>
    </row>
    <row r="254" spans="1:16" s="2475" customFormat="1" ht="30" outlineLevel="1" x14ac:dyDescent="0.25">
      <c r="A254" s="103"/>
      <c r="B254" s="2154" t="s">
        <v>5265</v>
      </c>
      <c r="C254" s="2350" t="s">
        <v>5299</v>
      </c>
      <c r="D254" s="2364">
        <v>500</v>
      </c>
      <c r="E254" s="2351">
        <v>0</v>
      </c>
      <c r="F254" s="2351" t="s">
        <v>1253</v>
      </c>
      <c r="G254" s="2351" t="s">
        <v>848</v>
      </c>
      <c r="H254" s="2351">
        <v>4</v>
      </c>
      <c r="I254" s="2352"/>
      <c r="J254" s="2157" t="s">
        <v>4793</v>
      </c>
      <c r="K254" s="103"/>
      <c r="L254" s="103"/>
      <c r="M254" s="103"/>
      <c r="N254" s="103"/>
      <c r="O254" s="103"/>
      <c r="P254" s="103"/>
    </row>
    <row r="255" spans="1:16" s="103" customFormat="1" ht="18" outlineLevel="1" x14ac:dyDescent="0.25">
      <c r="B255" s="2154" t="s">
        <v>4794</v>
      </c>
      <c r="C255" s="2202" t="s">
        <v>4795</v>
      </c>
      <c r="D255" s="2365">
        <v>500</v>
      </c>
      <c r="E255" s="876">
        <v>0</v>
      </c>
      <c r="F255" s="876" t="s">
        <v>1253</v>
      </c>
      <c r="G255" s="876" t="s">
        <v>848</v>
      </c>
      <c r="H255" s="876">
        <v>1</v>
      </c>
      <c r="I255" s="2201"/>
      <c r="J255" s="2157"/>
    </row>
    <row r="256" spans="1:16" s="103" customFormat="1" ht="18" outlineLevel="1" x14ac:dyDescent="0.25">
      <c r="B256" s="996" t="s">
        <v>854</v>
      </c>
      <c r="C256" s="519" t="s">
        <v>2556</v>
      </c>
      <c r="D256" s="110">
        <v>0.05</v>
      </c>
      <c r="E256" s="106">
        <v>0</v>
      </c>
      <c r="F256" s="106" t="s">
        <v>1253</v>
      </c>
      <c r="G256" s="106" t="s">
        <v>847</v>
      </c>
      <c r="H256" s="106">
        <v>2</v>
      </c>
      <c r="I256" s="107"/>
      <c r="J256" s="1356"/>
    </row>
    <row r="257" spans="1:18" s="103" customFormat="1" ht="18" outlineLevel="1" x14ac:dyDescent="0.25">
      <c r="B257" s="996" t="s">
        <v>1740</v>
      </c>
      <c r="C257" s="519" t="s">
        <v>2557</v>
      </c>
      <c r="D257" s="110">
        <v>0.5</v>
      </c>
      <c r="E257" s="106">
        <v>0</v>
      </c>
      <c r="F257" s="106" t="s">
        <v>1253</v>
      </c>
      <c r="G257" s="106" t="s">
        <v>847</v>
      </c>
      <c r="H257" s="106">
        <v>2</v>
      </c>
      <c r="I257" s="107"/>
      <c r="J257" s="1356"/>
    </row>
    <row r="258" spans="1:18" s="103" customFormat="1" ht="18" outlineLevel="1" x14ac:dyDescent="0.25">
      <c r="B258" s="996" t="s">
        <v>1741</v>
      </c>
      <c r="C258" s="520" t="s">
        <v>2558</v>
      </c>
      <c r="D258" s="109">
        <v>7.0000000000000001E-3</v>
      </c>
      <c r="E258" s="106">
        <v>0</v>
      </c>
      <c r="F258" s="106" t="s">
        <v>1253</v>
      </c>
      <c r="G258" s="106" t="s">
        <v>847</v>
      </c>
      <c r="H258" s="106">
        <v>3</v>
      </c>
      <c r="I258" s="107"/>
      <c r="J258" s="1356"/>
    </row>
    <row r="259" spans="1:18" s="103" customFormat="1" ht="18" outlineLevel="1" x14ac:dyDescent="0.25">
      <c r="B259" s="1952" t="s">
        <v>4549</v>
      </c>
      <c r="C259" s="1956" t="s">
        <v>4550</v>
      </c>
      <c r="D259" s="1957">
        <v>9.9999999999999995E-7</v>
      </c>
      <c r="E259" s="1953">
        <v>0</v>
      </c>
      <c r="F259" s="1953" t="s">
        <v>1253</v>
      </c>
      <c r="G259" s="1953" t="s">
        <v>847</v>
      </c>
      <c r="H259" s="1953">
        <v>6</v>
      </c>
      <c r="I259" s="1954"/>
      <c r="J259" s="1955"/>
    </row>
    <row r="260" spans="1:18" s="103" customFormat="1" ht="18" outlineLevel="1" x14ac:dyDescent="0.25">
      <c r="B260" s="1952" t="s">
        <v>4563</v>
      </c>
      <c r="C260" s="1956" t="s">
        <v>4575</v>
      </c>
      <c r="D260" s="1990">
        <v>10</v>
      </c>
      <c r="E260" s="1953">
        <v>0</v>
      </c>
      <c r="F260" s="1953" t="s">
        <v>1253</v>
      </c>
      <c r="G260" s="1953" t="s">
        <v>848</v>
      </c>
      <c r="H260" s="1953">
        <v>0</v>
      </c>
      <c r="I260" s="1954"/>
      <c r="J260" s="1955"/>
    </row>
    <row r="261" spans="1:18" s="103" customFormat="1" ht="18" outlineLevel="1" x14ac:dyDescent="0.25">
      <c r="B261" s="996" t="s">
        <v>855</v>
      </c>
      <c r="C261" s="517" t="s">
        <v>2559</v>
      </c>
      <c r="D261" s="108">
        <v>1</v>
      </c>
      <c r="E261" s="106">
        <v>0</v>
      </c>
      <c r="F261" s="106" t="s">
        <v>1253</v>
      </c>
      <c r="G261" s="106" t="s">
        <v>847</v>
      </c>
      <c r="H261" s="106">
        <v>1</v>
      </c>
      <c r="I261" s="107"/>
      <c r="J261" s="1356"/>
    </row>
    <row r="262" spans="1:18" s="103" customFormat="1" ht="18" outlineLevel="1" x14ac:dyDescent="0.25">
      <c r="B262" s="996" t="s">
        <v>2553</v>
      </c>
      <c r="C262" s="518" t="s">
        <v>2917</v>
      </c>
      <c r="D262" s="112">
        <v>5.0000000000000001E-4</v>
      </c>
      <c r="E262" s="106">
        <v>0</v>
      </c>
      <c r="F262" s="106" t="s">
        <v>1253</v>
      </c>
      <c r="G262" s="106" t="s">
        <v>850</v>
      </c>
      <c r="H262" s="106">
        <v>4</v>
      </c>
      <c r="I262" s="107"/>
      <c r="J262" s="1356"/>
    </row>
    <row r="263" spans="1:18" s="116" customFormat="1" ht="18" outlineLevel="1" x14ac:dyDescent="0.25">
      <c r="B263" s="996" t="s">
        <v>2357</v>
      </c>
      <c r="C263" s="520" t="s">
        <v>2560</v>
      </c>
      <c r="D263" s="109">
        <v>1E-3</v>
      </c>
      <c r="E263" s="106">
        <v>0</v>
      </c>
      <c r="F263" s="106" t="s">
        <v>1253</v>
      </c>
      <c r="G263" s="106" t="s">
        <v>850</v>
      </c>
      <c r="H263" s="106">
        <v>3</v>
      </c>
      <c r="I263" s="107"/>
      <c r="J263" s="1356"/>
      <c r="K263" s="103"/>
      <c r="L263" s="103"/>
      <c r="M263" s="103"/>
      <c r="N263" s="103"/>
      <c r="O263" s="103"/>
      <c r="P263" s="103"/>
      <c r="Q263" s="103"/>
      <c r="R263" s="103"/>
    </row>
    <row r="264" spans="1:18" s="103" customFormat="1" ht="18" outlineLevel="1" x14ac:dyDescent="0.25">
      <c r="B264" s="2154" t="s">
        <v>2356</v>
      </c>
      <c r="C264" s="2155" t="s">
        <v>2561</v>
      </c>
      <c r="D264" s="2156">
        <v>1E-3</v>
      </c>
      <c r="E264" s="1953">
        <v>0</v>
      </c>
      <c r="F264" s="1953" t="s">
        <v>1253</v>
      </c>
      <c r="G264" s="1953" t="s">
        <v>850</v>
      </c>
      <c r="H264" s="1953">
        <v>3</v>
      </c>
      <c r="I264" s="1954"/>
      <c r="J264" s="2157"/>
    </row>
    <row r="265" spans="1:18" s="103" customFormat="1" ht="18" outlineLevel="1" x14ac:dyDescent="0.25">
      <c r="B265" s="2338" t="s">
        <v>4752</v>
      </c>
      <c r="C265" s="2339" t="s">
        <v>4753</v>
      </c>
      <c r="D265" s="2340">
        <v>3.36</v>
      </c>
      <c r="E265" s="2341">
        <v>0</v>
      </c>
      <c r="F265" s="2341" t="s">
        <v>1253</v>
      </c>
      <c r="G265" s="2341" t="s">
        <v>443</v>
      </c>
      <c r="H265" s="2341">
        <v>2</v>
      </c>
      <c r="I265" s="2342"/>
      <c r="J265" s="2343" t="s">
        <v>4754</v>
      </c>
    </row>
    <row r="266" spans="1:18" s="103" customFormat="1" ht="18" outlineLevel="1" x14ac:dyDescent="0.25">
      <c r="B266" s="2338" t="s">
        <v>4755</v>
      </c>
      <c r="C266" s="2339" t="s">
        <v>4756</v>
      </c>
      <c r="D266" s="2340">
        <v>3.36</v>
      </c>
      <c r="E266" s="2341">
        <v>0</v>
      </c>
      <c r="F266" s="2341" t="s">
        <v>1253</v>
      </c>
      <c r="G266" s="2341" t="s">
        <v>443</v>
      </c>
      <c r="H266" s="2341">
        <v>2</v>
      </c>
      <c r="I266" s="2342"/>
      <c r="J266" s="2343" t="s">
        <v>4754</v>
      </c>
    </row>
    <row r="267" spans="1:18" s="103" customFormat="1" ht="18" outlineLevel="1" x14ac:dyDescent="0.25">
      <c r="B267" s="2338" t="s">
        <v>4757</v>
      </c>
      <c r="C267" s="2339" t="s">
        <v>4758</v>
      </c>
      <c r="D267" s="2340">
        <v>5000</v>
      </c>
      <c r="E267" s="2341">
        <v>0</v>
      </c>
      <c r="F267" s="2341" t="s">
        <v>1253</v>
      </c>
      <c r="G267" s="2341" t="s">
        <v>4759</v>
      </c>
      <c r="H267" s="2341">
        <v>0</v>
      </c>
      <c r="I267" s="2342"/>
      <c r="J267" s="2343" t="s">
        <v>4760</v>
      </c>
    </row>
    <row r="268" spans="1:18" s="103" customFormat="1" ht="18.75" outlineLevel="1" thickBot="1" x14ac:dyDescent="0.3">
      <c r="B268" s="2344" t="s">
        <v>4761</v>
      </c>
      <c r="C268" s="2345" t="s">
        <v>4762</v>
      </c>
      <c r="D268" s="2346">
        <v>20000</v>
      </c>
      <c r="E268" s="2347">
        <v>0</v>
      </c>
      <c r="F268" s="2347" t="s">
        <v>1253</v>
      </c>
      <c r="G268" s="2347" t="s">
        <v>4759</v>
      </c>
      <c r="H268" s="2347">
        <v>0</v>
      </c>
      <c r="I268" s="2347"/>
      <c r="J268" s="2348" t="s">
        <v>4763</v>
      </c>
    </row>
    <row r="269" spans="1:18" s="103" customFormat="1" ht="15.75" thickBot="1" x14ac:dyDescent="0.3">
      <c r="B269" s="113"/>
      <c r="C269" s="113"/>
      <c r="D269" s="104"/>
      <c r="E269" s="104"/>
      <c r="F269" s="104"/>
      <c r="G269" s="104"/>
      <c r="H269" s="104"/>
      <c r="I269" s="113"/>
      <c r="J269" s="1007"/>
    </row>
    <row r="270" spans="1:18" s="103" customFormat="1" ht="15.75" thickBot="1" x14ac:dyDescent="0.3">
      <c r="B270" s="113"/>
      <c r="C270" s="428" t="s">
        <v>1192</v>
      </c>
      <c r="D270" s="104" t="s">
        <v>299</v>
      </c>
      <c r="E270" s="104"/>
      <c r="F270" s="104"/>
      <c r="G270" s="104"/>
      <c r="H270" s="104"/>
      <c r="I270" s="113"/>
      <c r="J270" s="1007"/>
    </row>
    <row r="271" spans="1:18" s="103" customFormat="1" ht="15.75" thickBot="1" x14ac:dyDescent="0.3">
      <c r="B271" s="259" t="s">
        <v>0</v>
      </c>
      <c r="C271" s="261" t="s">
        <v>1</v>
      </c>
      <c r="D271" s="263" t="s">
        <v>839</v>
      </c>
      <c r="E271" s="263" t="s">
        <v>470</v>
      </c>
      <c r="F271" s="263" t="s">
        <v>471</v>
      </c>
      <c r="G271" s="263" t="s">
        <v>2</v>
      </c>
      <c r="H271" s="263" t="s">
        <v>298</v>
      </c>
      <c r="I271" s="261" t="s">
        <v>116</v>
      </c>
      <c r="J271" s="1301" t="s">
        <v>117</v>
      </c>
    </row>
    <row r="272" spans="1:18" s="103" customFormat="1" ht="18.75" outlineLevel="1" thickBot="1" x14ac:dyDescent="0.3">
      <c r="A272" s="103" t="s">
        <v>3492</v>
      </c>
      <c r="B272" s="2504" t="s">
        <v>1193</v>
      </c>
      <c r="C272" s="2524" t="s">
        <v>2564</v>
      </c>
      <c r="D272" s="2541">
        <v>0.4</v>
      </c>
      <c r="E272" s="2541">
        <v>0</v>
      </c>
      <c r="F272" s="2541">
        <v>1</v>
      </c>
      <c r="G272" s="2573" t="s">
        <v>1989</v>
      </c>
      <c r="H272" s="2573">
        <v>2</v>
      </c>
      <c r="I272" s="2524"/>
      <c r="J272" s="2588"/>
    </row>
    <row r="273" spans="2:18" s="103" customFormat="1" ht="15.75" thickBot="1" x14ac:dyDescent="0.3">
      <c r="B273" s="113"/>
      <c r="C273" s="113"/>
      <c r="D273" s="104"/>
      <c r="E273" s="104"/>
      <c r="F273" s="104"/>
      <c r="G273" s="104"/>
      <c r="H273" s="104"/>
      <c r="I273" s="113"/>
      <c r="J273" s="1007"/>
    </row>
    <row r="274" spans="2:18" s="103" customFormat="1" ht="15.75" thickBot="1" x14ac:dyDescent="0.3">
      <c r="B274" s="113"/>
      <c r="C274" s="139" t="s">
        <v>275</v>
      </c>
      <c r="D274" s="104" t="s">
        <v>299</v>
      </c>
      <c r="E274" s="104"/>
      <c r="F274" s="104"/>
      <c r="G274" s="104"/>
      <c r="H274" s="104"/>
      <c r="I274" s="113"/>
      <c r="J274" s="1007"/>
    </row>
    <row r="275" spans="2:18" s="116" customFormat="1" ht="15.75" thickBot="1" x14ac:dyDescent="0.3">
      <c r="B275" s="972" t="s">
        <v>0</v>
      </c>
      <c r="C275" s="1294" t="s">
        <v>1</v>
      </c>
      <c r="D275" s="434" t="s">
        <v>839</v>
      </c>
      <c r="E275" s="434" t="s">
        <v>470</v>
      </c>
      <c r="F275" s="434" t="s">
        <v>471</v>
      </c>
      <c r="G275" s="434" t="s">
        <v>2</v>
      </c>
      <c r="H275" s="434" t="s">
        <v>298</v>
      </c>
      <c r="I275" s="1322" t="s">
        <v>116</v>
      </c>
      <c r="J275" s="1331" t="s">
        <v>117</v>
      </c>
      <c r="K275" s="103"/>
      <c r="L275" s="103"/>
      <c r="M275" s="103"/>
      <c r="N275" s="103"/>
      <c r="O275" s="103"/>
      <c r="P275" s="103"/>
      <c r="Q275" s="103"/>
      <c r="R275" s="103"/>
    </row>
    <row r="276" spans="2:18" s="103" customFormat="1" ht="18" outlineLevel="1" x14ac:dyDescent="0.25">
      <c r="B276" s="997" t="s">
        <v>856</v>
      </c>
      <c r="C276" s="197" t="s">
        <v>1236</v>
      </c>
      <c r="D276" s="198">
        <v>1.04</v>
      </c>
      <c r="E276" s="198">
        <v>0</v>
      </c>
      <c r="F276" s="198" t="s">
        <v>1253</v>
      </c>
      <c r="G276" s="198" t="s">
        <v>1989</v>
      </c>
      <c r="H276" s="199">
        <v>3</v>
      </c>
      <c r="I276" s="197"/>
      <c r="J276" s="1357"/>
    </row>
    <row r="277" spans="2:18" s="103" customFormat="1" ht="18" outlineLevel="1" x14ac:dyDescent="0.25">
      <c r="B277" s="145" t="s">
        <v>857</v>
      </c>
      <c r="C277" s="186" t="s">
        <v>1229</v>
      </c>
      <c r="D277" s="184">
        <v>1.04</v>
      </c>
      <c r="E277" s="184">
        <v>0</v>
      </c>
      <c r="F277" s="184" t="s">
        <v>1253</v>
      </c>
      <c r="G277" s="184" t="s">
        <v>1989</v>
      </c>
      <c r="H277" s="185">
        <v>3</v>
      </c>
      <c r="I277" s="186"/>
      <c r="J277" s="1358"/>
    </row>
    <row r="278" spans="2:18" s="103" customFormat="1" ht="18" outlineLevel="1" x14ac:dyDescent="0.25">
      <c r="B278" s="145" t="s">
        <v>858</v>
      </c>
      <c r="C278" s="186" t="s">
        <v>1237</v>
      </c>
      <c r="D278" s="184">
        <v>1.03</v>
      </c>
      <c r="E278" s="184">
        <v>0</v>
      </c>
      <c r="F278" s="184" t="s">
        <v>1253</v>
      </c>
      <c r="G278" s="184" t="s">
        <v>1989</v>
      </c>
      <c r="H278" s="185">
        <v>3</v>
      </c>
      <c r="I278" s="186"/>
      <c r="J278" s="1358"/>
    </row>
    <row r="279" spans="2:18" s="103" customFormat="1" ht="18" outlineLevel="1" x14ac:dyDescent="0.25">
      <c r="B279" s="145" t="s">
        <v>859</v>
      </c>
      <c r="C279" s="186" t="s">
        <v>1238</v>
      </c>
      <c r="D279" s="184">
        <v>1.06</v>
      </c>
      <c r="E279" s="184">
        <v>0</v>
      </c>
      <c r="F279" s="184" t="s">
        <v>1253</v>
      </c>
      <c r="G279" s="184" t="s">
        <v>1989</v>
      </c>
      <c r="H279" s="185">
        <v>3</v>
      </c>
      <c r="I279" s="186"/>
      <c r="J279" s="1358"/>
    </row>
    <row r="280" spans="2:18" s="103" customFormat="1" ht="18" outlineLevel="1" x14ac:dyDescent="0.25">
      <c r="B280" s="145" t="s">
        <v>860</v>
      </c>
      <c r="C280" s="186" t="s">
        <v>1239</v>
      </c>
      <c r="D280" s="184">
        <v>1.03</v>
      </c>
      <c r="E280" s="184">
        <v>0</v>
      </c>
      <c r="F280" s="184" t="s">
        <v>1253</v>
      </c>
      <c r="G280" s="184" t="s">
        <v>1989</v>
      </c>
      <c r="H280" s="185">
        <v>3</v>
      </c>
      <c r="I280" s="186"/>
      <c r="J280" s="1358"/>
    </row>
    <row r="281" spans="2:18" s="103" customFormat="1" ht="18" outlineLevel="1" x14ac:dyDescent="0.25">
      <c r="B281" s="224" t="s">
        <v>4111</v>
      </c>
      <c r="C281" s="887" t="s">
        <v>4110</v>
      </c>
      <c r="D281" s="420">
        <v>1.04</v>
      </c>
      <c r="E281" s="420">
        <v>0</v>
      </c>
      <c r="F281" s="420" t="s">
        <v>1253</v>
      </c>
      <c r="G281" s="420" t="s">
        <v>1989</v>
      </c>
      <c r="H281" s="421">
        <v>3</v>
      </c>
      <c r="I281" s="419"/>
      <c r="J281" s="1359"/>
    </row>
    <row r="282" spans="2:18" s="103" customFormat="1" ht="18" outlineLevel="1" x14ac:dyDescent="0.25">
      <c r="B282" s="224" t="s">
        <v>1720</v>
      </c>
      <c r="C282" s="419" t="s">
        <v>1240</v>
      </c>
      <c r="D282" s="420">
        <v>1.04</v>
      </c>
      <c r="E282" s="420">
        <v>0</v>
      </c>
      <c r="F282" s="420" t="s">
        <v>1253</v>
      </c>
      <c r="G282" s="420" t="s">
        <v>1989</v>
      </c>
      <c r="H282" s="421">
        <v>3</v>
      </c>
      <c r="I282" s="419"/>
      <c r="J282" s="1359"/>
    </row>
    <row r="283" spans="2:18" s="103" customFormat="1" ht="18" outlineLevel="1" x14ac:dyDescent="0.25">
      <c r="B283" s="521" t="s">
        <v>2562</v>
      </c>
      <c r="C283" s="497" t="s">
        <v>2563</v>
      </c>
      <c r="D283" s="522">
        <v>1.04</v>
      </c>
      <c r="E283" s="522">
        <v>0</v>
      </c>
      <c r="F283" s="522" t="s">
        <v>1253</v>
      </c>
      <c r="G283" s="522" t="s">
        <v>1989</v>
      </c>
      <c r="H283" s="523">
        <v>3</v>
      </c>
      <c r="I283" s="497"/>
      <c r="J283" s="1360"/>
    </row>
    <row r="284" spans="2:18" s="103" customFormat="1" ht="18" outlineLevel="1" x14ac:dyDescent="0.25">
      <c r="B284" s="890" t="s">
        <v>3695</v>
      </c>
      <c r="C284" s="887" t="s">
        <v>3696</v>
      </c>
      <c r="D284" s="891">
        <v>1.04</v>
      </c>
      <c r="E284" s="888">
        <v>0</v>
      </c>
      <c r="F284" s="888" t="s">
        <v>1253</v>
      </c>
      <c r="G284" s="888" t="s">
        <v>1989</v>
      </c>
      <c r="H284" s="889">
        <v>3</v>
      </c>
      <c r="I284" s="887"/>
      <c r="J284" s="1361"/>
    </row>
    <row r="285" spans="2:18" s="103" customFormat="1" ht="18" outlineLevel="1" x14ac:dyDescent="0.25">
      <c r="B285" s="224" t="s">
        <v>861</v>
      </c>
      <c r="C285" s="419" t="s">
        <v>1241</v>
      </c>
      <c r="D285" s="420">
        <v>1.04</v>
      </c>
      <c r="E285" s="420">
        <v>0</v>
      </c>
      <c r="F285" s="420" t="s">
        <v>1253</v>
      </c>
      <c r="G285" s="420" t="s">
        <v>1989</v>
      </c>
      <c r="H285" s="421">
        <v>3</v>
      </c>
      <c r="I285" s="419"/>
      <c r="J285" s="1359"/>
    </row>
    <row r="286" spans="2:18" s="103" customFormat="1" ht="18" outlineLevel="1" x14ac:dyDescent="0.25">
      <c r="B286" s="224" t="s">
        <v>4113</v>
      </c>
      <c r="C286" s="887" t="s">
        <v>4112</v>
      </c>
      <c r="D286" s="420">
        <v>1.03</v>
      </c>
      <c r="E286" s="420">
        <v>0</v>
      </c>
      <c r="F286" s="420" t="s">
        <v>1253</v>
      </c>
      <c r="G286" s="420" t="s">
        <v>1989</v>
      </c>
      <c r="H286" s="421">
        <v>3</v>
      </c>
      <c r="I286" s="419"/>
      <c r="J286" s="1359"/>
    </row>
    <row r="287" spans="2:18" s="103" customFormat="1" ht="18" outlineLevel="1" x14ac:dyDescent="0.25">
      <c r="B287" s="224" t="s">
        <v>4114</v>
      </c>
      <c r="C287" s="2439" t="s">
        <v>5159</v>
      </c>
      <c r="D287" s="420">
        <v>1.0640000000000001</v>
      </c>
      <c r="E287" s="420">
        <v>0</v>
      </c>
      <c r="F287" s="420" t="s">
        <v>1253</v>
      </c>
      <c r="G287" s="420" t="s">
        <v>1989</v>
      </c>
      <c r="H287" s="421">
        <v>3</v>
      </c>
      <c r="I287" s="419"/>
      <c r="J287" s="369" t="s">
        <v>2123</v>
      </c>
    </row>
    <row r="288" spans="2:18" s="103" customFormat="1" ht="18" outlineLevel="1" x14ac:dyDescent="0.25">
      <c r="B288" s="224" t="s">
        <v>2113</v>
      </c>
      <c r="C288" s="419" t="s">
        <v>1242</v>
      </c>
      <c r="D288" s="727">
        <v>1.03</v>
      </c>
      <c r="E288" s="420">
        <v>0</v>
      </c>
      <c r="F288" s="420" t="s">
        <v>1253</v>
      </c>
      <c r="G288" s="420" t="s">
        <v>1989</v>
      </c>
      <c r="H288" s="421">
        <v>3</v>
      </c>
      <c r="I288" s="419"/>
      <c r="J288" s="1359"/>
    </row>
    <row r="289" spans="2:10" s="103" customFormat="1" ht="18" outlineLevel="1" x14ac:dyDescent="0.25">
      <c r="B289" s="2440" t="s">
        <v>5160</v>
      </c>
      <c r="C289" s="2441" t="s">
        <v>1241</v>
      </c>
      <c r="D289" s="728">
        <v>1.0720000000000001</v>
      </c>
      <c r="E289" s="195">
        <v>0</v>
      </c>
      <c r="F289" s="195" t="s">
        <v>1253</v>
      </c>
      <c r="G289" s="195" t="s">
        <v>1989</v>
      </c>
      <c r="H289" s="196">
        <v>3</v>
      </c>
      <c r="I289" s="194"/>
      <c r="J289" s="1362"/>
    </row>
    <row r="290" spans="2:10" s="103" customFormat="1" ht="18" outlineLevel="1" x14ac:dyDescent="0.25">
      <c r="B290" s="976" t="s">
        <v>2255</v>
      </c>
      <c r="C290" s="177" t="s">
        <v>2256</v>
      </c>
      <c r="D290" s="192">
        <v>1.0720000000000001</v>
      </c>
      <c r="E290" s="178">
        <v>0</v>
      </c>
      <c r="F290" s="178" t="s">
        <v>1253</v>
      </c>
      <c r="G290" s="178" t="s">
        <v>1989</v>
      </c>
      <c r="H290" s="193">
        <v>3</v>
      </c>
      <c r="I290" s="177"/>
      <c r="J290" s="1363"/>
    </row>
    <row r="291" spans="2:10" s="103" customFormat="1" ht="18" outlineLevel="1" x14ac:dyDescent="0.25">
      <c r="B291" s="976" t="s">
        <v>2257</v>
      </c>
      <c r="C291" s="177" t="s">
        <v>2258</v>
      </c>
      <c r="D291" s="192">
        <v>1.03</v>
      </c>
      <c r="E291" s="178">
        <v>0</v>
      </c>
      <c r="F291" s="178" t="s">
        <v>1253</v>
      </c>
      <c r="G291" s="178" t="s">
        <v>1989</v>
      </c>
      <c r="H291" s="193">
        <v>3</v>
      </c>
      <c r="I291" s="177"/>
      <c r="J291" s="1363"/>
    </row>
    <row r="292" spans="2:10" s="103" customFormat="1" ht="18" outlineLevel="1" x14ac:dyDescent="0.25">
      <c r="B292" s="976" t="s">
        <v>2259</v>
      </c>
      <c r="C292" s="177" t="s">
        <v>2260</v>
      </c>
      <c r="D292" s="192">
        <v>1.06</v>
      </c>
      <c r="E292" s="178">
        <v>0</v>
      </c>
      <c r="F292" s="178" t="s">
        <v>1253</v>
      </c>
      <c r="G292" s="178" t="s">
        <v>1989</v>
      </c>
      <c r="H292" s="193">
        <v>3</v>
      </c>
      <c r="I292" s="177"/>
      <c r="J292" s="1363"/>
    </row>
    <row r="293" spans="2:10" s="103" customFormat="1" ht="18" outlineLevel="1" x14ac:dyDescent="0.25">
      <c r="B293" s="976" t="s">
        <v>2261</v>
      </c>
      <c r="C293" s="177" t="s">
        <v>2262</v>
      </c>
      <c r="D293" s="192">
        <v>1.03</v>
      </c>
      <c r="E293" s="178">
        <v>0</v>
      </c>
      <c r="F293" s="178" t="s">
        <v>1253</v>
      </c>
      <c r="G293" s="178" t="s">
        <v>1989</v>
      </c>
      <c r="H293" s="193">
        <v>3</v>
      </c>
      <c r="I293" s="177"/>
      <c r="J293" s="1363"/>
    </row>
    <row r="294" spans="2:10" s="103" customFormat="1" ht="18" outlineLevel="1" x14ac:dyDescent="0.25">
      <c r="B294" s="980" t="s">
        <v>2263</v>
      </c>
      <c r="C294" s="442" t="s">
        <v>2264</v>
      </c>
      <c r="D294" s="446">
        <v>1.01</v>
      </c>
      <c r="E294" s="443">
        <v>0</v>
      </c>
      <c r="F294" s="443" t="s">
        <v>1253</v>
      </c>
      <c r="G294" s="443" t="s">
        <v>1989</v>
      </c>
      <c r="H294" s="447">
        <v>3</v>
      </c>
      <c r="I294" s="442"/>
      <c r="J294" s="1333"/>
    </row>
    <row r="295" spans="2:10" s="103" customFormat="1" ht="18" outlineLevel="1" x14ac:dyDescent="0.25">
      <c r="B295" s="980" t="s">
        <v>2265</v>
      </c>
      <c r="C295" s="442" t="s">
        <v>2266</v>
      </c>
      <c r="D295" s="446">
        <v>1.03</v>
      </c>
      <c r="E295" s="443">
        <v>0</v>
      </c>
      <c r="F295" s="443" t="s">
        <v>1253</v>
      </c>
      <c r="G295" s="443" t="s">
        <v>1989</v>
      </c>
      <c r="H295" s="447">
        <v>3</v>
      </c>
      <c r="I295" s="442"/>
      <c r="J295" s="1333"/>
    </row>
    <row r="296" spans="2:10" s="103" customFormat="1" ht="18" outlineLevel="1" x14ac:dyDescent="0.25">
      <c r="B296" s="146" t="s">
        <v>862</v>
      </c>
      <c r="C296" s="324" t="s">
        <v>1243</v>
      </c>
      <c r="D296" s="325">
        <v>1.03</v>
      </c>
      <c r="E296" s="325">
        <v>0</v>
      </c>
      <c r="F296" s="325" t="s">
        <v>1253</v>
      </c>
      <c r="G296" s="325" t="s">
        <v>1989</v>
      </c>
      <c r="H296" s="326">
        <v>3</v>
      </c>
      <c r="I296" s="324"/>
      <c r="J296" s="1364"/>
    </row>
    <row r="297" spans="2:10" s="103" customFormat="1" ht="18" outlineLevel="1" x14ac:dyDescent="0.25">
      <c r="B297" s="146" t="s">
        <v>863</v>
      </c>
      <c r="C297" s="324" t="s">
        <v>1244</v>
      </c>
      <c r="D297" s="325">
        <v>1.03</v>
      </c>
      <c r="E297" s="325">
        <v>0</v>
      </c>
      <c r="F297" s="325" t="s">
        <v>1253</v>
      </c>
      <c r="G297" s="325" t="s">
        <v>1989</v>
      </c>
      <c r="H297" s="326">
        <v>3</v>
      </c>
      <c r="I297" s="324"/>
      <c r="J297" s="1364"/>
    </row>
    <row r="298" spans="2:10" s="103" customFormat="1" ht="18" outlineLevel="1" x14ac:dyDescent="0.25">
      <c r="B298" s="987" t="s">
        <v>864</v>
      </c>
      <c r="C298" s="321" t="s">
        <v>1245</v>
      </c>
      <c r="D298" s="322">
        <v>1.03</v>
      </c>
      <c r="E298" s="322">
        <v>0</v>
      </c>
      <c r="F298" s="322" t="s">
        <v>1253</v>
      </c>
      <c r="G298" s="322" t="s">
        <v>1989</v>
      </c>
      <c r="H298" s="323">
        <v>3</v>
      </c>
      <c r="I298" s="321"/>
      <c r="J298" s="1365"/>
    </row>
    <row r="299" spans="2:10" s="103" customFormat="1" ht="18" outlineLevel="1" x14ac:dyDescent="0.25">
      <c r="B299" s="987" t="s">
        <v>865</v>
      </c>
      <c r="C299" s="321" t="s">
        <v>1246</v>
      </c>
      <c r="D299" s="322">
        <v>1.03</v>
      </c>
      <c r="E299" s="322">
        <v>0</v>
      </c>
      <c r="F299" s="322" t="s">
        <v>1253</v>
      </c>
      <c r="G299" s="322" t="s">
        <v>1989</v>
      </c>
      <c r="H299" s="323">
        <v>3</v>
      </c>
      <c r="I299" s="321"/>
      <c r="J299" s="1365"/>
    </row>
    <row r="300" spans="2:10" s="103" customFormat="1" ht="18" outlineLevel="1" x14ac:dyDescent="0.25">
      <c r="B300" s="2012" t="s">
        <v>4591</v>
      </c>
      <c r="C300" s="2001" t="s">
        <v>4592</v>
      </c>
      <c r="D300" s="2013">
        <v>1.04</v>
      </c>
      <c r="E300" s="2013">
        <v>0</v>
      </c>
      <c r="F300" s="2013" t="s">
        <v>1253</v>
      </c>
      <c r="G300" s="2013" t="s">
        <v>1989</v>
      </c>
      <c r="H300" s="2014">
        <v>3</v>
      </c>
      <c r="I300" s="2001"/>
      <c r="J300" s="2015"/>
    </row>
    <row r="301" spans="2:10" s="103" customFormat="1" ht="18" outlineLevel="1" x14ac:dyDescent="0.25">
      <c r="B301" s="2012" t="s">
        <v>4593</v>
      </c>
      <c r="C301" s="2001" t="s">
        <v>4594</v>
      </c>
      <c r="D301" s="2013">
        <v>1.03</v>
      </c>
      <c r="E301" s="2013">
        <v>0</v>
      </c>
      <c r="F301" s="2013" t="s">
        <v>1253</v>
      </c>
      <c r="G301" s="2013" t="s">
        <v>1989</v>
      </c>
      <c r="H301" s="2014">
        <v>3</v>
      </c>
      <c r="I301" s="2001"/>
      <c r="J301" s="2015"/>
    </row>
    <row r="302" spans="2:10" s="103" customFormat="1" ht="18" outlineLevel="1" x14ac:dyDescent="0.25">
      <c r="B302" s="187" t="s">
        <v>866</v>
      </c>
      <c r="C302" s="107" t="s">
        <v>1230</v>
      </c>
      <c r="D302" s="188">
        <v>1.03</v>
      </c>
      <c r="E302" s="188">
        <v>0</v>
      </c>
      <c r="F302" s="188" t="s">
        <v>1253</v>
      </c>
      <c r="G302" s="188" t="s">
        <v>1989</v>
      </c>
      <c r="H302" s="111">
        <v>3</v>
      </c>
      <c r="I302" s="226"/>
      <c r="J302" s="1366"/>
    </row>
    <row r="303" spans="2:10" s="103" customFormat="1" ht="18" outlineLevel="1" x14ac:dyDescent="0.25">
      <c r="B303" s="2353" t="s">
        <v>4901</v>
      </c>
      <c r="C303" s="2352" t="s">
        <v>4902</v>
      </c>
      <c r="D303" s="2354">
        <v>1.03</v>
      </c>
      <c r="E303" s="2354">
        <v>0</v>
      </c>
      <c r="F303" s="2354" t="s">
        <v>1253</v>
      </c>
      <c r="G303" s="2354" t="s">
        <v>1989</v>
      </c>
      <c r="H303" s="2355">
        <v>3</v>
      </c>
      <c r="I303" s="2356"/>
      <c r="J303" s="2357"/>
    </row>
    <row r="304" spans="2:10" s="103" customFormat="1" ht="18" outlineLevel="1" x14ac:dyDescent="0.25">
      <c r="B304" s="2353" t="s">
        <v>4903</v>
      </c>
      <c r="C304" s="2352" t="s">
        <v>4904</v>
      </c>
      <c r="D304" s="2354">
        <v>1.03</v>
      </c>
      <c r="E304" s="2354">
        <v>0</v>
      </c>
      <c r="F304" s="2354" t="s">
        <v>1253</v>
      </c>
      <c r="G304" s="2354" t="s">
        <v>1989</v>
      </c>
      <c r="H304" s="2355">
        <v>3</v>
      </c>
      <c r="I304" s="2356"/>
      <c r="J304" s="2357"/>
    </row>
    <row r="305" spans="2:18" s="103" customFormat="1" ht="18" outlineLevel="1" x14ac:dyDescent="0.25">
      <c r="B305" s="187" t="s">
        <v>867</v>
      </c>
      <c r="C305" s="107" t="s">
        <v>1231</v>
      </c>
      <c r="D305" s="188">
        <v>1.03</v>
      </c>
      <c r="E305" s="188">
        <v>0</v>
      </c>
      <c r="F305" s="188" t="s">
        <v>1253</v>
      </c>
      <c r="G305" s="188" t="s">
        <v>1989</v>
      </c>
      <c r="H305" s="111">
        <v>3</v>
      </c>
      <c r="I305" s="226"/>
      <c r="J305" s="1366"/>
    </row>
    <row r="306" spans="2:18" s="103" customFormat="1" ht="18" outlineLevel="1" x14ac:dyDescent="0.25">
      <c r="B306" s="187" t="s">
        <v>868</v>
      </c>
      <c r="C306" s="107" t="s">
        <v>1232</v>
      </c>
      <c r="D306" s="188">
        <v>1.03</v>
      </c>
      <c r="E306" s="188">
        <v>0</v>
      </c>
      <c r="F306" s="188" t="s">
        <v>1253</v>
      </c>
      <c r="G306" s="188" t="s">
        <v>1989</v>
      </c>
      <c r="H306" s="111">
        <v>3</v>
      </c>
      <c r="I306" s="226"/>
      <c r="J306" s="1366"/>
    </row>
    <row r="307" spans="2:18" s="103" customFormat="1" ht="18" outlineLevel="1" x14ac:dyDescent="0.25">
      <c r="B307" s="187" t="s">
        <v>1739</v>
      </c>
      <c r="C307" s="107" t="s">
        <v>1233</v>
      </c>
      <c r="D307" s="188">
        <v>1.03</v>
      </c>
      <c r="E307" s="188">
        <v>0</v>
      </c>
      <c r="F307" s="188" t="s">
        <v>1253</v>
      </c>
      <c r="G307" s="188" t="s">
        <v>1989</v>
      </c>
      <c r="H307" s="111">
        <v>3</v>
      </c>
      <c r="I307" s="226"/>
      <c r="J307" s="1366"/>
    </row>
    <row r="308" spans="2:18" s="103" customFormat="1" ht="18" outlineLevel="1" x14ac:dyDescent="0.25">
      <c r="B308" s="187" t="s">
        <v>1738</v>
      </c>
      <c r="C308" s="107" t="s">
        <v>1234</v>
      </c>
      <c r="D308" s="188">
        <v>1.03</v>
      </c>
      <c r="E308" s="188">
        <v>0</v>
      </c>
      <c r="F308" s="188" t="s">
        <v>1253</v>
      </c>
      <c r="G308" s="188" t="s">
        <v>1989</v>
      </c>
      <c r="H308" s="111">
        <v>3</v>
      </c>
      <c r="I308" s="226"/>
      <c r="J308" s="1366"/>
    </row>
    <row r="309" spans="2:18" s="103" customFormat="1" ht="18" outlineLevel="1" x14ac:dyDescent="0.25">
      <c r="B309" s="1963" t="s">
        <v>4551</v>
      </c>
      <c r="C309" s="1964" t="s">
        <v>4552</v>
      </c>
      <c r="D309" s="1959">
        <v>1.03</v>
      </c>
      <c r="E309" s="1959">
        <v>0</v>
      </c>
      <c r="F309" s="1959" t="s">
        <v>1253</v>
      </c>
      <c r="G309" s="1959" t="s">
        <v>1989</v>
      </c>
      <c r="H309" s="1960">
        <v>3</v>
      </c>
      <c r="I309" s="1961"/>
      <c r="J309" s="1962"/>
    </row>
    <row r="310" spans="2:18" s="103" customFormat="1" ht="18" outlineLevel="1" x14ac:dyDescent="0.25">
      <c r="B310" s="187" t="s">
        <v>869</v>
      </c>
      <c r="C310" s="107" t="s">
        <v>1235</v>
      </c>
      <c r="D310" s="188">
        <v>1.03</v>
      </c>
      <c r="E310" s="188">
        <v>0</v>
      </c>
      <c r="F310" s="188" t="s">
        <v>1253</v>
      </c>
      <c r="G310" s="188" t="s">
        <v>1989</v>
      </c>
      <c r="H310" s="111">
        <v>3</v>
      </c>
      <c r="I310" s="226"/>
      <c r="J310" s="1366"/>
    </row>
    <row r="311" spans="2:18" s="103" customFormat="1" ht="18" outlineLevel="1" x14ac:dyDescent="0.25">
      <c r="B311" s="189" t="s">
        <v>2825</v>
      </c>
      <c r="C311" s="183" t="s">
        <v>1363</v>
      </c>
      <c r="D311" s="190">
        <v>1.04</v>
      </c>
      <c r="E311" s="190">
        <v>0</v>
      </c>
      <c r="F311" s="190" t="s">
        <v>1253</v>
      </c>
      <c r="G311" s="190" t="s">
        <v>1989</v>
      </c>
      <c r="H311" s="191">
        <v>3</v>
      </c>
      <c r="I311" s="227"/>
      <c r="J311" s="1367"/>
    </row>
    <row r="312" spans="2:18" s="103" customFormat="1" ht="18" outlineLevel="1" x14ac:dyDescent="0.25">
      <c r="B312" s="189" t="s">
        <v>1719</v>
      </c>
      <c r="C312" s="183" t="s">
        <v>1364</v>
      </c>
      <c r="D312" s="190">
        <v>1.04</v>
      </c>
      <c r="E312" s="190">
        <v>0</v>
      </c>
      <c r="F312" s="190" t="s">
        <v>1253</v>
      </c>
      <c r="G312" s="190" t="s">
        <v>1989</v>
      </c>
      <c r="H312" s="191">
        <v>3</v>
      </c>
      <c r="I312" s="227"/>
      <c r="J312" s="1367"/>
    </row>
    <row r="313" spans="2:18" s="103" customFormat="1" ht="18.75" outlineLevel="1" thickBot="1" x14ac:dyDescent="0.3">
      <c r="B313" s="2505" t="s">
        <v>890</v>
      </c>
      <c r="C313" s="2524" t="s">
        <v>280</v>
      </c>
      <c r="D313" s="2542">
        <v>20</v>
      </c>
      <c r="E313" s="2542">
        <v>1</v>
      </c>
      <c r="F313" s="2542">
        <v>60</v>
      </c>
      <c r="G313" s="2542" t="s">
        <v>889</v>
      </c>
      <c r="H313" s="2541">
        <v>1</v>
      </c>
      <c r="I313" s="2524"/>
      <c r="J313" s="2589"/>
    </row>
    <row r="314" spans="2:18" s="103" customFormat="1" ht="15.75" thickBot="1" x14ac:dyDescent="0.3">
      <c r="B314" s="113"/>
      <c r="C314" s="1007"/>
      <c r="E314" s="2543"/>
      <c r="F314" s="2543"/>
      <c r="G314" s="2543"/>
      <c r="H314" s="2543"/>
      <c r="I314" s="1012"/>
      <c r="J314" s="1007"/>
    </row>
    <row r="315" spans="2:18" s="103" customFormat="1" ht="15.75" thickBot="1" x14ac:dyDescent="0.3">
      <c r="B315" s="113"/>
      <c r="C315" s="139" t="s">
        <v>982</v>
      </c>
      <c r="D315" s="104" t="s">
        <v>315</v>
      </c>
      <c r="E315" s="104"/>
      <c r="F315" s="104"/>
      <c r="G315" s="104"/>
      <c r="H315" s="104"/>
      <c r="I315" s="113"/>
      <c r="J315" s="1007"/>
    </row>
    <row r="316" spans="2:18" s="116" customFormat="1" ht="15.75" thickBot="1" x14ac:dyDescent="0.3">
      <c r="B316" s="972" t="s">
        <v>0</v>
      </c>
      <c r="C316" s="1294" t="s">
        <v>1</v>
      </c>
      <c r="D316" s="434" t="s">
        <v>839</v>
      </c>
      <c r="E316" s="434" t="s">
        <v>470</v>
      </c>
      <c r="F316" s="434" t="s">
        <v>471</v>
      </c>
      <c r="G316" s="434" t="s">
        <v>2</v>
      </c>
      <c r="H316" s="434" t="s">
        <v>298</v>
      </c>
      <c r="I316" s="1322" t="s">
        <v>116</v>
      </c>
      <c r="J316" s="1331" t="s">
        <v>117</v>
      </c>
      <c r="K316" s="103"/>
      <c r="L316" s="103"/>
      <c r="M316" s="103"/>
      <c r="N316" s="103"/>
      <c r="O316" s="103"/>
      <c r="P316" s="103"/>
      <c r="Q316" s="103"/>
      <c r="R316" s="103"/>
    </row>
    <row r="317" spans="2:18" s="103" customFormat="1" ht="18" outlineLevel="1" x14ac:dyDescent="0.25">
      <c r="B317" s="998" t="s">
        <v>1721</v>
      </c>
      <c r="C317" s="524" t="s">
        <v>2565</v>
      </c>
      <c r="D317" s="329">
        <v>0.6</v>
      </c>
      <c r="E317" s="1849">
        <v>0</v>
      </c>
      <c r="F317" s="1849">
        <v>1</v>
      </c>
      <c r="G317" s="1842" t="s">
        <v>2124</v>
      </c>
      <c r="H317" s="330">
        <v>2</v>
      </c>
      <c r="I317" s="1368"/>
      <c r="J317" s="1369"/>
      <c r="M317" s="104"/>
      <c r="N317" s="104"/>
    </row>
    <row r="318" spans="2:18" s="103" customFormat="1" ht="18" outlineLevel="1" x14ac:dyDescent="0.25">
      <c r="B318" s="161" t="s">
        <v>1722</v>
      </c>
      <c r="C318" s="479" t="s">
        <v>2566</v>
      </c>
      <c r="D318" s="163">
        <v>0.45</v>
      </c>
      <c r="E318" s="1843">
        <v>0</v>
      </c>
      <c r="F318" s="1843">
        <v>1</v>
      </c>
      <c r="G318" s="1843" t="s">
        <v>2124</v>
      </c>
      <c r="H318" s="163">
        <v>2</v>
      </c>
      <c r="I318" s="1296"/>
      <c r="J318" s="1297"/>
      <c r="L318" s="2543"/>
      <c r="M318" s="2601"/>
      <c r="N318" s="2601"/>
    </row>
    <row r="319" spans="2:18" s="103" customFormat="1" ht="18" outlineLevel="1" x14ac:dyDescent="0.25">
      <c r="B319" s="161" t="s">
        <v>1723</v>
      </c>
      <c r="C319" s="479" t="s">
        <v>2567</v>
      </c>
      <c r="D319" s="163">
        <v>0.67</v>
      </c>
      <c r="E319" s="1843">
        <v>0</v>
      </c>
      <c r="F319" s="1843">
        <v>1</v>
      </c>
      <c r="G319" s="1843" t="s">
        <v>2124</v>
      </c>
      <c r="H319" s="163">
        <v>2</v>
      </c>
      <c r="I319" s="1296"/>
      <c r="J319" s="1297"/>
      <c r="L319" s="2543"/>
      <c r="M319" s="2601"/>
      <c r="N319" s="2601"/>
    </row>
    <row r="320" spans="2:18" s="103" customFormat="1" ht="18" outlineLevel="1" x14ac:dyDescent="0.25">
      <c r="B320" s="161" t="s">
        <v>1724</v>
      </c>
      <c r="C320" s="479" t="s">
        <v>2568</v>
      </c>
      <c r="D320" s="163">
        <v>0.54</v>
      </c>
      <c r="E320" s="1843">
        <v>0</v>
      </c>
      <c r="F320" s="1843">
        <v>1</v>
      </c>
      <c r="G320" s="1843" t="s">
        <v>2124</v>
      </c>
      <c r="H320" s="163">
        <v>2</v>
      </c>
      <c r="I320" s="1296"/>
      <c r="J320" s="1297"/>
      <c r="L320" s="2543"/>
      <c r="M320" s="2601"/>
      <c r="N320" s="2601"/>
    </row>
    <row r="321" spans="2:14" s="103" customFormat="1" ht="18" outlineLevel="1" x14ac:dyDescent="0.25">
      <c r="B321" s="161" t="s">
        <v>1725</v>
      </c>
      <c r="C321" s="479" t="s">
        <v>2569</v>
      </c>
      <c r="D321" s="164">
        <v>0.1</v>
      </c>
      <c r="E321" s="1850">
        <v>0</v>
      </c>
      <c r="F321" s="1843">
        <v>1</v>
      </c>
      <c r="G321" s="1843" t="s">
        <v>2124</v>
      </c>
      <c r="H321" s="163">
        <v>2</v>
      </c>
      <c r="I321" s="1296"/>
      <c r="J321" s="1297"/>
      <c r="L321" s="2543"/>
      <c r="M321" s="2601"/>
      <c r="N321" s="2601"/>
    </row>
    <row r="322" spans="2:14" s="103" customFormat="1" ht="18" outlineLevel="1" x14ac:dyDescent="0.25">
      <c r="B322" s="161" t="s">
        <v>2149</v>
      </c>
      <c r="C322" s="479" t="s">
        <v>2570</v>
      </c>
      <c r="D322" s="163">
        <v>0.35</v>
      </c>
      <c r="E322" s="1843">
        <v>0</v>
      </c>
      <c r="F322" s="1843">
        <v>1</v>
      </c>
      <c r="G322" s="1843" t="s">
        <v>2124</v>
      </c>
      <c r="H322" s="163">
        <v>2</v>
      </c>
      <c r="I322" s="1296"/>
      <c r="J322" s="1297"/>
      <c r="L322" s="2543"/>
      <c r="M322" s="2601"/>
      <c r="N322" s="2601"/>
    </row>
    <row r="323" spans="2:14" s="103" customFormat="1" ht="18" outlineLevel="1" x14ac:dyDescent="0.25">
      <c r="B323" s="161" t="s">
        <v>2150</v>
      </c>
      <c r="C323" s="479" t="s">
        <v>2571</v>
      </c>
      <c r="D323" s="163">
        <v>0.1</v>
      </c>
      <c r="E323" s="1843">
        <v>0</v>
      </c>
      <c r="F323" s="1843">
        <v>1</v>
      </c>
      <c r="G323" s="1843" t="s">
        <v>2124</v>
      </c>
      <c r="H323" s="163">
        <v>2</v>
      </c>
      <c r="I323" s="1296"/>
      <c r="J323" s="1297"/>
      <c r="L323" s="2543"/>
      <c r="M323" s="2601"/>
      <c r="N323" s="2601"/>
    </row>
    <row r="324" spans="2:14" s="103" customFormat="1" ht="18" outlineLevel="1" x14ac:dyDescent="0.25">
      <c r="B324" s="161" t="s">
        <v>1726</v>
      </c>
      <c r="C324" s="479" t="s">
        <v>2572</v>
      </c>
      <c r="D324" s="164">
        <v>0.4</v>
      </c>
      <c r="E324" s="1850">
        <v>0</v>
      </c>
      <c r="F324" s="1843">
        <v>1</v>
      </c>
      <c r="G324" s="1843" t="s">
        <v>2124</v>
      </c>
      <c r="H324" s="163">
        <v>2</v>
      </c>
      <c r="I324" s="1296"/>
      <c r="J324" s="1297"/>
    </row>
    <row r="325" spans="2:14" s="103" customFormat="1" ht="18" outlineLevel="1" x14ac:dyDescent="0.25">
      <c r="B325" s="161" t="s">
        <v>870</v>
      </c>
      <c r="C325" s="479" t="s">
        <v>2573</v>
      </c>
      <c r="D325" s="164">
        <v>0.4</v>
      </c>
      <c r="E325" s="1850">
        <v>0</v>
      </c>
      <c r="F325" s="1843">
        <v>1</v>
      </c>
      <c r="G325" s="1843" t="s">
        <v>2124</v>
      </c>
      <c r="H325" s="163">
        <v>2</v>
      </c>
      <c r="I325" s="1296"/>
      <c r="J325" s="1297"/>
    </row>
    <row r="326" spans="2:14" s="103" customFormat="1" ht="18" outlineLevel="1" x14ac:dyDescent="0.25">
      <c r="B326" s="2444" t="s">
        <v>5167</v>
      </c>
      <c r="C326" s="1088" t="s">
        <v>5166</v>
      </c>
      <c r="D326" s="134">
        <v>0.63900000000000001</v>
      </c>
      <c r="E326" s="1844">
        <v>0</v>
      </c>
      <c r="F326" s="1844">
        <v>1</v>
      </c>
      <c r="G326" s="1844" t="s">
        <v>4534</v>
      </c>
      <c r="H326" s="134">
        <v>3</v>
      </c>
      <c r="I326" s="1370"/>
      <c r="J326" s="1371"/>
    </row>
    <row r="327" spans="2:14" s="103" customFormat="1" ht="18" outlineLevel="1" x14ac:dyDescent="0.25">
      <c r="B327" s="2444" t="s">
        <v>5168</v>
      </c>
      <c r="C327" s="2438" t="s">
        <v>5165</v>
      </c>
      <c r="D327" s="134">
        <v>0.52</v>
      </c>
      <c r="E327" s="1844">
        <v>0</v>
      </c>
      <c r="F327" s="1844">
        <v>1</v>
      </c>
      <c r="G327" s="1844" t="s">
        <v>4534</v>
      </c>
      <c r="H327" s="134">
        <v>2</v>
      </c>
      <c r="I327" s="1370"/>
      <c r="J327" s="1371"/>
    </row>
    <row r="328" spans="2:14" s="103" customFormat="1" ht="18" outlineLevel="1" x14ac:dyDescent="0.25">
      <c r="B328" s="493" t="s">
        <v>4122</v>
      </c>
      <c r="C328" s="1088" t="s">
        <v>4115</v>
      </c>
      <c r="D328" s="496">
        <v>0.1</v>
      </c>
      <c r="E328" s="1851">
        <v>0</v>
      </c>
      <c r="F328" s="1844">
        <v>1</v>
      </c>
      <c r="G328" s="1844" t="s">
        <v>4534</v>
      </c>
      <c r="H328" s="495">
        <v>2</v>
      </c>
      <c r="I328" s="494"/>
      <c r="J328" s="1372"/>
      <c r="L328" s="2543"/>
      <c r="M328" s="2601"/>
      <c r="N328" s="2601"/>
    </row>
    <row r="329" spans="2:14" s="103" customFormat="1" ht="18" outlineLevel="1" x14ac:dyDescent="0.25">
      <c r="B329" s="493" t="s">
        <v>4123</v>
      </c>
      <c r="C329" s="1088" t="s">
        <v>4116</v>
      </c>
      <c r="D329" s="495">
        <v>0.35</v>
      </c>
      <c r="E329" s="1844">
        <v>0</v>
      </c>
      <c r="F329" s="1844">
        <v>1</v>
      </c>
      <c r="G329" s="1844" t="s">
        <v>4534</v>
      </c>
      <c r="H329" s="495">
        <v>2</v>
      </c>
      <c r="I329" s="494"/>
      <c r="J329" s="1372"/>
      <c r="L329" s="2543"/>
      <c r="M329" s="2601"/>
      <c r="N329" s="2601"/>
    </row>
    <row r="330" spans="2:14" s="103" customFormat="1" ht="18" outlineLevel="1" x14ac:dyDescent="0.25">
      <c r="B330" s="493" t="s">
        <v>4124</v>
      </c>
      <c r="C330" s="1088" t="s">
        <v>4117</v>
      </c>
      <c r="D330" s="495">
        <v>0.1</v>
      </c>
      <c r="E330" s="1844">
        <v>0</v>
      </c>
      <c r="F330" s="1844">
        <v>1</v>
      </c>
      <c r="G330" s="1844" t="s">
        <v>4534</v>
      </c>
      <c r="H330" s="495">
        <v>2</v>
      </c>
      <c r="I330" s="494"/>
      <c r="J330" s="1372"/>
      <c r="L330" s="2543"/>
      <c r="M330" s="2601"/>
      <c r="N330" s="2601"/>
    </row>
    <row r="331" spans="2:14" s="103" customFormat="1" ht="18" outlineLevel="1" x14ac:dyDescent="0.25">
      <c r="B331" s="959" t="s">
        <v>4120</v>
      </c>
      <c r="C331" s="1088" t="s">
        <v>4118</v>
      </c>
      <c r="D331" s="960">
        <v>0.33</v>
      </c>
      <c r="E331" s="1844">
        <v>0</v>
      </c>
      <c r="F331" s="1844">
        <v>1</v>
      </c>
      <c r="G331" s="1844" t="s">
        <v>4535</v>
      </c>
      <c r="H331" s="960">
        <v>2</v>
      </c>
      <c r="I331" s="1373"/>
      <c r="J331" s="1314"/>
    </row>
    <row r="332" spans="2:14" s="103" customFormat="1" ht="18" outlineLevel="1" x14ac:dyDescent="0.25">
      <c r="B332" s="959" t="s">
        <v>4121</v>
      </c>
      <c r="C332" s="1088" t="s">
        <v>4119</v>
      </c>
      <c r="D332" s="960">
        <v>0.23</v>
      </c>
      <c r="E332" s="1844">
        <v>0</v>
      </c>
      <c r="F332" s="1844">
        <v>1</v>
      </c>
      <c r="G332" s="1844" t="s">
        <v>4535</v>
      </c>
      <c r="H332" s="960">
        <v>2</v>
      </c>
      <c r="I332" s="1373"/>
      <c r="J332" s="1314"/>
    </row>
    <row r="333" spans="2:14" s="103" customFormat="1" ht="18" outlineLevel="1" x14ac:dyDescent="0.25">
      <c r="B333" s="147" t="s">
        <v>879</v>
      </c>
      <c r="C333" s="494" t="s">
        <v>2574</v>
      </c>
      <c r="D333" s="134">
        <v>0.65</v>
      </c>
      <c r="E333" s="1844">
        <v>0</v>
      </c>
      <c r="F333" s="1844">
        <v>1</v>
      </c>
      <c r="G333" s="1844" t="s">
        <v>4536</v>
      </c>
      <c r="H333" s="134">
        <v>2</v>
      </c>
      <c r="I333" s="1370"/>
      <c r="J333" s="1371"/>
    </row>
    <row r="334" spans="2:14" s="103" customFormat="1" ht="18" outlineLevel="1" x14ac:dyDescent="0.25">
      <c r="B334" s="147" t="s">
        <v>880</v>
      </c>
      <c r="C334" s="494" t="s">
        <v>272</v>
      </c>
      <c r="D334" s="401">
        <f>(30+31+3*16)/31</f>
        <v>3.5161290322580645</v>
      </c>
      <c r="E334" s="1852">
        <v>0</v>
      </c>
      <c r="F334" s="1844">
        <v>10</v>
      </c>
      <c r="G334" s="1844" t="s">
        <v>4537</v>
      </c>
      <c r="H334" s="134">
        <v>1</v>
      </c>
      <c r="I334" s="1370"/>
      <c r="J334" s="1371"/>
    </row>
    <row r="335" spans="2:14" s="103" customFormat="1" ht="18" outlineLevel="1" x14ac:dyDescent="0.25">
      <c r="B335" s="2443" t="s">
        <v>5163</v>
      </c>
      <c r="C335" s="2442" t="s">
        <v>5161</v>
      </c>
      <c r="D335" s="416">
        <v>0.6</v>
      </c>
      <c r="E335" s="1845">
        <v>0</v>
      </c>
      <c r="F335" s="1845">
        <v>1</v>
      </c>
      <c r="G335" s="1845" t="s">
        <v>2124</v>
      </c>
      <c r="H335" s="416">
        <v>3</v>
      </c>
      <c r="I335" s="1374"/>
      <c r="J335" s="1375"/>
    </row>
    <row r="336" spans="2:14" s="103" customFormat="1" ht="18" outlineLevel="1" x14ac:dyDescent="0.25">
      <c r="B336" s="2443" t="s">
        <v>5164</v>
      </c>
      <c r="C336" s="2442" t="s">
        <v>5162</v>
      </c>
      <c r="D336" s="416">
        <v>0.5</v>
      </c>
      <c r="E336" s="1845">
        <v>0</v>
      </c>
      <c r="F336" s="1845">
        <v>1</v>
      </c>
      <c r="G336" s="1845" t="s">
        <v>2124</v>
      </c>
      <c r="H336" s="416">
        <v>2</v>
      </c>
      <c r="I336" s="1374"/>
      <c r="J336" s="1375"/>
    </row>
    <row r="337" spans="2:18" s="103" customFormat="1" ht="18" outlineLevel="1" x14ac:dyDescent="0.25">
      <c r="B337" s="999" t="s">
        <v>2267</v>
      </c>
      <c r="C337" s="526" t="s">
        <v>2577</v>
      </c>
      <c r="D337" s="448">
        <v>0.15</v>
      </c>
      <c r="E337" s="1846">
        <v>0</v>
      </c>
      <c r="F337" s="1846">
        <v>1</v>
      </c>
      <c r="G337" s="1846" t="s">
        <v>4538</v>
      </c>
      <c r="H337" s="448">
        <v>2</v>
      </c>
      <c r="I337" s="1376"/>
      <c r="J337" s="1377"/>
      <c r="L337" s="449"/>
      <c r="M337" s="449"/>
      <c r="N337" s="449"/>
      <c r="O337" s="449"/>
      <c r="P337" s="449"/>
      <c r="Q337" s="449"/>
      <c r="R337" s="449"/>
    </row>
    <row r="338" spans="2:18" s="103" customFormat="1" ht="18" outlineLevel="1" x14ac:dyDescent="0.25">
      <c r="B338" s="165" t="s">
        <v>2268</v>
      </c>
      <c r="C338" s="526" t="s">
        <v>2578</v>
      </c>
      <c r="D338" s="166">
        <v>0.09</v>
      </c>
      <c r="E338" s="166">
        <v>0</v>
      </c>
      <c r="F338" s="166">
        <v>1</v>
      </c>
      <c r="G338" s="1846" t="s">
        <v>4538</v>
      </c>
      <c r="H338" s="166">
        <v>2</v>
      </c>
      <c r="I338" s="637"/>
      <c r="J338" s="1378"/>
      <c r="L338" s="449"/>
      <c r="M338" s="449"/>
      <c r="N338" s="449"/>
      <c r="O338" s="449"/>
      <c r="P338" s="449"/>
      <c r="Q338" s="449"/>
      <c r="R338" s="449"/>
    </row>
    <row r="339" spans="2:18" s="116" customFormat="1" ht="18" outlineLevel="1" x14ac:dyDescent="0.25">
      <c r="B339" s="1000" t="s">
        <v>2269</v>
      </c>
      <c r="C339" s="527" t="s">
        <v>2579</v>
      </c>
      <c r="D339" s="450">
        <v>1.32</v>
      </c>
      <c r="E339" s="451">
        <v>0</v>
      </c>
      <c r="F339" s="451">
        <v>10</v>
      </c>
      <c r="G339" s="451" t="s">
        <v>4539</v>
      </c>
      <c r="H339" s="451">
        <v>2</v>
      </c>
      <c r="I339" s="1379"/>
      <c r="J339" s="1380"/>
      <c r="K339" s="103"/>
      <c r="L339" s="449"/>
      <c r="M339" s="449"/>
      <c r="N339" s="449"/>
      <c r="O339" s="449"/>
      <c r="P339" s="449"/>
      <c r="Q339" s="449"/>
      <c r="R339" s="449"/>
    </row>
    <row r="340" spans="2:18" s="116" customFormat="1" ht="18" outlineLevel="1" x14ac:dyDescent="0.25">
      <c r="B340" s="1000" t="s">
        <v>2270</v>
      </c>
      <c r="C340" s="527" t="s">
        <v>2580</v>
      </c>
      <c r="D340" s="450">
        <v>0.26</v>
      </c>
      <c r="E340" s="451">
        <v>0</v>
      </c>
      <c r="F340" s="451">
        <v>1</v>
      </c>
      <c r="G340" s="451" t="s">
        <v>4540</v>
      </c>
      <c r="H340" s="451">
        <v>2</v>
      </c>
      <c r="I340" s="1379"/>
      <c r="J340" s="1380"/>
      <c r="K340" s="103"/>
      <c r="L340" s="449"/>
      <c r="M340" s="449"/>
      <c r="N340" s="449"/>
      <c r="O340" s="449"/>
      <c r="P340" s="449"/>
      <c r="Q340" s="449"/>
      <c r="R340" s="449"/>
    </row>
    <row r="341" spans="2:18" s="103" customFormat="1" ht="18" outlineLevel="1" x14ac:dyDescent="0.25">
      <c r="B341" s="167" t="s">
        <v>872</v>
      </c>
      <c r="C341" s="525" t="s">
        <v>2575</v>
      </c>
      <c r="D341" s="328">
        <v>0.1</v>
      </c>
      <c r="E341" s="328">
        <v>0</v>
      </c>
      <c r="F341" s="328">
        <v>1</v>
      </c>
      <c r="G341" s="1847" t="s">
        <v>2124</v>
      </c>
      <c r="H341" s="214">
        <v>2</v>
      </c>
      <c r="I341" s="327"/>
      <c r="J341" s="1381"/>
    </row>
    <row r="342" spans="2:18" s="103" customFormat="1" ht="18.75" outlineLevel="1" thickBot="1" x14ac:dyDescent="0.3">
      <c r="B342" s="988" t="s">
        <v>871</v>
      </c>
      <c r="C342" s="399" t="s">
        <v>2576</v>
      </c>
      <c r="D342" s="400">
        <v>0.1</v>
      </c>
      <c r="E342" s="400">
        <v>0</v>
      </c>
      <c r="F342" s="400">
        <v>1</v>
      </c>
      <c r="G342" s="1848" t="s">
        <v>2124</v>
      </c>
      <c r="H342" s="394">
        <v>2</v>
      </c>
      <c r="I342" s="399"/>
      <c r="J342" s="1382"/>
    </row>
    <row r="343" spans="2:18" ht="15.75" thickBot="1" x14ac:dyDescent="0.3">
      <c r="C343" s="1012"/>
      <c r="D343" s="2543"/>
      <c r="E343" s="2543"/>
      <c r="F343" s="2543"/>
      <c r="G343" s="2543"/>
      <c r="H343" s="2543"/>
      <c r="I343" s="1012"/>
      <c r="J343" s="1007"/>
      <c r="K343" s="103"/>
      <c r="L343" s="2543"/>
      <c r="M343" s="2601"/>
      <c r="N343" s="2601"/>
      <c r="O343" s="103"/>
      <c r="P343" s="103"/>
      <c r="Q343" s="103"/>
      <c r="R343" s="103"/>
    </row>
    <row r="344" spans="2:18" ht="15.75" thickBot="1" x14ac:dyDescent="0.3">
      <c r="C344" s="143" t="s">
        <v>799</v>
      </c>
      <c r="D344" s="104" t="s">
        <v>315</v>
      </c>
      <c r="J344" s="1007"/>
      <c r="K344" s="103"/>
      <c r="L344" s="2543"/>
      <c r="M344" s="2601"/>
      <c r="N344" s="2601"/>
      <c r="O344" s="103"/>
      <c r="P344" s="103"/>
      <c r="Q344" s="103"/>
      <c r="R344" s="103"/>
    </row>
    <row r="345" spans="2:18" ht="15.75" thickBot="1" x14ac:dyDescent="0.3">
      <c r="B345" s="1001" t="s">
        <v>0</v>
      </c>
      <c r="C345" s="142" t="s">
        <v>1</v>
      </c>
      <c r="D345" s="127" t="s">
        <v>839</v>
      </c>
      <c r="E345" s="127" t="s">
        <v>470</v>
      </c>
      <c r="F345" s="127" t="s">
        <v>471</v>
      </c>
      <c r="G345" s="127" t="s">
        <v>2</v>
      </c>
      <c r="H345" s="127" t="s">
        <v>298</v>
      </c>
      <c r="I345" s="142" t="s">
        <v>116</v>
      </c>
      <c r="J345" s="1383" t="s">
        <v>117</v>
      </c>
      <c r="K345" s="103"/>
      <c r="L345" s="2543"/>
      <c r="M345" s="2601"/>
      <c r="N345" s="2601"/>
      <c r="O345" s="103"/>
      <c r="P345" s="103"/>
      <c r="Q345" s="103"/>
      <c r="R345" s="103"/>
    </row>
    <row r="346" spans="2:18" s="103" customFormat="1" ht="18.75" outlineLevel="1" x14ac:dyDescent="0.25">
      <c r="B346" s="133" t="s">
        <v>873</v>
      </c>
      <c r="C346" s="1014" t="s">
        <v>2584</v>
      </c>
      <c r="D346" s="2544">
        <v>0.08</v>
      </c>
      <c r="E346" s="2544">
        <v>0</v>
      </c>
      <c r="F346" s="2544">
        <v>0.5</v>
      </c>
      <c r="G346" s="2574" t="s">
        <v>2923</v>
      </c>
      <c r="H346" s="2544">
        <v>2</v>
      </c>
      <c r="I346" s="2531"/>
      <c r="J346" s="2590"/>
    </row>
    <row r="347" spans="2:18" s="103" customFormat="1" ht="18" outlineLevel="1" x14ac:dyDescent="0.25">
      <c r="B347" s="465" t="s">
        <v>874</v>
      </c>
      <c r="C347" s="466" t="s">
        <v>276</v>
      </c>
      <c r="D347" s="467">
        <v>7.0000000000000007E-2</v>
      </c>
      <c r="E347" s="468">
        <v>0</v>
      </c>
      <c r="F347" s="468">
        <v>0.5</v>
      </c>
      <c r="G347" s="468" t="s">
        <v>1888</v>
      </c>
      <c r="H347" s="468">
        <v>3</v>
      </c>
      <c r="I347" s="1384"/>
      <c r="J347" s="1385"/>
    </row>
    <row r="348" spans="2:18" s="103" customFormat="1" ht="18" outlineLevel="1" x14ac:dyDescent="0.25">
      <c r="B348" s="2016" t="s">
        <v>4595</v>
      </c>
      <c r="C348" s="2017" t="s">
        <v>4596</v>
      </c>
      <c r="D348" s="2018">
        <v>7.0000000000000007E-2</v>
      </c>
      <c r="E348" s="2019">
        <v>0</v>
      </c>
      <c r="F348" s="2019">
        <v>0.5</v>
      </c>
      <c r="G348" s="2019" t="s">
        <v>4597</v>
      </c>
      <c r="H348" s="2019">
        <v>3</v>
      </c>
      <c r="I348" s="1988"/>
      <c r="J348" s="2020"/>
      <c r="K348" s="2601"/>
    </row>
    <row r="349" spans="2:18" s="103" customFormat="1" ht="18" outlineLevel="1" x14ac:dyDescent="0.25">
      <c r="B349" s="465" t="s">
        <v>2128</v>
      </c>
      <c r="C349" s="466" t="s">
        <v>2129</v>
      </c>
      <c r="D349" s="467">
        <v>0.06</v>
      </c>
      <c r="E349" s="468">
        <v>0</v>
      </c>
      <c r="F349" s="468">
        <v>0.5</v>
      </c>
      <c r="G349" s="468" t="s">
        <v>1888</v>
      </c>
      <c r="H349" s="468">
        <v>3</v>
      </c>
      <c r="I349" s="1384"/>
      <c r="J349" s="1385"/>
    </row>
    <row r="350" spans="2:18" s="103" customFormat="1" ht="18" outlineLevel="1" x14ac:dyDescent="0.25">
      <c r="B350" s="465" t="s">
        <v>1121</v>
      </c>
      <c r="C350" s="466" t="s">
        <v>2585</v>
      </c>
      <c r="D350" s="467">
        <v>0.01</v>
      </c>
      <c r="E350" s="468">
        <v>0</v>
      </c>
      <c r="F350" s="468">
        <v>0.5</v>
      </c>
      <c r="G350" s="468" t="s">
        <v>1888</v>
      </c>
      <c r="H350" s="468">
        <v>3</v>
      </c>
      <c r="I350" s="1384"/>
      <c r="J350" s="1385" t="s">
        <v>4337</v>
      </c>
      <c r="K350" s="2601"/>
      <c r="L350" s="2601"/>
    </row>
    <row r="351" spans="2:18" s="103" customFormat="1" ht="18" outlineLevel="1" x14ac:dyDescent="0.25">
      <c r="B351" s="465" t="s">
        <v>1056</v>
      </c>
      <c r="C351" s="466" t="s">
        <v>2586</v>
      </c>
      <c r="D351" s="467">
        <v>0.01</v>
      </c>
      <c r="E351" s="468">
        <v>0</v>
      </c>
      <c r="F351" s="468">
        <v>0.1</v>
      </c>
      <c r="G351" s="468" t="s">
        <v>1888</v>
      </c>
      <c r="H351" s="468">
        <v>3</v>
      </c>
      <c r="I351" s="1384"/>
      <c r="J351" s="1385"/>
      <c r="K351" s="2601"/>
      <c r="L351" s="2601"/>
    </row>
    <row r="352" spans="2:18" s="103" customFormat="1" ht="18" outlineLevel="1" x14ac:dyDescent="0.25">
      <c r="B352" s="465" t="s">
        <v>1122</v>
      </c>
      <c r="C352" s="466" t="s">
        <v>2587</v>
      </c>
      <c r="D352" s="467">
        <v>0.01</v>
      </c>
      <c r="E352" s="468">
        <v>0</v>
      </c>
      <c r="F352" s="468">
        <v>0.1</v>
      </c>
      <c r="G352" s="468" t="s">
        <v>1888</v>
      </c>
      <c r="H352" s="468">
        <v>3</v>
      </c>
      <c r="I352" s="1384"/>
      <c r="J352" s="1425" t="s">
        <v>4338</v>
      </c>
      <c r="K352" s="2601"/>
      <c r="L352" s="2601"/>
    </row>
    <row r="353" spans="2:12" s="103" customFormat="1" ht="18" outlineLevel="1" x14ac:dyDescent="0.25">
      <c r="B353" s="465" t="s">
        <v>1365</v>
      </c>
      <c r="C353" s="469" t="s">
        <v>2588</v>
      </c>
      <c r="D353" s="470">
        <v>5.7075504823359977E-2</v>
      </c>
      <c r="E353" s="468">
        <v>0</v>
      </c>
      <c r="F353" s="468">
        <v>1</v>
      </c>
      <c r="G353" s="468" t="s">
        <v>1893</v>
      </c>
      <c r="H353" s="468">
        <v>2</v>
      </c>
      <c r="I353" s="1384"/>
      <c r="J353" s="1386" t="s">
        <v>1982</v>
      </c>
    </row>
    <row r="354" spans="2:12" s="103" customFormat="1" ht="18" outlineLevel="1" x14ac:dyDescent="0.25">
      <c r="B354" s="1002" t="s">
        <v>875</v>
      </c>
      <c r="C354" s="471" t="s">
        <v>277</v>
      </c>
      <c r="D354" s="472">
        <v>0.02</v>
      </c>
      <c r="E354" s="473">
        <v>0</v>
      </c>
      <c r="F354" s="473">
        <v>0.1</v>
      </c>
      <c r="G354" s="473" t="s">
        <v>1889</v>
      </c>
      <c r="H354" s="473">
        <v>3</v>
      </c>
      <c r="I354" s="1387"/>
      <c r="J354" s="1388"/>
    </row>
    <row r="355" spans="2:12" s="103" customFormat="1" ht="18" outlineLevel="1" x14ac:dyDescent="0.25">
      <c r="B355" s="2021" t="s">
        <v>4598</v>
      </c>
      <c r="C355" s="2022" t="s">
        <v>4599</v>
      </c>
      <c r="D355" s="2023">
        <v>0.02</v>
      </c>
      <c r="E355" s="2024">
        <v>0</v>
      </c>
      <c r="F355" s="2024">
        <v>0.1</v>
      </c>
      <c r="G355" s="2024" t="s">
        <v>4600</v>
      </c>
      <c r="H355" s="2024">
        <v>3</v>
      </c>
      <c r="I355" s="2025"/>
      <c r="J355" s="2026"/>
      <c r="K355" s="2601"/>
    </row>
    <row r="356" spans="2:12" s="103" customFormat="1" ht="18" outlineLevel="1" x14ac:dyDescent="0.25">
      <c r="B356" s="1002" t="s">
        <v>1057</v>
      </c>
      <c r="C356" s="471" t="s">
        <v>2589</v>
      </c>
      <c r="D356" s="1426">
        <v>2E-3</v>
      </c>
      <c r="E356" s="473">
        <v>0</v>
      </c>
      <c r="F356" s="473">
        <v>0.1</v>
      </c>
      <c r="G356" s="473" t="s">
        <v>1889</v>
      </c>
      <c r="H356" s="473">
        <v>3</v>
      </c>
      <c r="I356" s="1387"/>
      <c r="J356" s="1388" t="s">
        <v>4339</v>
      </c>
      <c r="K356" s="2601"/>
      <c r="L356" s="2601"/>
    </row>
    <row r="357" spans="2:12" s="103" customFormat="1" ht="18" outlineLevel="1" x14ac:dyDescent="0.25">
      <c r="B357" s="1002" t="s">
        <v>1058</v>
      </c>
      <c r="C357" s="471" t="s">
        <v>2590</v>
      </c>
      <c r="D357" s="1426">
        <v>2E-3</v>
      </c>
      <c r="E357" s="473">
        <v>0</v>
      </c>
      <c r="F357" s="473">
        <v>0.1</v>
      </c>
      <c r="G357" s="473" t="s">
        <v>1889</v>
      </c>
      <c r="H357" s="473">
        <v>3</v>
      </c>
      <c r="I357" s="1387"/>
      <c r="J357" s="1388" t="s">
        <v>4339</v>
      </c>
      <c r="K357" s="2601"/>
      <c r="L357" s="2601"/>
    </row>
    <row r="358" spans="2:12" s="103" customFormat="1" ht="18" outlineLevel="1" x14ac:dyDescent="0.25">
      <c r="B358" s="1002" t="s">
        <v>1059</v>
      </c>
      <c r="C358" s="471" t="s">
        <v>2591</v>
      </c>
      <c r="D358" s="472">
        <v>2E-3</v>
      </c>
      <c r="E358" s="473">
        <v>0</v>
      </c>
      <c r="F358" s="473">
        <v>0.1</v>
      </c>
      <c r="G358" s="473" t="s">
        <v>1889</v>
      </c>
      <c r="H358" s="473">
        <v>3</v>
      </c>
      <c r="I358" s="1387"/>
      <c r="J358" s="1388"/>
      <c r="K358" s="2601"/>
      <c r="L358" s="2601"/>
    </row>
    <row r="359" spans="2:12" s="103" customFormat="1" ht="18" outlineLevel="1" x14ac:dyDescent="0.25">
      <c r="B359" s="1002" t="s">
        <v>878</v>
      </c>
      <c r="C359" s="474" t="s">
        <v>2592</v>
      </c>
      <c r="D359" s="475">
        <v>0.12621410566683836</v>
      </c>
      <c r="E359" s="473">
        <v>0</v>
      </c>
      <c r="F359" s="473">
        <v>1</v>
      </c>
      <c r="G359" s="473" t="s">
        <v>1894</v>
      </c>
      <c r="H359" s="473">
        <v>2</v>
      </c>
      <c r="I359" s="1387"/>
      <c r="J359" s="1389" t="s">
        <v>1983</v>
      </c>
    </row>
    <row r="360" spans="2:12" s="103" customFormat="1" ht="18" outlineLevel="1" x14ac:dyDescent="0.25">
      <c r="B360" s="1002" t="s">
        <v>1366</v>
      </c>
      <c r="C360" s="474" t="s">
        <v>2593</v>
      </c>
      <c r="D360" s="475">
        <v>0.16206538757887573</v>
      </c>
      <c r="E360" s="473">
        <v>0</v>
      </c>
      <c r="F360" s="473">
        <v>1</v>
      </c>
      <c r="G360" s="473" t="s">
        <v>1894</v>
      </c>
      <c r="H360" s="473">
        <v>2</v>
      </c>
      <c r="I360" s="1387"/>
      <c r="J360" s="1389" t="s">
        <v>1984</v>
      </c>
    </row>
    <row r="361" spans="2:12" s="103" customFormat="1" ht="18" outlineLevel="1" x14ac:dyDescent="0.25">
      <c r="B361" s="1003" t="s">
        <v>3697</v>
      </c>
      <c r="C361" s="892" t="s">
        <v>3698</v>
      </c>
      <c r="D361" s="893">
        <v>0.179988070070871</v>
      </c>
      <c r="E361" s="894">
        <v>0</v>
      </c>
      <c r="F361" s="894">
        <v>1</v>
      </c>
      <c r="G361" s="894" t="s">
        <v>1894</v>
      </c>
      <c r="H361" s="894">
        <v>2</v>
      </c>
      <c r="I361" s="1390"/>
      <c r="J361" s="1391" t="s">
        <v>4435</v>
      </c>
    </row>
    <row r="362" spans="2:12" s="103" customFormat="1" ht="18" outlineLevel="1" x14ac:dyDescent="0.25">
      <c r="B362" s="1002" t="s">
        <v>1371</v>
      </c>
      <c r="C362" s="474" t="s">
        <v>2594</v>
      </c>
      <c r="D362" s="475">
        <v>0.1234998580474381</v>
      </c>
      <c r="E362" s="473">
        <v>0</v>
      </c>
      <c r="F362" s="473">
        <v>1</v>
      </c>
      <c r="G362" s="473" t="s">
        <v>1894</v>
      </c>
      <c r="H362" s="473">
        <v>2</v>
      </c>
      <c r="I362" s="1387"/>
      <c r="J362" s="1389" t="s">
        <v>1985</v>
      </c>
    </row>
    <row r="363" spans="2:12" s="103" customFormat="1" ht="18" outlineLevel="1" x14ac:dyDescent="0.25">
      <c r="B363" s="1004" t="s">
        <v>2581</v>
      </c>
      <c r="C363" s="469" t="s">
        <v>2596</v>
      </c>
      <c r="D363" s="470">
        <v>1.8</v>
      </c>
      <c r="E363" s="468">
        <v>0</v>
      </c>
      <c r="F363" s="468">
        <v>5</v>
      </c>
      <c r="G363" s="468" t="s">
        <v>1890</v>
      </c>
      <c r="H363" s="468">
        <v>2</v>
      </c>
      <c r="I363" s="1384" t="s">
        <v>2166</v>
      </c>
      <c r="J363" s="1385"/>
      <c r="K363" s="2601"/>
      <c r="L363" s="2601"/>
    </row>
    <row r="364" spans="2:12" s="103" customFormat="1" ht="18" outlineLevel="1" x14ac:dyDescent="0.25">
      <c r="B364" s="1004" t="s">
        <v>2582</v>
      </c>
      <c r="C364" s="469" t="s">
        <v>2597</v>
      </c>
      <c r="D364" s="470">
        <v>1.3</v>
      </c>
      <c r="E364" s="468">
        <v>0</v>
      </c>
      <c r="F364" s="468">
        <v>5</v>
      </c>
      <c r="G364" s="468" t="s">
        <v>1890</v>
      </c>
      <c r="H364" s="468">
        <v>2</v>
      </c>
      <c r="I364" s="1384" t="s">
        <v>3372</v>
      </c>
      <c r="J364" s="1385"/>
      <c r="K364" s="2601"/>
      <c r="L364" s="2601"/>
    </row>
    <row r="365" spans="2:12" s="103" customFormat="1" ht="18" outlineLevel="1" x14ac:dyDescent="0.25">
      <c r="B365" s="1004" t="s">
        <v>876</v>
      </c>
      <c r="C365" s="469" t="s">
        <v>2595</v>
      </c>
      <c r="D365" s="470">
        <v>1.42</v>
      </c>
      <c r="E365" s="468">
        <v>0</v>
      </c>
      <c r="F365" s="468">
        <v>5</v>
      </c>
      <c r="G365" s="468" t="s">
        <v>1890</v>
      </c>
      <c r="H365" s="468">
        <v>2</v>
      </c>
      <c r="I365" s="1384"/>
      <c r="J365" s="1385"/>
      <c r="K365" s="2601"/>
    </row>
    <row r="366" spans="2:12" s="103" customFormat="1" ht="18" outlineLevel="1" x14ac:dyDescent="0.25">
      <c r="B366" s="1004" t="s">
        <v>2583</v>
      </c>
      <c r="C366" s="469" t="s">
        <v>2604</v>
      </c>
      <c r="D366" s="470">
        <v>1.42</v>
      </c>
      <c r="E366" s="468">
        <v>0</v>
      </c>
      <c r="F366" s="468">
        <v>5</v>
      </c>
      <c r="G366" s="468" t="s">
        <v>1890</v>
      </c>
      <c r="H366" s="468">
        <v>2</v>
      </c>
      <c r="I366" s="1384"/>
      <c r="J366" s="1385"/>
      <c r="K366" s="2601"/>
      <c r="L366" s="2601"/>
    </row>
    <row r="367" spans="2:12" s="103" customFormat="1" ht="18" outlineLevel="1" x14ac:dyDescent="0.25">
      <c r="B367" s="1004" t="s">
        <v>1141</v>
      </c>
      <c r="C367" s="469" t="s">
        <v>2598</v>
      </c>
      <c r="D367" s="470">
        <v>1.0660000000000001</v>
      </c>
      <c r="E367" s="468">
        <v>0</v>
      </c>
      <c r="F367" s="468">
        <v>5</v>
      </c>
      <c r="G367" s="468" t="s">
        <v>1891</v>
      </c>
      <c r="H367" s="468">
        <v>2</v>
      </c>
      <c r="I367" s="1384"/>
      <c r="J367" s="1385"/>
      <c r="K367" s="2601"/>
      <c r="L367" s="2601"/>
    </row>
    <row r="368" spans="2:12" s="103" customFormat="1" ht="18" outlineLevel="1" x14ac:dyDescent="0.25">
      <c r="B368" s="1004" t="s">
        <v>1142</v>
      </c>
      <c r="C368" s="469" t="s">
        <v>2599</v>
      </c>
      <c r="D368" s="470">
        <v>1.0660000000000001</v>
      </c>
      <c r="E368" s="468">
        <v>0</v>
      </c>
      <c r="F368" s="468">
        <v>5</v>
      </c>
      <c r="G368" s="468" t="s">
        <v>1891</v>
      </c>
      <c r="H368" s="468">
        <v>2</v>
      </c>
      <c r="I368" s="1384"/>
      <c r="J368" s="1385"/>
      <c r="K368" s="2601"/>
      <c r="L368" s="2601"/>
    </row>
    <row r="369" spans="2:12" s="103" customFormat="1" ht="18" outlineLevel="1" x14ac:dyDescent="0.25">
      <c r="B369" s="1004" t="s">
        <v>1143</v>
      </c>
      <c r="C369" s="469" t="s">
        <v>2600</v>
      </c>
      <c r="D369" s="470">
        <v>0.92600000000000005</v>
      </c>
      <c r="E369" s="468">
        <v>0</v>
      </c>
      <c r="F369" s="468">
        <v>5</v>
      </c>
      <c r="G369" s="468" t="s">
        <v>1891</v>
      </c>
      <c r="H369" s="468">
        <v>2</v>
      </c>
      <c r="I369" s="1384"/>
      <c r="J369" s="1385"/>
      <c r="K369" s="2601"/>
      <c r="L369" s="2601"/>
    </row>
    <row r="370" spans="2:12" s="103" customFormat="1" ht="18" outlineLevel="1" x14ac:dyDescent="0.25">
      <c r="B370" s="1004" t="s">
        <v>1144</v>
      </c>
      <c r="C370" s="469" t="s">
        <v>2601</v>
      </c>
      <c r="D370" s="470">
        <v>1.8</v>
      </c>
      <c r="E370" s="468">
        <v>0</v>
      </c>
      <c r="F370" s="468">
        <v>5</v>
      </c>
      <c r="G370" s="468" t="s">
        <v>1891</v>
      </c>
      <c r="H370" s="468">
        <v>2</v>
      </c>
      <c r="I370" s="1384"/>
      <c r="J370" s="1385"/>
      <c r="K370" s="2601"/>
      <c r="L370" s="2601"/>
    </row>
    <row r="371" spans="2:12" s="103" customFormat="1" ht="18" outlineLevel="1" x14ac:dyDescent="0.25">
      <c r="B371" s="1004" t="s">
        <v>1145</v>
      </c>
      <c r="C371" s="469" t="s">
        <v>2602</v>
      </c>
      <c r="D371" s="470">
        <v>1.3</v>
      </c>
      <c r="E371" s="468">
        <v>0</v>
      </c>
      <c r="F371" s="468">
        <v>5</v>
      </c>
      <c r="G371" s="468" t="s">
        <v>1891</v>
      </c>
      <c r="H371" s="468">
        <v>2</v>
      </c>
      <c r="I371" s="1384"/>
      <c r="J371" s="1385"/>
      <c r="K371" s="2601"/>
      <c r="L371" s="2601"/>
    </row>
    <row r="372" spans="2:12" s="103" customFormat="1" ht="18" outlineLevel="1" x14ac:dyDescent="0.25">
      <c r="B372" s="1004" t="s">
        <v>877</v>
      </c>
      <c r="C372" s="469" t="s">
        <v>2603</v>
      </c>
      <c r="D372" s="470">
        <v>1.67</v>
      </c>
      <c r="E372" s="468">
        <v>0</v>
      </c>
      <c r="F372" s="468">
        <v>5</v>
      </c>
      <c r="G372" s="468" t="s">
        <v>1890</v>
      </c>
      <c r="H372" s="468">
        <v>2</v>
      </c>
      <c r="I372" s="1384"/>
      <c r="J372" s="1385"/>
      <c r="K372" s="2601"/>
      <c r="L372" s="2601"/>
    </row>
    <row r="373" spans="2:12" s="172" customFormat="1" ht="18" outlineLevel="1" x14ac:dyDescent="0.25">
      <c r="B373" s="1005" t="s">
        <v>1616</v>
      </c>
      <c r="C373" s="471" t="s">
        <v>2605</v>
      </c>
      <c r="D373" s="475">
        <v>0.35199999999999998</v>
      </c>
      <c r="E373" s="473">
        <v>0</v>
      </c>
      <c r="F373" s="473">
        <v>5</v>
      </c>
      <c r="G373" s="476" t="s">
        <v>1892</v>
      </c>
      <c r="H373" s="473">
        <v>2</v>
      </c>
      <c r="I373" s="1392"/>
      <c r="J373" s="1388" t="s">
        <v>1959</v>
      </c>
      <c r="K373" s="2602"/>
      <c r="L373" s="2602"/>
    </row>
    <row r="374" spans="2:12" s="172" customFormat="1" ht="18" outlineLevel="1" x14ac:dyDescent="0.25">
      <c r="B374" s="2027" t="s">
        <v>4601</v>
      </c>
      <c r="C374" s="2030" t="s">
        <v>4602</v>
      </c>
      <c r="D374" s="2031">
        <v>0.375</v>
      </c>
      <c r="E374" s="2024">
        <v>0</v>
      </c>
      <c r="F374" s="2024">
        <v>5</v>
      </c>
      <c r="G374" s="2028" t="s">
        <v>4603</v>
      </c>
      <c r="H374" s="2024">
        <v>2</v>
      </c>
      <c r="I374" s="2029"/>
      <c r="J374" s="2026" t="s">
        <v>4604</v>
      </c>
      <c r="K374" s="2602"/>
    </row>
    <row r="375" spans="2:12" s="172" customFormat="1" ht="18" outlineLevel="1" x14ac:dyDescent="0.25">
      <c r="B375" s="1005" t="s">
        <v>1954</v>
      </c>
      <c r="C375" s="471" t="s">
        <v>2606</v>
      </c>
      <c r="D375" s="475">
        <v>0.28599999999999998</v>
      </c>
      <c r="E375" s="473">
        <v>0</v>
      </c>
      <c r="F375" s="473">
        <v>5</v>
      </c>
      <c r="G375" s="476" t="s">
        <v>1892</v>
      </c>
      <c r="H375" s="473">
        <v>2</v>
      </c>
      <c r="I375" s="1392"/>
      <c r="J375" s="1388" t="s">
        <v>1959</v>
      </c>
      <c r="K375" s="2602"/>
      <c r="L375" s="2602"/>
    </row>
    <row r="376" spans="2:12" s="172" customFormat="1" ht="18" outlineLevel="1" x14ac:dyDescent="0.25">
      <c r="B376" s="2477" t="s">
        <v>5276</v>
      </c>
      <c r="C376" s="2478" t="s">
        <v>5277</v>
      </c>
      <c r="D376" s="2479">
        <v>0.28599999999999998</v>
      </c>
      <c r="E376" s="2480">
        <v>0</v>
      </c>
      <c r="F376" s="2480">
        <v>5</v>
      </c>
      <c r="G376" s="2481" t="s">
        <v>1892</v>
      </c>
      <c r="H376" s="2480">
        <v>2</v>
      </c>
      <c r="I376" s="2482"/>
      <c r="J376" s="2483" t="s">
        <v>1959</v>
      </c>
      <c r="K376" s="2602"/>
    </row>
    <row r="377" spans="2:12" s="172" customFormat="1" ht="18" outlineLevel="1" x14ac:dyDescent="0.25">
      <c r="B377" s="1005" t="s">
        <v>1955</v>
      </c>
      <c r="C377" s="471" t="s">
        <v>2607</v>
      </c>
      <c r="D377" s="475">
        <v>0.25</v>
      </c>
      <c r="E377" s="473">
        <v>0</v>
      </c>
      <c r="F377" s="473">
        <v>5</v>
      </c>
      <c r="G377" s="476" t="s">
        <v>1892</v>
      </c>
      <c r="H377" s="473">
        <v>2</v>
      </c>
      <c r="I377" s="1392"/>
      <c r="J377" s="1388" t="s">
        <v>2127</v>
      </c>
      <c r="K377" s="2602"/>
      <c r="L377" s="2602"/>
    </row>
    <row r="378" spans="2:12" s="172" customFormat="1" ht="18" outlineLevel="1" x14ac:dyDescent="0.25">
      <c r="B378" s="1005" t="s">
        <v>1952</v>
      </c>
      <c r="C378" s="471" t="s">
        <v>2608</v>
      </c>
      <c r="D378" s="475">
        <v>0.188</v>
      </c>
      <c r="E378" s="473">
        <v>0</v>
      </c>
      <c r="F378" s="473">
        <v>5</v>
      </c>
      <c r="G378" s="476" t="s">
        <v>1892</v>
      </c>
      <c r="H378" s="473">
        <v>2</v>
      </c>
      <c r="I378" s="1392"/>
      <c r="J378" s="1388" t="s">
        <v>1956</v>
      </c>
      <c r="K378" s="2602"/>
      <c r="L378" s="2602"/>
    </row>
    <row r="379" spans="2:12" s="172" customFormat="1" ht="18" outlineLevel="1" x14ac:dyDescent="0.25">
      <c r="B379" s="1005" t="s">
        <v>1953</v>
      </c>
      <c r="C379" s="471" t="s">
        <v>2609</v>
      </c>
      <c r="D379" s="475">
        <v>0.375</v>
      </c>
      <c r="E379" s="473">
        <v>0</v>
      </c>
      <c r="F379" s="473">
        <v>5</v>
      </c>
      <c r="G379" s="476" t="s">
        <v>1892</v>
      </c>
      <c r="H379" s="473">
        <v>2</v>
      </c>
      <c r="I379" s="1392"/>
      <c r="J379" s="1388" t="s">
        <v>1957</v>
      </c>
      <c r="K379" s="2602"/>
      <c r="L379" s="2602"/>
    </row>
    <row r="380" spans="2:12" s="172" customFormat="1" ht="18" outlineLevel="1" x14ac:dyDescent="0.25">
      <c r="B380" s="1005" t="s">
        <v>1958</v>
      </c>
      <c r="C380" s="477" t="s">
        <v>2610</v>
      </c>
      <c r="D380" s="478">
        <v>0.33300000000000002</v>
      </c>
      <c r="E380" s="473">
        <v>0</v>
      </c>
      <c r="F380" s="473">
        <v>5</v>
      </c>
      <c r="G380" s="476" t="s">
        <v>1892</v>
      </c>
      <c r="H380" s="473">
        <v>2</v>
      </c>
      <c r="I380" s="1392"/>
      <c r="J380" s="1388" t="s">
        <v>1960</v>
      </c>
      <c r="K380" s="2602"/>
      <c r="L380" s="2602"/>
    </row>
    <row r="381" spans="2:12" s="103" customFormat="1" ht="18" outlineLevel="1" x14ac:dyDescent="0.25">
      <c r="B381" s="1009" t="s">
        <v>2445</v>
      </c>
      <c r="C381" s="2522" t="s">
        <v>2611</v>
      </c>
      <c r="D381" s="2540">
        <v>0.11</v>
      </c>
      <c r="E381" s="2563">
        <v>0</v>
      </c>
      <c r="F381" s="2563">
        <v>1</v>
      </c>
      <c r="G381" s="2563" t="s">
        <v>2172</v>
      </c>
      <c r="H381" s="2563">
        <v>2</v>
      </c>
      <c r="I381" s="2580"/>
      <c r="J381" s="2585" t="s">
        <v>1060</v>
      </c>
    </row>
    <row r="382" spans="2:12" s="103" customFormat="1" ht="18" outlineLevel="1" x14ac:dyDescent="0.25">
      <c r="B382" s="1009" t="s">
        <v>1000</v>
      </c>
      <c r="C382" s="2522" t="s">
        <v>2612</v>
      </c>
      <c r="D382" s="2540">
        <v>0.1</v>
      </c>
      <c r="E382" s="2563">
        <v>0</v>
      </c>
      <c r="F382" s="2563">
        <v>1</v>
      </c>
      <c r="G382" s="2563" t="s">
        <v>1895</v>
      </c>
      <c r="H382" s="2563">
        <v>2</v>
      </c>
      <c r="I382" s="2580"/>
      <c r="J382" s="2585" t="s">
        <v>3603</v>
      </c>
    </row>
    <row r="383" spans="2:12" s="103" customFormat="1" ht="18" outlineLevel="1" x14ac:dyDescent="0.25">
      <c r="B383" s="1009" t="s">
        <v>1001</v>
      </c>
      <c r="C383" s="2522" t="s">
        <v>2613</v>
      </c>
      <c r="D383" s="2540">
        <v>0.35</v>
      </c>
      <c r="E383" s="2563">
        <v>0</v>
      </c>
      <c r="F383" s="2563">
        <v>1</v>
      </c>
      <c r="G383" s="2563" t="s">
        <v>1896</v>
      </c>
      <c r="H383" s="2563">
        <v>2</v>
      </c>
      <c r="I383" s="2580"/>
      <c r="J383" s="2585" t="s">
        <v>3604</v>
      </c>
    </row>
    <row r="384" spans="2:12" s="103" customFormat="1" ht="18" outlineLevel="1" x14ac:dyDescent="0.25">
      <c r="B384" s="1009" t="s">
        <v>1374</v>
      </c>
      <c r="C384" s="2522" t="s">
        <v>2614</v>
      </c>
      <c r="D384" s="2540">
        <v>0.1</v>
      </c>
      <c r="E384" s="2563">
        <v>0</v>
      </c>
      <c r="F384" s="2563">
        <v>1</v>
      </c>
      <c r="G384" s="2563" t="s">
        <v>1945</v>
      </c>
      <c r="H384" s="2563">
        <v>2</v>
      </c>
      <c r="I384" s="2580"/>
      <c r="J384" s="2585" t="s">
        <v>3605</v>
      </c>
    </row>
    <row r="385" spans="1:18" s="103" customFormat="1" ht="18" outlineLevel="1" x14ac:dyDescent="0.25">
      <c r="A385" s="104"/>
      <c r="B385" s="762" t="s">
        <v>1156</v>
      </c>
      <c r="C385" s="2525" t="s">
        <v>2615</v>
      </c>
      <c r="D385" s="2545">
        <f>A_MNa/(A_MNa+A_MCl)</f>
        <v>0.39337234346305527</v>
      </c>
      <c r="E385" s="2545">
        <v>0</v>
      </c>
      <c r="F385" s="2570">
        <v>1</v>
      </c>
      <c r="G385" s="2570" t="s">
        <v>1946</v>
      </c>
      <c r="H385" s="2570">
        <v>3</v>
      </c>
      <c r="I385" s="763"/>
      <c r="J385" s="1078"/>
      <c r="K385" s="104"/>
      <c r="L385" s="104"/>
      <c r="M385" s="104"/>
      <c r="N385" s="104"/>
      <c r="O385" s="104"/>
      <c r="P385" s="104"/>
    </row>
    <row r="386" spans="1:18" s="103" customFormat="1" ht="18" outlineLevel="1" x14ac:dyDescent="0.25">
      <c r="A386" s="104"/>
      <c r="B386" s="133" t="s">
        <v>3554</v>
      </c>
      <c r="C386" s="2526" t="s">
        <v>3555</v>
      </c>
      <c r="D386" s="2546">
        <v>0.05</v>
      </c>
      <c r="E386" s="2546">
        <v>0</v>
      </c>
      <c r="F386" s="2554">
        <v>0.14000000000000001</v>
      </c>
      <c r="G386" s="2554" t="s">
        <v>3556</v>
      </c>
      <c r="H386" s="2554">
        <v>3</v>
      </c>
      <c r="I386" s="1016"/>
      <c r="J386" s="2501"/>
      <c r="K386" s="104"/>
      <c r="L386" s="104"/>
      <c r="M386" s="104"/>
      <c r="N386" s="104"/>
      <c r="O386" s="104"/>
      <c r="P386" s="104"/>
    </row>
    <row r="387" spans="1:18" s="103" customFormat="1" ht="18" outlineLevel="1" x14ac:dyDescent="0.25">
      <c r="A387" s="104"/>
      <c r="B387" s="762" t="s">
        <v>3557</v>
      </c>
      <c r="C387" s="2525" t="s">
        <v>3558</v>
      </c>
      <c r="D387" s="2545">
        <v>0.05</v>
      </c>
      <c r="E387" s="2545">
        <v>0</v>
      </c>
      <c r="F387" s="2570">
        <v>0.15</v>
      </c>
      <c r="G387" s="2570" t="s">
        <v>3559</v>
      </c>
      <c r="H387" s="2570">
        <v>3</v>
      </c>
      <c r="I387" s="763"/>
      <c r="J387" s="1078"/>
      <c r="K387" s="104"/>
      <c r="L387" s="104"/>
      <c r="M387" s="104"/>
      <c r="N387" s="104"/>
      <c r="O387" s="104"/>
      <c r="P387" s="104"/>
    </row>
    <row r="388" spans="1:18" s="103" customFormat="1" ht="18.75" outlineLevel="1" thickBot="1" x14ac:dyDescent="0.3">
      <c r="A388" s="104"/>
      <c r="B388" s="2505" t="s">
        <v>3560</v>
      </c>
      <c r="C388" s="2527" t="s">
        <v>3561</v>
      </c>
      <c r="D388" s="2547">
        <v>0.5</v>
      </c>
      <c r="E388" s="2547">
        <v>0</v>
      </c>
      <c r="F388" s="2571">
        <v>1</v>
      </c>
      <c r="G388" s="2571" t="s">
        <v>282</v>
      </c>
      <c r="H388" s="2571">
        <v>2</v>
      </c>
      <c r="I388" s="2582"/>
      <c r="J388" s="2591"/>
      <c r="K388" s="104"/>
      <c r="L388" s="104"/>
      <c r="M388" s="104"/>
      <c r="N388" s="104"/>
      <c r="O388" s="104"/>
      <c r="P388" s="104"/>
    </row>
    <row r="389" spans="1:18" ht="15.75" thickBot="1" x14ac:dyDescent="0.3">
      <c r="C389" s="1012"/>
      <c r="D389" s="2548"/>
      <c r="E389" s="2543"/>
      <c r="F389" s="2543"/>
      <c r="G389" s="2543"/>
      <c r="H389" s="2543"/>
      <c r="I389" s="1012"/>
      <c r="J389" s="1007"/>
      <c r="K389" s="103"/>
      <c r="L389" s="103"/>
      <c r="M389" s="103"/>
      <c r="N389" s="103"/>
      <c r="O389" s="103"/>
      <c r="P389" s="103"/>
      <c r="Q389" s="103"/>
      <c r="R389" s="103"/>
    </row>
    <row r="390" spans="1:18" s="103" customFormat="1" ht="15.75" thickBot="1" x14ac:dyDescent="0.3">
      <c r="B390" s="113"/>
      <c r="C390" s="659" t="s">
        <v>3373</v>
      </c>
      <c r="D390" s="104" t="s">
        <v>315</v>
      </c>
      <c r="E390" s="104"/>
      <c r="F390" s="104"/>
      <c r="G390" s="104"/>
      <c r="H390" s="104"/>
      <c r="I390" s="113"/>
      <c r="J390" s="1007"/>
    </row>
    <row r="391" spans="1:18" s="116" customFormat="1" ht="15.75" thickBot="1" x14ac:dyDescent="0.3">
      <c r="B391" s="972" t="s">
        <v>0</v>
      </c>
      <c r="C391" s="1294" t="s">
        <v>1</v>
      </c>
      <c r="D391" s="434" t="s">
        <v>839</v>
      </c>
      <c r="E391" s="434" t="s">
        <v>470</v>
      </c>
      <c r="F391" s="434" t="s">
        <v>471</v>
      </c>
      <c r="G391" s="434" t="s">
        <v>2</v>
      </c>
      <c r="H391" s="434" t="s">
        <v>298</v>
      </c>
      <c r="I391" s="1322" t="s">
        <v>116</v>
      </c>
      <c r="J391" s="1331" t="s">
        <v>117</v>
      </c>
      <c r="K391" s="103"/>
      <c r="L391" s="103"/>
      <c r="M391" s="103" t="s">
        <v>2956</v>
      </c>
      <c r="N391" s="103" t="s">
        <v>2957</v>
      </c>
      <c r="O391" s="103"/>
      <c r="P391" s="103"/>
      <c r="Q391" s="103"/>
      <c r="R391" s="103"/>
    </row>
    <row r="392" spans="1:18" s="103" customFormat="1" ht="18" outlineLevel="1" x14ac:dyDescent="0.25">
      <c r="B392" s="2506" t="s">
        <v>2094</v>
      </c>
      <c r="C392" s="2528" t="s">
        <v>346</v>
      </c>
      <c r="D392" s="2549">
        <v>0.95</v>
      </c>
      <c r="E392" s="2564">
        <v>0</v>
      </c>
      <c r="F392" s="2564">
        <v>1</v>
      </c>
      <c r="G392" s="2575" t="s">
        <v>2924</v>
      </c>
      <c r="H392" s="2564">
        <v>2</v>
      </c>
      <c r="I392" s="2583"/>
      <c r="J392" s="2592"/>
      <c r="K392" s="2601"/>
      <c r="L392" s="2601"/>
    </row>
    <row r="393" spans="1:18" s="103" customFormat="1" ht="18" outlineLevel="1" x14ac:dyDescent="0.25">
      <c r="B393" s="2507" t="s">
        <v>2925</v>
      </c>
      <c r="C393" s="1014" t="s">
        <v>2926</v>
      </c>
      <c r="D393" s="2550">
        <v>0.9</v>
      </c>
      <c r="E393" s="2558">
        <v>0</v>
      </c>
      <c r="F393" s="2558">
        <v>1</v>
      </c>
      <c r="G393" s="2576" t="s">
        <v>1989</v>
      </c>
      <c r="H393" s="2558">
        <v>2</v>
      </c>
      <c r="I393" s="1019"/>
      <c r="J393" s="2593"/>
      <c r="K393" s="2601"/>
      <c r="L393" s="2601"/>
    </row>
    <row r="394" spans="1:18" s="103" customFormat="1" ht="18" outlineLevel="1" x14ac:dyDescent="0.25">
      <c r="B394" s="2507" t="s">
        <v>2927</v>
      </c>
      <c r="C394" s="1014" t="s">
        <v>2928</v>
      </c>
      <c r="D394" s="2550">
        <v>0.6</v>
      </c>
      <c r="E394" s="2558">
        <v>0</v>
      </c>
      <c r="F394" s="2558">
        <v>1</v>
      </c>
      <c r="G394" s="2576" t="s">
        <v>1989</v>
      </c>
      <c r="H394" s="2558">
        <v>2</v>
      </c>
      <c r="I394" s="1019"/>
      <c r="J394" s="2593"/>
      <c r="K394" s="2601"/>
      <c r="L394" s="2601"/>
    </row>
    <row r="395" spans="1:18" s="103" customFormat="1" ht="18.75" outlineLevel="1" thickBot="1" x14ac:dyDescent="0.3">
      <c r="B395" s="2508" t="s">
        <v>2929</v>
      </c>
      <c r="C395" s="744" t="s">
        <v>2930</v>
      </c>
      <c r="D395" s="2551">
        <v>0.5</v>
      </c>
      <c r="E395" s="2565">
        <v>0</v>
      </c>
      <c r="F395" s="2565">
        <v>1</v>
      </c>
      <c r="G395" s="2577" t="s">
        <v>1989</v>
      </c>
      <c r="H395" s="2565">
        <v>2</v>
      </c>
      <c r="I395" s="1046"/>
      <c r="J395" s="2594"/>
      <c r="K395" s="2601"/>
      <c r="L395" s="2601"/>
    </row>
    <row r="396" spans="1:18" ht="15.75" thickBot="1" x14ac:dyDescent="0.3">
      <c r="C396" s="1012"/>
      <c r="D396" s="2548"/>
      <c r="E396" s="2543"/>
      <c r="F396" s="2543"/>
      <c r="G396" s="2543"/>
      <c r="H396" s="2543"/>
      <c r="I396" s="1012"/>
      <c r="J396" s="1007"/>
      <c r="K396" s="103"/>
      <c r="L396" s="103"/>
      <c r="M396" s="103"/>
      <c r="N396" s="103"/>
      <c r="O396" s="103"/>
      <c r="P396" s="103"/>
      <c r="Q396" s="103"/>
      <c r="R396" s="103"/>
    </row>
    <row r="397" spans="1:18" s="103" customFormat="1" ht="15.75" thickBot="1" x14ac:dyDescent="0.3">
      <c r="B397" s="113"/>
      <c r="C397" s="144" t="s">
        <v>1986</v>
      </c>
      <c r="D397" s="104" t="s">
        <v>315</v>
      </c>
      <c r="E397" s="104"/>
      <c r="F397" s="104"/>
      <c r="G397" s="104"/>
      <c r="H397" s="104"/>
      <c r="I397" s="113"/>
      <c r="J397" s="1007"/>
    </row>
    <row r="398" spans="1:18" s="116" customFormat="1" ht="15.75" thickBot="1" x14ac:dyDescent="0.3">
      <c r="B398" s="972" t="s">
        <v>0</v>
      </c>
      <c r="C398" s="1294" t="s">
        <v>1</v>
      </c>
      <c r="D398" s="434" t="s">
        <v>839</v>
      </c>
      <c r="E398" s="434" t="s">
        <v>470</v>
      </c>
      <c r="F398" s="434" t="s">
        <v>471</v>
      </c>
      <c r="G398" s="434" t="s">
        <v>2</v>
      </c>
      <c r="H398" s="434" t="s">
        <v>298</v>
      </c>
      <c r="I398" s="1322" t="s">
        <v>116</v>
      </c>
      <c r="J398" s="1331" t="s">
        <v>117</v>
      </c>
      <c r="K398" s="103"/>
      <c r="L398" s="103"/>
      <c r="M398" s="103" t="s">
        <v>2956</v>
      </c>
      <c r="N398" s="103" t="s">
        <v>2957</v>
      </c>
      <c r="O398" s="103"/>
      <c r="P398" s="103"/>
      <c r="Q398" s="103"/>
      <c r="R398" s="103"/>
    </row>
    <row r="399" spans="1:18" s="103" customFormat="1" ht="18" outlineLevel="1" x14ac:dyDescent="0.25">
      <c r="B399" s="2509" t="s">
        <v>3865</v>
      </c>
      <c r="C399" s="2529" t="s">
        <v>881</v>
      </c>
      <c r="D399" s="2552">
        <v>1.2</v>
      </c>
      <c r="E399" s="2552">
        <v>0</v>
      </c>
      <c r="F399" s="2552" t="s">
        <v>1253</v>
      </c>
      <c r="G399" s="2578" t="s">
        <v>1897</v>
      </c>
      <c r="H399" s="2552">
        <v>1</v>
      </c>
      <c r="I399" s="2529"/>
      <c r="J399" s="2595"/>
      <c r="L399" s="2604" t="s">
        <v>3703</v>
      </c>
      <c r="M399" s="2605">
        <f>A_MP/A_MFe</f>
        <v>0.55463805533172172</v>
      </c>
      <c r="N399" s="2605">
        <f>A_MP/A_MAl</f>
        <v>1.1479629449808202</v>
      </c>
    </row>
    <row r="400" spans="1:18" s="103" customFormat="1" ht="18" outlineLevel="1" x14ac:dyDescent="0.25">
      <c r="B400" s="762" t="s">
        <v>3866</v>
      </c>
      <c r="C400" s="1015" t="s">
        <v>882</v>
      </c>
      <c r="D400" s="2553">
        <v>0.2</v>
      </c>
      <c r="E400" s="2553">
        <v>0</v>
      </c>
      <c r="F400" s="2553" t="s">
        <v>1253</v>
      </c>
      <c r="G400" s="2553" t="s">
        <v>1897</v>
      </c>
      <c r="H400" s="2553">
        <v>1</v>
      </c>
      <c r="I400" s="1015"/>
      <c r="J400" s="1077"/>
      <c r="L400" s="2604" t="s">
        <v>3706</v>
      </c>
      <c r="M400" s="2605">
        <f>(A_MFe+3*(A_MH+A_MO))/A_MFe</f>
        <v>1.9136363147998925</v>
      </c>
      <c r="N400" s="2605">
        <f>(A_MAl+3*(A_MH+A_MO))/A_MP</f>
        <v>2.5183740837269033</v>
      </c>
    </row>
    <row r="401" spans="1:18" s="103" customFormat="1" ht="18" outlineLevel="1" x14ac:dyDescent="0.25">
      <c r="B401" s="1011" t="s">
        <v>2950</v>
      </c>
      <c r="C401" s="1016" t="s">
        <v>2951</v>
      </c>
      <c r="D401" s="2554">
        <v>8.2900000000000001E-2</v>
      </c>
      <c r="E401" s="2554">
        <v>0</v>
      </c>
      <c r="F401" s="2554" t="s">
        <v>1253</v>
      </c>
      <c r="G401" s="2554" t="s">
        <v>2952</v>
      </c>
      <c r="H401" s="2554">
        <v>4</v>
      </c>
      <c r="I401" s="1016"/>
      <c r="J401" s="1081"/>
      <c r="L401" s="2604" t="s">
        <v>3710</v>
      </c>
      <c r="M401" s="2605">
        <f>(A_MFe+A_MP+4*A_MO)/A_MFe</f>
        <v>2.7006242671680543</v>
      </c>
      <c r="N401" s="2605">
        <f>(A_MAl+A_MP+4*A_MO)/A_MP</f>
        <v>3.9372957476893138</v>
      </c>
      <c r="O401" s="2608"/>
      <c r="P401" s="1007"/>
    </row>
    <row r="402" spans="1:18" s="103" customFormat="1" ht="18.75" outlineLevel="1" thickBot="1" x14ac:dyDescent="0.3">
      <c r="B402" s="802" t="s">
        <v>2953</v>
      </c>
      <c r="C402" s="2530" t="s">
        <v>2954</v>
      </c>
      <c r="D402" s="2555">
        <v>0.25286491566808916</v>
      </c>
      <c r="E402" s="2566">
        <v>0</v>
      </c>
      <c r="F402" s="2566" t="s">
        <v>1253</v>
      </c>
      <c r="G402" s="2566" t="s">
        <v>2952</v>
      </c>
      <c r="H402" s="2566">
        <v>4</v>
      </c>
      <c r="I402" s="2530"/>
      <c r="J402" s="2587" t="s">
        <v>4436</v>
      </c>
      <c r="L402" s="2604" t="s">
        <v>2958</v>
      </c>
      <c r="M402" s="2605">
        <f>3*(2*A_MH+A_MO)/(2*(A_MFe+3*(A_MH+A_MO)))</f>
        <v>0.25286491566808916</v>
      </c>
      <c r="N402" s="2605">
        <f>3*(2*A_MH+A_MO)/(2*(A_MAl+3*(A_MH+A_MO)))</f>
        <v>0.34643205845069558</v>
      </c>
      <c r="O402" s="2609" t="s">
        <v>2955</v>
      </c>
      <c r="P402" s="2609" t="s">
        <v>2959</v>
      </c>
    </row>
    <row r="403" spans="1:18" ht="15.75" thickBot="1" x14ac:dyDescent="0.3">
      <c r="C403" s="1012"/>
      <c r="D403" s="2548"/>
      <c r="E403" s="2543"/>
      <c r="F403" s="2543"/>
      <c r="G403" s="2543"/>
      <c r="H403" s="2543"/>
      <c r="I403" s="1012"/>
      <c r="J403" s="1007"/>
      <c r="K403" s="103"/>
      <c r="L403" s="2604" t="s">
        <v>2958</v>
      </c>
      <c r="M403" s="2606">
        <v>0.17</v>
      </c>
      <c r="N403" s="2607">
        <f>M403*(A_MFe+3*A_MH+3*A_MO)/(A_MAl+3*A_MH+3*A_MO)</f>
        <v>0.23290478942488754</v>
      </c>
      <c r="O403" s="1007" t="s">
        <v>2960</v>
      </c>
      <c r="P403" s="1007" t="s">
        <v>2961</v>
      </c>
      <c r="Q403" s="103"/>
      <c r="R403" s="103"/>
    </row>
    <row r="404" spans="1:18" s="103" customFormat="1" ht="15.75" thickBot="1" x14ac:dyDescent="0.3">
      <c r="B404" s="113"/>
      <c r="C404" s="865" t="s">
        <v>3699</v>
      </c>
      <c r="D404" s="104" t="s">
        <v>315</v>
      </c>
      <c r="E404" s="104"/>
      <c r="F404" s="104"/>
      <c r="G404" s="104"/>
      <c r="H404" s="104"/>
      <c r="I404" s="113"/>
      <c r="J404" s="1007"/>
      <c r="L404" s="2604" t="s">
        <v>2958</v>
      </c>
      <c r="M404" s="2607">
        <f>M402-M403</f>
        <v>8.2864915668089151E-2</v>
      </c>
      <c r="N404" s="2607">
        <f>N402-N403</f>
        <v>0.11352726902580804</v>
      </c>
      <c r="O404" s="1007" t="s">
        <v>4515</v>
      </c>
    </row>
    <row r="405" spans="1:18" s="116" customFormat="1" ht="15.75" thickBot="1" x14ac:dyDescent="0.3">
      <c r="B405" s="972" t="s">
        <v>0</v>
      </c>
      <c r="C405" s="1294" t="s">
        <v>1</v>
      </c>
      <c r="D405" s="434" t="s">
        <v>839</v>
      </c>
      <c r="E405" s="434" t="s">
        <v>470</v>
      </c>
      <c r="F405" s="434" t="s">
        <v>471</v>
      </c>
      <c r="G405" s="434" t="s">
        <v>2</v>
      </c>
      <c r="H405" s="434" t="s">
        <v>298</v>
      </c>
      <c r="I405" s="1322" t="s">
        <v>116</v>
      </c>
      <c r="J405" s="1331" t="s">
        <v>117</v>
      </c>
      <c r="K405" s="103"/>
      <c r="L405" s="103"/>
      <c r="M405" s="103"/>
      <c r="N405" s="103"/>
      <c r="O405" s="103"/>
      <c r="P405" s="103"/>
      <c r="Q405" s="103"/>
      <c r="R405" s="103"/>
    </row>
    <row r="406" spans="1:18" s="103" customFormat="1" ht="18" outlineLevel="1" x14ac:dyDescent="0.25">
      <c r="B406" s="866" t="s">
        <v>3700</v>
      </c>
      <c r="C406" s="895" t="s">
        <v>3701</v>
      </c>
      <c r="D406" s="870">
        <v>1</v>
      </c>
      <c r="E406" s="870">
        <v>0</v>
      </c>
      <c r="F406" s="870" t="s">
        <v>1253</v>
      </c>
      <c r="G406" s="870" t="s">
        <v>3702</v>
      </c>
      <c r="H406" s="870">
        <v>1</v>
      </c>
      <c r="I406" s="895"/>
      <c r="J406" s="871"/>
      <c r="O406" s="449"/>
      <c r="P406" s="449"/>
    </row>
    <row r="407" spans="1:18" s="103" customFormat="1" ht="18" outlineLevel="1" x14ac:dyDescent="0.25">
      <c r="B407" s="716" t="s">
        <v>3704</v>
      </c>
      <c r="C407" s="896" t="s">
        <v>3705</v>
      </c>
      <c r="D407" s="874">
        <v>0.1</v>
      </c>
      <c r="E407" s="874">
        <v>0</v>
      </c>
      <c r="F407" s="874" t="s">
        <v>1253</v>
      </c>
      <c r="G407" s="874" t="s">
        <v>3702</v>
      </c>
      <c r="H407" s="874">
        <v>1</v>
      </c>
      <c r="I407" s="896"/>
      <c r="J407" s="877"/>
      <c r="O407" s="449"/>
      <c r="P407" s="449"/>
    </row>
    <row r="408" spans="1:18" s="103" customFormat="1" ht="18" outlineLevel="1" x14ac:dyDescent="0.25">
      <c r="B408" s="897" t="s">
        <v>3707</v>
      </c>
      <c r="C408" s="898" t="s">
        <v>3708</v>
      </c>
      <c r="D408" s="1840">
        <v>0.1135</v>
      </c>
      <c r="E408" s="899">
        <v>0</v>
      </c>
      <c r="F408" s="899" t="s">
        <v>1253</v>
      </c>
      <c r="G408" s="899" t="s">
        <v>3709</v>
      </c>
      <c r="H408" s="899">
        <v>4</v>
      </c>
      <c r="I408" s="898"/>
      <c r="J408" s="1393"/>
      <c r="O408" s="449"/>
      <c r="P408" s="900"/>
    </row>
    <row r="409" spans="1:18" s="103" customFormat="1" ht="18.75" outlineLevel="1" thickBot="1" x14ac:dyDescent="0.3">
      <c r="B409" s="881" t="s">
        <v>3711</v>
      </c>
      <c r="C409" s="901" t="s">
        <v>3712</v>
      </c>
      <c r="D409" s="1841">
        <v>0.34643205845069558</v>
      </c>
      <c r="E409" s="885">
        <v>0</v>
      </c>
      <c r="F409" s="885" t="s">
        <v>1253</v>
      </c>
      <c r="G409" s="885" t="s">
        <v>3709</v>
      </c>
      <c r="H409" s="885">
        <v>4</v>
      </c>
      <c r="I409" s="901"/>
      <c r="J409" s="886" t="s">
        <v>3713</v>
      </c>
      <c r="O409" s="902"/>
      <c r="P409" s="900"/>
    </row>
    <row r="410" spans="1:18" s="103" customFormat="1" ht="15.75" thickBot="1" x14ac:dyDescent="0.3">
      <c r="B410" s="2502"/>
      <c r="C410" s="1012"/>
      <c r="D410" s="2536"/>
      <c r="E410" s="2543"/>
      <c r="F410" s="2543"/>
      <c r="G410" s="2543"/>
      <c r="H410" s="2543"/>
      <c r="I410" s="1012"/>
      <c r="J410" s="1007"/>
    </row>
    <row r="411" spans="1:18" s="103" customFormat="1" ht="15.75" thickBot="1" x14ac:dyDescent="0.3">
      <c r="B411" s="113"/>
      <c r="C411" s="144" t="s">
        <v>1252</v>
      </c>
      <c r="D411" s="104" t="s">
        <v>299</v>
      </c>
      <c r="E411" s="104"/>
      <c r="F411" s="104"/>
      <c r="G411" s="104"/>
      <c r="H411" s="104"/>
      <c r="I411" s="113"/>
      <c r="J411" s="1007"/>
    </row>
    <row r="412" spans="1:18" s="103" customFormat="1" ht="15.75" thickBot="1" x14ac:dyDescent="0.3">
      <c r="B412" s="1006" t="s">
        <v>0</v>
      </c>
      <c r="C412" s="1295" t="s">
        <v>1</v>
      </c>
      <c r="D412" s="264" t="s">
        <v>839</v>
      </c>
      <c r="E412" s="264" t="s">
        <v>470</v>
      </c>
      <c r="F412" s="264" t="s">
        <v>471</v>
      </c>
      <c r="G412" s="264" t="s">
        <v>2</v>
      </c>
      <c r="H412" s="264" t="s">
        <v>298</v>
      </c>
      <c r="I412" s="1295" t="s">
        <v>116</v>
      </c>
      <c r="J412" s="1394" t="s">
        <v>117</v>
      </c>
    </row>
    <row r="413" spans="1:18" s="103" customFormat="1" ht="18" outlineLevel="1" x14ac:dyDescent="0.35">
      <c r="B413" s="2510" t="s">
        <v>3507</v>
      </c>
      <c r="C413" s="1017" t="s">
        <v>3505</v>
      </c>
      <c r="D413" s="2556">
        <v>13</v>
      </c>
      <c r="E413" s="2556">
        <v>0</v>
      </c>
      <c r="F413" s="2556" t="s">
        <v>1253</v>
      </c>
      <c r="G413" s="2556" t="s">
        <v>3140</v>
      </c>
      <c r="H413" s="2556">
        <v>2</v>
      </c>
      <c r="I413" s="1017"/>
      <c r="J413" s="2596"/>
    </row>
    <row r="414" spans="1:18" s="103" customFormat="1" ht="18" outlineLevel="1" x14ac:dyDescent="0.35">
      <c r="B414" s="2511" t="s">
        <v>3508</v>
      </c>
      <c r="C414" s="1018" t="s">
        <v>3506</v>
      </c>
      <c r="D414" s="2557">
        <v>7.6</v>
      </c>
      <c r="E414" s="2557">
        <v>0</v>
      </c>
      <c r="F414" s="2557" t="s">
        <v>1253</v>
      </c>
      <c r="G414" s="2557" t="s">
        <v>3140</v>
      </c>
      <c r="H414" s="2557">
        <v>2</v>
      </c>
      <c r="I414" s="1018"/>
      <c r="J414" s="2593"/>
    </row>
    <row r="415" spans="1:18" s="103" customFormat="1" ht="18" outlineLevel="1" x14ac:dyDescent="0.35">
      <c r="A415" s="103" t="s">
        <v>3492</v>
      </c>
      <c r="B415" s="2512" t="s">
        <v>4605</v>
      </c>
      <c r="C415" s="1854" t="s">
        <v>4606</v>
      </c>
      <c r="D415" s="1857">
        <f>7.6 * 0.03</f>
        <v>0.22799999999999998</v>
      </c>
      <c r="E415" s="1857">
        <v>0</v>
      </c>
      <c r="F415" s="1857" t="s">
        <v>1253</v>
      </c>
      <c r="G415" s="1857" t="s">
        <v>3140</v>
      </c>
      <c r="H415" s="1857">
        <v>2</v>
      </c>
      <c r="I415" s="1014"/>
      <c r="J415" s="2590"/>
    </row>
    <row r="416" spans="1:18" s="103" customFormat="1" ht="18" outlineLevel="1" x14ac:dyDescent="0.25">
      <c r="B416" s="2513" t="s">
        <v>3294</v>
      </c>
      <c r="C416" s="2531" t="s">
        <v>2619</v>
      </c>
      <c r="D416" s="2544">
        <v>1</v>
      </c>
      <c r="E416" s="2544">
        <v>0</v>
      </c>
      <c r="F416" s="2544" t="s">
        <v>1253</v>
      </c>
      <c r="G416" s="2544" t="s">
        <v>282</v>
      </c>
      <c r="H416" s="2544">
        <v>2</v>
      </c>
      <c r="I416" s="2531"/>
      <c r="J416" s="2590"/>
    </row>
    <row r="417" spans="2:10" s="103" customFormat="1" ht="18" outlineLevel="1" x14ac:dyDescent="0.25">
      <c r="B417" s="2514" t="s">
        <v>3295</v>
      </c>
      <c r="C417" s="1019" t="s">
        <v>2620</v>
      </c>
      <c r="D417" s="2558">
        <v>1</v>
      </c>
      <c r="E417" s="2544">
        <v>0</v>
      </c>
      <c r="F417" s="2544" t="s">
        <v>1253</v>
      </c>
      <c r="G417" s="2558" t="s">
        <v>282</v>
      </c>
      <c r="H417" s="2558">
        <v>2</v>
      </c>
      <c r="I417" s="1019"/>
      <c r="J417" s="2597"/>
    </row>
    <row r="418" spans="2:10" s="103" customFormat="1" ht="18" outlineLevel="1" x14ac:dyDescent="0.25">
      <c r="B418" s="2514" t="s">
        <v>3296</v>
      </c>
      <c r="C418" s="1019" t="s">
        <v>2621</v>
      </c>
      <c r="D418" s="2558">
        <v>1</v>
      </c>
      <c r="E418" s="2544">
        <v>0</v>
      </c>
      <c r="F418" s="2544" t="s">
        <v>1253</v>
      </c>
      <c r="G418" s="2558" t="s">
        <v>282</v>
      </c>
      <c r="H418" s="2558">
        <v>2</v>
      </c>
      <c r="I418" s="1019"/>
      <c r="J418" s="2597"/>
    </row>
    <row r="419" spans="2:10" s="103" customFormat="1" ht="18" outlineLevel="1" x14ac:dyDescent="0.25">
      <c r="B419" s="2514" t="s">
        <v>3297</v>
      </c>
      <c r="C419" s="1019" t="s">
        <v>2622</v>
      </c>
      <c r="D419" s="2558">
        <v>1</v>
      </c>
      <c r="E419" s="2567">
        <v>0</v>
      </c>
      <c r="F419" s="2544" t="s">
        <v>1253</v>
      </c>
      <c r="G419" s="2558" t="s">
        <v>282</v>
      </c>
      <c r="H419" s="2558">
        <v>2</v>
      </c>
      <c r="I419" s="1019"/>
      <c r="J419" s="2597"/>
    </row>
    <row r="420" spans="2:10" s="103" customFormat="1" ht="18" outlineLevel="1" x14ac:dyDescent="0.25">
      <c r="B420" s="2515" t="s">
        <v>3298</v>
      </c>
      <c r="C420" s="2532" t="s">
        <v>2623</v>
      </c>
      <c r="D420" s="2559">
        <v>0.05</v>
      </c>
      <c r="E420" s="2559">
        <v>0</v>
      </c>
      <c r="F420" s="2559" t="s">
        <v>1253</v>
      </c>
      <c r="G420" s="2559" t="s">
        <v>282</v>
      </c>
      <c r="H420" s="2559">
        <v>2</v>
      </c>
      <c r="I420" s="2532"/>
      <c r="J420" s="2598" t="s">
        <v>3299</v>
      </c>
    </row>
    <row r="421" spans="2:10" ht="18" outlineLevel="1" x14ac:dyDescent="0.25">
      <c r="B421" s="2516" t="s">
        <v>4051</v>
      </c>
      <c r="C421" s="1854" t="s">
        <v>4465</v>
      </c>
      <c r="D421" s="1857">
        <v>1.4E-3</v>
      </c>
      <c r="E421" s="1857">
        <v>0</v>
      </c>
      <c r="F421" s="1857" t="s">
        <v>1253</v>
      </c>
      <c r="G421" s="1857" t="s">
        <v>4052</v>
      </c>
      <c r="H421" s="1857">
        <v>4</v>
      </c>
      <c r="I421" s="1857"/>
      <c r="J421" s="1859"/>
    </row>
    <row r="422" spans="2:10" ht="18" outlineLevel="1" x14ac:dyDescent="0.25">
      <c r="B422" s="2516" t="s">
        <v>4053</v>
      </c>
      <c r="C422" s="1854" t="s">
        <v>4466</v>
      </c>
      <c r="D422" s="1857">
        <v>1</v>
      </c>
      <c r="E422" s="1857">
        <v>0</v>
      </c>
      <c r="F422" s="1857">
        <v>1</v>
      </c>
      <c r="G422" s="1857" t="s">
        <v>1989</v>
      </c>
      <c r="H422" s="1857">
        <v>1</v>
      </c>
      <c r="I422" s="1857"/>
      <c r="J422" s="1859"/>
    </row>
    <row r="423" spans="2:10" ht="18" outlineLevel="1" x14ac:dyDescent="0.25">
      <c r="B423" s="2516" t="s">
        <v>4467</v>
      </c>
      <c r="C423" s="1854" t="s">
        <v>4468</v>
      </c>
      <c r="D423" s="1857">
        <v>0.05</v>
      </c>
      <c r="E423" s="1857">
        <v>0</v>
      </c>
      <c r="F423" s="1857" t="s">
        <v>1253</v>
      </c>
      <c r="G423" s="1858" t="s">
        <v>2168</v>
      </c>
      <c r="H423" s="1857">
        <v>2</v>
      </c>
      <c r="I423" s="1857"/>
      <c r="J423" s="1859"/>
    </row>
    <row r="424" spans="2:10" ht="18" outlineLevel="1" x14ac:dyDescent="0.25">
      <c r="B424" s="2516" t="s">
        <v>4469</v>
      </c>
      <c r="C424" s="1854" t="s">
        <v>4470</v>
      </c>
      <c r="D424" s="1857">
        <v>2.5</v>
      </c>
      <c r="E424" s="1857">
        <v>0</v>
      </c>
      <c r="F424" s="1857" t="s">
        <v>1253</v>
      </c>
      <c r="G424" s="1857" t="s">
        <v>1989</v>
      </c>
      <c r="H424" s="1857">
        <v>1</v>
      </c>
      <c r="I424" s="1857"/>
      <c r="J424" s="1859"/>
    </row>
    <row r="425" spans="2:10" ht="18" outlineLevel="1" x14ac:dyDescent="0.25">
      <c r="B425" s="2516" t="s">
        <v>4054</v>
      </c>
      <c r="C425" s="1854" t="s">
        <v>4471</v>
      </c>
      <c r="D425" s="1857">
        <v>4.2</v>
      </c>
      <c r="E425" s="1857">
        <v>0</v>
      </c>
      <c r="F425" s="1857" t="s">
        <v>1253</v>
      </c>
      <c r="G425" s="1857" t="s">
        <v>1989</v>
      </c>
      <c r="H425" s="1857">
        <v>1</v>
      </c>
      <c r="I425" s="1857"/>
      <c r="J425" s="1859"/>
    </row>
    <row r="426" spans="2:10" ht="18" outlineLevel="1" x14ac:dyDescent="0.25">
      <c r="B426" s="2516" t="s">
        <v>4055</v>
      </c>
      <c r="C426" s="1854" t="s">
        <v>4472</v>
      </c>
      <c r="D426" s="1857">
        <v>7.3</v>
      </c>
      <c r="E426" s="1857">
        <v>0</v>
      </c>
      <c r="F426" s="1857" t="s">
        <v>1253</v>
      </c>
      <c r="G426" s="1857" t="s">
        <v>1989</v>
      </c>
      <c r="H426" s="1857">
        <v>1</v>
      </c>
      <c r="I426" s="1857"/>
      <c r="J426" s="1859"/>
    </row>
    <row r="427" spans="2:10" ht="18" outlineLevel="1" x14ac:dyDescent="0.25">
      <c r="B427" s="2516" t="s">
        <v>4473</v>
      </c>
      <c r="C427" s="1854" t="s">
        <v>4474</v>
      </c>
      <c r="D427" s="1857">
        <v>-0.28999999999999998</v>
      </c>
      <c r="E427" s="2568" t="s">
        <v>2180</v>
      </c>
      <c r="F427" s="1857" t="s">
        <v>1253</v>
      </c>
      <c r="G427" s="1857" t="s">
        <v>4475</v>
      </c>
      <c r="H427" s="1857">
        <v>2</v>
      </c>
      <c r="I427" s="1857"/>
      <c r="J427" s="1859"/>
    </row>
    <row r="428" spans="2:10" ht="18" outlineLevel="1" x14ac:dyDescent="0.25">
      <c r="B428" s="2516" t="s">
        <v>4056</v>
      </c>
      <c r="C428" s="1854" t="s">
        <v>4476</v>
      </c>
      <c r="D428" s="1857">
        <v>-7.1099999999999997E-2</v>
      </c>
      <c r="E428" s="2568" t="s">
        <v>2180</v>
      </c>
      <c r="F428" s="1857" t="s">
        <v>1253</v>
      </c>
      <c r="G428" s="1857" t="s">
        <v>4477</v>
      </c>
      <c r="H428" s="1857">
        <v>4</v>
      </c>
      <c r="I428" s="1857"/>
      <c r="J428" s="1859"/>
    </row>
    <row r="429" spans="2:10" ht="18" outlineLevel="1" x14ac:dyDescent="0.25">
      <c r="B429" s="2516" t="s">
        <v>4057</v>
      </c>
      <c r="C429" s="1854" t="s">
        <v>4478</v>
      </c>
      <c r="D429" s="1857">
        <v>-4.7399999999999998E-2</v>
      </c>
      <c r="E429" s="2568" t="s">
        <v>2180</v>
      </c>
      <c r="F429" s="1857" t="s">
        <v>1253</v>
      </c>
      <c r="G429" s="1857" t="s">
        <v>4479</v>
      </c>
      <c r="H429" s="1857">
        <v>4</v>
      </c>
      <c r="I429" s="1857"/>
      <c r="J429" s="1859"/>
    </row>
    <row r="430" spans="2:10" ht="18" outlineLevel="1" x14ac:dyDescent="0.25">
      <c r="B430" s="2516" t="s">
        <v>4058</v>
      </c>
      <c r="C430" s="1854" t="s">
        <v>4480</v>
      </c>
      <c r="D430" s="1857">
        <v>-7.8700000000000005E-4</v>
      </c>
      <c r="E430" s="2568" t="s">
        <v>2180</v>
      </c>
      <c r="F430" s="1857" t="s">
        <v>1253</v>
      </c>
      <c r="G430" s="1857" t="s">
        <v>4481</v>
      </c>
      <c r="H430" s="1857">
        <v>6</v>
      </c>
      <c r="I430" s="1857"/>
      <c r="J430" s="1859"/>
    </row>
    <row r="431" spans="2:10" ht="18" outlineLevel="1" x14ac:dyDescent="0.25">
      <c r="B431" s="2516" t="s">
        <v>4059</v>
      </c>
      <c r="C431" s="1854" t="s">
        <v>4482</v>
      </c>
      <c r="D431" s="1857">
        <v>2.3199999999999998E-2</v>
      </c>
      <c r="E431" s="2568" t="s">
        <v>2180</v>
      </c>
      <c r="F431" s="1857" t="s">
        <v>1253</v>
      </c>
      <c r="G431" s="1857" t="s">
        <v>4479</v>
      </c>
      <c r="H431" s="1857">
        <v>4</v>
      </c>
      <c r="I431" s="1857"/>
      <c r="J431" s="1859"/>
    </row>
    <row r="432" spans="2:10" ht="18.75" outlineLevel="1" thickBot="1" x14ac:dyDescent="0.3">
      <c r="B432" s="2517" t="s">
        <v>4060</v>
      </c>
      <c r="C432" s="2533" t="s">
        <v>4483</v>
      </c>
      <c r="D432" s="2560">
        <v>0.877</v>
      </c>
      <c r="E432" s="2560">
        <v>0</v>
      </c>
      <c r="F432" s="2560" t="s">
        <v>1253</v>
      </c>
      <c r="G432" s="2560" t="s">
        <v>1989</v>
      </c>
      <c r="H432" s="2560">
        <v>3</v>
      </c>
      <c r="I432" s="2560"/>
      <c r="J432" s="2599"/>
    </row>
    <row r="433" spans="1:18" ht="15.75" thickBot="1" x14ac:dyDescent="0.3">
      <c r="C433" s="140"/>
      <c r="I433" s="104"/>
      <c r="J433" s="104"/>
    </row>
    <row r="434" spans="1:18" ht="15.75" thickBot="1" x14ac:dyDescent="0.3">
      <c r="C434" s="410" t="s">
        <v>2137</v>
      </c>
      <c r="D434" s="104" t="s">
        <v>299</v>
      </c>
      <c r="J434" s="1007"/>
    </row>
    <row r="435" spans="1:18" s="116" customFormat="1" ht="15.75" thickBot="1" x14ac:dyDescent="0.3">
      <c r="B435" s="972" t="s">
        <v>0</v>
      </c>
      <c r="C435" s="1294" t="s">
        <v>1</v>
      </c>
      <c r="D435" s="434" t="s">
        <v>839</v>
      </c>
      <c r="E435" s="434" t="s">
        <v>470</v>
      </c>
      <c r="F435" s="434" t="s">
        <v>471</v>
      </c>
      <c r="G435" s="434" t="s">
        <v>2</v>
      </c>
      <c r="H435" s="434" t="s">
        <v>298</v>
      </c>
      <c r="I435" s="1322" t="s">
        <v>116</v>
      </c>
      <c r="J435" s="1331" t="s">
        <v>117</v>
      </c>
      <c r="K435" s="103"/>
      <c r="L435" s="103"/>
      <c r="M435" s="103"/>
      <c r="N435" s="103"/>
      <c r="O435" s="103"/>
      <c r="P435" s="103"/>
      <c r="Q435" s="103"/>
      <c r="R435" s="103"/>
    </row>
    <row r="436" spans="1:18" ht="18" outlineLevel="1" x14ac:dyDescent="0.25">
      <c r="B436" s="2518" t="s">
        <v>2138</v>
      </c>
      <c r="C436" s="2534" t="s">
        <v>2139</v>
      </c>
      <c r="D436" s="2561">
        <v>-300</v>
      </c>
      <c r="E436" s="2561" t="s">
        <v>2180</v>
      </c>
      <c r="F436" s="2561" t="s">
        <v>1253</v>
      </c>
      <c r="G436" s="2561" t="s">
        <v>2140</v>
      </c>
      <c r="H436" s="2561">
        <v>1</v>
      </c>
      <c r="I436" s="2534"/>
      <c r="J436" s="2600"/>
    </row>
    <row r="437" spans="1:18" ht="18" outlineLevel="1" x14ac:dyDescent="0.25">
      <c r="B437" s="1009" t="s">
        <v>2173</v>
      </c>
      <c r="C437" s="81" t="s">
        <v>2174</v>
      </c>
      <c r="D437" s="91">
        <v>300</v>
      </c>
      <c r="E437" s="91">
        <v>0</v>
      </c>
      <c r="F437" s="91" t="s">
        <v>1253</v>
      </c>
      <c r="G437" s="91" t="s">
        <v>2140</v>
      </c>
      <c r="H437" s="91">
        <v>1</v>
      </c>
      <c r="I437" s="81"/>
      <c r="J437" s="1082"/>
    </row>
    <row r="438" spans="1:18" ht="18" outlineLevel="1" x14ac:dyDescent="0.25">
      <c r="B438" s="1009" t="s">
        <v>2175</v>
      </c>
      <c r="C438" s="81" t="s">
        <v>2176</v>
      </c>
      <c r="D438" s="91">
        <v>70</v>
      </c>
      <c r="E438" s="91">
        <v>0</v>
      </c>
      <c r="F438" s="91" t="s">
        <v>1253</v>
      </c>
      <c r="G438" s="91" t="s">
        <v>2140</v>
      </c>
      <c r="H438" s="91">
        <v>1</v>
      </c>
      <c r="I438" s="81"/>
      <c r="J438" s="1082"/>
    </row>
    <row r="439" spans="1:18" ht="18" outlineLevel="1" x14ac:dyDescent="0.25">
      <c r="B439" s="1009" t="s">
        <v>2141</v>
      </c>
      <c r="C439" s="81" t="s">
        <v>2142</v>
      </c>
      <c r="D439" s="91">
        <v>0.05</v>
      </c>
      <c r="E439" s="91">
        <v>0</v>
      </c>
      <c r="F439" s="91" t="s">
        <v>1253</v>
      </c>
      <c r="G439" s="91" t="s">
        <v>2168</v>
      </c>
      <c r="H439" s="91">
        <v>1</v>
      </c>
      <c r="I439" s="81"/>
      <c r="J439" s="1082"/>
    </row>
    <row r="440" spans="1:18" ht="18" outlineLevel="1" x14ac:dyDescent="0.25">
      <c r="B440" s="1009" t="s">
        <v>2143</v>
      </c>
      <c r="C440" s="81" t="s">
        <v>2144</v>
      </c>
      <c r="D440" s="91">
        <v>0.1</v>
      </c>
      <c r="E440" s="91">
        <v>0</v>
      </c>
      <c r="F440" s="91" t="s">
        <v>1253</v>
      </c>
      <c r="G440" s="91" t="s">
        <v>884</v>
      </c>
      <c r="H440" s="91">
        <v>1</v>
      </c>
      <c r="I440" s="81"/>
      <c r="J440" s="1082"/>
    </row>
    <row r="441" spans="1:18" ht="18.75" outlineLevel="1" thickBot="1" x14ac:dyDescent="0.3">
      <c r="B441" s="2627" t="s">
        <v>5379</v>
      </c>
      <c r="C441" s="2322" t="s">
        <v>5380</v>
      </c>
      <c r="D441" s="2628">
        <v>0.05</v>
      </c>
      <c r="E441" s="2628">
        <v>0</v>
      </c>
      <c r="F441" s="2628" t="s">
        <v>1253</v>
      </c>
      <c r="G441" s="2628" t="s">
        <v>1180</v>
      </c>
      <c r="H441" s="2628"/>
      <c r="I441" s="2322"/>
      <c r="J441" s="2629"/>
    </row>
    <row r="442" spans="1:18" ht="15.75" thickBot="1" x14ac:dyDescent="0.3"/>
    <row r="443" spans="1:18" ht="15.75" thickBot="1" x14ac:dyDescent="0.3">
      <c r="A443" s="103"/>
      <c r="C443" s="2119" t="s">
        <v>4781</v>
      </c>
      <c r="D443" s="104" t="s">
        <v>317</v>
      </c>
      <c r="J443" s="1007"/>
    </row>
    <row r="444" spans="1:18" s="103" customFormat="1" ht="15.75" thickBot="1" x14ac:dyDescent="0.3">
      <c r="B444" s="2165" t="s">
        <v>0</v>
      </c>
      <c r="C444" s="2166" t="s">
        <v>1</v>
      </c>
      <c r="D444" s="2167" t="s">
        <v>839</v>
      </c>
      <c r="E444" s="2167" t="s">
        <v>470</v>
      </c>
      <c r="F444" s="2167" t="s">
        <v>471</v>
      </c>
      <c r="G444" s="2167" t="s">
        <v>2</v>
      </c>
      <c r="H444" s="2167" t="s">
        <v>298</v>
      </c>
      <c r="I444" s="2166" t="s">
        <v>116</v>
      </c>
      <c r="J444" s="2168" t="s">
        <v>117</v>
      </c>
    </row>
    <row r="445" spans="1:18" s="113" customFormat="1" ht="18.75" outlineLevel="1" thickBot="1" x14ac:dyDescent="0.3">
      <c r="B445" s="2169" t="s">
        <v>3356</v>
      </c>
      <c r="C445" s="2170" t="s">
        <v>3357</v>
      </c>
      <c r="D445" s="2171">
        <v>7</v>
      </c>
      <c r="E445" s="2172">
        <v>0</v>
      </c>
      <c r="F445" s="2172">
        <v>14</v>
      </c>
      <c r="G445" s="2171" t="s">
        <v>377</v>
      </c>
      <c r="H445" s="2173">
        <v>1</v>
      </c>
      <c r="I445" s="2170"/>
      <c r="J445" s="2174" t="s">
        <v>4782</v>
      </c>
    </row>
    <row r="446" spans="1:18" s="113" customFormat="1" ht="18" outlineLevel="1" x14ac:dyDescent="0.25">
      <c r="B446" s="2169" t="s">
        <v>4323</v>
      </c>
      <c r="C446" s="2170" t="s">
        <v>4335</v>
      </c>
      <c r="D446" s="2171">
        <v>0.02</v>
      </c>
      <c r="E446" s="2172">
        <v>0</v>
      </c>
      <c r="F446" s="2172" t="s">
        <v>1253</v>
      </c>
      <c r="G446" s="2171" t="s">
        <v>380</v>
      </c>
      <c r="H446" s="2173">
        <v>1</v>
      </c>
      <c r="I446" s="2170"/>
      <c r="J446" s="2174" t="s">
        <v>4783</v>
      </c>
    </row>
    <row r="447" spans="1:18" s="113" customFormat="1" ht="18" outlineLevel="1" x14ac:dyDescent="0.25">
      <c r="B447" s="2175" t="s">
        <v>4324</v>
      </c>
      <c r="C447" s="2176" t="s">
        <v>4332</v>
      </c>
      <c r="D447" s="2177">
        <v>0.1</v>
      </c>
      <c r="E447" s="2178">
        <v>0</v>
      </c>
      <c r="F447" s="2178" t="s">
        <v>1253</v>
      </c>
      <c r="G447" s="2177" t="s">
        <v>380</v>
      </c>
      <c r="H447" s="2179">
        <v>1</v>
      </c>
      <c r="I447" s="2176"/>
      <c r="J447" s="2180" t="s">
        <v>4783</v>
      </c>
    </row>
    <row r="448" spans="1:18" s="113" customFormat="1" ht="18.75" outlineLevel="1" thickBot="1" x14ac:dyDescent="0.3">
      <c r="B448" s="2181" t="s">
        <v>4333</v>
      </c>
      <c r="C448" s="2182" t="s">
        <v>4334</v>
      </c>
      <c r="D448" s="2183">
        <v>0.1</v>
      </c>
      <c r="E448" s="2184">
        <v>0</v>
      </c>
      <c r="F448" s="2184" t="s">
        <v>1253</v>
      </c>
      <c r="G448" s="2183" t="s">
        <v>380</v>
      </c>
      <c r="H448" s="2185">
        <v>1</v>
      </c>
      <c r="I448" s="2182"/>
      <c r="J448" s="2186" t="s">
        <v>4783</v>
      </c>
    </row>
    <row r="449" spans="1:18" s="113" customFormat="1" ht="18" outlineLevel="1" x14ac:dyDescent="0.25">
      <c r="B449" s="2187" t="s">
        <v>1867</v>
      </c>
      <c r="C449" s="2188" t="s">
        <v>3551</v>
      </c>
      <c r="D449" s="2189">
        <v>0.2</v>
      </c>
      <c r="E449" s="2190">
        <v>0</v>
      </c>
      <c r="F449" s="2190">
        <v>1</v>
      </c>
      <c r="G449" s="2189" t="s">
        <v>380</v>
      </c>
      <c r="H449" s="2191">
        <v>3</v>
      </c>
      <c r="I449" s="2188"/>
      <c r="J449" s="2192" t="s">
        <v>1868</v>
      </c>
    </row>
    <row r="450" spans="1:18" s="113" customFormat="1" ht="18.75" outlineLevel="1" thickBot="1" x14ac:dyDescent="0.3">
      <c r="B450" s="2193" t="s">
        <v>3320</v>
      </c>
      <c r="C450" s="2194" t="s">
        <v>3321</v>
      </c>
      <c r="D450" s="2195">
        <v>-1E-3</v>
      </c>
      <c r="E450" s="2196" t="s">
        <v>2180</v>
      </c>
      <c r="F450" s="2196" t="s">
        <v>1253</v>
      </c>
      <c r="G450" s="2195" t="s">
        <v>1989</v>
      </c>
      <c r="H450" s="2197">
        <v>3</v>
      </c>
      <c r="I450" s="2194"/>
      <c r="J450" s="2198"/>
    </row>
    <row r="451" spans="1:18" ht="15.75" thickBot="1" x14ac:dyDescent="0.3">
      <c r="B451" s="460"/>
      <c r="C451" s="460"/>
    </row>
    <row r="452" spans="1:18" ht="15.75" thickBot="1" x14ac:dyDescent="0.3">
      <c r="A452" s="103"/>
      <c r="C452" s="865" t="s">
        <v>3714</v>
      </c>
      <c r="D452" s="104" t="s">
        <v>317</v>
      </c>
      <c r="J452" s="1007"/>
    </row>
    <row r="453" spans="1:18" s="116" customFormat="1" ht="15.75" thickBot="1" x14ac:dyDescent="0.3">
      <c r="B453" s="972" t="s">
        <v>0</v>
      </c>
      <c r="C453" s="1294" t="s">
        <v>1</v>
      </c>
      <c r="D453" s="434" t="s">
        <v>839</v>
      </c>
      <c r="E453" s="434" t="s">
        <v>470</v>
      </c>
      <c r="F453" s="434" t="s">
        <v>471</v>
      </c>
      <c r="G453" s="434" t="s">
        <v>2</v>
      </c>
      <c r="H453" s="434" t="s">
        <v>298</v>
      </c>
      <c r="I453" s="1322" t="s">
        <v>116</v>
      </c>
      <c r="J453" s="1331" t="s">
        <v>117</v>
      </c>
      <c r="K453" s="103"/>
      <c r="L453" s="103"/>
      <c r="M453" s="103"/>
      <c r="N453" s="103"/>
      <c r="O453" s="103"/>
      <c r="P453" s="103"/>
      <c r="Q453" s="103"/>
      <c r="R453" s="103"/>
    </row>
    <row r="454" spans="1:18" s="113" customFormat="1" ht="18" outlineLevel="1" x14ac:dyDescent="0.25">
      <c r="B454" s="903" t="s">
        <v>3715</v>
      </c>
      <c r="C454" s="1992" t="s">
        <v>4566</v>
      </c>
      <c r="D454" s="905">
        <v>0.33444800000000002</v>
      </c>
      <c r="E454" s="906" t="s">
        <v>2180</v>
      </c>
      <c r="F454" s="906" t="s">
        <v>1253</v>
      </c>
      <c r="G454" s="905" t="s">
        <v>3716</v>
      </c>
      <c r="H454" s="907">
        <v>6</v>
      </c>
      <c r="I454" s="904"/>
      <c r="J454" s="908"/>
    </row>
    <row r="455" spans="1:18" s="113" customFormat="1" ht="18.75" outlineLevel="1" thickBot="1" x14ac:dyDescent="0.3">
      <c r="B455" s="679" t="s">
        <v>3717</v>
      </c>
      <c r="C455" s="1993" t="s">
        <v>4567</v>
      </c>
      <c r="D455" s="684">
        <v>2.42475</v>
      </c>
      <c r="E455" s="685" t="s">
        <v>2180</v>
      </c>
      <c r="F455" s="685" t="s">
        <v>1253</v>
      </c>
      <c r="G455" s="684" t="s">
        <v>3718</v>
      </c>
      <c r="H455" s="686">
        <v>6</v>
      </c>
      <c r="I455" s="680"/>
      <c r="J455" s="683"/>
    </row>
    <row r="456" spans="1:18" ht="15.75" thickBot="1" x14ac:dyDescent="0.3"/>
    <row r="457" spans="1:18" ht="15.75" thickBot="1" x14ac:dyDescent="0.3">
      <c r="C457" s="845" t="s">
        <v>3626</v>
      </c>
      <c r="D457" s="104" t="s">
        <v>315</v>
      </c>
      <c r="J457" s="1007"/>
    </row>
    <row r="458" spans="1:18" ht="15.75" thickBot="1" x14ac:dyDescent="0.3">
      <c r="B458" s="846" t="s">
        <v>0</v>
      </c>
      <c r="C458" s="847" t="s">
        <v>1</v>
      </c>
      <c r="D458" s="848" t="s">
        <v>839</v>
      </c>
      <c r="E458" s="848" t="s">
        <v>470</v>
      </c>
      <c r="F458" s="848" t="s">
        <v>471</v>
      </c>
      <c r="G458" s="848" t="s">
        <v>2</v>
      </c>
      <c r="H458" s="848" t="s">
        <v>298</v>
      </c>
      <c r="I458" s="847" t="s">
        <v>116</v>
      </c>
      <c r="J458" s="1395" t="s">
        <v>117</v>
      </c>
    </row>
    <row r="459" spans="1:18" ht="18.75" outlineLevel="1" thickBot="1" x14ac:dyDescent="0.3">
      <c r="B459" s="2612" t="s">
        <v>3627</v>
      </c>
      <c r="C459" s="2613" t="s">
        <v>5332</v>
      </c>
      <c r="D459" s="2614">
        <v>4</v>
      </c>
      <c r="E459" s="2615">
        <v>0</v>
      </c>
      <c r="F459" s="2615">
        <v>9</v>
      </c>
      <c r="G459" s="2615" t="s">
        <v>3628</v>
      </c>
      <c r="H459" s="2615">
        <v>2</v>
      </c>
      <c r="I459" s="2616"/>
      <c r="J459" s="2617" t="s">
        <v>5333</v>
      </c>
    </row>
    <row r="460" spans="1:18" ht="15.75" thickBot="1" x14ac:dyDescent="0.3"/>
    <row r="461" spans="1:18" ht="15.75" thickBot="1" x14ac:dyDescent="0.3">
      <c r="C461" s="845" t="s">
        <v>3629</v>
      </c>
      <c r="D461" s="104" t="s">
        <v>315</v>
      </c>
      <c r="J461" s="1007"/>
    </row>
    <row r="462" spans="1:18" ht="15.75" thickBot="1" x14ac:dyDescent="0.3">
      <c r="B462" s="846" t="s">
        <v>0</v>
      </c>
      <c r="C462" s="847" t="s">
        <v>1</v>
      </c>
      <c r="D462" s="848" t="s">
        <v>839</v>
      </c>
      <c r="E462" s="848" t="s">
        <v>470</v>
      </c>
      <c r="F462" s="848" t="s">
        <v>471</v>
      </c>
      <c r="G462" s="848" t="s">
        <v>2</v>
      </c>
      <c r="H462" s="848" t="s">
        <v>298</v>
      </c>
      <c r="I462" s="847" t="s">
        <v>116</v>
      </c>
      <c r="J462" s="1395" t="s">
        <v>117</v>
      </c>
    </row>
    <row r="463" spans="1:18" ht="18" outlineLevel="1" x14ac:dyDescent="0.25">
      <c r="B463" s="1277" t="s">
        <v>3630</v>
      </c>
      <c r="C463" s="1278" t="s">
        <v>3631</v>
      </c>
      <c r="D463" s="1279">
        <v>5.1999999999999998E-2</v>
      </c>
      <c r="E463" s="868">
        <v>0</v>
      </c>
      <c r="F463" s="868">
        <v>5</v>
      </c>
      <c r="G463" s="868" t="s">
        <v>3628</v>
      </c>
      <c r="H463" s="868">
        <v>2</v>
      </c>
      <c r="I463" s="867"/>
      <c r="J463" s="1396" t="s">
        <v>3632</v>
      </c>
    </row>
    <row r="464" spans="1:18" ht="18" outlineLevel="1" x14ac:dyDescent="0.25">
      <c r="B464" s="2484" t="s">
        <v>5279</v>
      </c>
      <c r="C464" s="2485" t="s">
        <v>5280</v>
      </c>
      <c r="D464" s="2486">
        <v>5.1999999999999998E-2</v>
      </c>
      <c r="E464" s="2487">
        <v>0</v>
      </c>
      <c r="F464" s="2487">
        <v>5</v>
      </c>
      <c r="G464" s="2487" t="s">
        <v>3628</v>
      </c>
      <c r="H464" s="2487">
        <v>2</v>
      </c>
      <c r="I464" s="2488"/>
      <c r="J464" s="2489"/>
    </row>
    <row r="465" spans="2:10" ht="18" outlineLevel="1" x14ac:dyDescent="0.25">
      <c r="B465" s="1280" t="s">
        <v>3633</v>
      </c>
      <c r="C465" s="1281" t="s">
        <v>3634</v>
      </c>
      <c r="D465" s="1282">
        <v>5.1999999999999998E-2</v>
      </c>
      <c r="E465" s="1283">
        <v>0</v>
      </c>
      <c r="F465" s="1283">
        <v>5</v>
      </c>
      <c r="G465" s="1283" t="s">
        <v>3628</v>
      </c>
      <c r="H465" s="1283">
        <v>2</v>
      </c>
      <c r="I465" s="1397"/>
      <c r="J465" s="1398"/>
    </row>
    <row r="466" spans="2:10" ht="18" outlineLevel="1" x14ac:dyDescent="0.25">
      <c r="B466" s="1280" t="s">
        <v>3635</v>
      </c>
      <c r="C466" s="1281" t="s">
        <v>3636</v>
      </c>
      <c r="D466" s="1282">
        <v>5.1999999999999998E-2</v>
      </c>
      <c r="E466" s="1283">
        <v>0</v>
      </c>
      <c r="F466" s="1283">
        <v>5</v>
      </c>
      <c r="G466" s="1283" t="s">
        <v>3628</v>
      </c>
      <c r="H466" s="1283">
        <v>2</v>
      </c>
      <c r="I466" s="1397"/>
      <c r="J466" s="1398"/>
    </row>
    <row r="467" spans="2:10" ht="18" outlineLevel="1" x14ac:dyDescent="0.25">
      <c r="B467" s="1280" t="s">
        <v>3637</v>
      </c>
      <c r="C467" s="1281" t="s">
        <v>3638</v>
      </c>
      <c r="D467" s="1282">
        <v>5.1999999999999998E-2</v>
      </c>
      <c r="E467" s="1283">
        <v>0</v>
      </c>
      <c r="F467" s="1283">
        <v>5</v>
      </c>
      <c r="G467" s="1283" t="s">
        <v>3628</v>
      </c>
      <c r="H467" s="1283">
        <v>2</v>
      </c>
      <c r="I467" s="1397"/>
      <c r="J467" s="1398"/>
    </row>
    <row r="468" spans="2:10" ht="18" outlineLevel="1" x14ac:dyDescent="0.25">
      <c r="B468" s="1280" t="s">
        <v>3639</v>
      </c>
      <c r="C468" s="1281" t="s">
        <v>3640</v>
      </c>
      <c r="D468" s="1282">
        <v>5.1999999999999998E-2</v>
      </c>
      <c r="E468" s="1283">
        <v>0</v>
      </c>
      <c r="F468" s="1283">
        <v>5</v>
      </c>
      <c r="G468" s="1283" t="s">
        <v>3628</v>
      </c>
      <c r="H468" s="1283">
        <v>2</v>
      </c>
      <c r="I468" s="1397"/>
      <c r="J468" s="1398"/>
    </row>
    <row r="469" spans="2:10" ht="18" outlineLevel="1" x14ac:dyDescent="0.25">
      <c r="B469" s="1280" t="s">
        <v>3641</v>
      </c>
      <c r="C469" s="1281" t="s">
        <v>3642</v>
      </c>
      <c r="D469" s="1282">
        <v>5.1999999999999998E-2</v>
      </c>
      <c r="E469" s="1283">
        <v>0</v>
      </c>
      <c r="F469" s="1283">
        <v>5</v>
      </c>
      <c r="G469" s="1283" t="s">
        <v>3628</v>
      </c>
      <c r="H469" s="1283">
        <v>2</v>
      </c>
      <c r="I469" s="1397"/>
      <c r="J469" s="1398"/>
    </row>
    <row r="470" spans="2:10" ht="18" outlineLevel="1" x14ac:dyDescent="0.25">
      <c r="B470" s="1280" t="s">
        <v>3643</v>
      </c>
      <c r="C470" s="1281" t="s">
        <v>3644</v>
      </c>
      <c r="D470" s="1282">
        <v>5.1999999999999998E-2</v>
      </c>
      <c r="E470" s="1283">
        <v>0</v>
      </c>
      <c r="F470" s="1283">
        <v>5</v>
      </c>
      <c r="G470" s="1283" t="s">
        <v>3628</v>
      </c>
      <c r="H470" s="1283">
        <v>2</v>
      </c>
      <c r="I470" s="1397"/>
      <c r="J470" s="1398"/>
    </row>
    <row r="471" spans="2:10" ht="18.75" outlineLevel="1" thickBot="1" x14ac:dyDescent="0.3">
      <c r="B471" s="1284" t="s">
        <v>3645</v>
      </c>
      <c r="C471" s="1285" t="s">
        <v>3646</v>
      </c>
      <c r="D471" s="1286">
        <v>5.1999999999999998E-2</v>
      </c>
      <c r="E471" s="1287">
        <v>0</v>
      </c>
      <c r="F471" s="1287">
        <v>5</v>
      </c>
      <c r="G471" s="1287" t="s">
        <v>3628</v>
      </c>
      <c r="H471" s="1287">
        <v>2</v>
      </c>
      <c r="I471" s="1399"/>
      <c r="J471" s="1400"/>
    </row>
    <row r="472" spans="2:10" ht="15.75" thickBot="1" x14ac:dyDescent="0.3"/>
    <row r="473" spans="2:10" ht="15.75" thickBot="1" x14ac:dyDescent="0.3">
      <c r="C473" s="845" t="s">
        <v>3647</v>
      </c>
      <c r="D473" s="104" t="s">
        <v>315</v>
      </c>
      <c r="J473" s="1007"/>
    </row>
    <row r="474" spans="2:10" ht="15.75" thickBot="1" x14ac:dyDescent="0.3">
      <c r="B474" s="846" t="s">
        <v>0</v>
      </c>
      <c r="C474" s="847" t="s">
        <v>1</v>
      </c>
      <c r="D474" s="848" t="s">
        <v>839</v>
      </c>
      <c r="E474" s="848" t="s">
        <v>470</v>
      </c>
      <c r="F474" s="848" t="s">
        <v>471</v>
      </c>
      <c r="G474" s="848" t="s">
        <v>2</v>
      </c>
      <c r="H474" s="848" t="s">
        <v>298</v>
      </c>
      <c r="I474" s="847" t="s">
        <v>116</v>
      </c>
      <c r="J474" s="1395" t="s">
        <v>117</v>
      </c>
    </row>
    <row r="475" spans="2:10" ht="18" outlineLevel="1" x14ac:dyDescent="0.25">
      <c r="B475" s="1277" t="s">
        <v>3648</v>
      </c>
      <c r="C475" s="1288" t="s">
        <v>3649</v>
      </c>
      <c r="D475" s="1289">
        <v>0.11</v>
      </c>
      <c r="E475" s="1290">
        <v>0</v>
      </c>
      <c r="F475" s="1290">
        <v>5</v>
      </c>
      <c r="G475" s="1290" t="s">
        <v>3628</v>
      </c>
      <c r="H475" s="1290">
        <v>2</v>
      </c>
      <c r="I475" s="1401"/>
      <c r="J475" s="1396" t="s">
        <v>3650</v>
      </c>
    </row>
    <row r="476" spans="2:10" ht="18" outlineLevel="1" x14ac:dyDescent="0.25">
      <c r="B476" s="2484" t="s">
        <v>5281</v>
      </c>
      <c r="C476" s="2485" t="s">
        <v>5282</v>
      </c>
      <c r="D476" s="2486">
        <v>0.11</v>
      </c>
      <c r="E476" s="2487">
        <v>0</v>
      </c>
      <c r="F476" s="2487">
        <v>5</v>
      </c>
      <c r="G476" s="2487" t="s">
        <v>3628</v>
      </c>
      <c r="H476" s="2487">
        <v>2</v>
      </c>
      <c r="I476" s="2488"/>
      <c r="J476" s="2489"/>
    </row>
    <row r="477" spans="2:10" ht="18" outlineLevel="1" x14ac:dyDescent="0.25">
      <c r="B477" s="1280" t="s">
        <v>3651</v>
      </c>
      <c r="C477" s="1281" t="s">
        <v>3652</v>
      </c>
      <c r="D477" s="1282">
        <v>0.11</v>
      </c>
      <c r="E477" s="1283">
        <v>0</v>
      </c>
      <c r="F477" s="1283">
        <v>5</v>
      </c>
      <c r="G477" s="1283" t="s">
        <v>3628</v>
      </c>
      <c r="H477" s="1283">
        <v>2</v>
      </c>
      <c r="I477" s="1397"/>
      <c r="J477" s="1398"/>
    </row>
    <row r="478" spans="2:10" ht="18" outlineLevel="1" x14ac:dyDescent="0.25">
      <c r="B478" s="1280" t="s">
        <v>3653</v>
      </c>
      <c r="C478" s="1281" t="s">
        <v>3654</v>
      </c>
      <c r="D478" s="1282">
        <v>0.11</v>
      </c>
      <c r="E478" s="1283">
        <v>0</v>
      </c>
      <c r="F478" s="1283">
        <v>5</v>
      </c>
      <c r="G478" s="1283" t="s">
        <v>3628</v>
      </c>
      <c r="H478" s="1283">
        <v>2</v>
      </c>
      <c r="I478" s="1397"/>
      <c r="J478" s="1398"/>
    </row>
    <row r="479" spans="2:10" ht="18" outlineLevel="1" x14ac:dyDescent="0.25">
      <c r="B479" s="1280" t="s">
        <v>3655</v>
      </c>
      <c r="C479" s="1281" t="s">
        <v>3656</v>
      </c>
      <c r="D479" s="1282">
        <v>0.11</v>
      </c>
      <c r="E479" s="1283">
        <v>0</v>
      </c>
      <c r="F479" s="1283">
        <v>5</v>
      </c>
      <c r="G479" s="1283" t="s">
        <v>3628</v>
      </c>
      <c r="H479" s="1283">
        <v>2</v>
      </c>
      <c r="I479" s="1397"/>
      <c r="J479" s="1398"/>
    </row>
    <row r="480" spans="2:10" ht="18" outlineLevel="1" x14ac:dyDescent="0.25">
      <c r="B480" s="1280" t="s">
        <v>3657</v>
      </c>
      <c r="C480" s="1281" t="s">
        <v>3658</v>
      </c>
      <c r="D480" s="1282">
        <v>0.17</v>
      </c>
      <c r="E480" s="1283">
        <v>0</v>
      </c>
      <c r="F480" s="1283">
        <v>5</v>
      </c>
      <c r="G480" s="1283" t="s">
        <v>3628</v>
      </c>
      <c r="H480" s="1283">
        <v>2</v>
      </c>
      <c r="I480" s="1397"/>
      <c r="J480" s="1398" t="s">
        <v>3659</v>
      </c>
    </row>
    <row r="481" spans="2:10" ht="18.75" outlineLevel="1" thickBot="1" x14ac:dyDescent="0.3">
      <c r="B481" s="1284" t="s">
        <v>3660</v>
      </c>
      <c r="C481" s="1285" t="s">
        <v>3661</v>
      </c>
      <c r="D481" s="1286">
        <v>0.33</v>
      </c>
      <c r="E481" s="1287">
        <v>0</v>
      </c>
      <c r="F481" s="1287">
        <v>5</v>
      </c>
      <c r="G481" s="1287" t="s">
        <v>3628</v>
      </c>
      <c r="H481" s="1287">
        <v>2</v>
      </c>
      <c r="I481" s="1399"/>
      <c r="J481" s="1400" t="s">
        <v>3662</v>
      </c>
    </row>
    <row r="482" spans="2:10" ht="15.75" thickBot="1" x14ac:dyDescent="0.3"/>
    <row r="483" spans="2:10" ht="15.75" thickBot="1" x14ac:dyDescent="0.3">
      <c r="C483" s="2287" t="s">
        <v>5069</v>
      </c>
      <c r="D483" s="104" t="s">
        <v>315</v>
      </c>
      <c r="J483" s="1007"/>
    </row>
    <row r="484" spans="2:10" ht="15.75" thickBot="1" x14ac:dyDescent="0.3">
      <c r="B484" s="2288" t="s">
        <v>0</v>
      </c>
      <c r="C484" s="2369" t="s">
        <v>1</v>
      </c>
      <c r="D484" s="2370" t="s">
        <v>839</v>
      </c>
      <c r="E484" s="2370" t="s">
        <v>470</v>
      </c>
      <c r="F484" s="2370" t="s">
        <v>471</v>
      </c>
      <c r="G484" s="2370" t="s">
        <v>2</v>
      </c>
      <c r="H484" s="2370" t="s">
        <v>298</v>
      </c>
      <c r="I484" s="2369" t="s">
        <v>116</v>
      </c>
      <c r="J484" s="2371" t="s">
        <v>117</v>
      </c>
    </row>
    <row r="485" spans="2:10" outlineLevel="1" x14ac:dyDescent="0.25">
      <c r="B485" s="2373" t="s">
        <v>5072</v>
      </c>
      <c r="C485" s="2374" t="s">
        <v>5070</v>
      </c>
      <c r="D485" s="2375">
        <v>8.0000000000000002E-3</v>
      </c>
      <c r="E485" s="2376">
        <v>0</v>
      </c>
      <c r="F485" s="2376">
        <v>1</v>
      </c>
      <c r="G485" s="2376" t="s">
        <v>5071</v>
      </c>
      <c r="H485" s="2376">
        <v>3</v>
      </c>
      <c r="I485" s="2377"/>
      <c r="J485" s="2378"/>
    </row>
  </sheetData>
  <phoneticPr fontId="31"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O9"/>
  <sheetViews>
    <sheetView showGridLines="0" zoomScaleNormal="100" workbookViewId="0"/>
  </sheetViews>
  <sheetFormatPr baseColWidth="10" defaultColWidth="9.140625" defaultRowHeight="15" x14ac:dyDescent="0.25"/>
  <cols>
    <col min="1" max="1" width="9.140625" style="160"/>
    <col min="2" max="2" width="7.5703125" style="160" bestFit="1" customWidth="1"/>
    <col min="3" max="3" width="43.5703125" style="160" bestFit="1" customWidth="1"/>
    <col min="4" max="4" width="11.5703125" style="160" bestFit="1" customWidth="1"/>
    <col min="5" max="5" width="13.7109375" style="160" bestFit="1" customWidth="1"/>
    <col min="6" max="6" width="14.28515625" style="160" bestFit="1" customWidth="1"/>
    <col min="7" max="7" width="10.5703125" style="160" bestFit="1" customWidth="1"/>
    <col min="8" max="8" width="10.7109375" style="160" bestFit="1" customWidth="1"/>
    <col min="9" max="9" width="10.7109375" style="160" customWidth="1"/>
    <col min="10" max="10" width="9.140625" style="160"/>
    <col min="11" max="11" width="9.5703125" style="160" bestFit="1" customWidth="1"/>
    <col min="12" max="12" width="6.7109375" style="160" customWidth="1"/>
    <col min="13" max="13" width="9" style="160" bestFit="1" customWidth="1"/>
    <col min="14" max="14" width="5" style="160" bestFit="1" customWidth="1"/>
    <col min="15" max="15" width="18.28515625" style="160" bestFit="1" customWidth="1"/>
    <col min="16" max="16384" width="9.140625" style="160"/>
  </cols>
  <sheetData>
    <row r="1" spans="2:15" ht="15.75" thickBot="1" x14ac:dyDescent="0.3"/>
    <row r="2" spans="2:15" s="824" customFormat="1" ht="15.75" thickBot="1" x14ac:dyDescent="0.3">
      <c r="B2" s="822"/>
      <c r="C2" s="823" t="s">
        <v>3608</v>
      </c>
      <c r="D2" s="822"/>
      <c r="E2" s="822"/>
      <c r="F2" s="822"/>
      <c r="G2" s="822"/>
      <c r="H2" s="822"/>
      <c r="I2" s="822"/>
      <c r="J2" s="822"/>
    </row>
    <row r="3" spans="2:15" s="822" customFormat="1" ht="30.75" thickBot="1" x14ac:dyDescent="0.3">
      <c r="B3" s="825" t="s">
        <v>0</v>
      </c>
      <c r="C3" s="826" t="s">
        <v>1</v>
      </c>
      <c r="D3" s="827" t="s">
        <v>3609</v>
      </c>
      <c r="E3" s="827" t="s">
        <v>3610</v>
      </c>
      <c r="F3" s="827" t="s">
        <v>3611</v>
      </c>
      <c r="G3" s="827" t="s">
        <v>3612</v>
      </c>
      <c r="H3" s="827" t="s">
        <v>3625</v>
      </c>
      <c r="I3" s="851" t="s">
        <v>3666</v>
      </c>
      <c r="J3" s="827" t="s">
        <v>470</v>
      </c>
      <c r="K3" s="827" t="s">
        <v>471</v>
      </c>
      <c r="L3" s="827" t="s">
        <v>2</v>
      </c>
      <c r="M3" s="827" t="s">
        <v>298</v>
      </c>
      <c r="N3" s="827" t="s">
        <v>116</v>
      </c>
      <c r="O3" s="828" t="s">
        <v>117</v>
      </c>
    </row>
    <row r="4" spans="2:15" s="824" customFormat="1" ht="18" x14ac:dyDescent="0.35">
      <c r="B4" s="829" t="s">
        <v>3613</v>
      </c>
      <c r="C4" s="830" t="s">
        <v>3614</v>
      </c>
      <c r="D4" s="831">
        <v>0.04</v>
      </c>
      <c r="E4" s="831">
        <v>1.54</v>
      </c>
      <c r="F4" s="832">
        <v>2.2999999999999998</v>
      </c>
      <c r="G4" s="832">
        <v>34.799999999999997</v>
      </c>
      <c r="H4" s="832" t="s">
        <v>1210</v>
      </c>
      <c r="I4" s="852">
        <v>2.61</v>
      </c>
      <c r="J4" s="831">
        <v>0</v>
      </c>
      <c r="K4" s="831">
        <v>100</v>
      </c>
      <c r="L4" s="2618" t="s">
        <v>5334</v>
      </c>
      <c r="M4" s="831"/>
      <c r="N4" s="831"/>
      <c r="O4" s="833"/>
    </row>
    <row r="5" spans="2:15" s="824" customFormat="1" ht="18" x14ac:dyDescent="0.35">
      <c r="B5" s="834" t="s">
        <v>3615</v>
      </c>
      <c r="C5" s="835" t="s">
        <v>3616</v>
      </c>
      <c r="D5" s="836" t="s">
        <v>1210</v>
      </c>
      <c r="E5" s="836" t="s">
        <v>1210</v>
      </c>
      <c r="F5" s="837">
        <v>0.04</v>
      </c>
      <c r="G5" s="837">
        <v>65</v>
      </c>
      <c r="H5" s="837" t="s">
        <v>1210</v>
      </c>
      <c r="I5" s="849" t="s">
        <v>1210</v>
      </c>
      <c r="J5" s="836">
        <v>0</v>
      </c>
      <c r="K5" s="836">
        <v>100</v>
      </c>
      <c r="L5" s="2618" t="s">
        <v>5334</v>
      </c>
      <c r="M5" s="836"/>
      <c r="N5" s="836"/>
      <c r="O5" s="838"/>
    </row>
    <row r="6" spans="2:15" s="824" customFormat="1" ht="18" x14ac:dyDescent="0.35">
      <c r="B6" s="834" t="s">
        <v>3617</v>
      </c>
      <c r="C6" s="835" t="s">
        <v>3618</v>
      </c>
      <c r="D6" s="836" t="s">
        <v>1210</v>
      </c>
      <c r="E6" s="836" t="s">
        <v>1210</v>
      </c>
      <c r="F6" s="837">
        <v>3.16</v>
      </c>
      <c r="G6" s="837">
        <v>0.12</v>
      </c>
      <c r="H6" s="837" t="s">
        <v>1210</v>
      </c>
      <c r="I6" s="849" t="s">
        <v>1210</v>
      </c>
      <c r="J6" s="836">
        <v>0</v>
      </c>
      <c r="K6" s="836">
        <v>100</v>
      </c>
      <c r="L6" s="2618" t="s">
        <v>5334</v>
      </c>
      <c r="M6" s="836"/>
      <c r="N6" s="836"/>
      <c r="O6" s="838"/>
    </row>
    <row r="7" spans="2:15" s="824" customFormat="1" ht="18" x14ac:dyDescent="0.35">
      <c r="B7" s="834" t="s">
        <v>3619</v>
      </c>
      <c r="C7" s="835" t="s">
        <v>3620</v>
      </c>
      <c r="D7" s="836">
        <v>20.95</v>
      </c>
      <c r="E7" s="836">
        <v>18.84</v>
      </c>
      <c r="F7" s="837" t="s">
        <v>1210</v>
      </c>
      <c r="G7" s="837" t="s">
        <v>1210</v>
      </c>
      <c r="H7" s="837">
        <v>97</v>
      </c>
      <c r="I7" s="849">
        <v>5.22</v>
      </c>
      <c r="J7" s="836">
        <v>0</v>
      </c>
      <c r="K7" s="836">
        <v>100</v>
      </c>
      <c r="L7" s="2618" t="s">
        <v>5334</v>
      </c>
      <c r="M7" s="836"/>
      <c r="N7" s="836"/>
      <c r="O7" s="838"/>
    </row>
    <row r="8" spans="2:15" s="824" customFormat="1" ht="18" x14ac:dyDescent="0.35">
      <c r="B8" s="834" t="s">
        <v>3621</v>
      </c>
      <c r="C8" s="835" t="s">
        <v>3622</v>
      </c>
      <c r="D8" s="836" t="s">
        <v>1210</v>
      </c>
      <c r="E8" s="836" t="s">
        <v>1210</v>
      </c>
      <c r="F8" s="837" t="s">
        <v>1210</v>
      </c>
      <c r="G8" s="839">
        <v>0.01</v>
      </c>
      <c r="H8" s="839" t="s">
        <v>1210</v>
      </c>
      <c r="I8" s="850" t="s">
        <v>1210</v>
      </c>
      <c r="J8" s="836">
        <v>0</v>
      </c>
      <c r="K8" s="836">
        <v>100</v>
      </c>
      <c r="L8" s="2618" t="s">
        <v>5334</v>
      </c>
      <c r="M8" s="836"/>
      <c r="N8" s="836"/>
      <c r="O8" s="838"/>
    </row>
    <row r="9" spans="2:15" s="824" customFormat="1" ht="18.75" thickBot="1" x14ac:dyDescent="0.4">
      <c r="B9" s="840" t="s">
        <v>3623</v>
      </c>
      <c r="C9" s="841" t="s">
        <v>3624</v>
      </c>
      <c r="D9" s="842">
        <v>79.010000000000005</v>
      </c>
      <c r="E9" s="842">
        <v>79.62</v>
      </c>
      <c r="F9" s="843">
        <v>94.5</v>
      </c>
      <c r="G9" s="843">
        <v>7.0000000000000007E-2</v>
      </c>
      <c r="H9" s="843">
        <v>3</v>
      </c>
      <c r="I9" s="843">
        <v>92.17</v>
      </c>
      <c r="J9" s="842">
        <v>0</v>
      </c>
      <c r="K9" s="842">
        <v>100</v>
      </c>
      <c r="L9" s="842" t="s">
        <v>5334</v>
      </c>
      <c r="M9" s="842"/>
      <c r="N9" s="842"/>
      <c r="O9" s="84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unka3"/>
  <dimension ref="A1:CX246"/>
  <sheetViews>
    <sheetView showGridLines="0" zoomScaleNormal="100" workbookViewId="0">
      <pane xSplit="4" ySplit="3" topLeftCell="CL6" activePane="bottomRight" state="frozen"/>
      <selection pane="topRight" activeCell="E1" sqref="E1"/>
      <selection pane="bottomLeft" activeCell="A4" sqref="A4"/>
      <selection pane="bottomRight" activeCell="A2" sqref="A2"/>
    </sheetView>
  </sheetViews>
  <sheetFormatPr baseColWidth="10" defaultColWidth="9.140625" defaultRowHeight="15" x14ac:dyDescent="0.25"/>
  <cols>
    <col min="1" max="1" width="3.7109375" bestFit="1" customWidth="1"/>
    <col min="2" max="2" width="5.28515625" style="71" bestFit="1" customWidth="1"/>
    <col min="3" max="3" width="7.5703125" style="71" bestFit="1" customWidth="1"/>
    <col min="4" max="4" width="54.7109375" bestFit="1" customWidth="1"/>
    <col min="5" max="5" width="36.28515625" bestFit="1" customWidth="1"/>
    <col min="6" max="6" width="17.7109375" bestFit="1" customWidth="1"/>
    <col min="7" max="7" width="13.140625" bestFit="1" customWidth="1"/>
    <col min="8" max="13" width="6" bestFit="1" customWidth="1"/>
    <col min="14" max="14" width="23.7109375" bestFit="1" customWidth="1"/>
    <col min="15" max="15" width="24.140625" bestFit="1" customWidth="1"/>
    <col min="16" max="17" width="6" bestFit="1" customWidth="1"/>
    <col min="18" max="18" width="16.140625" bestFit="1" customWidth="1"/>
    <col min="19" max="19" width="17.28515625" bestFit="1" customWidth="1"/>
    <col min="20" max="20" width="17.7109375" bestFit="1" customWidth="1"/>
    <col min="21" max="21" width="15.7109375" bestFit="1" customWidth="1"/>
    <col min="22" max="23" width="16" bestFit="1" customWidth="1"/>
    <col min="24" max="25" width="17.7109375" bestFit="1" customWidth="1"/>
    <col min="26" max="26" width="17.28515625" bestFit="1" customWidth="1"/>
    <col min="27" max="27" width="48.7109375" bestFit="1" customWidth="1"/>
    <col min="28" max="28" width="54.5703125" bestFit="1" customWidth="1"/>
    <col min="29" max="29" width="53.28515625" bestFit="1" customWidth="1"/>
    <col min="30" max="30" width="100.140625" bestFit="1" customWidth="1"/>
    <col min="31" max="31" width="12" bestFit="1" customWidth="1"/>
    <col min="32" max="33" width="12.7109375" bestFit="1" customWidth="1"/>
    <col min="34" max="34" width="7.28515625" bestFit="1" customWidth="1"/>
    <col min="35" max="35" width="95.7109375" bestFit="1" customWidth="1"/>
    <col min="36" max="36" width="14.7109375" bestFit="1" customWidth="1"/>
    <col min="37" max="37" width="12" bestFit="1" customWidth="1"/>
    <col min="38" max="39" width="12.7109375" bestFit="1" customWidth="1"/>
    <col min="40" max="40" width="7.28515625" bestFit="1" customWidth="1"/>
    <col min="41" max="41" width="41.28515625" bestFit="1" customWidth="1"/>
    <col min="42" max="42" width="15.140625" bestFit="1" customWidth="1"/>
    <col min="43" max="43" width="23.28515625" bestFit="1" customWidth="1"/>
    <col min="44" max="44" width="64.140625" bestFit="1" customWidth="1"/>
    <col min="45" max="45" width="104.7109375" style="150" bestFit="1" customWidth="1"/>
    <col min="46" max="46" width="75" style="150" bestFit="1" customWidth="1"/>
    <col min="47" max="47" width="127.5703125" style="150" bestFit="1" customWidth="1"/>
    <col min="48" max="48" width="37.28515625" style="150" bestFit="1" customWidth="1"/>
    <col min="49" max="49" width="38.28515625" style="150" bestFit="1" customWidth="1"/>
    <col min="50" max="50" width="21.5703125" bestFit="1" customWidth="1"/>
    <col min="51" max="51" width="14.28515625" bestFit="1" customWidth="1"/>
    <col min="52" max="52" width="22" bestFit="1" customWidth="1"/>
    <col min="53" max="53" width="21.7109375" bestFit="1" customWidth="1"/>
    <col min="54" max="54" width="18.140625" bestFit="1" customWidth="1"/>
    <col min="55" max="55" width="21.28515625" bestFit="1" customWidth="1"/>
    <col min="56" max="56" width="20.7109375" bestFit="1" customWidth="1"/>
    <col min="57" max="57" width="28.7109375" bestFit="1" customWidth="1"/>
    <col min="58" max="58" width="28.28515625" bestFit="1" customWidth="1"/>
    <col min="59" max="59" width="21.7109375" bestFit="1" customWidth="1"/>
    <col min="60" max="60" width="21.5703125" bestFit="1" customWidth="1"/>
    <col min="61" max="61" width="18.28515625" bestFit="1" customWidth="1"/>
    <col min="62" max="62" width="21.140625" bestFit="1" customWidth="1"/>
    <col min="63" max="63" width="20.7109375" bestFit="1" customWidth="1"/>
    <col min="64" max="64" width="29" bestFit="1" customWidth="1"/>
    <col min="65" max="65" width="28.7109375" bestFit="1" customWidth="1"/>
    <col min="66" max="66" width="13.140625" bestFit="1" customWidth="1"/>
    <col min="67" max="67" width="13.5703125" bestFit="1" customWidth="1"/>
    <col min="68" max="68" width="11.7109375" style="69" bestFit="1" customWidth="1"/>
    <col min="69" max="69" width="12" bestFit="1" customWidth="1"/>
    <col min="70" max="70" width="20.28515625" bestFit="1" customWidth="1"/>
    <col min="71" max="71" width="5.28515625" bestFit="1" customWidth="1"/>
    <col min="72" max="72" width="5.5703125" bestFit="1" customWidth="1"/>
    <col min="73" max="73" width="5.140625" bestFit="1" customWidth="1"/>
    <col min="74" max="74" width="5.28515625" bestFit="1" customWidth="1"/>
    <col min="75" max="75" width="2.7109375" bestFit="1" customWidth="1"/>
    <col min="76" max="76" width="6.140625" bestFit="1" customWidth="1"/>
    <col min="77" max="77" width="8.28515625" bestFit="1" customWidth="1"/>
    <col min="78" max="78" width="4.28515625" bestFit="1" customWidth="1"/>
    <col min="79" max="79" width="6" bestFit="1" customWidth="1"/>
    <col min="80" max="81" width="3.7109375" bestFit="1" customWidth="1"/>
    <col min="82" max="82" width="4.7109375" bestFit="1" customWidth="1"/>
    <col min="83" max="83" width="12.7109375" bestFit="1" customWidth="1"/>
    <col min="84" max="84" width="7" bestFit="1" customWidth="1"/>
    <col min="85" max="85" width="10" bestFit="1" customWidth="1"/>
    <col min="86" max="86" width="6.28515625" bestFit="1" customWidth="1"/>
    <col min="87" max="87" width="7.140625" bestFit="1" customWidth="1"/>
    <col min="88" max="88" width="7.28515625" bestFit="1" customWidth="1"/>
    <col min="89" max="89" width="12.7109375" bestFit="1" customWidth="1"/>
    <col min="90" max="90" width="133.28515625" style="69" customWidth="1"/>
    <col min="91" max="91" width="9.28515625" style="4" bestFit="1" customWidth="1"/>
    <col min="92" max="92" width="29.28515625" style="4" bestFit="1" customWidth="1"/>
    <col min="93" max="93" width="18.28515625" style="4" bestFit="1" customWidth="1"/>
    <col min="94" max="94" width="7.7109375" style="80" customWidth="1"/>
    <col min="95" max="95" width="12.5703125" bestFit="1" customWidth="1"/>
    <col min="96" max="99" width="9.28515625" bestFit="1" customWidth="1"/>
  </cols>
  <sheetData>
    <row r="1" spans="1:95" s="47" customFormat="1" ht="54" customHeight="1" thickBot="1" x14ac:dyDescent="0.4">
      <c r="A1" s="48"/>
      <c r="B1" s="100"/>
      <c r="C1" s="100"/>
      <c r="AS1" s="148"/>
      <c r="AT1" s="148"/>
      <c r="AU1" s="148"/>
      <c r="AV1" s="148"/>
      <c r="AW1" s="148"/>
      <c r="AY1" s="75"/>
      <c r="AZ1" s="75"/>
      <c r="BB1" s="75"/>
      <c r="BC1" s="75"/>
      <c r="BD1" s="75"/>
      <c r="BE1" s="75"/>
      <c r="BF1" s="75"/>
      <c r="BG1" s="75"/>
      <c r="BI1" s="75"/>
      <c r="BJ1" s="75"/>
      <c r="BK1" s="75"/>
      <c r="BL1" s="75"/>
      <c r="BM1" s="75"/>
      <c r="BN1" s="75"/>
      <c r="BO1" s="75"/>
      <c r="BP1" s="402"/>
      <c r="BQ1" s="75"/>
      <c r="BR1" s="75"/>
      <c r="BS1" s="75"/>
      <c r="BT1" s="75"/>
      <c r="BU1" s="75"/>
      <c r="BV1" s="75"/>
      <c r="BW1" s="75"/>
      <c r="BX1" s="75"/>
      <c r="BY1" s="75"/>
      <c r="BZ1" s="75"/>
      <c r="CA1" s="75"/>
      <c r="CB1" s="75"/>
      <c r="CC1" s="75"/>
      <c r="CD1" s="75"/>
      <c r="CE1" s="75"/>
      <c r="CF1" s="75"/>
      <c r="CG1" s="75"/>
      <c r="CH1" s="75"/>
      <c r="CI1" s="75"/>
      <c r="CJ1" s="75"/>
      <c r="CK1" s="75"/>
      <c r="CL1" s="402"/>
      <c r="CM1" s="118"/>
      <c r="CN1" s="118"/>
      <c r="CO1" s="118"/>
      <c r="CP1" s="79"/>
    </row>
    <row r="2" spans="1:95" ht="18.75" customHeight="1" thickBot="1" x14ac:dyDescent="0.3">
      <c r="D2" s="1258" t="s">
        <v>128</v>
      </c>
      <c r="E2" s="1021"/>
      <c r="F2" s="1021"/>
      <c r="G2" s="1021"/>
      <c r="H2" s="1021"/>
      <c r="I2" s="1021"/>
      <c r="J2" s="1021"/>
      <c r="K2" s="1021"/>
      <c r="L2" s="1021"/>
      <c r="M2" s="1021"/>
      <c r="N2" s="1021"/>
      <c r="O2" s="1021"/>
      <c r="P2" s="1021"/>
      <c r="Q2" s="1021"/>
      <c r="R2" s="1021"/>
      <c r="S2" s="1021"/>
      <c r="T2" s="1021"/>
      <c r="U2" s="1021"/>
      <c r="V2" s="1021"/>
      <c r="W2" s="1021"/>
      <c r="X2" s="1021"/>
      <c r="Y2" s="1021"/>
      <c r="Z2" s="1021"/>
      <c r="AA2" s="1021"/>
      <c r="AB2" s="1021"/>
      <c r="AC2" s="1021"/>
      <c r="AD2" s="1021"/>
      <c r="AE2" s="1021"/>
      <c r="AF2" s="1021"/>
      <c r="AG2" s="1021"/>
      <c r="AH2" s="1021"/>
      <c r="AI2" s="1021"/>
      <c r="AJ2" s="1021"/>
      <c r="AK2" s="1021"/>
      <c r="AL2" s="1021"/>
      <c r="AM2" s="1021"/>
      <c r="AN2" s="1021"/>
      <c r="AO2" s="1021"/>
      <c r="AP2" s="1021"/>
      <c r="AQ2" s="1021"/>
      <c r="AR2" s="1021"/>
      <c r="AS2" s="1021"/>
      <c r="AT2" s="1021"/>
      <c r="AU2" s="1021"/>
      <c r="AV2" s="1021"/>
      <c r="AW2" s="1021"/>
      <c r="AX2" s="1021"/>
      <c r="AY2" s="1021"/>
      <c r="AZ2" s="1021"/>
      <c r="BA2" s="1021"/>
      <c r="BB2" s="1021"/>
      <c r="BC2" s="1021"/>
      <c r="BD2" s="1021"/>
      <c r="BE2" s="1021"/>
      <c r="BF2" s="1021"/>
      <c r="BG2" s="1021"/>
      <c r="BH2" s="1021"/>
      <c r="BI2" s="1021"/>
      <c r="BJ2" s="1021"/>
      <c r="BK2" s="1021"/>
      <c r="BL2" s="1021"/>
      <c r="BM2" s="1021"/>
      <c r="BN2" s="1021"/>
      <c r="BO2" s="1021"/>
      <c r="BP2" s="1022"/>
      <c r="BQ2" s="1021"/>
      <c r="BR2" s="1021"/>
      <c r="BS2" s="1021"/>
      <c r="BT2" s="1021"/>
      <c r="BU2" s="1021"/>
      <c r="BV2" s="1021"/>
      <c r="BW2" s="1021"/>
      <c r="BX2" s="1021"/>
      <c r="BY2" s="1021"/>
      <c r="BZ2" s="1021"/>
      <c r="CA2" s="1021"/>
      <c r="CB2" s="1021"/>
      <c r="CC2" s="1021"/>
      <c r="CD2" s="1021"/>
      <c r="CE2" s="1021"/>
      <c r="CF2" s="1021"/>
      <c r="CG2" s="1021"/>
      <c r="CH2" s="1021"/>
      <c r="CI2" s="1021"/>
      <c r="CJ2" s="1021"/>
      <c r="CK2" s="1021"/>
      <c r="CL2" s="1022"/>
      <c r="CM2" s="1022"/>
      <c r="CN2" s="1022"/>
      <c r="CO2" s="1022"/>
    </row>
    <row r="3" spans="1:95" s="1" customFormat="1" ht="38.25" thickBot="1" x14ac:dyDescent="0.3">
      <c r="B3" s="566" t="s">
        <v>93</v>
      </c>
      <c r="C3" s="567" t="s">
        <v>0</v>
      </c>
      <c r="D3" s="570" t="s">
        <v>1</v>
      </c>
      <c r="E3" s="568" t="s">
        <v>803</v>
      </c>
      <c r="F3" s="568" t="s">
        <v>804</v>
      </c>
      <c r="G3" s="568" t="s">
        <v>805</v>
      </c>
      <c r="H3" s="568" t="s">
        <v>806</v>
      </c>
      <c r="I3" s="568" t="s">
        <v>807</v>
      </c>
      <c r="J3" s="2431" t="s">
        <v>5252</v>
      </c>
      <c r="K3" s="568" t="s">
        <v>808</v>
      </c>
      <c r="L3" s="568" t="s">
        <v>809</v>
      </c>
      <c r="M3" s="568" t="s">
        <v>810</v>
      </c>
      <c r="N3" s="2431" t="s">
        <v>5142</v>
      </c>
      <c r="O3" s="2431" t="s">
        <v>5143</v>
      </c>
      <c r="P3" s="568" t="s">
        <v>811</v>
      </c>
      <c r="Q3" s="568" t="s">
        <v>1727</v>
      </c>
      <c r="R3" s="568" t="s">
        <v>812</v>
      </c>
      <c r="S3" s="568" t="s">
        <v>4080</v>
      </c>
      <c r="T3" s="568" t="s">
        <v>813</v>
      </c>
      <c r="U3" s="568" t="s">
        <v>2194</v>
      </c>
      <c r="V3" s="568" t="s">
        <v>2193</v>
      </c>
      <c r="W3" s="568" t="s">
        <v>2213</v>
      </c>
      <c r="X3" s="568" t="s">
        <v>814</v>
      </c>
      <c r="Y3" s="568" t="s">
        <v>815</v>
      </c>
      <c r="Z3" s="2037" t="s">
        <v>4615</v>
      </c>
      <c r="AA3" s="568" t="s">
        <v>816</v>
      </c>
      <c r="AB3" s="568" t="s">
        <v>2191</v>
      </c>
      <c r="AC3" s="568" t="s">
        <v>2192</v>
      </c>
      <c r="AD3" s="568" t="s">
        <v>817</v>
      </c>
      <c r="AE3" s="568" t="s">
        <v>818</v>
      </c>
      <c r="AF3" s="568" t="s">
        <v>820</v>
      </c>
      <c r="AG3" s="2431" t="s">
        <v>5253</v>
      </c>
      <c r="AH3" s="568" t="s">
        <v>821</v>
      </c>
      <c r="AI3" s="568" t="s">
        <v>822</v>
      </c>
      <c r="AJ3" s="568" t="s">
        <v>2104</v>
      </c>
      <c r="AK3" s="568" t="s">
        <v>823</v>
      </c>
      <c r="AL3" s="568" t="s">
        <v>824</v>
      </c>
      <c r="AM3" s="2431" t="s">
        <v>5254</v>
      </c>
      <c r="AN3" s="568" t="s">
        <v>825</v>
      </c>
      <c r="AO3" s="568" t="s">
        <v>826</v>
      </c>
      <c r="AP3" s="568" t="s">
        <v>828</v>
      </c>
      <c r="AQ3" s="568" t="s">
        <v>829</v>
      </c>
      <c r="AR3" s="568" t="s">
        <v>830</v>
      </c>
      <c r="AS3" s="568" t="s">
        <v>831</v>
      </c>
      <c r="AT3" s="568" t="s">
        <v>1158</v>
      </c>
      <c r="AU3" s="568" t="s">
        <v>1159</v>
      </c>
      <c r="AV3" s="568" t="s">
        <v>997</v>
      </c>
      <c r="AW3" s="568" t="s">
        <v>1633</v>
      </c>
      <c r="AX3" s="568" t="s">
        <v>1043</v>
      </c>
      <c r="AY3" s="568" t="s">
        <v>1597</v>
      </c>
      <c r="AZ3" s="568" t="s">
        <v>1634</v>
      </c>
      <c r="BA3" s="568" t="s">
        <v>1635</v>
      </c>
      <c r="BB3" s="568" t="s">
        <v>1636</v>
      </c>
      <c r="BC3" s="568" t="s">
        <v>1637</v>
      </c>
      <c r="BD3" s="568" t="s">
        <v>1638</v>
      </c>
      <c r="BE3" s="568" t="s">
        <v>1639</v>
      </c>
      <c r="BF3" s="568" t="s">
        <v>1640</v>
      </c>
      <c r="BG3" s="914" t="s">
        <v>3738</v>
      </c>
      <c r="BH3" s="914" t="s">
        <v>3739</v>
      </c>
      <c r="BI3" s="914" t="s">
        <v>3740</v>
      </c>
      <c r="BJ3" s="914" t="s">
        <v>3741</v>
      </c>
      <c r="BK3" s="914" t="s">
        <v>3742</v>
      </c>
      <c r="BL3" s="914" t="s">
        <v>3743</v>
      </c>
      <c r="BM3" s="914" t="s">
        <v>3744</v>
      </c>
      <c r="BN3" s="569" t="s">
        <v>999</v>
      </c>
      <c r="BO3" s="569" t="s">
        <v>1131</v>
      </c>
      <c r="BP3" s="917" t="s">
        <v>3745</v>
      </c>
      <c r="BQ3" s="569" t="s">
        <v>354</v>
      </c>
      <c r="BR3" s="568" t="s">
        <v>1113</v>
      </c>
      <c r="BS3" s="568" t="s">
        <v>4771</v>
      </c>
      <c r="BT3" s="568" t="s">
        <v>4772</v>
      </c>
      <c r="BU3" s="568" t="s">
        <v>4773</v>
      </c>
      <c r="BV3" s="568" t="s">
        <v>4774</v>
      </c>
      <c r="BW3" s="568" t="s">
        <v>4731</v>
      </c>
      <c r="BX3" s="1115" t="s">
        <v>4075</v>
      </c>
      <c r="BY3" s="2164" t="s">
        <v>4508</v>
      </c>
      <c r="BZ3" s="567" t="s">
        <v>1641</v>
      </c>
      <c r="CA3" s="567" t="s">
        <v>1642</v>
      </c>
      <c r="CB3" s="567" t="s">
        <v>1643</v>
      </c>
      <c r="CC3" s="567" t="s">
        <v>1644</v>
      </c>
      <c r="CD3" s="567" t="s">
        <v>1050</v>
      </c>
      <c r="CE3" s="567" t="s">
        <v>1645</v>
      </c>
      <c r="CF3" s="567" t="s">
        <v>3088</v>
      </c>
      <c r="CG3" s="567" t="s">
        <v>3089</v>
      </c>
      <c r="CH3" s="567" t="s">
        <v>3090</v>
      </c>
      <c r="CI3" s="567" t="s">
        <v>3091</v>
      </c>
      <c r="CJ3" s="567" t="s">
        <v>3092</v>
      </c>
      <c r="CK3" s="567" t="s">
        <v>3093</v>
      </c>
      <c r="CL3" s="570" t="s">
        <v>1219</v>
      </c>
      <c r="CM3" s="571" t="s">
        <v>2</v>
      </c>
      <c r="CN3" s="571" t="s">
        <v>9</v>
      </c>
      <c r="CO3" s="572" t="s">
        <v>116</v>
      </c>
      <c r="CP3" s="1023"/>
    </row>
    <row r="4" spans="1:95" ht="18" x14ac:dyDescent="0.25">
      <c r="B4" s="1242">
        <v>1</v>
      </c>
      <c r="C4" s="1190" t="s">
        <v>223</v>
      </c>
      <c r="D4" s="432" t="s">
        <v>1646</v>
      </c>
      <c r="E4" s="431" t="s">
        <v>1729</v>
      </c>
      <c r="F4" s="412"/>
      <c r="G4" s="412"/>
      <c r="H4" s="412"/>
      <c r="I4" s="412"/>
      <c r="J4" s="2456"/>
      <c r="K4" s="412"/>
      <c r="L4" s="412"/>
      <c r="M4" s="412"/>
      <c r="N4" s="412"/>
      <c r="O4" s="412"/>
      <c r="P4" s="412"/>
      <c r="Q4" s="412"/>
      <c r="R4" s="412">
        <v>1</v>
      </c>
      <c r="S4" s="412"/>
      <c r="T4" s="412"/>
      <c r="U4" s="412"/>
      <c r="V4" s="412"/>
      <c r="W4" s="412"/>
      <c r="X4" s="412"/>
      <c r="Y4" s="412"/>
      <c r="Z4" s="412"/>
      <c r="AA4" s="431" t="s">
        <v>1647</v>
      </c>
      <c r="AB4" s="412"/>
      <c r="AC4" s="412"/>
      <c r="AD4" s="412"/>
      <c r="AE4" s="412"/>
      <c r="AF4" s="412"/>
      <c r="AG4" s="412"/>
      <c r="AH4" s="412"/>
      <c r="AI4" s="431" t="s">
        <v>1648</v>
      </c>
      <c r="AJ4" s="412"/>
      <c r="AK4" s="412"/>
      <c r="AL4" s="412"/>
      <c r="AM4" s="412"/>
      <c r="AN4" s="412"/>
      <c r="AO4" s="431" t="s">
        <v>1735</v>
      </c>
      <c r="AP4" s="431"/>
      <c r="AQ4" s="431"/>
      <c r="AR4" s="431" t="s">
        <v>1961</v>
      </c>
      <c r="AS4" s="817" t="s">
        <v>2443</v>
      </c>
      <c r="AT4" s="817" t="s">
        <v>3562</v>
      </c>
      <c r="AU4" s="817" t="s">
        <v>3563</v>
      </c>
      <c r="AV4" s="817" t="s">
        <v>3564</v>
      </c>
      <c r="AW4" s="817" t="s">
        <v>3565</v>
      </c>
      <c r="AX4" s="431"/>
      <c r="AY4" s="431"/>
      <c r="AZ4" s="431"/>
      <c r="BA4" s="431"/>
      <c r="BB4" s="431"/>
      <c r="BC4" s="431"/>
      <c r="BD4" s="431"/>
      <c r="BE4" s="431"/>
      <c r="BF4" s="431"/>
      <c r="BG4" s="431"/>
      <c r="BH4" s="431"/>
      <c r="BI4" s="431"/>
      <c r="BJ4" s="431"/>
      <c r="BK4" s="431"/>
      <c r="BL4" s="431"/>
      <c r="BM4" s="431"/>
      <c r="BN4" s="431"/>
      <c r="BO4" s="431"/>
      <c r="BP4" s="1205"/>
      <c r="BQ4" s="431"/>
      <c r="BR4" s="431"/>
      <c r="BS4" s="1798"/>
      <c r="BT4" s="1798"/>
      <c r="BU4" s="1798"/>
      <c r="BV4" s="1798"/>
      <c r="BW4" s="431"/>
      <c r="BX4" s="431"/>
      <c r="BY4" s="1798"/>
      <c r="BZ4" s="431"/>
      <c r="CA4" s="431"/>
      <c r="CB4" s="431"/>
      <c r="CC4" s="431"/>
      <c r="CD4" s="431"/>
      <c r="CE4" s="431"/>
      <c r="CF4" s="431"/>
      <c r="CG4" s="431"/>
      <c r="CH4" s="431"/>
      <c r="CI4" s="431"/>
      <c r="CJ4" s="431"/>
      <c r="CK4" s="431"/>
      <c r="CL4" s="573" t="s">
        <v>3590</v>
      </c>
      <c r="CM4" s="412" t="s">
        <v>2004</v>
      </c>
      <c r="CN4" s="432"/>
      <c r="CO4" s="574"/>
    </row>
    <row r="5" spans="1:95" ht="18" x14ac:dyDescent="0.25">
      <c r="B5" s="1243">
        <v>2</v>
      </c>
      <c r="C5" s="1191" t="s">
        <v>224</v>
      </c>
      <c r="D5" s="577" t="s">
        <v>2214</v>
      </c>
      <c r="E5" s="575" t="s">
        <v>1730</v>
      </c>
      <c r="F5" s="412"/>
      <c r="G5" s="412"/>
      <c r="H5" s="412"/>
      <c r="I5" s="412"/>
      <c r="J5" s="2456"/>
      <c r="K5" s="412"/>
      <c r="L5" s="412"/>
      <c r="M5" s="412"/>
      <c r="N5" s="412"/>
      <c r="O5" s="412"/>
      <c r="P5" s="412"/>
      <c r="Q5" s="412"/>
      <c r="R5" s="412">
        <v>1</v>
      </c>
      <c r="S5" s="412"/>
      <c r="T5" s="412"/>
      <c r="U5" s="412"/>
      <c r="V5" s="412"/>
      <c r="W5" s="412"/>
      <c r="X5" s="412"/>
      <c r="Y5" s="412"/>
      <c r="Z5" s="412"/>
      <c r="AA5" s="431" t="s">
        <v>1647</v>
      </c>
      <c r="AB5" s="575" t="s">
        <v>2218</v>
      </c>
      <c r="AC5" s="575"/>
      <c r="AD5" s="575" t="s">
        <v>2219</v>
      </c>
      <c r="AE5" s="412"/>
      <c r="AF5" s="412"/>
      <c r="AG5" s="412"/>
      <c r="AH5" s="412"/>
      <c r="AI5" s="575" t="s">
        <v>1648</v>
      </c>
      <c r="AJ5" s="412"/>
      <c r="AK5" s="412"/>
      <c r="AL5" s="412"/>
      <c r="AM5" s="412"/>
      <c r="AN5" s="412"/>
      <c r="AO5" s="431"/>
      <c r="AP5" s="431"/>
      <c r="AQ5" s="431"/>
      <c r="AR5" s="575" t="s">
        <v>1962</v>
      </c>
      <c r="AS5" s="818" t="s">
        <v>2443</v>
      </c>
      <c r="AT5" s="818" t="s">
        <v>3562</v>
      </c>
      <c r="AU5" s="818" t="s">
        <v>3563</v>
      </c>
      <c r="AV5" s="818" t="s">
        <v>3564</v>
      </c>
      <c r="AW5" s="818" t="s">
        <v>3565</v>
      </c>
      <c r="AX5" s="431"/>
      <c r="AY5" s="431"/>
      <c r="AZ5" s="431"/>
      <c r="BA5" s="431"/>
      <c r="BB5" s="431"/>
      <c r="BC5" s="431"/>
      <c r="BD5" s="431"/>
      <c r="BE5" s="431"/>
      <c r="BF5" s="431"/>
      <c r="BG5" s="431"/>
      <c r="BH5" s="431"/>
      <c r="BI5" s="431"/>
      <c r="BJ5" s="431"/>
      <c r="BK5" s="431"/>
      <c r="BL5" s="431"/>
      <c r="BM5" s="431"/>
      <c r="BN5" s="431"/>
      <c r="BO5" s="431"/>
      <c r="BP5" s="1206"/>
      <c r="BQ5" s="431"/>
      <c r="BR5" s="431"/>
      <c r="BS5" s="1798"/>
      <c r="BT5" s="1798"/>
      <c r="BU5" s="1798"/>
      <c r="BV5" s="1798"/>
      <c r="BW5" s="431"/>
      <c r="BX5" s="431"/>
      <c r="BY5" s="1798"/>
      <c r="BZ5" s="431"/>
      <c r="CA5" s="431"/>
      <c r="CB5" s="431"/>
      <c r="CC5" s="431"/>
      <c r="CD5" s="431"/>
      <c r="CE5" s="431"/>
      <c r="CF5" s="431"/>
      <c r="CG5" s="431"/>
      <c r="CH5" s="431"/>
      <c r="CI5" s="431"/>
      <c r="CJ5" s="431"/>
      <c r="CK5" s="431"/>
      <c r="CL5" s="2366" t="s">
        <v>5397</v>
      </c>
      <c r="CM5" s="578" t="s">
        <v>2004</v>
      </c>
      <c r="CN5" s="577"/>
      <c r="CO5" s="574"/>
    </row>
    <row r="6" spans="1:95" ht="18" x14ac:dyDescent="0.25">
      <c r="B6" s="1243">
        <v>3</v>
      </c>
      <c r="C6" s="1191" t="s">
        <v>225</v>
      </c>
      <c r="D6" s="577" t="s">
        <v>1649</v>
      </c>
      <c r="E6" s="575" t="s">
        <v>1730</v>
      </c>
      <c r="F6" s="578"/>
      <c r="G6" s="578"/>
      <c r="H6" s="578"/>
      <c r="I6" s="578"/>
      <c r="J6" s="2457"/>
      <c r="K6" s="578"/>
      <c r="L6" s="578"/>
      <c r="M6" s="578"/>
      <c r="N6" s="578"/>
      <c r="O6" s="578"/>
      <c r="P6" s="578"/>
      <c r="Q6" s="578"/>
      <c r="R6" s="578">
        <v>1</v>
      </c>
      <c r="S6" s="578"/>
      <c r="T6" s="578"/>
      <c r="U6" s="578"/>
      <c r="V6" s="578"/>
      <c r="W6" s="578"/>
      <c r="X6" s="578"/>
      <c r="Y6" s="578"/>
      <c r="Z6" s="2038"/>
      <c r="AA6" s="575" t="s">
        <v>1647</v>
      </c>
      <c r="AB6" s="575" t="s">
        <v>2220</v>
      </c>
      <c r="AC6" s="575" t="s">
        <v>2221</v>
      </c>
      <c r="AD6" s="575"/>
      <c r="AE6" s="578"/>
      <c r="AF6" s="578"/>
      <c r="AG6" s="578"/>
      <c r="AH6" s="578"/>
      <c r="AI6" s="575" t="s">
        <v>1648</v>
      </c>
      <c r="AJ6" s="578"/>
      <c r="AK6" s="578"/>
      <c r="AL6" s="578"/>
      <c r="AM6" s="578"/>
      <c r="AN6" s="578"/>
      <c r="AO6" s="575"/>
      <c r="AP6" s="575"/>
      <c r="AQ6" s="575"/>
      <c r="AR6" s="575" t="s">
        <v>1962</v>
      </c>
      <c r="AS6" s="818" t="s">
        <v>2443</v>
      </c>
      <c r="AT6" s="818" t="s">
        <v>3562</v>
      </c>
      <c r="AU6" s="818" t="s">
        <v>3563</v>
      </c>
      <c r="AV6" s="818" t="s">
        <v>3564</v>
      </c>
      <c r="AW6" s="818" t="s">
        <v>3565</v>
      </c>
      <c r="AX6" s="575"/>
      <c r="AY6" s="575"/>
      <c r="AZ6" s="575"/>
      <c r="BA6" s="575"/>
      <c r="BB6" s="575"/>
      <c r="BC6" s="575"/>
      <c r="BD6" s="575"/>
      <c r="BE6" s="575"/>
      <c r="BF6" s="575"/>
      <c r="BG6" s="575"/>
      <c r="BH6" s="575"/>
      <c r="BI6" s="575"/>
      <c r="BJ6" s="575"/>
      <c r="BK6" s="575"/>
      <c r="BL6" s="575"/>
      <c r="BM6" s="575"/>
      <c r="BN6" s="575"/>
      <c r="BO6" s="575"/>
      <c r="BP6" s="1206"/>
      <c r="BQ6" s="575"/>
      <c r="BR6" s="575"/>
      <c r="BS6" s="1799"/>
      <c r="BT6" s="1799"/>
      <c r="BU6" s="1799"/>
      <c r="BV6" s="1799"/>
      <c r="BW6" s="575"/>
      <c r="BX6" s="1091"/>
      <c r="BY6" s="1799"/>
      <c r="BZ6" s="575"/>
      <c r="CA6" s="575"/>
      <c r="CB6" s="575"/>
      <c r="CC6" s="575"/>
      <c r="CD6" s="575"/>
      <c r="CE6" s="575"/>
      <c r="CF6" s="575"/>
      <c r="CG6" s="575"/>
      <c r="CH6" s="575"/>
      <c r="CI6" s="575"/>
      <c r="CJ6" s="575"/>
      <c r="CK6" s="575"/>
      <c r="CL6" s="2366" t="s">
        <v>5336</v>
      </c>
      <c r="CM6" s="578" t="s">
        <v>2004</v>
      </c>
      <c r="CN6" s="577"/>
      <c r="CO6" s="579"/>
    </row>
    <row r="7" spans="1:95" ht="18" x14ac:dyDescent="0.25">
      <c r="B7" s="1243">
        <v>4</v>
      </c>
      <c r="C7" s="1191" t="s">
        <v>226</v>
      </c>
      <c r="D7" s="577" t="s">
        <v>1650</v>
      </c>
      <c r="E7" s="578"/>
      <c r="F7" s="575" t="s">
        <v>1731</v>
      </c>
      <c r="G7" s="578"/>
      <c r="H7" s="578"/>
      <c r="I7" s="578"/>
      <c r="J7" s="2457"/>
      <c r="K7" s="578"/>
      <c r="L7" s="578"/>
      <c r="M7" s="578"/>
      <c r="N7" s="578"/>
      <c r="O7" s="578"/>
      <c r="P7" s="578"/>
      <c r="Q7" s="578"/>
      <c r="R7" s="578">
        <v>1</v>
      </c>
      <c r="S7" s="578"/>
      <c r="T7" s="578"/>
      <c r="U7" s="578"/>
      <c r="V7" s="578"/>
      <c r="W7" s="578"/>
      <c r="X7" s="578"/>
      <c r="Y7" s="578"/>
      <c r="Z7" s="2038"/>
      <c r="AA7" s="575" t="s">
        <v>1647</v>
      </c>
      <c r="AB7" s="575"/>
      <c r="AC7" s="575"/>
      <c r="AD7" s="578"/>
      <c r="AE7" s="578"/>
      <c r="AF7" s="578"/>
      <c r="AG7" s="578"/>
      <c r="AH7" s="578"/>
      <c r="AI7" s="575" t="s">
        <v>1648</v>
      </c>
      <c r="AJ7" s="578"/>
      <c r="AK7" s="578"/>
      <c r="AL7" s="578"/>
      <c r="AM7" s="578"/>
      <c r="AN7" s="578"/>
      <c r="AO7" s="575" t="s">
        <v>1736</v>
      </c>
      <c r="AP7" s="575"/>
      <c r="AQ7" s="575"/>
      <c r="AR7" s="575" t="s">
        <v>1963</v>
      </c>
      <c r="AS7" s="818" t="s">
        <v>2443</v>
      </c>
      <c r="AT7" s="818" t="s">
        <v>3562</v>
      </c>
      <c r="AU7" s="818" t="s">
        <v>3563</v>
      </c>
      <c r="AV7" s="818" t="s">
        <v>3564</v>
      </c>
      <c r="AW7" s="818" t="s">
        <v>3565</v>
      </c>
      <c r="AX7" s="575"/>
      <c r="AY7" s="575"/>
      <c r="AZ7" s="575"/>
      <c r="BA7" s="575"/>
      <c r="BB7" s="575"/>
      <c r="BC7" s="575"/>
      <c r="BD7" s="575"/>
      <c r="BE7" s="575"/>
      <c r="BF7" s="575"/>
      <c r="BG7" s="575"/>
      <c r="BH7" s="575"/>
      <c r="BI7" s="575"/>
      <c r="BJ7" s="575"/>
      <c r="BK7" s="575"/>
      <c r="BL7" s="575"/>
      <c r="BM7" s="575"/>
      <c r="BN7" s="575"/>
      <c r="BO7" s="575"/>
      <c r="BP7" s="1206"/>
      <c r="BQ7" s="575"/>
      <c r="BR7" s="575"/>
      <c r="BS7" s="1799"/>
      <c r="BT7" s="1799"/>
      <c r="BU7" s="1799"/>
      <c r="BV7" s="1799"/>
      <c r="BW7" s="575"/>
      <c r="BX7" s="1091"/>
      <c r="BY7" s="1799"/>
      <c r="BZ7" s="575"/>
      <c r="CA7" s="575"/>
      <c r="CB7" s="575"/>
      <c r="CC7" s="575"/>
      <c r="CD7" s="575"/>
      <c r="CE7" s="575"/>
      <c r="CF7" s="575"/>
      <c r="CG7" s="575"/>
      <c r="CH7" s="575"/>
      <c r="CI7" s="575"/>
      <c r="CJ7" s="575"/>
      <c r="CK7" s="575"/>
      <c r="CL7" s="576" t="s">
        <v>3591</v>
      </c>
      <c r="CM7" s="578" t="s">
        <v>2004</v>
      </c>
      <c r="CN7" s="577"/>
      <c r="CO7" s="579"/>
      <c r="CQ7" s="1024"/>
    </row>
    <row r="8" spans="1:95" ht="18" customHeight="1" x14ac:dyDescent="0.25">
      <c r="B8" s="1243">
        <v>5</v>
      </c>
      <c r="C8" s="1191" t="s">
        <v>227</v>
      </c>
      <c r="D8" s="577" t="s">
        <v>2215</v>
      </c>
      <c r="E8" s="578"/>
      <c r="F8" s="575" t="s">
        <v>1732</v>
      </c>
      <c r="G8" s="578"/>
      <c r="H8" s="578"/>
      <c r="I8" s="578"/>
      <c r="J8" s="2457"/>
      <c r="K8" s="578"/>
      <c r="L8" s="578"/>
      <c r="M8" s="578"/>
      <c r="N8" s="578"/>
      <c r="O8" s="578"/>
      <c r="P8" s="578"/>
      <c r="Q8" s="578"/>
      <c r="R8" s="578">
        <v>1</v>
      </c>
      <c r="S8" s="578"/>
      <c r="T8" s="578"/>
      <c r="U8" s="578"/>
      <c r="V8" s="578"/>
      <c r="W8" s="578"/>
      <c r="X8" s="578"/>
      <c r="Y8" s="578"/>
      <c r="Z8" s="412"/>
      <c r="AA8" s="431" t="s">
        <v>1647</v>
      </c>
      <c r="AB8" s="575" t="s">
        <v>2222</v>
      </c>
      <c r="AC8" s="575"/>
      <c r="AD8" s="575" t="s">
        <v>2223</v>
      </c>
      <c r="AE8" s="578"/>
      <c r="AF8" s="578"/>
      <c r="AG8" s="578"/>
      <c r="AH8" s="578"/>
      <c r="AI8" s="575" t="s">
        <v>1648</v>
      </c>
      <c r="AJ8" s="578"/>
      <c r="AK8" s="578"/>
      <c r="AL8" s="578"/>
      <c r="AM8" s="578"/>
      <c r="AN8" s="578"/>
      <c r="AO8" s="575"/>
      <c r="AP8" s="575"/>
      <c r="AQ8" s="575"/>
      <c r="AR8" s="575" t="s">
        <v>1964</v>
      </c>
      <c r="AS8" s="819" t="s">
        <v>2443</v>
      </c>
      <c r="AT8" s="818" t="s">
        <v>3562</v>
      </c>
      <c r="AU8" s="818" t="s">
        <v>3563</v>
      </c>
      <c r="AV8" s="818" t="s">
        <v>3564</v>
      </c>
      <c r="AW8" s="818" t="s">
        <v>3565</v>
      </c>
      <c r="AX8" s="575"/>
      <c r="AY8" s="575"/>
      <c r="AZ8" s="575"/>
      <c r="BA8" s="575"/>
      <c r="BB8" s="575"/>
      <c r="BC8" s="575"/>
      <c r="BD8" s="575"/>
      <c r="BE8" s="575"/>
      <c r="BF8" s="575"/>
      <c r="BG8" s="575"/>
      <c r="BH8" s="575"/>
      <c r="BI8" s="575"/>
      <c r="BJ8" s="575"/>
      <c r="BK8" s="575"/>
      <c r="BL8" s="575"/>
      <c r="BM8" s="575"/>
      <c r="BN8" s="575"/>
      <c r="BO8" s="575"/>
      <c r="BP8" s="1206"/>
      <c r="BQ8" s="575"/>
      <c r="BR8" s="575"/>
      <c r="BS8" s="1799"/>
      <c r="BT8" s="1799"/>
      <c r="BU8" s="1799"/>
      <c r="BV8" s="1799"/>
      <c r="BW8" s="575"/>
      <c r="BX8" s="1091"/>
      <c r="BY8" s="1799"/>
      <c r="BZ8" s="575"/>
      <c r="CA8" s="575"/>
      <c r="CB8" s="575"/>
      <c r="CC8" s="575"/>
      <c r="CD8" s="575"/>
      <c r="CE8" s="575"/>
      <c r="CF8" s="575"/>
      <c r="CG8" s="575"/>
      <c r="CH8" s="575"/>
      <c r="CI8" s="575"/>
      <c r="CJ8" s="575"/>
      <c r="CK8" s="575"/>
      <c r="CL8" s="576" t="s">
        <v>3592</v>
      </c>
      <c r="CM8" s="578" t="s">
        <v>2004</v>
      </c>
      <c r="CN8" s="577"/>
      <c r="CO8" s="579"/>
      <c r="CQ8" s="1024"/>
    </row>
    <row r="9" spans="1:95" ht="18" x14ac:dyDescent="0.25">
      <c r="B9" s="1243">
        <v>6</v>
      </c>
      <c r="C9" s="1191" t="s">
        <v>228</v>
      </c>
      <c r="D9" s="577" t="s">
        <v>1651</v>
      </c>
      <c r="E9" s="578"/>
      <c r="F9" s="575" t="s">
        <v>1732</v>
      </c>
      <c r="G9" s="578"/>
      <c r="H9" s="578"/>
      <c r="I9" s="578"/>
      <c r="J9" s="2457"/>
      <c r="K9" s="578"/>
      <c r="L9" s="578"/>
      <c r="M9" s="578"/>
      <c r="N9" s="578"/>
      <c r="O9" s="578"/>
      <c r="P9" s="578"/>
      <c r="Q9" s="578"/>
      <c r="R9" s="578">
        <v>1</v>
      </c>
      <c r="S9" s="578"/>
      <c r="T9" s="578"/>
      <c r="U9" s="578"/>
      <c r="V9" s="578"/>
      <c r="W9" s="578"/>
      <c r="X9" s="578"/>
      <c r="Y9" s="578"/>
      <c r="Z9" s="2038"/>
      <c r="AA9" s="575" t="s">
        <v>1647</v>
      </c>
      <c r="AB9" s="575" t="s">
        <v>2224</v>
      </c>
      <c r="AC9" s="575" t="s">
        <v>2225</v>
      </c>
      <c r="AD9" s="575"/>
      <c r="AE9" s="578"/>
      <c r="AF9" s="578"/>
      <c r="AG9" s="578"/>
      <c r="AH9" s="578"/>
      <c r="AI9" s="575" t="s">
        <v>1648</v>
      </c>
      <c r="AJ9" s="578"/>
      <c r="AK9" s="578"/>
      <c r="AL9" s="578"/>
      <c r="AM9" s="578"/>
      <c r="AN9" s="578"/>
      <c r="AO9" s="578"/>
      <c r="AP9" s="578"/>
      <c r="AQ9" s="578"/>
      <c r="AR9" s="575" t="s">
        <v>1964</v>
      </c>
      <c r="AS9" s="818" t="s">
        <v>2443</v>
      </c>
      <c r="AT9" s="818" t="s">
        <v>3562</v>
      </c>
      <c r="AU9" s="818" t="s">
        <v>3563</v>
      </c>
      <c r="AV9" s="818" t="s">
        <v>3564</v>
      </c>
      <c r="AW9" s="818" t="s">
        <v>3565</v>
      </c>
      <c r="AX9" s="575"/>
      <c r="AY9" s="575"/>
      <c r="AZ9" s="575"/>
      <c r="BA9" s="575"/>
      <c r="BB9" s="575"/>
      <c r="BC9" s="575"/>
      <c r="BD9" s="575"/>
      <c r="BE9" s="575"/>
      <c r="BF9" s="575"/>
      <c r="BG9" s="575"/>
      <c r="BH9" s="575"/>
      <c r="BI9" s="575"/>
      <c r="BJ9" s="575"/>
      <c r="BK9" s="575"/>
      <c r="BL9" s="575"/>
      <c r="BM9" s="575"/>
      <c r="BN9" s="575"/>
      <c r="BO9" s="575"/>
      <c r="BP9" s="1206"/>
      <c r="BQ9" s="575"/>
      <c r="BR9" s="575"/>
      <c r="BS9" s="1799"/>
      <c r="BT9" s="1799"/>
      <c r="BU9" s="1799"/>
      <c r="BV9" s="1799"/>
      <c r="BW9" s="575"/>
      <c r="BX9" s="1091"/>
      <c r="BY9" s="1799"/>
      <c r="BZ9" s="575"/>
      <c r="CA9" s="575"/>
      <c r="CB9" s="575"/>
      <c r="CC9" s="575"/>
      <c r="CD9" s="575"/>
      <c r="CE9" s="575"/>
      <c r="CF9" s="575"/>
      <c r="CG9" s="575"/>
      <c r="CH9" s="575"/>
      <c r="CI9" s="575"/>
      <c r="CJ9" s="575"/>
      <c r="CK9" s="575"/>
      <c r="CL9" s="576" t="s">
        <v>3593</v>
      </c>
      <c r="CM9" s="578" t="s">
        <v>2004</v>
      </c>
      <c r="CN9" s="577"/>
      <c r="CO9" s="579"/>
      <c r="CQ9" s="1024"/>
    </row>
    <row r="10" spans="1:95" ht="18" customHeight="1" x14ac:dyDescent="0.25">
      <c r="B10" s="1243">
        <v>7</v>
      </c>
      <c r="C10" s="1191" t="s">
        <v>229</v>
      </c>
      <c r="D10" s="577" t="s">
        <v>2154</v>
      </c>
      <c r="E10" s="578" t="s">
        <v>2152</v>
      </c>
      <c r="F10" s="575" t="s">
        <v>1733</v>
      </c>
      <c r="G10" s="578"/>
      <c r="H10" s="578"/>
      <c r="I10" s="578"/>
      <c r="J10" s="2457"/>
      <c r="K10" s="578"/>
      <c r="L10" s="578"/>
      <c r="M10" s="578"/>
      <c r="N10" s="578"/>
      <c r="O10" s="578"/>
      <c r="P10" s="578"/>
      <c r="Q10" s="578"/>
      <c r="R10" s="578">
        <v>1</v>
      </c>
      <c r="S10" s="578"/>
      <c r="T10" s="578"/>
      <c r="U10" s="578"/>
      <c r="V10" s="578"/>
      <c r="W10" s="578"/>
      <c r="X10" s="578"/>
      <c r="Y10" s="578"/>
      <c r="Z10" s="2038"/>
      <c r="AA10" s="575" t="s">
        <v>1647</v>
      </c>
      <c r="AB10" s="578"/>
      <c r="AC10" s="578"/>
      <c r="AD10" s="578"/>
      <c r="AE10" s="578"/>
      <c r="AF10" s="578"/>
      <c r="AG10" s="578"/>
      <c r="AH10" s="578"/>
      <c r="AI10" s="575" t="s">
        <v>1648</v>
      </c>
      <c r="AJ10" s="578"/>
      <c r="AK10" s="578"/>
      <c r="AL10" s="578"/>
      <c r="AM10" s="578"/>
      <c r="AN10" s="578"/>
      <c r="AO10" s="578"/>
      <c r="AP10" s="578"/>
      <c r="AQ10" s="578" t="s">
        <v>2156</v>
      </c>
      <c r="AR10" s="578" t="s">
        <v>2158</v>
      </c>
      <c r="AS10" s="818" t="s">
        <v>2443</v>
      </c>
      <c r="AT10" s="818" t="s">
        <v>3562</v>
      </c>
      <c r="AU10" s="818" t="s">
        <v>3563</v>
      </c>
      <c r="AV10" s="818" t="s">
        <v>3564</v>
      </c>
      <c r="AW10" s="818" t="s">
        <v>3565</v>
      </c>
      <c r="AX10" s="575"/>
      <c r="AY10" s="575"/>
      <c r="AZ10" s="575"/>
      <c r="BA10" s="575"/>
      <c r="BB10" s="575"/>
      <c r="BC10" s="575"/>
      <c r="BD10" s="575"/>
      <c r="BE10" s="575"/>
      <c r="BF10" s="575"/>
      <c r="BG10" s="575"/>
      <c r="BH10" s="575"/>
      <c r="BI10" s="575"/>
      <c r="BJ10" s="575"/>
      <c r="BK10" s="575"/>
      <c r="BL10" s="575"/>
      <c r="BM10" s="575"/>
      <c r="BN10" s="575"/>
      <c r="BO10" s="575"/>
      <c r="BP10" s="1206"/>
      <c r="BQ10" s="575"/>
      <c r="BR10" s="575"/>
      <c r="BS10" s="1799"/>
      <c r="BT10" s="1799"/>
      <c r="BU10" s="1799"/>
      <c r="BV10" s="1799"/>
      <c r="BW10" s="575"/>
      <c r="BX10" s="1091"/>
      <c r="BY10" s="1799"/>
      <c r="BZ10" s="575"/>
      <c r="CA10" s="575"/>
      <c r="CB10" s="575"/>
      <c r="CC10" s="575"/>
      <c r="CD10" s="575"/>
      <c r="CE10" s="575"/>
      <c r="CF10" s="575"/>
      <c r="CG10" s="575"/>
      <c r="CH10" s="575"/>
      <c r="CI10" s="575"/>
      <c r="CJ10" s="575"/>
      <c r="CK10" s="575"/>
      <c r="CL10" s="576" t="s">
        <v>3594</v>
      </c>
      <c r="CM10" s="578" t="s">
        <v>2004</v>
      </c>
      <c r="CN10" s="577"/>
      <c r="CO10" s="580"/>
    </row>
    <row r="11" spans="1:95" ht="18" customHeight="1" x14ac:dyDescent="0.25">
      <c r="B11" s="1243">
        <v>8</v>
      </c>
      <c r="C11" s="1191" t="s">
        <v>230</v>
      </c>
      <c r="D11" s="577" t="s">
        <v>2865</v>
      </c>
      <c r="E11" s="578" t="s">
        <v>2153</v>
      </c>
      <c r="F11" s="575" t="s">
        <v>1733</v>
      </c>
      <c r="G11" s="578"/>
      <c r="H11" s="578"/>
      <c r="I11" s="578"/>
      <c r="J11" s="2457"/>
      <c r="K11" s="578"/>
      <c r="L11" s="578"/>
      <c r="M11" s="578"/>
      <c r="N11" s="578"/>
      <c r="O11" s="578"/>
      <c r="P11" s="578"/>
      <c r="Q11" s="578"/>
      <c r="R11" s="578">
        <v>1</v>
      </c>
      <c r="S11" s="578"/>
      <c r="T11" s="578"/>
      <c r="U11" s="578"/>
      <c r="V11" s="578"/>
      <c r="W11" s="578"/>
      <c r="X11" s="578"/>
      <c r="Y11" s="578"/>
      <c r="Z11" s="2038"/>
      <c r="AA11" s="575" t="s">
        <v>1647</v>
      </c>
      <c r="AB11" s="578"/>
      <c r="AC11" s="578"/>
      <c r="AD11" s="578"/>
      <c r="AE11" s="578"/>
      <c r="AF11" s="578"/>
      <c r="AG11" s="578"/>
      <c r="AH11" s="578"/>
      <c r="AI11" s="575" t="s">
        <v>1648</v>
      </c>
      <c r="AJ11" s="578"/>
      <c r="AK11" s="578"/>
      <c r="AL11" s="578"/>
      <c r="AM11" s="578"/>
      <c r="AN11" s="578"/>
      <c r="AO11" s="578"/>
      <c r="AP11" s="578"/>
      <c r="AQ11" s="578" t="s">
        <v>2157</v>
      </c>
      <c r="AR11" s="578" t="s">
        <v>2159</v>
      </c>
      <c r="AS11" s="818" t="s">
        <v>2443</v>
      </c>
      <c r="AT11" s="818" t="s">
        <v>3562</v>
      </c>
      <c r="AU11" s="818" t="s">
        <v>3563</v>
      </c>
      <c r="AV11" s="818" t="s">
        <v>3564</v>
      </c>
      <c r="AW11" s="818" t="s">
        <v>3565</v>
      </c>
      <c r="AX11" s="575"/>
      <c r="AY11" s="575"/>
      <c r="AZ11" s="575"/>
      <c r="BA11" s="575"/>
      <c r="BB11" s="575"/>
      <c r="BC11" s="575"/>
      <c r="BD11" s="575"/>
      <c r="BE11" s="575"/>
      <c r="BF11" s="575"/>
      <c r="BG11" s="575"/>
      <c r="BH11" s="575"/>
      <c r="BI11" s="575"/>
      <c r="BJ11" s="575"/>
      <c r="BK11" s="575"/>
      <c r="BL11" s="575"/>
      <c r="BM11" s="575"/>
      <c r="BN11" s="575"/>
      <c r="BO11" s="575"/>
      <c r="BP11" s="1206"/>
      <c r="BQ11" s="575"/>
      <c r="BR11" s="575"/>
      <c r="BS11" s="1799"/>
      <c r="BT11" s="1799"/>
      <c r="BU11" s="1799"/>
      <c r="BV11" s="1799"/>
      <c r="BW11" s="575"/>
      <c r="BX11" s="1091"/>
      <c r="BY11" s="1799"/>
      <c r="BZ11" s="575"/>
      <c r="CA11" s="575"/>
      <c r="CB11" s="575"/>
      <c r="CC11" s="575"/>
      <c r="CD11" s="575"/>
      <c r="CE11" s="575"/>
      <c r="CF11" s="575"/>
      <c r="CG11" s="575"/>
      <c r="CH11" s="575"/>
      <c r="CI11" s="575"/>
      <c r="CJ11" s="575"/>
      <c r="CK11" s="575"/>
      <c r="CL11" s="576" t="s">
        <v>3595</v>
      </c>
      <c r="CM11" s="578" t="s">
        <v>2004</v>
      </c>
      <c r="CN11" s="577"/>
      <c r="CO11" s="580"/>
    </row>
    <row r="12" spans="1:95" ht="18" x14ac:dyDescent="0.25">
      <c r="B12" s="1243">
        <v>9</v>
      </c>
      <c r="C12" s="1191" t="s">
        <v>231</v>
      </c>
      <c r="D12" s="577" t="s">
        <v>1652</v>
      </c>
      <c r="E12" s="578"/>
      <c r="F12" s="578"/>
      <c r="G12" s="575" t="s">
        <v>1734</v>
      </c>
      <c r="H12" s="578"/>
      <c r="I12" s="578"/>
      <c r="J12" s="2457"/>
      <c r="K12" s="578"/>
      <c r="L12" s="578"/>
      <c r="M12" s="578"/>
      <c r="N12" s="578"/>
      <c r="O12" s="578"/>
      <c r="P12" s="578"/>
      <c r="Q12" s="578"/>
      <c r="R12" s="578">
        <v>1</v>
      </c>
      <c r="S12" s="578"/>
      <c r="T12" s="578"/>
      <c r="U12" s="578"/>
      <c r="V12" s="578"/>
      <c r="W12" s="578"/>
      <c r="X12" s="578"/>
      <c r="Y12" s="578"/>
      <c r="Z12" s="2038"/>
      <c r="AA12" s="575" t="s">
        <v>1647</v>
      </c>
      <c r="AB12" s="578"/>
      <c r="AC12" s="578"/>
      <c r="AD12" s="578"/>
      <c r="AE12" s="578"/>
      <c r="AF12" s="578"/>
      <c r="AG12" s="578"/>
      <c r="AH12" s="578"/>
      <c r="AI12" s="575" t="s">
        <v>1648</v>
      </c>
      <c r="AJ12" s="578"/>
      <c r="AK12" s="578"/>
      <c r="AL12" s="578"/>
      <c r="AM12" s="578"/>
      <c r="AN12" s="578"/>
      <c r="AO12" s="575" t="s">
        <v>1737</v>
      </c>
      <c r="AP12" s="575"/>
      <c r="AQ12" s="575"/>
      <c r="AR12" s="575" t="s">
        <v>1966</v>
      </c>
      <c r="AS12" s="818" t="s">
        <v>2443</v>
      </c>
      <c r="AT12" s="818" t="s">
        <v>3562</v>
      </c>
      <c r="AU12" s="818" t="s">
        <v>3563</v>
      </c>
      <c r="AV12" s="818" t="s">
        <v>3564</v>
      </c>
      <c r="AW12" s="818" t="s">
        <v>3565</v>
      </c>
      <c r="AX12" s="575"/>
      <c r="AY12" s="575"/>
      <c r="AZ12" s="575"/>
      <c r="BA12" s="575"/>
      <c r="BB12" s="575"/>
      <c r="BC12" s="575"/>
      <c r="BD12" s="575"/>
      <c r="BE12" s="575"/>
      <c r="BF12" s="575"/>
      <c r="BG12" s="575"/>
      <c r="BH12" s="575"/>
      <c r="BI12" s="575"/>
      <c r="BJ12" s="575"/>
      <c r="BK12" s="575"/>
      <c r="BL12" s="575"/>
      <c r="BM12" s="575"/>
      <c r="BN12" s="575"/>
      <c r="BO12" s="575"/>
      <c r="BP12" s="1206"/>
      <c r="BQ12" s="575"/>
      <c r="BR12" s="575"/>
      <c r="BS12" s="1799"/>
      <c r="BT12" s="1799"/>
      <c r="BU12" s="1799"/>
      <c r="BV12" s="1799"/>
      <c r="BW12" s="575"/>
      <c r="BX12" s="1091"/>
      <c r="BY12" s="1799"/>
      <c r="BZ12" s="575"/>
      <c r="CA12" s="575"/>
      <c r="CB12" s="575"/>
      <c r="CC12" s="575"/>
      <c r="CD12" s="575"/>
      <c r="CE12" s="575"/>
      <c r="CF12" s="575"/>
      <c r="CG12" s="575"/>
      <c r="CH12" s="575"/>
      <c r="CI12" s="575"/>
      <c r="CJ12" s="575"/>
      <c r="CK12" s="575"/>
      <c r="CL12" s="576" t="s">
        <v>3596</v>
      </c>
      <c r="CM12" s="578" t="s">
        <v>2004</v>
      </c>
      <c r="CN12" s="577"/>
      <c r="CO12" s="579"/>
    </row>
    <row r="13" spans="1:95" ht="18" x14ac:dyDescent="0.25">
      <c r="B13" s="1243">
        <v>10</v>
      </c>
      <c r="C13" s="1191" t="s">
        <v>232</v>
      </c>
      <c r="D13" s="577" t="s">
        <v>288</v>
      </c>
      <c r="E13" s="578"/>
      <c r="F13" s="578"/>
      <c r="G13" s="578"/>
      <c r="H13" s="578"/>
      <c r="I13" s="578"/>
      <c r="J13" s="578" t="s">
        <v>1653</v>
      </c>
      <c r="K13" s="578"/>
      <c r="L13" s="578"/>
      <c r="M13" s="578"/>
      <c r="N13" s="578"/>
      <c r="O13" s="578"/>
      <c r="P13" s="578" t="s">
        <v>1654</v>
      </c>
      <c r="Q13" s="578"/>
      <c r="R13" s="578">
        <v>-1</v>
      </c>
      <c r="S13" s="578"/>
      <c r="T13" s="578"/>
      <c r="U13" s="578"/>
      <c r="V13" s="578"/>
      <c r="W13" s="578"/>
      <c r="X13" s="578"/>
      <c r="Y13" s="578"/>
      <c r="Z13" s="2038"/>
      <c r="AA13" s="575" t="s">
        <v>2131</v>
      </c>
      <c r="AB13" s="578"/>
      <c r="AC13" s="578"/>
      <c r="AD13" s="578"/>
      <c r="AE13" s="578"/>
      <c r="AF13" s="578"/>
      <c r="AG13" s="578" t="s">
        <v>1655</v>
      </c>
      <c r="AH13" s="578"/>
      <c r="AI13" s="578"/>
      <c r="AJ13" s="578"/>
      <c r="AK13" s="578"/>
      <c r="AL13" s="578"/>
      <c r="AM13" s="578" t="s">
        <v>1656</v>
      </c>
      <c r="AN13" s="578"/>
      <c r="AO13" s="578"/>
      <c r="AP13" s="578"/>
      <c r="AQ13" s="578"/>
      <c r="AR13" s="2457" t="s">
        <v>5288</v>
      </c>
      <c r="AS13" s="819"/>
      <c r="AT13" s="818"/>
      <c r="AU13" s="818"/>
      <c r="AV13" s="818"/>
      <c r="AW13" s="818"/>
      <c r="AX13" s="575"/>
      <c r="AY13" s="575"/>
      <c r="AZ13" s="575"/>
      <c r="BA13" s="575"/>
      <c r="BB13" s="575"/>
      <c r="BC13" s="575"/>
      <c r="BD13" s="575"/>
      <c r="BE13" s="575"/>
      <c r="BF13" s="575"/>
      <c r="BG13" s="575"/>
      <c r="BH13" s="575"/>
      <c r="BI13" s="575"/>
      <c r="BJ13" s="575"/>
      <c r="BK13" s="575"/>
      <c r="BL13" s="575"/>
      <c r="BM13" s="575"/>
      <c r="BN13" s="575"/>
      <c r="BO13" s="575"/>
      <c r="BP13" s="1206"/>
      <c r="BQ13" s="575"/>
      <c r="BR13" s="575"/>
      <c r="BS13" s="1799"/>
      <c r="BT13" s="1799"/>
      <c r="BU13" s="1799"/>
      <c r="BV13" s="1799"/>
      <c r="BW13" s="575"/>
      <c r="BX13" s="1091"/>
      <c r="BY13" s="1799"/>
      <c r="BZ13" s="575"/>
      <c r="CA13" s="575"/>
      <c r="CB13" s="575"/>
      <c r="CC13" s="575"/>
      <c r="CD13" s="575"/>
      <c r="CE13" s="575"/>
      <c r="CF13" s="575"/>
      <c r="CG13" s="575"/>
      <c r="CH13" s="575"/>
      <c r="CI13" s="575"/>
      <c r="CJ13" s="575"/>
      <c r="CK13" s="575"/>
      <c r="CL13" s="576" t="s">
        <v>2982</v>
      </c>
      <c r="CM13" s="578" t="s">
        <v>2004</v>
      </c>
      <c r="CN13" s="577"/>
      <c r="CO13" s="579"/>
    </row>
    <row r="14" spans="1:95" ht="18" x14ac:dyDescent="0.25">
      <c r="B14" s="1243">
        <v>11</v>
      </c>
      <c r="C14" s="1191" t="s">
        <v>233</v>
      </c>
      <c r="D14" s="577" t="s">
        <v>2975</v>
      </c>
      <c r="E14" s="578"/>
      <c r="F14" s="578"/>
      <c r="G14" s="578"/>
      <c r="H14" s="578"/>
      <c r="I14" s="578"/>
      <c r="J14" s="578" t="s">
        <v>1653</v>
      </c>
      <c r="K14" s="578"/>
      <c r="L14" s="578"/>
      <c r="M14" s="578"/>
      <c r="N14" s="578"/>
      <c r="O14" s="578"/>
      <c r="P14" s="578"/>
      <c r="Q14" s="578" t="s">
        <v>1654</v>
      </c>
      <c r="R14" s="578">
        <v>-1</v>
      </c>
      <c r="S14" s="578"/>
      <c r="T14" s="578"/>
      <c r="U14" s="578"/>
      <c r="V14" s="578"/>
      <c r="W14" s="578"/>
      <c r="X14" s="578"/>
      <c r="Y14" s="578"/>
      <c r="Z14" s="2038"/>
      <c r="AA14" s="575" t="s">
        <v>2131</v>
      </c>
      <c r="AB14" s="578"/>
      <c r="AC14" s="578"/>
      <c r="AD14" s="578"/>
      <c r="AE14" s="578"/>
      <c r="AF14" s="578"/>
      <c r="AG14" s="578" t="s">
        <v>1655</v>
      </c>
      <c r="AH14" s="578"/>
      <c r="AI14" s="578"/>
      <c r="AJ14" s="578"/>
      <c r="AK14" s="578"/>
      <c r="AL14" s="578"/>
      <c r="AM14" s="578" t="s">
        <v>1656</v>
      </c>
      <c r="AN14" s="578"/>
      <c r="AO14" s="578"/>
      <c r="AP14" s="578"/>
      <c r="AQ14" s="578"/>
      <c r="AR14" s="2457" t="s">
        <v>5288</v>
      </c>
      <c r="AS14" s="819"/>
      <c r="AT14" s="818"/>
      <c r="AU14" s="818"/>
      <c r="AV14" s="818"/>
      <c r="AW14" s="818"/>
      <c r="AX14" s="575"/>
      <c r="AY14" s="575"/>
      <c r="AZ14" s="575"/>
      <c r="BA14" s="575"/>
      <c r="BB14" s="575"/>
      <c r="BC14" s="575"/>
      <c r="BD14" s="575"/>
      <c r="BE14" s="575"/>
      <c r="BF14" s="575"/>
      <c r="BG14" s="575"/>
      <c r="BH14" s="575"/>
      <c r="BI14" s="575"/>
      <c r="BJ14" s="575"/>
      <c r="BK14" s="575"/>
      <c r="BL14" s="575"/>
      <c r="BM14" s="575"/>
      <c r="BN14" s="575"/>
      <c r="BO14" s="575"/>
      <c r="BP14" s="1206"/>
      <c r="BQ14" s="575"/>
      <c r="BR14" s="575"/>
      <c r="BS14" s="1799"/>
      <c r="BT14" s="1799"/>
      <c r="BU14" s="1799"/>
      <c r="BV14" s="1799"/>
      <c r="BW14" s="575"/>
      <c r="BX14" s="1091"/>
      <c r="BY14" s="1799"/>
      <c r="BZ14" s="575"/>
      <c r="CA14" s="575"/>
      <c r="CB14" s="575"/>
      <c r="CC14" s="575"/>
      <c r="CD14" s="575"/>
      <c r="CE14" s="575"/>
      <c r="CF14" s="575"/>
      <c r="CG14" s="575"/>
      <c r="CH14" s="575"/>
      <c r="CI14" s="575"/>
      <c r="CJ14" s="575"/>
      <c r="CK14" s="575"/>
      <c r="CL14" s="576" t="s">
        <v>2983</v>
      </c>
      <c r="CM14" s="578" t="s">
        <v>2004</v>
      </c>
      <c r="CN14" s="577"/>
      <c r="CO14" s="579"/>
    </row>
    <row r="15" spans="1:95" ht="18" x14ac:dyDescent="0.25">
      <c r="B15" s="1244">
        <v>12</v>
      </c>
      <c r="C15" s="1192" t="s">
        <v>234</v>
      </c>
      <c r="D15" s="584" t="s">
        <v>2216</v>
      </c>
      <c r="E15" s="581"/>
      <c r="F15" s="581"/>
      <c r="G15" s="582" t="s">
        <v>1658</v>
      </c>
      <c r="H15" s="581"/>
      <c r="I15" s="581"/>
      <c r="J15" s="581"/>
      <c r="K15" s="581"/>
      <c r="L15" s="581"/>
      <c r="M15" s="581"/>
      <c r="N15" s="581"/>
      <c r="O15" s="581"/>
      <c r="P15" s="581"/>
      <c r="Q15" s="581"/>
      <c r="R15" s="581"/>
      <c r="S15" s="581"/>
      <c r="T15" s="581">
        <v>1</v>
      </c>
      <c r="U15" s="581"/>
      <c r="V15" s="581"/>
      <c r="W15" s="581"/>
      <c r="X15" s="581"/>
      <c r="Y15" s="581"/>
      <c r="Z15" s="2039"/>
      <c r="AA15" s="581" t="s">
        <v>1647</v>
      </c>
      <c r="AB15" s="582" t="s">
        <v>2226</v>
      </c>
      <c r="AC15" s="582"/>
      <c r="AD15" s="582" t="s">
        <v>2227</v>
      </c>
      <c r="AE15" s="581"/>
      <c r="AF15" s="581"/>
      <c r="AG15" s="581"/>
      <c r="AH15" s="581"/>
      <c r="AI15" s="582" t="s">
        <v>1648</v>
      </c>
      <c r="AJ15" s="581"/>
      <c r="AK15" s="581"/>
      <c r="AL15" s="581"/>
      <c r="AM15" s="581"/>
      <c r="AN15" s="581"/>
      <c r="AO15" s="581"/>
      <c r="AP15" s="581"/>
      <c r="AQ15" s="581"/>
      <c r="AR15" s="582" t="s">
        <v>1965</v>
      </c>
      <c r="AS15" s="820" t="s">
        <v>2443</v>
      </c>
      <c r="AT15" s="820" t="s">
        <v>3562</v>
      </c>
      <c r="AU15" s="820" t="s">
        <v>3563</v>
      </c>
      <c r="AV15" s="820" t="s">
        <v>3564</v>
      </c>
      <c r="AW15" s="820" t="s">
        <v>3565</v>
      </c>
      <c r="AX15" s="582"/>
      <c r="AY15" s="582"/>
      <c r="AZ15" s="582"/>
      <c r="BA15" s="582"/>
      <c r="BB15" s="582"/>
      <c r="BC15" s="582"/>
      <c r="BD15" s="582"/>
      <c r="BE15" s="582"/>
      <c r="BF15" s="582"/>
      <c r="BG15" s="582"/>
      <c r="BH15" s="582"/>
      <c r="BI15" s="582"/>
      <c r="BJ15" s="582"/>
      <c r="BK15" s="582"/>
      <c r="BL15" s="582"/>
      <c r="BM15" s="582"/>
      <c r="BN15" s="582"/>
      <c r="BO15" s="582"/>
      <c r="BP15" s="1207"/>
      <c r="BQ15" s="582"/>
      <c r="BR15" s="582"/>
      <c r="BS15" s="1800"/>
      <c r="BT15" s="1800"/>
      <c r="BU15" s="1800"/>
      <c r="BV15" s="1800"/>
      <c r="BW15" s="582"/>
      <c r="BX15" s="1092"/>
      <c r="BY15" s="1800"/>
      <c r="BZ15" s="582"/>
      <c r="CA15" s="582"/>
      <c r="CB15" s="582"/>
      <c r="CC15" s="582"/>
      <c r="CD15" s="582"/>
      <c r="CE15" s="582"/>
      <c r="CF15" s="582"/>
      <c r="CG15" s="582"/>
      <c r="CH15" s="582"/>
      <c r="CI15" s="582"/>
      <c r="CJ15" s="582"/>
      <c r="CK15" s="582"/>
      <c r="CL15" s="583" t="s">
        <v>5398</v>
      </c>
      <c r="CM15" s="581" t="s">
        <v>2004</v>
      </c>
      <c r="CN15" s="584"/>
      <c r="CO15" s="585"/>
    </row>
    <row r="16" spans="1:95" ht="18" x14ac:dyDescent="0.25">
      <c r="B16" s="1244">
        <v>13</v>
      </c>
      <c r="C16" s="1192" t="s">
        <v>235</v>
      </c>
      <c r="D16" s="584" t="s">
        <v>1657</v>
      </c>
      <c r="E16" s="581"/>
      <c r="F16" s="581"/>
      <c r="G16" s="582" t="s">
        <v>1658</v>
      </c>
      <c r="H16" s="581"/>
      <c r="I16" s="581"/>
      <c r="J16" s="581"/>
      <c r="K16" s="581"/>
      <c r="L16" s="581"/>
      <c r="M16" s="581"/>
      <c r="N16" s="581"/>
      <c r="O16" s="581"/>
      <c r="P16" s="581"/>
      <c r="Q16" s="581"/>
      <c r="R16" s="581"/>
      <c r="S16" s="581"/>
      <c r="T16" s="581">
        <v>1</v>
      </c>
      <c r="U16" s="581"/>
      <c r="V16" s="581"/>
      <c r="W16" s="581"/>
      <c r="X16" s="581"/>
      <c r="Y16" s="581"/>
      <c r="Z16" s="2039"/>
      <c r="AA16" s="581" t="s">
        <v>1647</v>
      </c>
      <c r="AB16" s="582" t="s">
        <v>2228</v>
      </c>
      <c r="AC16" s="582" t="s">
        <v>2229</v>
      </c>
      <c r="AD16" s="582"/>
      <c r="AE16" s="581"/>
      <c r="AF16" s="581"/>
      <c r="AG16" s="581"/>
      <c r="AH16" s="581"/>
      <c r="AI16" s="582" t="s">
        <v>1648</v>
      </c>
      <c r="AJ16" s="581"/>
      <c r="AK16" s="581"/>
      <c r="AL16" s="581"/>
      <c r="AM16" s="581"/>
      <c r="AN16" s="581"/>
      <c r="AO16" s="581"/>
      <c r="AP16" s="581"/>
      <c r="AQ16" s="581"/>
      <c r="AR16" s="582" t="s">
        <v>1965</v>
      </c>
      <c r="AS16" s="820" t="s">
        <v>2443</v>
      </c>
      <c r="AT16" s="820" t="s">
        <v>3562</v>
      </c>
      <c r="AU16" s="820" t="s">
        <v>3563</v>
      </c>
      <c r="AV16" s="820" t="s">
        <v>3564</v>
      </c>
      <c r="AW16" s="820" t="s">
        <v>3565</v>
      </c>
      <c r="AX16" s="582"/>
      <c r="AY16" s="582"/>
      <c r="AZ16" s="582"/>
      <c r="BA16" s="582"/>
      <c r="BB16" s="582"/>
      <c r="BC16" s="582"/>
      <c r="BD16" s="582"/>
      <c r="BE16" s="582"/>
      <c r="BF16" s="582"/>
      <c r="BG16" s="582"/>
      <c r="BH16" s="582"/>
      <c r="BI16" s="582"/>
      <c r="BJ16" s="582"/>
      <c r="BK16" s="582"/>
      <c r="BL16" s="582"/>
      <c r="BM16" s="582"/>
      <c r="BN16" s="582"/>
      <c r="BO16" s="582"/>
      <c r="BP16" s="1207"/>
      <c r="BQ16" s="582"/>
      <c r="BR16" s="582"/>
      <c r="BS16" s="1800"/>
      <c r="BT16" s="1800"/>
      <c r="BU16" s="1800"/>
      <c r="BV16" s="1800"/>
      <c r="BW16" s="582"/>
      <c r="BX16" s="1092"/>
      <c r="BY16" s="1800"/>
      <c r="BZ16" s="582"/>
      <c r="CA16" s="582"/>
      <c r="CB16" s="582"/>
      <c r="CC16" s="582"/>
      <c r="CD16" s="582"/>
      <c r="CE16" s="582"/>
      <c r="CF16" s="582"/>
      <c r="CG16" s="582"/>
      <c r="CH16" s="582"/>
      <c r="CI16" s="582"/>
      <c r="CJ16" s="582"/>
      <c r="CK16" s="582"/>
      <c r="CL16" s="583" t="s">
        <v>5335</v>
      </c>
      <c r="CM16" s="581" t="s">
        <v>2004</v>
      </c>
      <c r="CN16" s="584"/>
      <c r="CO16" s="585"/>
    </row>
    <row r="17" spans="2:95" ht="18" x14ac:dyDescent="0.25">
      <c r="B17" s="1244">
        <v>14</v>
      </c>
      <c r="C17" s="1192" t="s">
        <v>236</v>
      </c>
      <c r="D17" s="584" t="s">
        <v>289</v>
      </c>
      <c r="E17" s="581"/>
      <c r="F17" s="581"/>
      <c r="G17" s="581"/>
      <c r="H17" s="581"/>
      <c r="I17" s="581"/>
      <c r="J17" s="581" t="s">
        <v>1653</v>
      </c>
      <c r="K17" s="581"/>
      <c r="L17" s="581"/>
      <c r="M17" s="581"/>
      <c r="N17" s="581"/>
      <c r="O17" s="581"/>
      <c r="P17" s="581" t="s">
        <v>1654</v>
      </c>
      <c r="Q17" s="581"/>
      <c r="R17" s="581"/>
      <c r="S17" s="581"/>
      <c r="T17" s="581">
        <v>-1</v>
      </c>
      <c r="U17" s="581"/>
      <c r="V17" s="581"/>
      <c r="W17" s="581"/>
      <c r="X17" s="581"/>
      <c r="Y17" s="581"/>
      <c r="Z17" s="2039"/>
      <c r="AA17" s="581" t="s">
        <v>2131</v>
      </c>
      <c r="AB17" s="581"/>
      <c r="AC17" s="581"/>
      <c r="AD17" s="581"/>
      <c r="AE17" s="581"/>
      <c r="AF17" s="581"/>
      <c r="AG17" s="581" t="s">
        <v>1655</v>
      </c>
      <c r="AH17" s="581"/>
      <c r="AI17" s="581"/>
      <c r="AJ17" s="581"/>
      <c r="AK17" s="581"/>
      <c r="AL17" s="581"/>
      <c r="AM17" s="581" t="s">
        <v>1656</v>
      </c>
      <c r="AN17" s="581"/>
      <c r="AO17" s="581"/>
      <c r="AP17" s="581"/>
      <c r="AQ17" s="581"/>
      <c r="AR17" s="2458" t="s">
        <v>5288</v>
      </c>
      <c r="AS17" s="2458"/>
      <c r="AT17" s="2497"/>
      <c r="AU17" s="2497"/>
      <c r="AV17" s="2497"/>
      <c r="AW17" s="2497"/>
      <c r="AX17" s="582"/>
      <c r="AY17" s="582"/>
      <c r="AZ17" s="582"/>
      <c r="BA17" s="582"/>
      <c r="BB17" s="582"/>
      <c r="BC17" s="582"/>
      <c r="BD17" s="582"/>
      <c r="BE17" s="582"/>
      <c r="BF17" s="582"/>
      <c r="BG17" s="582"/>
      <c r="BH17" s="582"/>
      <c r="BI17" s="582"/>
      <c r="BJ17" s="582"/>
      <c r="BK17" s="582"/>
      <c r="BL17" s="582"/>
      <c r="BM17" s="582"/>
      <c r="BN17" s="582"/>
      <c r="BO17" s="582"/>
      <c r="BP17" s="1207"/>
      <c r="BQ17" s="582"/>
      <c r="BR17" s="582"/>
      <c r="BS17" s="1800"/>
      <c r="BT17" s="1800"/>
      <c r="BU17" s="1800"/>
      <c r="BV17" s="1800"/>
      <c r="BW17" s="582"/>
      <c r="BX17" s="1092"/>
      <c r="BY17" s="1800"/>
      <c r="BZ17" s="582"/>
      <c r="CA17" s="582"/>
      <c r="CB17" s="582"/>
      <c r="CC17" s="582"/>
      <c r="CD17" s="582"/>
      <c r="CE17" s="582"/>
      <c r="CF17" s="582"/>
      <c r="CG17" s="582"/>
      <c r="CH17" s="582"/>
      <c r="CI17" s="582"/>
      <c r="CJ17" s="582"/>
      <c r="CK17" s="582"/>
      <c r="CL17" s="583" t="s">
        <v>3488</v>
      </c>
      <c r="CM17" s="581" t="s">
        <v>2004</v>
      </c>
      <c r="CN17" s="584"/>
      <c r="CO17" s="585"/>
    </row>
    <row r="18" spans="2:95" ht="18" x14ac:dyDescent="0.25">
      <c r="B18" s="1244">
        <v>15</v>
      </c>
      <c r="C18" s="1192" t="s">
        <v>237</v>
      </c>
      <c r="D18" s="584" t="s">
        <v>2976</v>
      </c>
      <c r="E18" s="581"/>
      <c r="F18" s="581"/>
      <c r="G18" s="581"/>
      <c r="H18" s="581"/>
      <c r="I18" s="581"/>
      <c r="J18" s="581" t="s">
        <v>1653</v>
      </c>
      <c r="K18" s="581"/>
      <c r="L18" s="581"/>
      <c r="M18" s="581"/>
      <c r="N18" s="581"/>
      <c r="O18" s="581"/>
      <c r="P18" s="581"/>
      <c r="Q18" s="581" t="s">
        <v>1654</v>
      </c>
      <c r="R18" s="581"/>
      <c r="S18" s="581"/>
      <c r="T18" s="581">
        <v>-1</v>
      </c>
      <c r="U18" s="581"/>
      <c r="V18" s="581"/>
      <c r="W18" s="581"/>
      <c r="X18" s="581"/>
      <c r="Y18" s="581"/>
      <c r="Z18" s="2039"/>
      <c r="AA18" s="581" t="s">
        <v>2131</v>
      </c>
      <c r="AB18" s="581"/>
      <c r="AC18" s="581"/>
      <c r="AD18" s="581"/>
      <c r="AE18" s="581"/>
      <c r="AF18" s="581"/>
      <c r="AG18" s="581" t="s">
        <v>1655</v>
      </c>
      <c r="AH18" s="581"/>
      <c r="AI18" s="581"/>
      <c r="AJ18" s="581"/>
      <c r="AK18" s="581"/>
      <c r="AL18" s="581"/>
      <c r="AM18" s="581" t="s">
        <v>1656</v>
      </c>
      <c r="AN18" s="581"/>
      <c r="AO18" s="581"/>
      <c r="AP18" s="581"/>
      <c r="AQ18" s="581"/>
      <c r="AR18" s="2458" t="s">
        <v>5288</v>
      </c>
      <c r="AS18" s="2458"/>
      <c r="AT18" s="2497"/>
      <c r="AU18" s="2497"/>
      <c r="AV18" s="2497"/>
      <c r="AW18" s="2497"/>
      <c r="AX18" s="582"/>
      <c r="AY18" s="582"/>
      <c r="AZ18" s="582"/>
      <c r="BA18" s="582"/>
      <c r="BB18" s="582"/>
      <c r="BC18" s="582"/>
      <c r="BD18" s="582"/>
      <c r="BE18" s="582"/>
      <c r="BF18" s="582"/>
      <c r="BG18" s="582"/>
      <c r="BH18" s="582"/>
      <c r="BI18" s="582"/>
      <c r="BJ18" s="582"/>
      <c r="BK18" s="582"/>
      <c r="BL18" s="582"/>
      <c r="BM18" s="582"/>
      <c r="BN18" s="582"/>
      <c r="BO18" s="582"/>
      <c r="BP18" s="1207"/>
      <c r="BQ18" s="582"/>
      <c r="BR18" s="582"/>
      <c r="BS18" s="1800"/>
      <c r="BT18" s="1800"/>
      <c r="BU18" s="1800"/>
      <c r="BV18" s="1800"/>
      <c r="BW18" s="582"/>
      <c r="BX18" s="1092"/>
      <c r="BY18" s="1800"/>
      <c r="BZ18" s="582"/>
      <c r="CA18" s="582"/>
      <c r="CB18" s="582"/>
      <c r="CC18" s="582"/>
      <c r="CD18" s="582"/>
      <c r="CE18" s="582"/>
      <c r="CF18" s="582"/>
      <c r="CG18" s="582"/>
      <c r="CH18" s="582"/>
      <c r="CI18" s="582"/>
      <c r="CJ18" s="582"/>
      <c r="CK18" s="582"/>
      <c r="CL18" s="583" t="s">
        <v>3489</v>
      </c>
      <c r="CM18" s="581" t="s">
        <v>2004</v>
      </c>
      <c r="CN18" s="584"/>
      <c r="CO18" s="585"/>
    </row>
    <row r="19" spans="2:95" ht="18" x14ac:dyDescent="0.25">
      <c r="B19" s="1245">
        <v>16</v>
      </c>
      <c r="C19" s="586" t="s">
        <v>238</v>
      </c>
      <c r="D19" s="587" t="s">
        <v>5213</v>
      </c>
      <c r="E19" s="588"/>
      <c r="F19" s="588"/>
      <c r="G19" s="588"/>
      <c r="H19" s="588"/>
      <c r="I19" s="588"/>
      <c r="J19" s="2450"/>
      <c r="K19" s="588"/>
      <c r="L19" s="588"/>
      <c r="M19" s="588"/>
      <c r="N19" s="1093" t="s">
        <v>5219</v>
      </c>
      <c r="O19" s="1093" t="s">
        <v>5228</v>
      </c>
      <c r="P19" s="588"/>
      <c r="Q19" s="588"/>
      <c r="R19" s="588"/>
      <c r="S19" s="588">
        <v>1</v>
      </c>
      <c r="T19" s="588"/>
      <c r="U19" s="588"/>
      <c r="V19" s="588"/>
      <c r="W19" s="588"/>
      <c r="X19" s="588"/>
      <c r="Y19" s="588"/>
      <c r="Z19" s="1802"/>
      <c r="AA19" s="588" t="s">
        <v>1647</v>
      </c>
      <c r="AB19" s="588"/>
      <c r="AC19" s="588"/>
      <c r="AD19" s="588"/>
      <c r="AE19" s="588"/>
      <c r="AF19" s="588"/>
      <c r="AG19" s="588"/>
      <c r="AH19" s="588"/>
      <c r="AI19" s="911" t="s">
        <v>1648</v>
      </c>
      <c r="AJ19" s="588"/>
      <c r="AK19" s="588"/>
      <c r="AL19" s="588"/>
      <c r="AM19" s="588"/>
      <c r="AN19" s="588"/>
      <c r="AO19" s="1093" t="s">
        <v>4240</v>
      </c>
      <c r="AP19" s="589"/>
      <c r="AQ19" s="589"/>
      <c r="AR19" s="1093" t="s">
        <v>4243</v>
      </c>
      <c r="AS19" s="821" t="s">
        <v>2443</v>
      </c>
      <c r="AT19" s="1093" t="s">
        <v>3562</v>
      </c>
      <c r="AU19" s="1093" t="s">
        <v>3563</v>
      </c>
      <c r="AV19" s="1093" t="s">
        <v>3564</v>
      </c>
      <c r="AW19" s="1093" t="s">
        <v>3565</v>
      </c>
      <c r="AX19" s="1093"/>
      <c r="AY19" s="589"/>
      <c r="AZ19" s="589"/>
      <c r="BA19" s="589"/>
      <c r="BB19" s="589"/>
      <c r="BC19" s="589"/>
      <c r="BD19" s="589"/>
      <c r="BE19" s="589"/>
      <c r="BF19" s="589"/>
      <c r="BG19" s="589"/>
      <c r="BH19" s="589"/>
      <c r="BI19" s="589"/>
      <c r="BJ19" s="589"/>
      <c r="BK19" s="589"/>
      <c r="BL19" s="589"/>
      <c r="BM19" s="589"/>
      <c r="BN19" s="589"/>
      <c r="BO19" s="589"/>
      <c r="BP19" s="911"/>
      <c r="BQ19" s="589"/>
      <c r="BR19" s="589"/>
      <c r="BS19" s="1801"/>
      <c r="BT19" s="1801"/>
      <c r="BU19" s="1801"/>
      <c r="BV19" s="1801"/>
      <c r="BW19" s="589"/>
      <c r="BX19" s="1093"/>
      <c r="BY19" s="1801"/>
      <c r="BZ19" s="589"/>
      <c r="CA19" s="589"/>
      <c r="CB19" s="589"/>
      <c r="CC19" s="589"/>
      <c r="CD19" s="589"/>
      <c r="CE19" s="589"/>
      <c r="CF19" s="589"/>
      <c r="CG19" s="589"/>
      <c r="CH19" s="589"/>
      <c r="CI19" s="589"/>
      <c r="CJ19" s="589"/>
      <c r="CK19" s="589"/>
      <c r="CL19" s="953" t="s">
        <v>4283</v>
      </c>
      <c r="CM19" s="588" t="s">
        <v>2004</v>
      </c>
      <c r="CN19" s="587"/>
      <c r="CO19" s="590"/>
    </row>
    <row r="20" spans="2:95" ht="18" x14ac:dyDescent="0.25">
      <c r="B20" s="1245">
        <v>17</v>
      </c>
      <c r="C20" s="586" t="s">
        <v>239</v>
      </c>
      <c r="D20" s="587" t="s">
        <v>5214</v>
      </c>
      <c r="E20" s="588"/>
      <c r="F20" s="588"/>
      <c r="G20" s="588"/>
      <c r="H20" s="588"/>
      <c r="I20" s="588"/>
      <c r="J20" s="2450"/>
      <c r="K20" s="588"/>
      <c r="L20" s="588"/>
      <c r="M20" s="588"/>
      <c r="N20" s="1093" t="s">
        <v>5220</v>
      </c>
      <c r="O20" s="1093" t="s">
        <v>5227</v>
      </c>
      <c r="P20" s="588"/>
      <c r="Q20" s="588"/>
      <c r="R20" s="588"/>
      <c r="S20" s="588">
        <v>1</v>
      </c>
      <c r="T20" s="588"/>
      <c r="U20" s="588"/>
      <c r="V20" s="588"/>
      <c r="W20" s="588"/>
      <c r="X20" s="588"/>
      <c r="Y20" s="588"/>
      <c r="Z20" s="1802"/>
      <c r="AA20" s="588" t="s">
        <v>1647</v>
      </c>
      <c r="AB20" s="589" t="s">
        <v>4229</v>
      </c>
      <c r="AC20" s="589"/>
      <c r="AD20" s="589" t="s">
        <v>4234</v>
      </c>
      <c r="AE20" s="588"/>
      <c r="AF20" s="588"/>
      <c r="AG20" s="588"/>
      <c r="AH20" s="588"/>
      <c r="AI20" s="911" t="s">
        <v>1648</v>
      </c>
      <c r="AJ20" s="588"/>
      <c r="AK20" s="588"/>
      <c r="AL20" s="588"/>
      <c r="AM20" s="588"/>
      <c r="AN20" s="588"/>
      <c r="AO20" s="589"/>
      <c r="AP20" s="589"/>
      <c r="AQ20" s="589"/>
      <c r="AR20" s="1093" t="s">
        <v>4244</v>
      </c>
      <c r="AS20" s="821" t="s">
        <v>2443</v>
      </c>
      <c r="AT20" s="1093" t="s">
        <v>3562</v>
      </c>
      <c r="AU20" s="1093" t="s">
        <v>3563</v>
      </c>
      <c r="AV20" s="1093" t="s">
        <v>3564</v>
      </c>
      <c r="AW20" s="1093" t="s">
        <v>3565</v>
      </c>
      <c r="AX20" s="1093"/>
      <c r="AY20" s="589"/>
      <c r="AZ20" s="589"/>
      <c r="BA20" s="589"/>
      <c r="BB20" s="589"/>
      <c r="BC20" s="589"/>
      <c r="BD20" s="589"/>
      <c r="BE20" s="589"/>
      <c r="BF20" s="589"/>
      <c r="BG20" s="589"/>
      <c r="BH20" s="589"/>
      <c r="BI20" s="589"/>
      <c r="BJ20" s="589"/>
      <c r="BK20" s="589"/>
      <c r="BL20" s="589"/>
      <c r="BM20" s="589"/>
      <c r="BN20" s="589"/>
      <c r="BO20" s="589"/>
      <c r="BP20" s="911"/>
      <c r="BQ20" s="589"/>
      <c r="BR20" s="589"/>
      <c r="BS20" s="1801"/>
      <c r="BT20" s="1801"/>
      <c r="BU20" s="1801"/>
      <c r="BV20" s="1801"/>
      <c r="BW20" s="589"/>
      <c r="BX20" s="1093"/>
      <c r="BY20" s="1801"/>
      <c r="BZ20" s="589"/>
      <c r="CA20" s="589"/>
      <c r="CB20" s="589"/>
      <c r="CC20" s="589"/>
      <c r="CD20" s="589"/>
      <c r="CE20" s="589"/>
      <c r="CF20" s="589"/>
      <c r="CG20" s="589"/>
      <c r="CH20" s="589"/>
      <c r="CI20" s="589"/>
      <c r="CJ20" s="589"/>
      <c r="CK20" s="589"/>
      <c r="CL20" s="953" t="s">
        <v>4284</v>
      </c>
      <c r="CM20" s="588" t="s">
        <v>2004</v>
      </c>
      <c r="CN20" s="587"/>
      <c r="CO20" s="590"/>
    </row>
    <row r="21" spans="2:95" ht="18" x14ac:dyDescent="0.25">
      <c r="B21" s="1245">
        <v>18</v>
      </c>
      <c r="C21" s="586" t="s">
        <v>240</v>
      </c>
      <c r="D21" s="587" t="s">
        <v>5215</v>
      </c>
      <c r="E21" s="588"/>
      <c r="F21" s="588"/>
      <c r="G21" s="588"/>
      <c r="H21" s="588"/>
      <c r="I21" s="588"/>
      <c r="J21" s="2450"/>
      <c r="K21" s="588"/>
      <c r="L21" s="588"/>
      <c r="M21" s="588"/>
      <c r="N21" s="1093" t="s">
        <v>5220</v>
      </c>
      <c r="O21" s="1093" t="s">
        <v>5227</v>
      </c>
      <c r="P21" s="588"/>
      <c r="Q21" s="588"/>
      <c r="R21" s="588"/>
      <c r="S21" s="588">
        <v>1</v>
      </c>
      <c r="T21" s="588"/>
      <c r="U21" s="588"/>
      <c r="V21" s="588"/>
      <c r="W21" s="588"/>
      <c r="X21" s="588"/>
      <c r="Y21" s="588"/>
      <c r="Z21" s="1802"/>
      <c r="AA21" s="588" t="s">
        <v>1647</v>
      </c>
      <c r="AB21" s="589" t="s">
        <v>4268</v>
      </c>
      <c r="AC21" s="589" t="s">
        <v>4230</v>
      </c>
      <c r="AD21" s="589"/>
      <c r="AE21" s="588"/>
      <c r="AF21" s="588"/>
      <c r="AG21" s="588"/>
      <c r="AH21" s="588"/>
      <c r="AI21" s="911" t="s">
        <v>1648</v>
      </c>
      <c r="AJ21" s="588"/>
      <c r="AK21" s="588"/>
      <c r="AL21" s="588"/>
      <c r="AM21" s="588"/>
      <c r="AN21" s="588"/>
      <c r="AO21" s="588"/>
      <c r="AP21" s="588"/>
      <c r="AQ21" s="588"/>
      <c r="AR21" s="1093" t="s">
        <v>4244</v>
      </c>
      <c r="AS21" s="821" t="s">
        <v>2443</v>
      </c>
      <c r="AT21" s="1093" t="s">
        <v>3562</v>
      </c>
      <c r="AU21" s="1093" t="s">
        <v>3563</v>
      </c>
      <c r="AV21" s="1093" t="s">
        <v>3564</v>
      </c>
      <c r="AW21" s="1093" t="s">
        <v>3565</v>
      </c>
      <c r="AX21" s="1093"/>
      <c r="AY21" s="589"/>
      <c r="AZ21" s="589"/>
      <c r="BA21" s="589"/>
      <c r="BB21" s="589"/>
      <c r="BC21" s="589"/>
      <c r="BD21" s="589"/>
      <c r="BE21" s="589"/>
      <c r="BF21" s="589"/>
      <c r="BG21" s="589"/>
      <c r="BH21" s="589"/>
      <c r="BI21" s="589"/>
      <c r="BJ21" s="589"/>
      <c r="BK21" s="589"/>
      <c r="BL21" s="589"/>
      <c r="BM21" s="589"/>
      <c r="BN21" s="589"/>
      <c r="BO21" s="589"/>
      <c r="BP21" s="911"/>
      <c r="BQ21" s="589"/>
      <c r="BR21" s="589"/>
      <c r="BS21" s="1801"/>
      <c r="BT21" s="1801"/>
      <c r="BU21" s="1801"/>
      <c r="BV21" s="1801"/>
      <c r="BW21" s="589"/>
      <c r="BX21" s="1093"/>
      <c r="BY21" s="1801"/>
      <c r="BZ21" s="589"/>
      <c r="CA21" s="589"/>
      <c r="CB21" s="589"/>
      <c r="CC21" s="589"/>
      <c r="CD21" s="589"/>
      <c r="CE21" s="589"/>
      <c r="CF21" s="589"/>
      <c r="CG21" s="589"/>
      <c r="CH21" s="589"/>
      <c r="CI21" s="589"/>
      <c r="CJ21" s="589"/>
      <c r="CK21" s="589"/>
      <c r="CL21" s="953" t="s">
        <v>4285</v>
      </c>
      <c r="CM21" s="588" t="s">
        <v>2004</v>
      </c>
      <c r="CN21" s="587"/>
      <c r="CO21" s="591"/>
    </row>
    <row r="22" spans="2:95" s="69" customFormat="1" ht="18" x14ac:dyDescent="0.25">
      <c r="B22" s="1245">
        <v>19</v>
      </c>
      <c r="C22" s="909" t="s">
        <v>241</v>
      </c>
      <c r="D22" s="910" t="s">
        <v>4212</v>
      </c>
      <c r="E22" s="1155"/>
      <c r="F22" s="1155"/>
      <c r="G22" s="1155"/>
      <c r="H22" s="1155"/>
      <c r="I22" s="1155"/>
      <c r="J22" s="2450"/>
      <c r="K22" s="1155"/>
      <c r="L22" s="1155"/>
      <c r="M22" s="1155"/>
      <c r="N22" s="911"/>
      <c r="O22" s="911"/>
      <c r="P22" s="1155"/>
      <c r="Q22" s="1155"/>
      <c r="R22" s="1155"/>
      <c r="S22" s="1093" t="s">
        <v>4225</v>
      </c>
      <c r="T22" s="1155"/>
      <c r="U22" s="1155"/>
      <c r="V22" s="1155"/>
      <c r="W22" s="1155"/>
      <c r="X22" s="1155"/>
      <c r="Y22" s="1155"/>
      <c r="Z22" s="1802"/>
      <c r="AA22" s="1094" t="s">
        <v>4227</v>
      </c>
      <c r="AB22" s="911"/>
      <c r="AC22" s="911"/>
      <c r="AD22" s="1155"/>
      <c r="AE22" s="1155"/>
      <c r="AF22" s="1155"/>
      <c r="AG22" s="1155"/>
      <c r="AH22" s="1155"/>
      <c r="AI22" s="911" t="s">
        <v>4236</v>
      </c>
      <c r="AJ22" s="1155">
        <v>1</v>
      </c>
      <c r="AK22" s="1155"/>
      <c r="AL22" s="1155"/>
      <c r="AM22" s="1155"/>
      <c r="AN22" s="1155"/>
      <c r="AO22" s="1093" t="s">
        <v>4225</v>
      </c>
      <c r="AP22" s="1155"/>
      <c r="AQ22" s="1155"/>
      <c r="AR22" s="1093" t="s">
        <v>4245</v>
      </c>
      <c r="AS22" s="1093" t="s">
        <v>4248</v>
      </c>
      <c r="AT22" s="911" t="s">
        <v>4250</v>
      </c>
      <c r="AU22" s="911" t="s">
        <v>4252</v>
      </c>
      <c r="AV22" s="911" t="s">
        <v>4254</v>
      </c>
      <c r="AW22" s="911" t="s">
        <v>4256</v>
      </c>
      <c r="AX22" s="911" t="s">
        <v>3719</v>
      </c>
      <c r="AY22" s="911"/>
      <c r="AZ22" s="911"/>
      <c r="BA22" s="911"/>
      <c r="BB22" s="911"/>
      <c r="BC22" s="911"/>
      <c r="BD22" s="911"/>
      <c r="BE22" s="911"/>
      <c r="BF22" s="911"/>
      <c r="BG22" s="911"/>
      <c r="BH22" s="911"/>
      <c r="BI22" s="911"/>
      <c r="BJ22" s="911"/>
      <c r="BK22" s="911"/>
      <c r="BL22" s="911"/>
      <c r="BM22" s="911"/>
      <c r="BN22" s="911"/>
      <c r="BO22" s="911"/>
      <c r="BP22" s="911"/>
      <c r="BQ22" s="911"/>
      <c r="BR22" s="911"/>
      <c r="BS22" s="1801"/>
      <c r="BT22" s="1801"/>
      <c r="BU22" s="1801"/>
      <c r="BV22" s="1801"/>
      <c r="BW22" s="911"/>
      <c r="BX22" s="1093"/>
      <c r="BY22" s="1801"/>
      <c r="BZ22" s="911"/>
      <c r="CA22" s="911"/>
      <c r="CB22" s="911"/>
      <c r="CC22" s="911"/>
      <c r="CD22" s="911"/>
      <c r="CE22" s="911"/>
      <c r="CF22" s="911"/>
      <c r="CG22" s="911"/>
      <c r="CH22" s="911"/>
      <c r="CI22" s="911"/>
      <c r="CJ22" s="911"/>
      <c r="CK22" s="911"/>
      <c r="CL22" s="953" t="s">
        <v>4310</v>
      </c>
      <c r="CM22" s="1155" t="s">
        <v>3720</v>
      </c>
      <c r="CN22" s="910"/>
      <c r="CO22" s="912"/>
      <c r="CP22" s="274"/>
    </row>
    <row r="23" spans="2:95" s="69" customFormat="1" ht="18" x14ac:dyDescent="0.25">
      <c r="B23" s="1245">
        <v>20</v>
      </c>
      <c r="C23" s="909" t="s">
        <v>242</v>
      </c>
      <c r="D23" s="910" t="s">
        <v>4213</v>
      </c>
      <c r="E23" s="1155"/>
      <c r="F23" s="1155"/>
      <c r="G23" s="1155"/>
      <c r="H23" s="1155"/>
      <c r="I23" s="1155"/>
      <c r="J23" s="2450"/>
      <c r="K23" s="1155"/>
      <c r="L23" s="1155"/>
      <c r="M23" s="1155"/>
      <c r="N23" s="911"/>
      <c r="O23" s="911"/>
      <c r="P23" s="1155"/>
      <c r="Q23" s="1155"/>
      <c r="R23" s="1155"/>
      <c r="S23" s="1093" t="s">
        <v>4226</v>
      </c>
      <c r="T23" s="1155"/>
      <c r="U23" s="1155"/>
      <c r="V23" s="1155"/>
      <c r="W23" s="1155"/>
      <c r="X23" s="1155"/>
      <c r="Y23" s="1155"/>
      <c r="Z23" s="1802"/>
      <c r="AA23" s="1094" t="s">
        <v>4228</v>
      </c>
      <c r="AB23" s="911" t="s">
        <v>4231</v>
      </c>
      <c r="AC23" s="911"/>
      <c r="AD23" s="911" t="s">
        <v>4235</v>
      </c>
      <c r="AE23" s="1155"/>
      <c r="AF23" s="1155"/>
      <c r="AG23" s="1155"/>
      <c r="AH23" s="1155"/>
      <c r="AI23" s="911" t="s">
        <v>4237</v>
      </c>
      <c r="AJ23" s="1155">
        <v>1</v>
      </c>
      <c r="AK23" s="1155"/>
      <c r="AL23" s="1155"/>
      <c r="AM23" s="1155"/>
      <c r="AN23" s="1155"/>
      <c r="AO23" s="1155"/>
      <c r="AP23" s="1155"/>
      <c r="AQ23" s="1155"/>
      <c r="AR23" s="1093" t="s">
        <v>4246</v>
      </c>
      <c r="AS23" s="1093" t="s">
        <v>4249</v>
      </c>
      <c r="AT23" s="911" t="s">
        <v>4251</v>
      </c>
      <c r="AU23" s="911" t="s">
        <v>4253</v>
      </c>
      <c r="AV23" s="911" t="s">
        <v>4255</v>
      </c>
      <c r="AW23" s="1093" t="s">
        <v>4257</v>
      </c>
      <c r="AX23" s="911" t="s">
        <v>3719</v>
      </c>
      <c r="AY23" s="911"/>
      <c r="AZ23" s="911"/>
      <c r="BA23" s="911"/>
      <c r="BB23" s="911"/>
      <c r="BC23" s="911"/>
      <c r="BD23" s="911"/>
      <c r="BE23" s="911"/>
      <c r="BF23" s="911"/>
      <c r="BG23" s="911"/>
      <c r="BH23" s="911"/>
      <c r="BI23" s="911"/>
      <c r="BJ23" s="911"/>
      <c r="BK23" s="911"/>
      <c r="BL23" s="911"/>
      <c r="BM23" s="911"/>
      <c r="BN23" s="911"/>
      <c r="BO23" s="911"/>
      <c r="BP23" s="911"/>
      <c r="BQ23" s="911"/>
      <c r="BR23" s="911"/>
      <c r="BS23" s="1801"/>
      <c r="BT23" s="1801"/>
      <c r="BU23" s="1801"/>
      <c r="BV23" s="1801"/>
      <c r="BW23" s="911"/>
      <c r="BX23" s="1093"/>
      <c r="BY23" s="1801"/>
      <c r="BZ23" s="911"/>
      <c r="CA23" s="911"/>
      <c r="CB23" s="911"/>
      <c r="CC23" s="911"/>
      <c r="CD23" s="911"/>
      <c r="CE23" s="911"/>
      <c r="CF23" s="911"/>
      <c r="CG23" s="911"/>
      <c r="CH23" s="911"/>
      <c r="CI23" s="911"/>
      <c r="CJ23" s="911"/>
      <c r="CK23" s="911"/>
      <c r="CL23" s="953" t="s">
        <v>4311</v>
      </c>
      <c r="CM23" s="1155" t="s">
        <v>3720</v>
      </c>
      <c r="CN23" s="910"/>
      <c r="CO23" s="912"/>
      <c r="CP23" s="274"/>
    </row>
    <row r="24" spans="2:95" s="69" customFormat="1" ht="18" x14ac:dyDescent="0.25">
      <c r="B24" s="1245">
        <v>21</v>
      </c>
      <c r="C24" s="909" t="s">
        <v>243</v>
      </c>
      <c r="D24" s="910" t="s">
        <v>4214</v>
      </c>
      <c r="E24" s="1155"/>
      <c r="F24" s="1155"/>
      <c r="G24" s="1155"/>
      <c r="H24" s="1155"/>
      <c r="I24" s="1155"/>
      <c r="J24" s="2450"/>
      <c r="K24" s="1155"/>
      <c r="L24" s="1155"/>
      <c r="M24" s="1155"/>
      <c r="N24" s="911"/>
      <c r="O24" s="911"/>
      <c r="P24" s="1155"/>
      <c r="Q24" s="1155"/>
      <c r="R24" s="1155"/>
      <c r="S24" s="1093" t="s">
        <v>4226</v>
      </c>
      <c r="T24" s="1155"/>
      <c r="U24" s="1155"/>
      <c r="V24" s="1155"/>
      <c r="W24" s="1155"/>
      <c r="X24" s="1155"/>
      <c r="Y24" s="1155"/>
      <c r="Z24" s="1802"/>
      <c r="AA24" s="1094" t="s">
        <v>4228</v>
      </c>
      <c r="AB24" s="911" t="s">
        <v>4232</v>
      </c>
      <c r="AC24" s="911" t="s">
        <v>4233</v>
      </c>
      <c r="AD24" s="1155"/>
      <c r="AE24" s="1155"/>
      <c r="AF24" s="1155"/>
      <c r="AG24" s="1155"/>
      <c r="AH24" s="1155"/>
      <c r="AI24" s="911" t="s">
        <v>4237</v>
      </c>
      <c r="AJ24" s="1155">
        <v>1</v>
      </c>
      <c r="AK24" s="1155"/>
      <c r="AL24" s="1155"/>
      <c r="AM24" s="1155"/>
      <c r="AN24" s="1155"/>
      <c r="AO24" s="1155"/>
      <c r="AP24" s="1155"/>
      <c r="AQ24" s="1155"/>
      <c r="AR24" s="1093" t="s">
        <v>4246</v>
      </c>
      <c r="AS24" s="1093" t="s">
        <v>4249</v>
      </c>
      <c r="AT24" s="911" t="s">
        <v>4251</v>
      </c>
      <c r="AU24" s="911" t="s">
        <v>4253</v>
      </c>
      <c r="AV24" s="911" t="s">
        <v>4255</v>
      </c>
      <c r="AW24" s="1093" t="s">
        <v>4257</v>
      </c>
      <c r="AX24" s="911" t="s">
        <v>3719</v>
      </c>
      <c r="AY24" s="911"/>
      <c r="AZ24" s="911"/>
      <c r="BA24" s="911"/>
      <c r="BB24" s="911"/>
      <c r="BC24" s="911"/>
      <c r="BD24" s="911"/>
      <c r="BE24" s="911"/>
      <c r="BF24" s="911"/>
      <c r="BG24" s="911"/>
      <c r="BH24" s="911"/>
      <c r="BI24" s="911"/>
      <c r="BJ24" s="911"/>
      <c r="BK24" s="911"/>
      <c r="BL24" s="911"/>
      <c r="BM24" s="911"/>
      <c r="BN24" s="911"/>
      <c r="BO24" s="911"/>
      <c r="BP24" s="911"/>
      <c r="BQ24" s="911"/>
      <c r="BR24" s="911"/>
      <c r="BS24" s="1801"/>
      <c r="BT24" s="1801"/>
      <c r="BU24" s="1801"/>
      <c r="BV24" s="1801"/>
      <c r="BW24" s="911"/>
      <c r="BX24" s="1093"/>
      <c r="BY24" s="1801"/>
      <c r="BZ24" s="911"/>
      <c r="CA24" s="911"/>
      <c r="CB24" s="911"/>
      <c r="CC24" s="911"/>
      <c r="CD24" s="911"/>
      <c r="CE24" s="911"/>
      <c r="CF24" s="911"/>
      <c r="CG24" s="911"/>
      <c r="CH24" s="911"/>
      <c r="CI24" s="911"/>
      <c r="CJ24" s="911"/>
      <c r="CK24" s="911"/>
      <c r="CL24" s="953" t="s">
        <v>4312</v>
      </c>
      <c r="CM24" s="1155" t="s">
        <v>3720</v>
      </c>
      <c r="CN24" s="910"/>
      <c r="CO24" s="912"/>
      <c r="CP24" s="274"/>
    </row>
    <row r="25" spans="2:95" ht="18" x14ac:dyDescent="0.25">
      <c r="B25" s="1245">
        <v>22</v>
      </c>
      <c r="C25" s="586" t="s">
        <v>244</v>
      </c>
      <c r="D25" s="587" t="s">
        <v>1659</v>
      </c>
      <c r="E25" s="588"/>
      <c r="F25" s="588"/>
      <c r="G25" s="588"/>
      <c r="H25" s="588"/>
      <c r="I25" s="588"/>
      <c r="J25" s="2450"/>
      <c r="K25" s="588"/>
      <c r="L25" s="588"/>
      <c r="M25" s="588"/>
      <c r="N25" s="1093" t="s">
        <v>5221</v>
      </c>
      <c r="O25" s="589"/>
      <c r="P25" s="588"/>
      <c r="Q25" s="588"/>
      <c r="R25" s="588"/>
      <c r="S25" s="588">
        <v>1</v>
      </c>
      <c r="T25" s="588"/>
      <c r="U25" s="588"/>
      <c r="V25" s="588"/>
      <c r="W25" s="588"/>
      <c r="X25" s="588"/>
      <c r="Y25" s="588"/>
      <c r="Z25" s="1802"/>
      <c r="AA25" s="588" t="s">
        <v>1647</v>
      </c>
      <c r="AB25" s="588"/>
      <c r="AC25" s="588"/>
      <c r="AD25" s="588"/>
      <c r="AE25" s="588"/>
      <c r="AF25" s="588"/>
      <c r="AG25" s="588"/>
      <c r="AH25" s="588"/>
      <c r="AI25" s="589"/>
      <c r="AJ25" s="589" t="s">
        <v>1648</v>
      </c>
      <c r="AK25" s="588"/>
      <c r="AL25" s="588"/>
      <c r="AM25" s="588"/>
      <c r="AN25" s="588"/>
      <c r="AO25" s="1093" t="s">
        <v>5233</v>
      </c>
      <c r="AP25" s="589"/>
      <c r="AQ25" s="589"/>
      <c r="AR25" s="1093" t="s">
        <v>5234</v>
      </c>
      <c r="AS25" s="821" t="s">
        <v>2443</v>
      </c>
      <c r="AT25" s="821" t="s">
        <v>3562</v>
      </c>
      <c r="AU25" s="821" t="s">
        <v>3563</v>
      </c>
      <c r="AV25" s="821" t="s">
        <v>3570</v>
      </c>
      <c r="AW25" s="821" t="s">
        <v>3571</v>
      </c>
      <c r="AX25" s="589" t="s">
        <v>1660</v>
      </c>
      <c r="AY25" s="589"/>
      <c r="AZ25" s="589"/>
      <c r="BA25" s="589"/>
      <c r="BB25" s="589"/>
      <c r="BC25" s="589"/>
      <c r="BD25" s="589"/>
      <c r="BE25" s="589"/>
      <c r="BF25" s="589"/>
      <c r="BG25" s="589"/>
      <c r="BH25" s="589"/>
      <c r="BI25" s="589"/>
      <c r="BJ25" s="589"/>
      <c r="BK25" s="589"/>
      <c r="BL25" s="589"/>
      <c r="BM25" s="589"/>
      <c r="BN25" s="589"/>
      <c r="BO25" s="589"/>
      <c r="BP25" s="911"/>
      <c r="BQ25" s="589"/>
      <c r="BR25" s="589"/>
      <c r="BS25" s="1801"/>
      <c r="BT25" s="1801"/>
      <c r="BU25" s="1801"/>
      <c r="BV25" s="1801"/>
      <c r="BW25" s="589"/>
      <c r="BX25" s="1093"/>
      <c r="BY25" s="1801"/>
      <c r="BZ25" s="589"/>
      <c r="CA25" s="589"/>
      <c r="CB25" s="589"/>
      <c r="CC25" s="589"/>
      <c r="CD25" s="589"/>
      <c r="CE25" s="589"/>
      <c r="CF25" s="589"/>
      <c r="CG25" s="589"/>
      <c r="CH25" s="589"/>
      <c r="CI25" s="589"/>
      <c r="CJ25" s="589"/>
      <c r="CK25" s="589"/>
      <c r="CL25" s="1187" t="s">
        <v>4259</v>
      </c>
      <c r="CM25" s="588" t="s">
        <v>2004</v>
      </c>
      <c r="CN25" s="587"/>
      <c r="CO25" s="591"/>
      <c r="CQ25" s="1024"/>
    </row>
    <row r="26" spans="2:95" ht="18" x14ac:dyDescent="0.25">
      <c r="B26" s="1245">
        <v>23</v>
      </c>
      <c r="C26" s="586" t="s">
        <v>245</v>
      </c>
      <c r="D26" s="587" t="s">
        <v>2217</v>
      </c>
      <c r="E26" s="588"/>
      <c r="F26" s="588"/>
      <c r="G26" s="588"/>
      <c r="H26" s="588"/>
      <c r="I26" s="588"/>
      <c r="J26" s="2450"/>
      <c r="K26" s="588"/>
      <c r="L26" s="588"/>
      <c r="M26" s="588"/>
      <c r="N26" s="1093" t="s">
        <v>5222</v>
      </c>
      <c r="O26" s="589"/>
      <c r="P26" s="588"/>
      <c r="Q26" s="588"/>
      <c r="R26" s="588"/>
      <c r="S26" s="588">
        <v>1</v>
      </c>
      <c r="T26" s="588"/>
      <c r="U26" s="588"/>
      <c r="V26" s="588"/>
      <c r="W26" s="588"/>
      <c r="X26" s="588"/>
      <c r="Y26" s="588"/>
      <c r="Z26" s="1802"/>
      <c r="AA26" s="588" t="s">
        <v>1647</v>
      </c>
      <c r="AB26" s="589" t="s">
        <v>5230</v>
      </c>
      <c r="AC26" s="589"/>
      <c r="AD26" s="589" t="s">
        <v>5232</v>
      </c>
      <c r="AE26" s="588"/>
      <c r="AF26" s="588"/>
      <c r="AG26" s="588"/>
      <c r="AH26" s="588"/>
      <c r="AI26" s="589"/>
      <c r="AJ26" s="589" t="s">
        <v>1648</v>
      </c>
      <c r="AK26" s="588"/>
      <c r="AL26" s="588"/>
      <c r="AM26" s="588"/>
      <c r="AN26" s="588"/>
      <c r="AO26" s="589"/>
      <c r="AP26" s="589"/>
      <c r="AQ26" s="589"/>
      <c r="AR26" s="1093" t="s">
        <v>5235</v>
      </c>
      <c r="AS26" s="821" t="s">
        <v>2443</v>
      </c>
      <c r="AT26" s="821" t="s">
        <v>3562</v>
      </c>
      <c r="AU26" s="821" t="s">
        <v>3563</v>
      </c>
      <c r="AV26" s="821" t="s">
        <v>3570</v>
      </c>
      <c r="AW26" s="821" t="s">
        <v>3571</v>
      </c>
      <c r="AX26" s="589" t="s">
        <v>1660</v>
      </c>
      <c r="AY26" s="589"/>
      <c r="AZ26" s="589"/>
      <c r="BA26" s="589"/>
      <c r="BB26" s="589"/>
      <c r="BC26" s="589"/>
      <c r="BD26" s="589"/>
      <c r="BE26" s="589"/>
      <c r="BF26" s="589"/>
      <c r="BG26" s="589"/>
      <c r="BH26" s="589"/>
      <c r="BI26" s="589"/>
      <c r="BJ26" s="589"/>
      <c r="BK26" s="589"/>
      <c r="BL26" s="589"/>
      <c r="BM26" s="589"/>
      <c r="BN26" s="589"/>
      <c r="BO26" s="589"/>
      <c r="BP26" s="911"/>
      <c r="BQ26" s="589"/>
      <c r="BR26" s="589"/>
      <c r="BS26" s="1801"/>
      <c r="BT26" s="1801"/>
      <c r="BU26" s="1801"/>
      <c r="BV26" s="1801"/>
      <c r="BW26" s="589"/>
      <c r="BX26" s="1093"/>
      <c r="BY26" s="1801"/>
      <c r="BZ26" s="589"/>
      <c r="CA26" s="589"/>
      <c r="CB26" s="589"/>
      <c r="CC26" s="589"/>
      <c r="CD26" s="589"/>
      <c r="CE26" s="589"/>
      <c r="CF26" s="589"/>
      <c r="CG26" s="589"/>
      <c r="CH26" s="589"/>
      <c r="CI26" s="589"/>
      <c r="CJ26" s="589"/>
      <c r="CK26" s="589"/>
      <c r="CL26" s="1187" t="s">
        <v>4260</v>
      </c>
      <c r="CM26" s="588" t="s">
        <v>2004</v>
      </c>
      <c r="CN26" s="587"/>
      <c r="CO26" s="591"/>
      <c r="CQ26" s="1024"/>
    </row>
    <row r="27" spans="2:95" ht="18" x14ac:dyDescent="0.25">
      <c r="B27" s="1245">
        <v>24</v>
      </c>
      <c r="C27" s="586" t="s">
        <v>246</v>
      </c>
      <c r="D27" s="587" t="s">
        <v>1661</v>
      </c>
      <c r="E27" s="588"/>
      <c r="F27" s="588"/>
      <c r="G27" s="588"/>
      <c r="H27" s="588"/>
      <c r="I27" s="588"/>
      <c r="J27" s="2450"/>
      <c r="K27" s="588"/>
      <c r="L27" s="588"/>
      <c r="M27" s="588"/>
      <c r="N27" s="1093" t="s">
        <v>5222</v>
      </c>
      <c r="O27" s="589"/>
      <c r="P27" s="588"/>
      <c r="Q27" s="588"/>
      <c r="R27" s="588"/>
      <c r="S27" s="588">
        <v>1</v>
      </c>
      <c r="T27" s="588"/>
      <c r="U27" s="588"/>
      <c r="V27" s="588"/>
      <c r="W27" s="588"/>
      <c r="X27" s="588"/>
      <c r="Y27" s="588"/>
      <c r="Z27" s="1802"/>
      <c r="AA27" s="588" t="s">
        <v>1647</v>
      </c>
      <c r="AB27" s="589" t="s">
        <v>5229</v>
      </c>
      <c r="AC27" s="589" t="s">
        <v>5231</v>
      </c>
      <c r="AD27" s="589"/>
      <c r="AE27" s="588"/>
      <c r="AF27" s="588"/>
      <c r="AG27" s="588"/>
      <c r="AH27" s="588"/>
      <c r="AI27" s="589"/>
      <c r="AJ27" s="589" t="s">
        <v>1648</v>
      </c>
      <c r="AK27" s="588"/>
      <c r="AL27" s="588"/>
      <c r="AM27" s="588"/>
      <c r="AN27" s="588"/>
      <c r="AO27" s="588"/>
      <c r="AP27" s="588"/>
      <c r="AQ27" s="588"/>
      <c r="AR27" s="1093" t="s">
        <v>5235</v>
      </c>
      <c r="AS27" s="821" t="s">
        <v>2443</v>
      </c>
      <c r="AT27" s="821" t="s">
        <v>3562</v>
      </c>
      <c r="AU27" s="821" t="s">
        <v>3563</v>
      </c>
      <c r="AV27" s="821" t="s">
        <v>3570</v>
      </c>
      <c r="AW27" s="821" t="s">
        <v>3571</v>
      </c>
      <c r="AX27" s="589" t="s">
        <v>1660</v>
      </c>
      <c r="AY27" s="589"/>
      <c r="AZ27" s="589"/>
      <c r="BA27" s="589"/>
      <c r="BB27" s="589"/>
      <c r="BC27" s="589"/>
      <c r="BD27" s="589"/>
      <c r="BE27" s="589"/>
      <c r="BF27" s="589"/>
      <c r="BG27" s="589"/>
      <c r="BH27" s="589"/>
      <c r="BI27" s="589"/>
      <c r="BJ27" s="589"/>
      <c r="BK27" s="589"/>
      <c r="BL27" s="589"/>
      <c r="BM27" s="589"/>
      <c r="BN27" s="589"/>
      <c r="BO27" s="589"/>
      <c r="BP27" s="911"/>
      <c r="BQ27" s="589"/>
      <c r="BR27" s="589"/>
      <c r="BS27" s="1801"/>
      <c r="BT27" s="1801"/>
      <c r="BU27" s="1801"/>
      <c r="BV27" s="1801"/>
      <c r="BW27" s="589"/>
      <c r="BX27" s="1093"/>
      <c r="BY27" s="1801"/>
      <c r="BZ27" s="589"/>
      <c r="CA27" s="589"/>
      <c r="CB27" s="589"/>
      <c r="CC27" s="589"/>
      <c r="CD27" s="589"/>
      <c r="CE27" s="589"/>
      <c r="CF27" s="589"/>
      <c r="CG27" s="589"/>
      <c r="CH27" s="589"/>
      <c r="CI27" s="589"/>
      <c r="CJ27" s="589"/>
      <c r="CK27" s="589"/>
      <c r="CL27" s="1187" t="s">
        <v>4261</v>
      </c>
      <c r="CM27" s="588" t="s">
        <v>2004</v>
      </c>
      <c r="CN27" s="587"/>
      <c r="CO27" s="591"/>
      <c r="CQ27" s="1024"/>
    </row>
    <row r="28" spans="2:95" ht="18" x14ac:dyDescent="0.25">
      <c r="B28" s="1245">
        <v>25</v>
      </c>
      <c r="C28" s="586" t="s">
        <v>247</v>
      </c>
      <c r="D28" s="587" t="s">
        <v>4215</v>
      </c>
      <c r="E28" s="588">
        <v>-1</v>
      </c>
      <c r="F28" s="588"/>
      <c r="G28" s="588"/>
      <c r="H28" s="588"/>
      <c r="I28" s="588"/>
      <c r="J28" s="2450"/>
      <c r="K28" s="588"/>
      <c r="L28" s="588"/>
      <c r="M28" s="588"/>
      <c r="N28" s="588">
        <v>1</v>
      </c>
      <c r="O28" s="588"/>
      <c r="P28" s="588"/>
      <c r="Q28" s="588"/>
      <c r="R28" s="588"/>
      <c r="S28" s="588"/>
      <c r="T28" s="588"/>
      <c r="U28" s="588"/>
      <c r="V28" s="588"/>
      <c r="W28" s="588"/>
      <c r="X28" s="588"/>
      <c r="Y28" s="588"/>
      <c r="Z28" s="1802"/>
      <c r="AA28" s="588"/>
      <c r="AB28" s="589"/>
      <c r="AC28" s="589"/>
      <c r="AD28" s="589"/>
      <c r="AE28" s="588"/>
      <c r="AF28" s="588"/>
      <c r="AG28" s="588"/>
      <c r="AH28" s="588"/>
      <c r="AI28" s="588" t="s">
        <v>1662</v>
      </c>
      <c r="AJ28" s="589" t="s">
        <v>1663</v>
      </c>
      <c r="AK28" s="588"/>
      <c r="AL28" s="588"/>
      <c r="AM28" s="588"/>
      <c r="AN28" s="588"/>
      <c r="AO28" s="588"/>
      <c r="AP28" s="588"/>
      <c r="AQ28" s="588"/>
      <c r="AR28" s="1094" t="s">
        <v>1969</v>
      </c>
      <c r="AS28" s="588"/>
      <c r="AT28" s="588"/>
      <c r="AU28" s="588"/>
      <c r="AV28" s="589" t="s">
        <v>1664</v>
      </c>
      <c r="AW28" s="589" t="s">
        <v>1665</v>
      </c>
      <c r="AX28" s="589" t="s">
        <v>1666</v>
      </c>
      <c r="AY28" s="588"/>
      <c r="AZ28" s="588"/>
      <c r="BA28" s="588"/>
      <c r="BB28" s="588"/>
      <c r="BC28" s="588"/>
      <c r="BD28" s="588"/>
      <c r="BE28" s="588"/>
      <c r="BF28" s="588"/>
      <c r="BG28" s="588"/>
      <c r="BH28" s="588"/>
      <c r="BI28" s="588"/>
      <c r="BJ28" s="588"/>
      <c r="BK28" s="588"/>
      <c r="BL28" s="588"/>
      <c r="BM28" s="588"/>
      <c r="BN28" s="588"/>
      <c r="BO28" s="588"/>
      <c r="BP28" s="911"/>
      <c r="BQ28" s="588"/>
      <c r="BR28" s="588"/>
      <c r="BS28" s="1802"/>
      <c r="BT28" s="1802"/>
      <c r="BU28" s="1802"/>
      <c r="BV28" s="1802"/>
      <c r="BW28" s="588"/>
      <c r="BX28" s="1094"/>
      <c r="BY28" s="1802"/>
      <c r="BZ28" s="588"/>
      <c r="CA28" s="588"/>
      <c r="CB28" s="588"/>
      <c r="CC28" s="588"/>
      <c r="CD28" s="588"/>
      <c r="CE28" s="588"/>
      <c r="CF28" s="588"/>
      <c r="CG28" s="588"/>
      <c r="CH28" s="588"/>
      <c r="CI28" s="588"/>
      <c r="CJ28" s="588"/>
      <c r="CK28" s="588"/>
      <c r="CL28" s="1187" t="s">
        <v>4262</v>
      </c>
      <c r="CM28" s="588" t="s">
        <v>2004</v>
      </c>
      <c r="CN28" s="587"/>
      <c r="CO28" s="591"/>
    </row>
    <row r="29" spans="2:95" ht="18" x14ac:dyDescent="0.25">
      <c r="B29" s="1245">
        <v>26</v>
      </c>
      <c r="C29" s="586" t="s">
        <v>248</v>
      </c>
      <c r="D29" s="587" t="s">
        <v>5216</v>
      </c>
      <c r="E29" s="588">
        <v>-1</v>
      </c>
      <c r="F29" s="588"/>
      <c r="G29" s="588"/>
      <c r="H29" s="588"/>
      <c r="I29" s="588"/>
      <c r="J29" s="2450"/>
      <c r="K29" s="588"/>
      <c r="L29" s="588"/>
      <c r="M29" s="588"/>
      <c r="N29" s="588"/>
      <c r="O29" s="588">
        <v>1</v>
      </c>
      <c r="P29" s="588"/>
      <c r="Q29" s="588"/>
      <c r="R29" s="588"/>
      <c r="S29" s="588"/>
      <c r="T29" s="588"/>
      <c r="U29" s="588"/>
      <c r="V29" s="588"/>
      <c r="W29" s="588"/>
      <c r="X29" s="588"/>
      <c r="Y29" s="588"/>
      <c r="Z29" s="1802"/>
      <c r="AA29" s="588"/>
      <c r="AB29" s="589"/>
      <c r="AC29" s="589"/>
      <c r="AD29" s="588"/>
      <c r="AE29" s="588"/>
      <c r="AF29" s="588"/>
      <c r="AG29" s="588"/>
      <c r="AH29" s="588"/>
      <c r="AI29" s="588"/>
      <c r="AJ29" s="589"/>
      <c r="AK29" s="588"/>
      <c r="AL29" s="588"/>
      <c r="AM29" s="588"/>
      <c r="AN29" s="588"/>
      <c r="AO29" s="588"/>
      <c r="AP29" s="588"/>
      <c r="AQ29" s="588"/>
      <c r="AR29" s="2450" t="s">
        <v>1969</v>
      </c>
      <c r="AS29" s="589"/>
      <c r="AT29" s="589"/>
      <c r="AU29" s="589"/>
      <c r="AV29" s="589"/>
      <c r="AW29" s="589"/>
      <c r="AX29" s="589"/>
      <c r="AY29" s="588"/>
      <c r="AZ29" s="588"/>
      <c r="BA29" s="588"/>
      <c r="BB29" s="588"/>
      <c r="BC29" s="588"/>
      <c r="BD29" s="588"/>
      <c r="BE29" s="588"/>
      <c r="BF29" s="588"/>
      <c r="BG29" s="588"/>
      <c r="BH29" s="588"/>
      <c r="BI29" s="588"/>
      <c r="BJ29" s="588"/>
      <c r="BK29" s="588"/>
      <c r="BL29" s="588"/>
      <c r="BM29" s="588"/>
      <c r="BN29" s="588"/>
      <c r="BO29" s="588"/>
      <c r="BP29" s="1155"/>
      <c r="BQ29" s="588"/>
      <c r="BR29" s="588"/>
      <c r="BS29" s="1802"/>
      <c r="BT29" s="1802"/>
      <c r="BU29" s="1802"/>
      <c r="BV29" s="1802"/>
      <c r="BW29" s="588"/>
      <c r="BX29" s="1094"/>
      <c r="BY29" s="1802"/>
      <c r="BZ29" s="588"/>
      <c r="CA29" s="588"/>
      <c r="CB29" s="588"/>
      <c r="CC29" s="588"/>
      <c r="CD29" s="588"/>
      <c r="CE29" s="588"/>
      <c r="CF29" s="588"/>
      <c r="CG29" s="588"/>
      <c r="CH29" s="588"/>
      <c r="CI29" s="588"/>
      <c r="CJ29" s="588"/>
      <c r="CK29" s="588"/>
      <c r="CL29" s="1187" t="s">
        <v>5217</v>
      </c>
      <c r="CM29" s="588" t="s">
        <v>2004</v>
      </c>
      <c r="CN29" s="587"/>
      <c r="CO29" s="591"/>
    </row>
    <row r="30" spans="2:95" ht="18" x14ac:dyDescent="0.25">
      <c r="B30" s="1245">
        <v>27</v>
      </c>
      <c r="C30" s="586" t="s">
        <v>249</v>
      </c>
      <c r="D30" s="587" t="s">
        <v>4216</v>
      </c>
      <c r="E30" s="588"/>
      <c r="F30" s="588"/>
      <c r="G30" s="588"/>
      <c r="H30" s="588"/>
      <c r="I30" s="588"/>
      <c r="J30" s="2450"/>
      <c r="K30" s="588"/>
      <c r="L30" s="588"/>
      <c r="M30" s="588"/>
      <c r="N30" s="1093" t="s">
        <v>5223</v>
      </c>
      <c r="O30" s="1093" t="s">
        <v>5226</v>
      </c>
      <c r="P30" s="588"/>
      <c r="Q30" s="588"/>
      <c r="R30" s="588"/>
      <c r="S30" s="588"/>
      <c r="T30" s="588"/>
      <c r="U30" s="588"/>
      <c r="V30" s="588"/>
      <c r="W30" s="588"/>
      <c r="X30" s="588"/>
      <c r="Y30" s="588"/>
      <c r="Z30" s="1802"/>
      <c r="AA30" s="588"/>
      <c r="AB30" s="588"/>
      <c r="AC30" s="588"/>
      <c r="AD30" s="588"/>
      <c r="AE30" s="588"/>
      <c r="AF30" s="588"/>
      <c r="AG30" s="588"/>
      <c r="AH30" s="588"/>
      <c r="AI30" s="588"/>
      <c r="AJ30" s="589"/>
      <c r="AK30" s="588"/>
      <c r="AL30" s="588"/>
      <c r="AM30" s="588"/>
      <c r="AN30" s="588"/>
      <c r="AO30" s="588">
        <v>-1</v>
      </c>
      <c r="AP30" s="588"/>
      <c r="AQ30" s="588"/>
      <c r="AR30" s="1094" t="s">
        <v>4247</v>
      </c>
      <c r="AS30" s="588"/>
      <c r="AT30" s="588"/>
      <c r="AU30" s="588"/>
      <c r="AV30" s="589"/>
      <c r="AW30" s="589"/>
      <c r="AX30" s="589"/>
      <c r="AY30" s="588"/>
      <c r="AZ30" s="588"/>
      <c r="BA30" s="588"/>
      <c r="BB30" s="588"/>
      <c r="BC30" s="588"/>
      <c r="BD30" s="588"/>
      <c r="BE30" s="588"/>
      <c r="BF30" s="588"/>
      <c r="BG30" s="588"/>
      <c r="BH30" s="588"/>
      <c r="BI30" s="588"/>
      <c r="BJ30" s="588"/>
      <c r="BK30" s="588"/>
      <c r="BL30" s="588"/>
      <c r="BM30" s="588"/>
      <c r="BN30" s="588"/>
      <c r="BO30" s="588"/>
      <c r="BP30" s="1155"/>
      <c r="BQ30" s="588"/>
      <c r="BR30" s="588"/>
      <c r="BS30" s="1802"/>
      <c r="BT30" s="1802"/>
      <c r="BU30" s="1802"/>
      <c r="BV30" s="1802"/>
      <c r="BW30" s="588"/>
      <c r="BX30" s="1094"/>
      <c r="BY30" s="1802"/>
      <c r="BZ30" s="588"/>
      <c r="CA30" s="588"/>
      <c r="CB30" s="588"/>
      <c r="CC30" s="588"/>
      <c r="CD30" s="588"/>
      <c r="CE30" s="588"/>
      <c r="CF30" s="588"/>
      <c r="CG30" s="588"/>
      <c r="CH30" s="588"/>
      <c r="CI30" s="588"/>
      <c r="CJ30" s="588"/>
      <c r="CK30" s="588"/>
      <c r="CL30" s="1187" t="s">
        <v>4263</v>
      </c>
      <c r="CM30" s="588" t="s">
        <v>2004</v>
      </c>
      <c r="CN30" s="587"/>
      <c r="CO30" s="591"/>
    </row>
    <row r="31" spans="2:95" ht="18" x14ac:dyDescent="0.25">
      <c r="B31" s="1245">
        <v>28</v>
      </c>
      <c r="C31" s="586" t="s">
        <v>250</v>
      </c>
      <c r="D31" s="587" t="s">
        <v>4217</v>
      </c>
      <c r="E31" s="588"/>
      <c r="F31" s="588"/>
      <c r="G31" s="588"/>
      <c r="H31" s="588"/>
      <c r="I31" s="588"/>
      <c r="J31" s="2450"/>
      <c r="K31" s="588"/>
      <c r="L31" s="588"/>
      <c r="M31" s="588"/>
      <c r="N31" s="1093" t="s">
        <v>5223</v>
      </c>
      <c r="O31" s="1093" t="s">
        <v>5226</v>
      </c>
      <c r="P31" s="588"/>
      <c r="Q31" s="588"/>
      <c r="R31" s="588"/>
      <c r="S31" s="588"/>
      <c r="T31" s="588"/>
      <c r="U31" s="588"/>
      <c r="V31" s="588"/>
      <c r="W31" s="588"/>
      <c r="X31" s="588"/>
      <c r="Y31" s="588"/>
      <c r="Z31" s="1802"/>
      <c r="AA31" s="588"/>
      <c r="AB31" s="589" t="s">
        <v>2417</v>
      </c>
      <c r="AC31" s="589"/>
      <c r="AD31" s="589" t="s">
        <v>2418</v>
      </c>
      <c r="AE31" s="588"/>
      <c r="AF31" s="588"/>
      <c r="AG31" s="588"/>
      <c r="AH31" s="588"/>
      <c r="AI31" s="588"/>
      <c r="AJ31" s="589"/>
      <c r="AK31" s="588"/>
      <c r="AL31" s="588"/>
      <c r="AM31" s="588"/>
      <c r="AN31" s="588"/>
      <c r="AO31" s="588"/>
      <c r="AP31" s="588"/>
      <c r="AQ31" s="588"/>
      <c r="AR31" s="1094" t="s">
        <v>4247</v>
      </c>
      <c r="AS31" s="588"/>
      <c r="AT31" s="588"/>
      <c r="AU31" s="588"/>
      <c r="AV31" s="589"/>
      <c r="AW31" s="589"/>
      <c r="AX31" s="589"/>
      <c r="AY31" s="588"/>
      <c r="AZ31" s="588"/>
      <c r="BA31" s="588"/>
      <c r="BB31" s="588"/>
      <c r="BC31" s="588"/>
      <c r="BD31" s="588"/>
      <c r="BE31" s="588"/>
      <c r="BF31" s="588"/>
      <c r="BG31" s="588"/>
      <c r="BH31" s="588"/>
      <c r="BI31" s="588"/>
      <c r="BJ31" s="588"/>
      <c r="BK31" s="588"/>
      <c r="BL31" s="588"/>
      <c r="BM31" s="588"/>
      <c r="BN31" s="588"/>
      <c r="BO31" s="588"/>
      <c r="BP31" s="1155"/>
      <c r="BQ31" s="588"/>
      <c r="BR31" s="588"/>
      <c r="BS31" s="1802"/>
      <c r="BT31" s="1802"/>
      <c r="BU31" s="1802"/>
      <c r="BV31" s="1802"/>
      <c r="BW31" s="588"/>
      <c r="BX31" s="1094"/>
      <c r="BY31" s="1802"/>
      <c r="BZ31" s="588"/>
      <c r="CA31" s="588"/>
      <c r="CB31" s="588"/>
      <c r="CC31" s="588"/>
      <c r="CD31" s="588"/>
      <c r="CE31" s="588"/>
      <c r="CF31" s="588"/>
      <c r="CG31" s="588"/>
      <c r="CH31" s="588"/>
      <c r="CI31" s="588"/>
      <c r="CJ31" s="588"/>
      <c r="CK31" s="588"/>
      <c r="CL31" s="1187" t="s">
        <v>4264</v>
      </c>
      <c r="CM31" s="588" t="s">
        <v>2004</v>
      </c>
      <c r="CN31" s="587"/>
      <c r="CO31" s="591"/>
    </row>
    <row r="32" spans="2:95" ht="18" x14ac:dyDescent="0.25">
      <c r="B32" s="1245">
        <v>29</v>
      </c>
      <c r="C32" s="586" t="s">
        <v>251</v>
      </c>
      <c r="D32" s="587" t="s">
        <v>4218</v>
      </c>
      <c r="E32" s="588"/>
      <c r="F32" s="588"/>
      <c r="G32" s="588"/>
      <c r="H32" s="588"/>
      <c r="I32" s="588"/>
      <c r="J32" s="2450"/>
      <c r="K32" s="588"/>
      <c r="L32" s="588"/>
      <c r="M32" s="588"/>
      <c r="N32" s="1093" t="s">
        <v>5223</v>
      </c>
      <c r="O32" s="1093" t="s">
        <v>5226</v>
      </c>
      <c r="P32" s="588"/>
      <c r="Q32" s="588"/>
      <c r="R32" s="588"/>
      <c r="S32" s="588"/>
      <c r="T32" s="588"/>
      <c r="U32" s="588"/>
      <c r="V32" s="588"/>
      <c r="W32" s="588"/>
      <c r="X32" s="588"/>
      <c r="Y32" s="588"/>
      <c r="Z32" s="1802"/>
      <c r="AA32" s="588"/>
      <c r="AB32" s="589" t="s">
        <v>2420</v>
      </c>
      <c r="AC32" s="589" t="s">
        <v>2419</v>
      </c>
      <c r="AD32" s="589"/>
      <c r="AE32" s="588"/>
      <c r="AF32" s="588"/>
      <c r="AG32" s="588"/>
      <c r="AH32" s="588"/>
      <c r="AI32" s="588"/>
      <c r="AJ32" s="589"/>
      <c r="AK32" s="588"/>
      <c r="AL32" s="588"/>
      <c r="AM32" s="588"/>
      <c r="AN32" s="588"/>
      <c r="AO32" s="588"/>
      <c r="AP32" s="588"/>
      <c r="AQ32" s="588"/>
      <c r="AR32" s="1094" t="s">
        <v>4247</v>
      </c>
      <c r="AS32" s="588"/>
      <c r="AT32" s="588"/>
      <c r="AU32" s="588"/>
      <c r="AV32" s="589"/>
      <c r="AW32" s="589"/>
      <c r="AX32" s="589"/>
      <c r="AY32" s="588"/>
      <c r="AZ32" s="588"/>
      <c r="BA32" s="588"/>
      <c r="BB32" s="588"/>
      <c r="BC32" s="588"/>
      <c r="BD32" s="588"/>
      <c r="BE32" s="588"/>
      <c r="BF32" s="588"/>
      <c r="BG32" s="588"/>
      <c r="BH32" s="588"/>
      <c r="BI32" s="588"/>
      <c r="BJ32" s="588"/>
      <c r="BK32" s="588"/>
      <c r="BL32" s="588"/>
      <c r="BM32" s="588"/>
      <c r="BN32" s="588"/>
      <c r="BO32" s="588"/>
      <c r="BP32" s="1155"/>
      <c r="BQ32" s="588"/>
      <c r="BR32" s="588"/>
      <c r="BS32" s="1802"/>
      <c r="BT32" s="1802"/>
      <c r="BU32" s="1802"/>
      <c r="BV32" s="1802"/>
      <c r="BW32" s="588"/>
      <c r="BX32" s="1094"/>
      <c r="BY32" s="1802"/>
      <c r="BZ32" s="588"/>
      <c r="CA32" s="588"/>
      <c r="CB32" s="588"/>
      <c r="CC32" s="588"/>
      <c r="CD32" s="588"/>
      <c r="CE32" s="588"/>
      <c r="CF32" s="588"/>
      <c r="CG32" s="588"/>
      <c r="CH32" s="588"/>
      <c r="CI32" s="588"/>
      <c r="CJ32" s="588"/>
      <c r="CK32" s="588"/>
      <c r="CL32" s="1187" t="s">
        <v>4269</v>
      </c>
      <c r="CM32" s="588" t="s">
        <v>2004</v>
      </c>
      <c r="CN32" s="587"/>
      <c r="CO32" s="591"/>
    </row>
    <row r="33" spans="1:95" ht="18" x14ac:dyDescent="0.25">
      <c r="B33" s="1245">
        <v>30</v>
      </c>
      <c r="C33" s="586" t="s">
        <v>1360</v>
      </c>
      <c r="D33" s="587" t="s">
        <v>2178</v>
      </c>
      <c r="E33" s="588">
        <v>1</v>
      </c>
      <c r="F33" s="588"/>
      <c r="G33" s="588"/>
      <c r="H33" s="588"/>
      <c r="I33" s="588"/>
      <c r="J33" s="2450"/>
      <c r="K33" s="588"/>
      <c r="L33" s="588"/>
      <c r="M33" s="588"/>
      <c r="N33" s="588"/>
      <c r="O33" s="588">
        <v>-1</v>
      </c>
      <c r="P33" s="588"/>
      <c r="Q33" s="588"/>
      <c r="R33" s="588"/>
      <c r="S33" s="588"/>
      <c r="T33" s="588"/>
      <c r="U33" s="588"/>
      <c r="V33" s="588"/>
      <c r="W33" s="588"/>
      <c r="X33" s="588"/>
      <c r="Y33" s="588"/>
      <c r="Z33" s="1802"/>
      <c r="AA33" s="588"/>
      <c r="AB33" s="589"/>
      <c r="AC33" s="589"/>
      <c r="AD33" s="589"/>
      <c r="AE33" s="588"/>
      <c r="AF33" s="588"/>
      <c r="AG33" s="588"/>
      <c r="AH33" s="588"/>
      <c r="AI33" s="588"/>
      <c r="AJ33" s="589"/>
      <c r="AK33" s="588"/>
      <c r="AL33" s="588"/>
      <c r="AM33" s="588"/>
      <c r="AN33" s="588"/>
      <c r="AO33" s="588"/>
      <c r="AP33" s="588"/>
      <c r="AQ33" s="588"/>
      <c r="AR33" s="2450" t="s">
        <v>5236</v>
      </c>
      <c r="AS33" s="589"/>
      <c r="AT33" s="589"/>
      <c r="AU33" s="589"/>
      <c r="AV33" s="589"/>
      <c r="AW33" s="589"/>
      <c r="AX33" s="589"/>
      <c r="AY33" s="588"/>
      <c r="AZ33" s="588"/>
      <c r="BA33" s="588"/>
      <c r="BB33" s="588"/>
      <c r="BC33" s="588"/>
      <c r="BD33" s="588"/>
      <c r="BE33" s="588"/>
      <c r="BF33" s="588"/>
      <c r="BG33" s="588"/>
      <c r="BH33" s="588"/>
      <c r="BI33" s="588"/>
      <c r="BJ33" s="588"/>
      <c r="BK33" s="588"/>
      <c r="BL33" s="588"/>
      <c r="BM33" s="588"/>
      <c r="BN33" s="588"/>
      <c r="BO33" s="588"/>
      <c r="BP33" s="1155"/>
      <c r="BQ33" s="588"/>
      <c r="BR33" s="588"/>
      <c r="BS33" s="1802"/>
      <c r="BT33" s="1802"/>
      <c r="BU33" s="1802"/>
      <c r="BV33" s="1802"/>
      <c r="BW33" s="588"/>
      <c r="BX33" s="1094"/>
      <c r="BY33" s="1802"/>
      <c r="BZ33" s="588"/>
      <c r="CA33" s="588"/>
      <c r="CB33" s="588"/>
      <c r="CC33" s="588"/>
      <c r="CD33" s="588"/>
      <c r="CE33" s="588"/>
      <c r="CF33" s="588"/>
      <c r="CG33" s="588"/>
      <c r="CH33" s="588"/>
      <c r="CI33" s="588"/>
      <c r="CJ33" s="588"/>
      <c r="CK33" s="588"/>
      <c r="CL33" s="1187" t="s">
        <v>5237</v>
      </c>
      <c r="CM33" s="588" t="s">
        <v>2004</v>
      </c>
      <c r="CN33" s="587"/>
      <c r="CO33" s="591"/>
    </row>
    <row r="34" spans="1:95" ht="18" x14ac:dyDescent="0.25">
      <c r="B34" s="1245">
        <v>31</v>
      </c>
      <c r="C34" s="586" t="s">
        <v>1361</v>
      </c>
      <c r="D34" s="587" t="s">
        <v>2181</v>
      </c>
      <c r="E34" s="588"/>
      <c r="F34" s="588"/>
      <c r="G34" s="588"/>
      <c r="H34" s="588"/>
      <c r="I34" s="588"/>
      <c r="J34" s="2450"/>
      <c r="K34" s="588"/>
      <c r="L34" s="588"/>
      <c r="M34" s="588"/>
      <c r="N34" s="588"/>
      <c r="O34" s="588"/>
      <c r="P34" s="588"/>
      <c r="Q34" s="588"/>
      <c r="R34" s="588"/>
      <c r="S34" s="588"/>
      <c r="T34" s="588"/>
      <c r="U34" s="588"/>
      <c r="V34" s="588"/>
      <c r="W34" s="588"/>
      <c r="X34" s="588"/>
      <c r="Y34" s="588"/>
      <c r="Z34" s="1802"/>
      <c r="AA34" s="588"/>
      <c r="AB34" s="588"/>
      <c r="AC34" s="588"/>
      <c r="AD34" s="588"/>
      <c r="AE34" s="588"/>
      <c r="AF34" s="588"/>
      <c r="AG34" s="588"/>
      <c r="AH34" s="588"/>
      <c r="AI34" s="588">
        <v>1</v>
      </c>
      <c r="AJ34" s="588">
        <v>-1</v>
      </c>
      <c r="AK34" s="588"/>
      <c r="AL34" s="588"/>
      <c r="AM34" s="588"/>
      <c r="AN34" s="588"/>
      <c r="AO34" s="588"/>
      <c r="AP34" s="588"/>
      <c r="AQ34" s="588"/>
      <c r="AR34" s="588"/>
      <c r="AS34" s="588"/>
      <c r="AT34" s="588"/>
      <c r="AU34" s="588"/>
      <c r="AV34" s="589" t="s">
        <v>1667</v>
      </c>
      <c r="AW34" s="589" t="s">
        <v>1668</v>
      </c>
      <c r="AX34" s="589" t="s">
        <v>1669</v>
      </c>
      <c r="AY34" s="588"/>
      <c r="AZ34" s="588"/>
      <c r="BA34" s="588"/>
      <c r="BB34" s="588"/>
      <c r="BC34" s="588"/>
      <c r="BD34" s="588"/>
      <c r="BE34" s="588"/>
      <c r="BF34" s="588"/>
      <c r="BG34" s="588"/>
      <c r="BH34" s="588"/>
      <c r="BI34" s="588"/>
      <c r="BJ34" s="588"/>
      <c r="BK34" s="588"/>
      <c r="BL34" s="588"/>
      <c r="BM34" s="588"/>
      <c r="BN34" s="588"/>
      <c r="BO34" s="588"/>
      <c r="BP34" s="1155"/>
      <c r="BQ34" s="588"/>
      <c r="BR34" s="588"/>
      <c r="BS34" s="1802"/>
      <c r="BT34" s="1802"/>
      <c r="BU34" s="1802"/>
      <c r="BV34" s="1802"/>
      <c r="BW34" s="588"/>
      <c r="BX34" s="1094"/>
      <c r="BY34" s="1802"/>
      <c r="BZ34" s="588"/>
      <c r="CA34" s="588"/>
      <c r="CB34" s="588"/>
      <c r="CC34" s="588"/>
      <c r="CD34" s="588"/>
      <c r="CE34" s="588"/>
      <c r="CF34" s="588"/>
      <c r="CG34" s="588"/>
      <c r="CH34" s="588"/>
      <c r="CI34" s="588"/>
      <c r="CJ34" s="588"/>
      <c r="CK34" s="588"/>
      <c r="CL34" s="1187" t="s">
        <v>4307</v>
      </c>
      <c r="CM34" s="588" t="s">
        <v>2004</v>
      </c>
      <c r="CN34" s="587"/>
      <c r="CO34" s="591"/>
    </row>
    <row r="35" spans="1:95" ht="18" x14ac:dyDescent="0.25">
      <c r="B35" s="1245">
        <v>32</v>
      </c>
      <c r="C35" s="586" t="s">
        <v>252</v>
      </c>
      <c r="D35" s="587" t="s">
        <v>3068</v>
      </c>
      <c r="E35" s="1094" t="s">
        <v>4221</v>
      </c>
      <c r="F35" s="1093" t="s">
        <v>4224</v>
      </c>
      <c r="G35" s="588"/>
      <c r="H35" s="588"/>
      <c r="I35" s="588"/>
      <c r="J35" s="2450"/>
      <c r="K35" s="588"/>
      <c r="L35" s="588"/>
      <c r="M35" s="588"/>
      <c r="N35" s="589">
        <v>1</v>
      </c>
      <c r="O35" s="589"/>
      <c r="P35" s="588"/>
      <c r="Q35" s="588"/>
      <c r="R35" s="588"/>
      <c r="S35" s="588"/>
      <c r="T35" s="588"/>
      <c r="U35" s="588"/>
      <c r="V35" s="588"/>
      <c r="W35" s="588"/>
      <c r="X35" s="588"/>
      <c r="Y35" s="588"/>
      <c r="Z35" s="1802"/>
      <c r="AA35" s="588"/>
      <c r="AB35" s="589"/>
      <c r="AC35" s="589"/>
      <c r="AD35" s="589"/>
      <c r="AE35" s="588"/>
      <c r="AF35" s="588"/>
      <c r="AG35" s="588"/>
      <c r="AH35" s="588"/>
      <c r="AI35" s="588"/>
      <c r="AJ35" s="589"/>
      <c r="AK35" s="588"/>
      <c r="AL35" s="588"/>
      <c r="AM35" s="588"/>
      <c r="AN35" s="588"/>
      <c r="AO35" s="588"/>
      <c r="AP35" s="588"/>
      <c r="AQ35" s="1094" t="s">
        <v>4241</v>
      </c>
      <c r="AR35" s="1094" t="s">
        <v>5343</v>
      </c>
      <c r="AS35" s="821" t="s">
        <v>2443</v>
      </c>
      <c r="AT35" s="821" t="s">
        <v>3562</v>
      </c>
      <c r="AU35" s="821" t="s">
        <v>3563</v>
      </c>
      <c r="AV35" s="821" t="s">
        <v>3564</v>
      </c>
      <c r="AW35" s="821" t="s">
        <v>3565</v>
      </c>
      <c r="AX35" s="589"/>
      <c r="AY35" s="589"/>
      <c r="AZ35" s="589"/>
      <c r="BA35" s="589"/>
      <c r="BB35" s="589"/>
      <c r="BC35" s="589"/>
      <c r="BD35" s="589"/>
      <c r="BE35" s="589"/>
      <c r="BF35" s="589"/>
      <c r="BG35" s="589"/>
      <c r="BH35" s="589"/>
      <c r="BI35" s="589"/>
      <c r="BJ35" s="589"/>
      <c r="BK35" s="589"/>
      <c r="BL35" s="589"/>
      <c r="BM35" s="589"/>
      <c r="BN35" s="589"/>
      <c r="BO35" s="589"/>
      <c r="BP35" s="1155"/>
      <c r="BQ35" s="589"/>
      <c r="BR35" s="589"/>
      <c r="BS35" s="1801"/>
      <c r="BT35" s="1801"/>
      <c r="BU35" s="1801"/>
      <c r="BV35" s="1801"/>
      <c r="BW35" s="589"/>
      <c r="BX35" s="1093"/>
      <c r="BY35" s="1801"/>
      <c r="BZ35" s="589"/>
      <c r="CA35" s="589"/>
      <c r="CB35" s="589"/>
      <c r="CC35" s="589"/>
      <c r="CD35" s="589"/>
      <c r="CE35" s="589"/>
      <c r="CF35" s="589"/>
      <c r="CG35" s="589"/>
      <c r="CH35" s="589"/>
      <c r="CI35" s="589"/>
      <c r="CJ35" s="589"/>
      <c r="CK35" s="589"/>
      <c r="CL35" s="1187" t="s">
        <v>4265</v>
      </c>
      <c r="CM35" s="588" t="s">
        <v>2004</v>
      </c>
      <c r="CN35" s="587"/>
      <c r="CO35" s="591"/>
      <c r="CQ35" s="1024"/>
    </row>
    <row r="36" spans="1:95" ht="18" x14ac:dyDescent="0.25">
      <c r="B36" s="1245">
        <v>33</v>
      </c>
      <c r="C36" s="586" t="s">
        <v>253</v>
      </c>
      <c r="D36" s="587" t="s">
        <v>3069</v>
      </c>
      <c r="E36" s="1094" t="s">
        <v>4222</v>
      </c>
      <c r="F36" s="1093" t="s">
        <v>4224</v>
      </c>
      <c r="G36" s="588"/>
      <c r="H36" s="588"/>
      <c r="I36" s="588"/>
      <c r="J36" s="2450"/>
      <c r="K36" s="588"/>
      <c r="L36" s="588"/>
      <c r="M36" s="588"/>
      <c r="N36" s="589">
        <v>1</v>
      </c>
      <c r="O36" s="589"/>
      <c r="P36" s="588"/>
      <c r="Q36" s="588"/>
      <c r="R36" s="588"/>
      <c r="S36" s="588"/>
      <c r="T36" s="588"/>
      <c r="U36" s="588"/>
      <c r="V36" s="588"/>
      <c r="W36" s="588"/>
      <c r="X36" s="588"/>
      <c r="Y36" s="588"/>
      <c r="Z36" s="1802"/>
      <c r="AA36" s="588"/>
      <c r="AB36" s="589"/>
      <c r="AC36" s="589"/>
      <c r="AD36" s="589"/>
      <c r="AE36" s="588"/>
      <c r="AF36" s="588"/>
      <c r="AG36" s="588"/>
      <c r="AH36" s="588"/>
      <c r="AI36" s="588"/>
      <c r="AJ36" s="589"/>
      <c r="AK36" s="588"/>
      <c r="AL36" s="588"/>
      <c r="AM36" s="588"/>
      <c r="AN36" s="588"/>
      <c r="AO36" s="588"/>
      <c r="AP36" s="588"/>
      <c r="AQ36" s="1094" t="s">
        <v>4242</v>
      </c>
      <c r="AR36" s="1094" t="s">
        <v>5344</v>
      </c>
      <c r="AS36" s="821" t="s">
        <v>2443</v>
      </c>
      <c r="AT36" s="821" t="s">
        <v>3562</v>
      </c>
      <c r="AU36" s="821" t="s">
        <v>3563</v>
      </c>
      <c r="AV36" s="821" t="s">
        <v>3564</v>
      </c>
      <c r="AW36" s="821" t="s">
        <v>3565</v>
      </c>
      <c r="AX36" s="589"/>
      <c r="AY36" s="589"/>
      <c r="AZ36" s="589"/>
      <c r="BA36" s="589"/>
      <c r="BB36" s="589"/>
      <c r="BC36" s="589"/>
      <c r="BD36" s="589"/>
      <c r="BE36" s="589"/>
      <c r="BF36" s="589"/>
      <c r="BG36" s="589"/>
      <c r="BH36" s="589"/>
      <c r="BI36" s="589"/>
      <c r="BJ36" s="589"/>
      <c r="BK36" s="589"/>
      <c r="BL36" s="589"/>
      <c r="BM36" s="589"/>
      <c r="BN36" s="589"/>
      <c r="BO36" s="589"/>
      <c r="BP36" s="1155"/>
      <c r="BQ36" s="589"/>
      <c r="BR36" s="589"/>
      <c r="BS36" s="1801"/>
      <c r="BT36" s="1801"/>
      <c r="BU36" s="1801"/>
      <c r="BV36" s="1801"/>
      <c r="BW36" s="589"/>
      <c r="BX36" s="1093"/>
      <c r="BY36" s="1801"/>
      <c r="BZ36" s="589"/>
      <c r="CA36" s="589"/>
      <c r="CB36" s="589"/>
      <c r="CC36" s="589"/>
      <c r="CD36" s="589"/>
      <c r="CE36" s="589"/>
      <c r="CF36" s="589"/>
      <c r="CG36" s="589"/>
      <c r="CH36" s="589"/>
      <c r="CI36" s="589"/>
      <c r="CJ36" s="589"/>
      <c r="CK36" s="589"/>
      <c r="CL36" s="1187" t="s">
        <v>4266</v>
      </c>
      <c r="CM36" s="588" t="s">
        <v>2004</v>
      </c>
      <c r="CN36" s="587"/>
      <c r="CO36" s="591"/>
      <c r="CQ36" s="1024"/>
    </row>
    <row r="37" spans="1:95" ht="18" x14ac:dyDescent="0.25">
      <c r="B37" s="1245">
        <v>34</v>
      </c>
      <c r="C37" s="586" t="s">
        <v>4270</v>
      </c>
      <c r="D37" s="587" t="s">
        <v>4219</v>
      </c>
      <c r="E37" s="1093" t="s">
        <v>4223</v>
      </c>
      <c r="F37" s="588"/>
      <c r="G37" s="588"/>
      <c r="H37" s="588"/>
      <c r="I37" s="588"/>
      <c r="J37" s="588" t="s">
        <v>1653</v>
      </c>
      <c r="K37" s="588"/>
      <c r="L37" s="588"/>
      <c r="M37" s="588"/>
      <c r="N37" s="1093" t="s">
        <v>5224</v>
      </c>
      <c r="O37" s="1093" t="s">
        <v>5225</v>
      </c>
      <c r="P37" s="588" t="s">
        <v>1654</v>
      </c>
      <c r="Q37" s="588"/>
      <c r="R37" s="588"/>
      <c r="S37" s="588">
        <v>-1</v>
      </c>
      <c r="T37" s="588"/>
      <c r="U37" s="588"/>
      <c r="V37" s="588"/>
      <c r="W37" s="588"/>
      <c r="X37" s="588"/>
      <c r="Y37" s="588"/>
      <c r="Z37" s="1802"/>
      <c r="AA37" s="588" t="s">
        <v>2131</v>
      </c>
      <c r="AB37" s="588"/>
      <c r="AC37" s="588"/>
      <c r="AD37" s="588"/>
      <c r="AE37" s="588"/>
      <c r="AF37" s="588"/>
      <c r="AG37" s="588" t="s">
        <v>1655</v>
      </c>
      <c r="AH37" s="588"/>
      <c r="AI37" s="1093" t="s">
        <v>4238</v>
      </c>
      <c r="AJ37" s="1093" t="s">
        <v>4239</v>
      </c>
      <c r="AK37" s="588"/>
      <c r="AL37" s="588"/>
      <c r="AM37" s="588" t="s">
        <v>1656</v>
      </c>
      <c r="AN37" s="588"/>
      <c r="AO37" s="588"/>
      <c r="AP37" s="588"/>
      <c r="AQ37" s="588"/>
      <c r="AR37" s="2450" t="s">
        <v>5289</v>
      </c>
      <c r="AS37" s="2450"/>
      <c r="AT37" s="2498"/>
      <c r="AU37" s="2498"/>
      <c r="AV37" s="2498" t="s">
        <v>5290</v>
      </c>
      <c r="AW37" s="2498" t="s">
        <v>5291</v>
      </c>
      <c r="AX37" s="2498" t="s">
        <v>4258</v>
      </c>
      <c r="AY37" s="588"/>
      <c r="AZ37" s="588"/>
      <c r="BA37" s="588"/>
      <c r="BB37" s="588"/>
      <c r="BC37" s="588"/>
      <c r="BD37" s="588"/>
      <c r="BE37" s="588"/>
      <c r="BF37" s="588"/>
      <c r="BG37" s="588"/>
      <c r="BH37" s="588"/>
      <c r="BI37" s="588"/>
      <c r="BJ37" s="588"/>
      <c r="BK37" s="588"/>
      <c r="BL37" s="588"/>
      <c r="BM37" s="588"/>
      <c r="BN37" s="588"/>
      <c r="BO37" s="588"/>
      <c r="BP37" s="1155"/>
      <c r="BQ37" s="588"/>
      <c r="BR37" s="588"/>
      <c r="BS37" s="1802"/>
      <c r="BT37" s="1802"/>
      <c r="BU37" s="1802"/>
      <c r="BV37" s="1802"/>
      <c r="BW37" s="588"/>
      <c r="BX37" s="1094"/>
      <c r="BY37" s="1802"/>
      <c r="BZ37" s="588"/>
      <c r="CA37" s="588"/>
      <c r="CB37" s="588"/>
      <c r="CC37" s="588"/>
      <c r="CD37" s="588"/>
      <c r="CE37" s="588"/>
      <c r="CF37" s="588"/>
      <c r="CG37" s="588"/>
      <c r="CH37" s="588"/>
      <c r="CI37" s="588"/>
      <c r="CJ37" s="588"/>
      <c r="CK37" s="588"/>
      <c r="CL37" s="1187" t="s">
        <v>4267</v>
      </c>
      <c r="CM37" s="588" t="s">
        <v>2004</v>
      </c>
      <c r="CN37" s="587"/>
      <c r="CO37" s="591"/>
    </row>
    <row r="38" spans="1:95" ht="18" x14ac:dyDescent="0.25">
      <c r="B38" s="1245">
        <v>35</v>
      </c>
      <c r="C38" s="586" t="s">
        <v>4271</v>
      </c>
      <c r="D38" s="587" t="s">
        <v>4220</v>
      </c>
      <c r="E38" s="1093" t="s">
        <v>4223</v>
      </c>
      <c r="F38" s="588"/>
      <c r="G38" s="588"/>
      <c r="H38" s="588"/>
      <c r="I38" s="588"/>
      <c r="J38" s="588" t="s">
        <v>1653</v>
      </c>
      <c r="K38" s="588"/>
      <c r="L38" s="588"/>
      <c r="M38" s="588"/>
      <c r="N38" s="1093" t="s">
        <v>5224</v>
      </c>
      <c r="O38" s="1093" t="s">
        <v>5225</v>
      </c>
      <c r="P38" s="588"/>
      <c r="Q38" s="588" t="s">
        <v>1654</v>
      </c>
      <c r="R38" s="588"/>
      <c r="S38" s="588">
        <v>-1</v>
      </c>
      <c r="T38" s="588"/>
      <c r="U38" s="588"/>
      <c r="V38" s="588"/>
      <c r="W38" s="588"/>
      <c r="X38" s="588"/>
      <c r="Y38" s="588"/>
      <c r="Z38" s="1802"/>
      <c r="AA38" s="588" t="s">
        <v>2131</v>
      </c>
      <c r="AB38" s="588"/>
      <c r="AC38" s="588"/>
      <c r="AD38" s="588"/>
      <c r="AE38" s="588"/>
      <c r="AF38" s="588"/>
      <c r="AG38" s="588" t="s">
        <v>1655</v>
      </c>
      <c r="AH38" s="588"/>
      <c r="AI38" s="1093" t="s">
        <v>4238</v>
      </c>
      <c r="AJ38" s="1093" t="s">
        <v>4239</v>
      </c>
      <c r="AK38" s="588"/>
      <c r="AL38" s="588"/>
      <c r="AM38" s="588" t="s">
        <v>1656</v>
      </c>
      <c r="AN38" s="588"/>
      <c r="AO38" s="588"/>
      <c r="AP38" s="588"/>
      <c r="AQ38" s="588"/>
      <c r="AR38" s="2450" t="s">
        <v>5289</v>
      </c>
      <c r="AS38" s="2450"/>
      <c r="AT38" s="2498"/>
      <c r="AU38" s="2498"/>
      <c r="AV38" s="2498" t="s">
        <v>5290</v>
      </c>
      <c r="AW38" s="2498" t="s">
        <v>5291</v>
      </c>
      <c r="AX38" s="2498" t="s">
        <v>4258</v>
      </c>
      <c r="AY38" s="588"/>
      <c r="AZ38" s="588"/>
      <c r="BA38" s="588"/>
      <c r="BB38" s="588"/>
      <c r="BC38" s="588"/>
      <c r="BD38" s="588"/>
      <c r="BE38" s="588"/>
      <c r="BF38" s="588"/>
      <c r="BG38" s="588"/>
      <c r="BH38" s="588"/>
      <c r="BI38" s="588"/>
      <c r="BJ38" s="588"/>
      <c r="BK38" s="588"/>
      <c r="BL38" s="588"/>
      <c r="BM38" s="588"/>
      <c r="BN38" s="588"/>
      <c r="BO38" s="588"/>
      <c r="BP38" s="1155"/>
      <c r="BQ38" s="588"/>
      <c r="BR38" s="588"/>
      <c r="BS38" s="1802"/>
      <c r="BT38" s="1802"/>
      <c r="BU38" s="1802"/>
      <c r="BV38" s="1802"/>
      <c r="BW38" s="588"/>
      <c r="BX38" s="1094"/>
      <c r="BY38" s="1802"/>
      <c r="BZ38" s="588"/>
      <c r="CA38" s="588"/>
      <c r="CB38" s="588"/>
      <c r="CC38" s="588"/>
      <c r="CD38" s="588"/>
      <c r="CE38" s="588"/>
      <c r="CF38" s="588"/>
      <c r="CG38" s="588"/>
      <c r="CH38" s="588"/>
      <c r="CI38" s="588"/>
      <c r="CJ38" s="588"/>
      <c r="CK38" s="588"/>
      <c r="CL38" s="1187" t="s">
        <v>5218</v>
      </c>
      <c r="CM38" s="588" t="s">
        <v>2004</v>
      </c>
      <c r="CN38" s="587"/>
      <c r="CO38" s="591"/>
    </row>
    <row r="39" spans="1:95" s="69" customFormat="1" ht="18" x14ac:dyDescent="0.25">
      <c r="A39"/>
      <c r="B39" s="1836">
        <v>36</v>
      </c>
      <c r="C39" s="1837" t="s">
        <v>4272</v>
      </c>
      <c r="D39" s="1838" t="s">
        <v>4509</v>
      </c>
      <c r="E39" s="1802"/>
      <c r="F39" s="1802"/>
      <c r="G39" s="1802"/>
      <c r="H39" s="1802"/>
      <c r="I39" s="1802"/>
      <c r="J39" s="1802"/>
      <c r="K39" s="1802"/>
      <c r="L39" s="1802"/>
      <c r="M39" s="1802"/>
      <c r="N39" s="1802"/>
      <c r="O39" s="1802"/>
      <c r="P39" s="1802"/>
      <c r="Q39" s="1802"/>
      <c r="R39" s="1801"/>
      <c r="S39" s="1802"/>
      <c r="T39" s="1802"/>
      <c r="U39" s="1802"/>
      <c r="V39" s="1802"/>
      <c r="W39" s="1802"/>
      <c r="X39" s="1801"/>
      <c r="Y39" s="1802"/>
      <c r="Z39" s="1802"/>
      <c r="AA39" s="1802"/>
      <c r="AB39" s="1802"/>
      <c r="AC39" s="1802"/>
      <c r="AD39" s="1802"/>
      <c r="AE39" s="1801"/>
      <c r="AF39" s="1802"/>
      <c r="AG39" s="1802"/>
      <c r="AH39" s="1802"/>
      <c r="AI39" s="1802"/>
      <c r="AJ39" s="1802"/>
      <c r="AK39" s="1802"/>
      <c r="AL39" s="1802"/>
      <c r="AM39" s="1802"/>
      <c r="AN39" s="1802"/>
      <c r="AO39" s="1802"/>
      <c r="AP39" s="1802"/>
      <c r="AQ39" s="1802"/>
      <c r="AR39" s="1802"/>
      <c r="AS39" s="1802"/>
      <c r="AT39" s="1801"/>
      <c r="AU39" s="1802"/>
      <c r="AV39" s="1801"/>
      <c r="AW39" s="1802"/>
      <c r="AX39" s="1802"/>
      <c r="AY39" s="1801"/>
      <c r="AZ39" s="1801"/>
      <c r="BA39" s="1802"/>
      <c r="BB39" s="1801"/>
      <c r="BC39" s="1801"/>
      <c r="BD39" s="1802"/>
      <c r="BE39" s="1802"/>
      <c r="BF39" s="1801"/>
      <c r="BG39" s="1801"/>
      <c r="BH39" s="1802"/>
      <c r="BI39" s="1801"/>
      <c r="BJ39" s="1801"/>
      <c r="BK39" s="1801"/>
      <c r="BL39" s="1801"/>
      <c r="BM39" s="1801"/>
      <c r="BN39" s="1801"/>
      <c r="BO39" s="1801"/>
      <c r="BP39" s="1801"/>
      <c r="BQ39" s="1801"/>
      <c r="BR39" s="1801"/>
      <c r="BS39" s="1801"/>
      <c r="BT39" s="1801"/>
      <c r="BU39" s="1801"/>
      <c r="BV39" s="1801"/>
      <c r="BW39" s="1801"/>
      <c r="BX39" s="1801"/>
      <c r="BY39" s="1801">
        <v>1</v>
      </c>
      <c r="BZ39" s="1801"/>
      <c r="CA39" s="1801"/>
      <c r="CB39" s="1801"/>
      <c r="CC39" s="1801"/>
      <c r="CD39" s="1801"/>
      <c r="CE39" s="1801"/>
      <c r="CF39" s="1801"/>
      <c r="CG39" s="1801"/>
      <c r="CH39" s="1801"/>
      <c r="CI39" s="1801"/>
      <c r="CJ39" s="1801"/>
      <c r="CK39" s="1822"/>
      <c r="CL39" s="1822" t="s">
        <v>4510</v>
      </c>
      <c r="CM39" s="1839" t="s">
        <v>4511</v>
      </c>
      <c r="CN39" s="1822"/>
      <c r="CO39" s="1823"/>
    </row>
    <row r="40" spans="1:95" ht="18" x14ac:dyDescent="0.25">
      <c r="B40" s="1830">
        <v>37</v>
      </c>
      <c r="C40" s="1831" t="s">
        <v>296</v>
      </c>
      <c r="D40" s="1832" t="s">
        <v>2207</v>
      </c>
      <c r="E40" s="1833"/>
      <c r="F40" s="1803"/>
      <c r="G40" s="1803"/>
      <c r="H40" s="1803"/>
      <c r="I40" s="1803"/>
      <c r="J40" s="1803"/>
      <c r="K40" s="1803"/>
      <c r="L40" s="1803"/>
      <c r="M40" s="1803"/>
      <c r="N40" s="1833"/>
      <c r="O40" s="1833"/>
      <c r="P40" s="1803"/>
      <c r="Q40" s="1803"/>
      <c r="R40" s="1803"/>
      <c r="S40" s="1803"/>
      <c r="T40" s="1803"/>
      <c r="U40" s="1803">
        <v>1</v>
      </c>
      <c r="V40" s="1803"/>
      <c r="W40" s="1803"/>
      <c r="X40" s="1803"/>
      <c r="Y40" s="1803"/>
      <c r="Z40" s="1803"/>
      <c r="AA40" s="1803" t="s">
        <v>2202</v>
      </c>
      <c r="AB40" s="1833" t="s">
        <v>2203</v>
      </c>
      <c r="AC40" s="1833"/>
      <c r="AD40" s="1803"/>
      <c r="AE40" s="1803"/>
      <c r="AF40" s="1803"/>
      <c r="AG40" s="1803"/>
      <c r="AH40" s="1803"/>
      <c r="AI40" s="1833" t="s">
        <v>1648</v>
      </c>
      <c r="AJ40" s="1833"/>
      <c r="AK40" s="1803"/>
      <c r="AL40" s="1803"/>
      <c r="AM40" s="1803"/>
      <c r="AN40" s="1803"/>
      <c r="AO40" s="1833" t="s">
        <v>2200</v>
      </c>
      <c r="AP40" s="1803"/>
      <c r="AQ40" s="1803"/>
      <c r="AR40" s="1833" t="s">
        <v>1670</v>
      </c>
      <c r="AS40" s="1833" t="s">
        <v>2443</v>
      </c>
      <c r="AT40" s="1833" t="s">
        <v>3562</v>
      </c>
      <c r="AU40" s="1833" t="s">
        <v>3563</v>
      </c>
      <c r="AV40" s="1833" t="s">
        <v>3564</v>
      </c>
      <c r="AW40" s="1833" t="s">
        <v>3565</v>
      </c>
      <c r="AX40" s="1833"/>
      <c r="AY40" s="1803"/>
      <c r="AZ40" s="1803"/>
      <c r="BA40" s="1803"/>
      <c r="BB40" s="1803"/>
      <c r="BC40" s="1803"/>
      <c r="BD40" s="1803"/>
      <c r="BE40" s="1803"/>
      <c r="BF40" s="1803"/>
      <c r="BG40" s="1803"/>
      <c r="BH40" s="1803"/>
      <c r="BI40" s="1803"/>
      <c r="BJ40" s="1803"/>
      <c r="BK40" s="1803"/>
      <c r="BL40" s="1803"/>
      <c r="BM40" s="1803"/>
      <c r="BN40" s="1803"/>
      <c r="BO40" s="1803"/>
      <c r="BP40" s="1833"/>
      <c r="BQ40" s="1803"/>
      <c r="BR40" s="1803"/>
      <c r="BS40" s="1803"/>
      <c r="BT40" s="1803"/>
      <c r="BU40" s="1803"/>
      <c r="BV40" s="1803"/>
      <c r="BW40" s="1803"/>
      <c r="BX40" s="1803"/>
      <c r="BY40" s="1803"/>
      <c r="BZ40" s="1803"/>
      <c r="CA40" s="1803"/>
      <c r="CB40" s="1803"/>
      <c r="CC40" s="1803"/>
      <c r="CD40" s="1803"/>
      <c r="CE40" s="1803"/>
      <c r="CF40" s="1803"/>
      <c r="CG40" s="1803"/>
      <c r="CH40" s="1803"/>
      <c r="CI40" s="1803"/>
      <c r="CJ40" s="1803"/>
      <c r="CK40" s="1803"/>
      <c r="CL40" s="1834" t="s">
        <v>4728</v>
      </c>
      <c r="CM40" s="1833" t="s">
        <v>2004</v>
      </c>
      <c r="CN40" s="1834"/>
      <c r="CO40" s="1835"/>
    </row>
    <row r="41" spans="1:95" ht="18" x14ac:dyDescent="0.25">
      <c r="B41" s="1246">
        <v>38</v>
      </c>
      <c r="C41" s="1193" t="s">
        <v>4273</v>
      </c>
      <c r="D41" s="594" t="s">
        <v>2208</v>
      </c>
      <c r="E41" s="592"/>
      <c r="F41" s="593"/>
      <c r="G41" s="593"/>
      <c r="H41" s="593"/>
      <c r="I41" s="593"/>
      <c r="J41" s="593" t="s">
        <v>1653</v>
      </c>
      <c r="K41" s="593"/>
      <c r="L41" s="593"/>
      <c r="M41" s="593"/>
      <c r="N41" s="592"/>
      <c r="O41" s="592"/>
      <c r="P41" s="593" t="s">
        <v>1654</v>
      </c>
      <c r="Q41" s="593"/>
      <c r="R41" s="593"/>
      <c r="S41" s="593"/>
      <c r="T41" s="593"/>
      <c r="U41" s="593">
        <v>-1</v>
      </c>
      <c r="V41" s="593"/>
      <c r="W41" s="593"/>
      <c r="X41" s="593"/>
      <c r="Y41" s="593"/>
      <c r="Z41" s="1803"/>
      <c r="AA41" s="593" t="s">
        <v>2131</v>
      </c>
      <c r="AB41" s="593"/>
      <c r="AC41" s="593"/>
      <c r="AD41" s="593"/>
      <c r="AE41" s="593"/>
      <c r="AF41" s="593"/>
      <c r="AG41" s="593" t="s">
        <v>1655</v>
      </c>
      <c r="AH41" s="593"/>
      <c r="AI41" s="593"/>
      <c r="AJ41" s="592"/>
      <c r="AK41" s="593"/>
      <c r="AL41" s="593"/>
      <c r="AM41" s="593" t="s">
        <v>1656</v>
      </c>
      <c r="AN41" s="593"/>
      <c r="AO41" s="593"/>
      <c r="AP41" s="593"/>
      <c r="AQ41" s="593"/>
      <c r="AR41" s="2459" t="s">
        <v>5288</v>
      </c>
      <c r="AS41" s="592"/>
      <c r="AT41" s="592"/>
      <c r="AU41" s="592"/>
      <c r="AV41" s="592"/>
      <c r="AW41" s="592"/>
      <c r="AX41" s="592"/>
      <c r="AY41" s="593"/>
      <c r="AZ41" s="593"/>
      <c r="BA41" s="593"/>
      <c r="BB41" s="593"/>
      <c r="BC41" s="593"/>
      <c r="BD41" s="593"/>
      <c r="BE41" s="593"/>
      <c r="BF41" s="593"/>
      <c r="BG41" s="593"/>
      <c r="BH41" s="593"/>
      <c r="BI41" s="593"/>
      <c r="BJ41" s="593"/>
      <c r="BK41" s="593"/>
      <c r="BL41" s="593"/>
      <c r="BM41" s="593"/>
      <c r="BN41" s="593"/>
      <c r="BO41" s="593"/>
      <c r="BP41" s="1208"/>
      <c r="BQ41" s="593"/>
      <c r="BR41" s="593"/>
      <c r="BS41" s="1803"/>
      <c r="BT41" s="1803"/>
      <c r="BU41" s="1803"/>
      <c r="BV41" s="1803"/>
      <c r="BW41" s="593"/>
      <c r="BX41" s="1095"/>
      <c r="BY41" s="1803"/>
      <c r="BZ41" s="593"/>
      <c r="CA41" s="593"/>
      <c r="CB41" s="593"/>
      <c r="CC41" s="593"/>
      <c r="CD41" s="593"/>
      <c r="CE41" s="593"/>
      <c r="CF41" s="593"/>
      <c r="CG41" s="593"/>
      <c r="CH41" s="593"/>
      <c r="CI41" s="593"/>
      <c r="CJ41" s="593"/>
      <c r="CK41" s="593"/>
      <c r="CL41" s="594" t="s">
        <v>3821</v>
      </c>
      <c r="CM41" s="593" t="s">
        <v>2004</v>
      </c>
      <c r="CN41" s="594"/>
      <c r="CO41" s="595"/>
    </row>
    <row r="42" spans="1:95" ht="18" x14ac:dyDescent="0.25">
      <c r="B42" s="1246">
        <v>39</v>
      </c>
      <c r="C42" s="1193" t="s">
        <v>4274</v>
      </c>
      <c r="D42" s="594" t="s">
        <v>2977</v>
      </c>
      <c r="E42" s="592"/>
      <c r="F42" s="593"/>
      <c r="G42" s="593"/>
      <c r="H42" s="593"/>
      <c r="I42" s="593"/>
      <c r="J42" s="593" t="s">
        <v>1653</v>
      </c>
      <c r="K42" s="593"/>
      <c r="L42" s="593"/>
      <c r="M42" s="593"/>
      <c r="N42" s="592"/>
      <c r="O42" s="592"/>
      <c r="P42" s="593"/>
      <c r="Q42" s="593" t="s">
        <v>1654</v>
      </c>
      <c r="R42" s="593"/>
      <c r="S42" s="593"/>
      <c r="T42" s="593"/>
      <c r="U42" s="593">
        <v>-1</v>
      </c>
      <c r="V42" s="593"/>
      <c r="W42" s="593"/>
      <c r="X42" s="593"/>
      <c r="Y42" s="593"/>
      <c r="Z42" s="1803"/>
      <c r="AA42" s="593" t="s">
        <v>2131</v>
      </c>
      <c r="AB42" s="593"/>
      <c r="AC42" s="593"/>
      <c r="AD42" s="593"/>
      <c r="AE42" s="593"/>
      <c r="AF42" s="593"/>
      <c r="AG42" s="593" t="s">
        <v>1655</v>
      </c>
      <c r="AH42" s="593"/>
      <c r="AI42" s="593"/>
      <c r="AJ42" s="592"/>
      <c r="AK42" s="593"/>
      <c r="AL42" s="593"/>
      <c r="AM42" s="593" t="s">
        <v>1656</v>
      </c>
      <c r="AN42" s="593"/>
      <c r="AO42" s="593"/>
      <c r="AP42" s="593"/>
      <c r="AQ42" s="593"/>
      <c r="AR42" s="2459" t="s">
        <v>5288</v>
      </c>
      <c r="AS42" s="592"/>
      <c r="AT42" s="592"/>
      <c r="AU42" s="592"/>
      <c r="AV42" s="592"/>
      <c r="AW42" s="592"/>
      <c r="AX42" s="592"/>
      <c r="AY42" s="593"/>
      <c r="AZ42" s="593"/>
      <c r="BA42" s="593"/>
      <c r="BB42" s="593"/>
      <c r="BC42" s="593"/>
      <c r="BD42" s="593"/>
      <c r="BE42" s="593"/>
      <c r="BF42" s="593"/>
      <c r="BG42" s="593"/>
      <c r="BH42" s="593"/>
      <c r="BI42" s="593"/>
      <c r="BJ42" s="593"/>
      <c r="BK42" s="593"/>
      <c r="BL42" s="593"/>
      <c r="BM42" s="593"/>
      <c r="BN42" s="593"/>
      <c r="BO42" s="593"/>
      <c r="BP42" s="1208"/>
      <c r="BQ42" s="593"/>
      <c r="BR42" s="593"/>
      <c r="BS42" s="1803"/>
      <c r="BT42" s="1803"/>
      <c r="BU42" s="1803"/>
      <c r="BV42" s="1803"/>
      <c r="BW42" s="593"/>
      <c r="BX42" s="1095"/>
      <c r="BY42" s="1803"/>
      <c r="BZ42" s="593"/>
      <c r="CA42" s="593"/>
      <c r="CB42" s="593"/>
      <c r="CC42" s="593"/>
      <c r="CD42" s="593"/>
      <c r="CE42" s="593"/>
      <c r="CF42" s="593"/>
      <c r="CG42" s="593"/>
      <c r="CH42" s="593"/>
      <c r="CI42" s="593"/>
      <c r="CJ42" s="593"/>
      <c r="CK42" s="593"/>
      <c r="CL42" s="594" t="s">
        <v>3822</v>
      </c>
      <c r="CM42" s="593" t="s">
        <v>2004</v>
      </c>
      <c r="CN42" s="594"/>
      <c r="CO42" s="595"/>
    </row>
    <row r="43" spans="1:95" ht="18" x14ac:dyDescent="0.25">
      <c r="B43" s="1247">
        <v>40</v>
      </c>
      <c r="C43" s="1194" t="s">
        <v>4275</v>
      </c>
      <c r="D43" s="597" t="s">
        <v>2209</v>
      </c>
      <c r="E43" s="596"/>
      <c r="F43" s="596"/>
      <c r="G43" s="596"/>
      <c r="H43" s="596"/>
      <c r="I43" s="596"/>
      <c r="J43" s="596"/>
      <c r="K43" s="596"/>
      <c r="L43" s="596"/>
      <c r="M43" s="596"/>
      <c r="N43" s="596"/>
      <c r="O43" s="596"/>
      <c r="P43" s="596"/>
      <c r="Q43" s="596"/>
      <c r="R43" s="596"/>
      <c r="S43" s="596"/>
      <c r="T43" s="596"/>
      <c r="U43" s="596"/>
      <c r="V43" s="596">
        <v>1</v>
      </c>
      <c r="W43" s="596"/>
      <c r="X43" s="596"/>
      <c r="Y43" s="596"/>
      <c r="Z43" s="1804"/>
      <c r="AA43" s="596" t="s">
        <v>2204</v>
      </c>
      <c r="AB43" s="596" t="s">
        <v>2205</v>
      </c>
      <c r="AC43" s="596" t="s">
        <v>2206</v>
      </c>
      <c r="AD43" s="596"/>
      <c r="AE43" s="596"/>
      <c r="AF43" s="596"/>
      <c r="AG43" s="596"/>
      <c r="AH43" s="596"/>
      <c r="AI43" s="596" t="s">
        <v>1648</v>
      </c>
      <c r="AJ43" s="596"/>
      <c r="AK43" s="596"/>
      <c r="AL43" s="596"/>
      <c r="AM43" s="596"/>
      <c r="AN43" s="596"/>
      <c r="AO43" s="596" t="s">
        <v>2201</v>
      </c>
      <c r="AP43" s="596"/>
      <c r="AQ43" s="596"/>
      <c r="AR43" s="596" t="s">
        <v>1670</v>
      </c>
      <c r="AS43" s="596" t="s">
        <v>2443</v>
      </c>
      <c r="AT43" s="596" t="s">
        <v>3562</v>
      </c>
      <c r="AU43" s="596" t="s">
        <v>3563</v>
      </c>
      <c r="AV43" s="596" t="s">
        <v>3564</v>
      </c>
      <c r="AW43" s="596" t="s">
        <v>3565</v>
      </c>
      <c r="AX43" s="596"/>
      <c r="AY43" s="596"/>
      <c r="AZ43" s="596"/>
      <c r="BA43" s="596"/>
      <c r="BB43" s="596"/>
      <c r="BC43" s="596"/>
      <c r="BD43" s="596"/>
      <c r="BE43" s="596"/>
      <c r="BF43" s="596"/>
      <c r="BG43" s="596"/>
      <c r="BH43" s="596"/>
      <c r="BI43" s="596"/>
      <c r="BJ43" s="596"/>
      <c r="BK43" s="596"/>
      <c r="BL43" s="596"/>
      <c r="BM43" s="596"/>
      <c r="BN43" s="596"/>
      <c r="BO43" s="596"/>
      <c r="BP43" s="596"/>
      <c r="BQ43" s="596"/>
      <c r="BR43" s="596"/>
      <c r="BS43" s="1804"/>
      <c r="BT43" s="1804"/>
      <c r="BU43" s="1804"/>
      <c r="BV43" s="1804"/>
      <c r="BW43" s="596"/>
      <c r="BX43" s="1096"/>
      <c r="BY43" s="1804"/>
      <c r="BZ43" s="596"/>
      <c r="CA43" s="596"/>
      <c r="CB43" s="596"/>
      <c r="CC43" s="596"/>
      <c r="CD43" s="596"/>
      <c r="CE43" s="596"/>
      <c r="CF43" s="596"/>
      <c r="CG43" s="596"/>
      <c r="CH43" s="596"/>
      <c r="CI43" s="596"/>
      <c r="CJ43" s="596"/>
      <c r="CK43" s="596"/>
      <c r="CL43" s="597" t="s">
        <v>4729</v>
      </c>
      <c r="CM43" s="596" t="s">
        <v>2004</v>
      </c>
      <c r="CN43" s="597"/>
      <c r="CO43" s="598"/>
    </row>
    <row r="44" spans="1:95" ht="18" x14ac:dyDescent="0.25">
      <c r="B44" s="1247">
        <v>41</v>
      </c>
      <c r="C44" s="1194" t="s">
        <v>352</v>
      </c>
      <c r="D44" s="597" t="s">
        <v>2210</v>
      </c>
      <c r="E44" s="596"/>
      <c r="F44" s="596"/>
      <c r="G44" s="596"/>
      <c r="H44" s="596"/>
      <c r="I44" s="596"/>
      <c r="J44" s="596" t="s">
        <v>1653</v>
      </c>
      <c r="K44" s="596"/>
      <c r="L44" s="596"/>
      <c r="M44" s="596"/>
      <c r="N44" s="596"/>
      <c r="O44" s="596"/>
      <c r="P44" s="596" t="s">
        <v>1654</v>
      </c>
      <c r="Q44" s="596"/>
      <c r="R44" s="596"/>
      <c r="S44" s="596"/>
      <c r="T44" s="596"/>
      <c r="U44" s="596"/>
      <c r="V44" s="596">
        <v>-1</v>
      </c>
      <c r="W44" s="596"/>
      <c r="X44" s="596"/>
      <c r="Y44" s="596"/>
      <c r="Z44" s="1804"/>
      <c r="AA44" s="596" t="s">
        <v>2131</v>
      </c>
      <c r="AB44" s="596"/>
      <c r="AC44" s="596"/>
      <c r="AD44" s="596"/>
      <c r="AE44" s="596"/>
      <c r="AF44" s="596"/>
      <c r="AG44" s="596" t="s">
        <v>1655</v>
      </c>
      <c r="AH44" s="596"/>
      <c r="AI44" s="596"/>
      <c r="AJ44" s="596"/>
      <c r="AK44" s="596"/>
      <c r="AL44" s="596"/>
      <c r="AM44" s="596" t="s">
        <v>1656</v>
      </c>
      <c r="AN44" s="596"/>
      <c r="AO44" s="596"/>
      <c r="AP44" s="596"/>
      <c r="AQ44" s="596"/>
      <c r="AR44" s="596" t="s">
        <v>5288</v>
      </c>
      <c r="AS44" s="596"/>
      <c r="AT44" s="596"/>
      <c r="AU44" s="596"/>
      <c r="AV44" s="596"/>
      <c r="AW44" s="596"/>
      <c r="AX44" s="596"/>
      <c r="AY44" s="596"/>
      <c r="AZ44" s="596"/>
      <c r="BA44" s="596"/>
      <c r="BB44" s="596"/>
      <c r="BC44" s="596"/>
      <c r="BD44" s="596"/>
      <c r="BE44" s="596"/>
      <c r="BF44" s="596"/>
      <c r="BG44" s="596"/>
      <c r="BH44" s="596"/>
      <c r="BI44" s="596"/>
      <c r="BJ44" s="596"/>
      <c r="BK44" s="596"/>
      <c r="BL44" s="596"/>
      <c r="BM44" s="596"/>
      <c r="BN44" s="596"/>
      <c r="BO44" s="596"/>
      <c r="BP44" s="596"/>
      <c r="BQ44" s="596"/>
      <c r="BR44" s="596"/>
      <c r="BS44" s="1804"/>
      <c r="BT44" s="1804"/>
      <c r="BU44" s="1804"/>
      <c r="BV44" s="1804"/>
      <c r="BW44" s="596"/>
      <c r="BX44" s="1096"/>
      <c r="BY44" s="1804"/>
      <c r="BZ44" s="596"/>
      <c r="CA44" s="596"/>
      <c r="CB44" s="596"/>
      <c r="CC44" s="596"/>
      <c r="CD44" s="596"/>
      <c r="CE44" s="596"/>
      <c r="CF44" s="596"/>
      <c r="CG44" s="596"/>
      <c r="CH44" s="596"/>
      <c r="CI44" s="596"/>
      <c r="CJ44" s="596"/>
      <c r="CK44" s="596"/>
      <c r="CL44" s="597" t="s">
        <v>3823</v>
      </c>
      <c r="CM44" s="596" t="s">
        <v>2004</v>
      </c>
      <c r="CN44" s="597"/>
      <c r="CO44" s="598"/>
    </row>
    <row r="45" spans="1:95" ht="18" x14ac:dyDescent="0.25">
      <c r="B45" s="1247">
        <v>42</v>
      </c>
      <c r="C45" s="1194" t="s">
        <v>4276</v>
      </c>
      <c r="D45" s="597" t="s">
        <v>2978</v>
      </c>
      <c r="E45" s="596"/>
      <c r="F45" s="596"/>
      <c r="G45" s="596"/>
      <c r="H45" s="596"/>
      <c r="I45" s="596"/>
      <c r="J45" s="596" t="s">
        <v>1653</v>
      </c>
      <c r="K45" s="596"/>
      <c r="L45" s="596"/>
      <c r="M45" s="596"/>
      <c r="N45" s="596"/>
      <c r="O45" s="596"/>
      <c r="P45" s="596"/>
      <c r="Q45" s="596" t="s">
        <v>1654</v>
      </c>
      <c r="R45" s="596"/>
      <c r="S45" s="596"/>
      <c r="T45" s="596"/>
      <c r="U45" s="596"/>
      <c r="V45" s="596">
        <v>-1</v>
      </c>
      <c r="W45" s="596"/>
      <c r="X45" s="596"/>
      <c r="Y45" s="596"/>
      <c r="Z45" s="1804"/>
      <c r="AA45" s="596" t="s">
        <v>2131</v>
      </c>
      <c r="AB45" s="596"/>
      <c r="AC45" s="596"/>
      <c r="AD45" s="596"/>
      <c r="AE45" s="596"/>
      <c r="AF45" s="596"/>
      <c r="AG45" s="596" t="s">
        <v>1655</v>
      </c>
      <c r="AH45" s="596"/>
      <c r="AI45" s="596"/>
      <c r="AJ45" s="596"/>
      <c r="AK45" s="596"/>
      <c r="AL45" s="596"/>
      <c r="AM45" s="596" t="s">
        <v>1656</v>
      </c>
      <c r="AN45" s="596"/>
      <c r="AO45" s="596"/>
      <c r="AP45" s="596"/>
      <c r="AQ45" s="596"/>
      <c r="AR45" s="596" t="s">
        <v>5288</v>
      </c>
      <c r="AS45" s="596"/>
      <c r="AT45" s="596"/>
      <c r="AU45" s="596"/>
      <c r="AV45" s="596"/>
      <c r="AW45" s="596"/>
      <c r="AX45" s="596"/>
      <c r="AY45" s="596"/>
      <c r="AZ45" s="596"/>
      <c r="BA45" s="596"/>
      <c r="BB45" s="596"/>
      <c r="BC45" s="596"/>
      <c r="BD45" s="596"/>
      <c r="BE45" s="596"/>
      <c r="BF45" s="596"/>
      <c r="BG45" s="596"/>
      <c r="BH45" s="596"/>
      <c r="BI45" s="596"/>
      <c r="BJ45" s="596"/>
      <c r="BK45" s="596"/>
      <c r="BL45" s="596"/>
      <c r="BM45" s="596"/>
      <c r="BN45" s="596"/>
      <c r="BO45" s="596"/>
      <c r="BP45" s="596"/>
      <c r="BQ45" s="596"/>
      <c r="BR45" s="596"/>
      <c r="BS45" s="1804"/>
      <c r="BT45" s="1804"/>
      <c r="BU45" s="1804"/>
      <c r="BV45" s="1804"/>
      <c r="BW45" s="596"/>
      <c r="BX45" s="1096"/>
      <c r="BY45" s="1804"/>
      <c r="BZ45" s="596"/>
      <c r="CA45" s="596"/>
      <c r="CB45" s="596"/>
      <c r="CC45" s="596"/>
      <c r="CD45" s="596"/>
      <c r="CE45" s="596"/>
      <c r="CF45" s="596"/>
      <c r="CG45" s="596"/>
      <c r="CH45" s="596"/>
      <c r="CI45" s="596"/>
      <c r="CJ45" s="596"/>
      <c r="CK45" s="596"/>
      <c r="CL45" s="597" t="s">
        <v>3824</v>
      </c>
      <c r="CM45" s="596" t="s">
        <v>2004</v>
      </c>
      <c r="CN45" s="597"/>
      <c r="CO45" s="598"/>
    </row>
    <row r="46" spans="1:95" ht="18" x14ac:dyDescent="0.25">
      <c r="B46" s="1248">
        <v>43</v>
      </c>
      <c r="C46" s="1195" t="s">
        <v>4277</v>
      </c>
      <c r="D46" s="603" t="s">
        <v>2211</v>
      </c>
      <c r="E46" s="599"/>
      <c r="F46" s="599"/>
      <c r="G46" s="599"/>
      <c r="H46" s="599"/>
      <c r="I46" s="599"/>
      <c r="J46" s="599"/>
      <c r="K46" s="599"/>
      <c r="L46" s="599"/>
      <c r="M46" s="599"/>
      <c r="N46" s="599"/>
      <c r="O46" s="599"/>
      <c r="P46" s="599"/>
      <c r="Q46" s="599"/>
      <c r="R46" s="599"/>
      <c r="S46" s="599"/>
      <c r="T46" s="599"/>
      <c r="U46" s="599"/>
      <c r="V46" s="599"/>
      <c r="W46" s="599">
        <v>1</v>
      </c>
      <c r="X46" s="599"/>
      <c r="Y46" s="599"/>
      <c r="Z46" s="1805"/>
      <c r="AA46" s="1805" t="s">
        <v>4544</v>
      </c>
      <c r="AB46" s="1805" t="s">
        <v>4545</v>
      </c>
      <c r="AC46" s="1805" t="s">
        <v>4546</v>
      </c>
      <c r="AD46" s="1805" t="s">
        <v>4547</v>
      </c>
      <c r="AE46" s="1805"/>
      <c r="AF46" s="1805"/>
      <c r="AG46" s="1805"/>
      <c r="AH46" s="599"/>
      <c r="AI46" s="599" t="s">
        <v>1648</v>
      </c>
      <c r="AJ46" s="599"/>
      <c r="AK46" s="599"/>
      <c r="AL46" s="599"/>
      <c r="AM46" s="599"/>
      <c r="AN46" s="599"/>
      <c r="AO46" s="599"/>
      <c r="AP46" s="599"/>
      <c r="AQ46" s="599"/>
      <c r="AR46" s="599" t="s">
        <v>1670</v>
      </c>
      <c r="AS46" s="599" t="s">
        <v>2443</v>
      </c>
      <c r="AT46" s="599" t="s">
        <v>3562</v>
      </c>
      <c r="AU46" s="599" t="s">
        <v>3563</v>
      </c>
      <c r="AV46" s="599" t="s">
        <v>3564</v>
      </c>
      <c r="AW46" s="599" t="s">
        <v>3565</v>
      </c>
      <c r="AX46" s="599"/>
      <c r="AY46" s="599"/>
      <c r="AZ46" s="599"/>
      <c r="BA46" s="599"/>
      <c r="BB46" s="599"/>
      <c r="BC46" s="599"/>
      <c r="BD46" s="599"/>
      <c r="BE46" s="599"/>
      <c r="BF46" s="599"/>
      <c r="BG46" s="599"/>
      <c r="BH46" s="599"/>
      <c r="BI46" s="599"/>
      <c r="BJ46" s="599"/>
      <c r="BK46" s="599"/>
      <c r="BL46" s="599"/>
      <c r="BM46" s="599"/>
      <c r="BN46" s="599"/>
      <c r="BO46" s="599"/>
      <c r="BP46" s="599"/>
      <c r="BQ46" s="599"/>
      <c r="BR46" s="599"/>
      <c r="BS46" s="1805"/>
      <c r="BT46" s="1805"/>
      <c r="BU46" s="1805"/>
      <c r="BV46" s="1805"/>
      <c r="BW46" s="599"/>
      <c r="BX46" s="1097"/>
      <c r="BY46" s="1805"/>
      <c r="BZ46" s="599"/>
      <c r="CA46" s="599"/>
      <c r="CB46" s="599"/>
      <c r="CC46" s="599"/>
      <c r="CD46" s="599"/>
      <c r="CE46" s="599"/>
      <c r="CF46" s="599"/>
      <c r="CG46" s="599"/>
      <c r="CH46" s="599"/>
      <c r="CI46" s="599"/>
      <c r="CJ46" s="599"/>
      <c r="CK46" s="599"/>
      <c r="CL46" s="600" t="s">
        <v>3597</v>
      </c>
      <c r="CM46" s="599" t="s">
        <v>2004</v>
      </c>
      <c r="CN46" s="600"/>
      <c r="CO46" s="601"/>
    </row>
    <row r="47" spans="1:95" ht="18" x14ac:dyDescent="0.25">
      <c r="B47" s="1248">
        <v>44</v>
      </c>
      <c r="C47" s="1195" t="s">
        <v>846</v>
      </c>
      <c r="D47" s="603" t="s">
        <v>2212</v>
      </c>
      <c r="E47" s="602"/>
      <c r="F47" s="602"/>
      <c r="G47" s="602"/>
      <c r="H47" s="602"/>
      <c r="I47" s="602"/>
      <c r="J47" s="602" t="s">
        <v>1653</v>
      </c>
      <c r="K47" s="602"/>
      <c r="L47" s="602"/>
      <c r="M47" s="602"/>
      <c r="N47" s="602"/>
      <c r="O47" s="602"/>
      <c r="P47" s="602" t="s">
        <v>1654</v>
      </c>
      <c r="Q47" s="602"/>
      <c r="R47" s="602"/>
      <c r="S47" s="602"/>
      <c r="T47" s="602"/>
      <c r="U47" s="602"/>
      <c r="V47" s="602"/>
      <c r="W47" s="602">
        <v>-1</v>
      </c>
      <c r="X47" s="602"/>
      <c r="Y47" s="602"/>
      <c r="Z47" s="1806"/>
      <c r="AA47" s="602" t="s">
        <v>2131</v>
      </c>
      <c r="AB47" s="602"/>
      <c r="AC47" s="602"/>
      <c r="AD47" s="602"/>
      <c r="AE47" s="602"/>
      <c r="AF47" s="602"/>
      <c r="AG47" s="602" t="s">
        <v>1655</v>
      </c>
      <c r="AH47" s="602"/>
      <c r="AI47" s="602"/>
      <c r="AJ47" s="602"/>
      <c r="AK47" s="602"/>
      <c r="AL47" s="602"/>
      <c r="AM47" s="602" t="s">
        <v>1656</v>
      </c>
      <c r="AN47" s="602"/>
      <c r="AO47" s="602"/>
      <c r="AP47" s="602"/>
      <c r="AQ47" s="602"/>
      <c r="AR47" s="599" t="s">
        <v>5288</v>
      </c>
      <c r="AS47" s="602"/>
      <c r="AT47" s="602"/>
      <c r="AU47" s="602"/>
      <c r="AV47" s="602"/>
      <c r="AW47" s="602"/>
      <c r="AX47" s="602"/>
      <c r="AY47" s="602"/>
      <c r="AZ47" s="602"/>
      <c r="BA47" s="602"/>
      <c r="BB47" s="602"/>
      <c r="BC47" s="602"/>
      <c r="BD47" s="602"/>
      <c r="BE47" s="602"/>
      <c r="BF47" s="602"/>
      <c r="BG47" s="602"/>
      <c r="BH47" s="602"/>
      <c r="BI47" s="602"/>
      <c r="BJ47" s="602"/>
      <c r="BK47" s="602"/>
      <c r="BL47" s="602"/>
      <c r="BM47" s="602"/>
      <c r="BN47" s="602"/>
      <c r="BO47" s="602"/>
      <c r="BP47" s="602"/>
      <c r="BQ47" s="602"/>
      <c r="BR47" s="602"/>
      <c r="BS47" s="1806"/>
      <c r="BT47" s="1806"/>
      <c r="BU47" s="1806"/>
      <c r="BV47" s="1806"/>
      <c r="BW47" s="602"/>
      <c r="BX47" s="1098"/>
      <c r="BY47" s="1806"/>
      <c r="BZ47" s="602"/>
      <c r="CA47" s="602"/>
      <c r="CB47" s="602"/>
      <c r="CC47" s="602"/>
      <c r="CD47" s="602"/>
      <c r="CE47" s="602"/>
      <c r="CF47" s="602"/>
      <c r="CG47" s="602"/>
      <c r="CH47" s="602"/>
      <c r="CI47" s="602"/>
      <c r="CJ47" s="602"/>
      <c r="CK47" s="602"/>
      <c r="CL47" s="603" t="s">
        <v>3825</v>
      </c>
      <c r="CM47" s="602" t="s">
        <v>2004</v>
      </c>
      <c r="CN47" s="603"/>
      <c r="CO47" s="604"/>
    </row>
    <row r="48" spans="1:95" ht="18" x14ac:dyDescent="0.25">
      <c r="B48" s="1248">
        <v>45</v>
      </c>
      <c r="C48" s="1195" t="s">
        <v>440</v>
      </c>
      <c r="D48" s="603" t="s">
        <v>2979</v>
      </c>
      <c r="E48" s="602"/>
      <c r="F48" s="602"/>
      <c r="G48" s="602"/>
      <c r="H48" s="602"/>
      <c r="I48" s="602"/>
      <c r="J48" s="602" t="s">
        <v>1653</v>
      </c>
      <c r="K48" s="602"/>
      <c r="L48" s="602"/>
      <c r="M48" s="602"/>
      <c r="N48" s="602"/>
      <c r="O48" s="602"/>
      <c r="P48" s="602"/>
      <c r="Q48" s="602" t="s">
        <v>1654</v>
      </c>
      <c r="R48" s="602"/>
      <c r="S48" s="602"/>
      <c r="T48" s="602"/>
      <c r="U48" s="602"/>
      <c r="V48" s="602"/>
      <c r="W48" s="602">
        <v>-1</v>
      </c>
      <c r="X48" s="602"/>
      <c r="Y48" s="602"/>
      <c r="Z48" s="1806"/>
      <c r="AA48" s="602" t="s">
        <v>2131</v>
      </c>
      <c r="AB48" s="602"/>
      <c r="AC48" s="602"/>
      <c r="AD48" s="602"/>
      <c r="AE48" s="602"/>
      <c r="AF48" s="602"/>
      <c r="AG48" s="602" t="s">
        <v>1655</v>
      </c>
      <c r="AH48" s="602"/>
      <c r="AI48" s="602"/>
      <c r="AJ48" s="602"/>
      <c r="AK48" s="602"/>
      <c r="AL48" s="602"/>
      <c r="AM48" s="602" t="s">
        <v>1656</v>
      </c>
      <c r="AN48" s="602"/>
      <c r="AO48" s="602"/>
      <c r="AP48" s="602"/>
      <c r="AQ48" s="602"/>
      <c r="AR48" s="599" t="s">
        <v>5288</v>
      </c>
      <c r="AS48" s="602"/>
      <c r="AT48" s="602"/>
      <c r="AU48" s="602"/>
      <c r="AV48" s="602"/>
      <c r="AW48" s="602"/>
      <c r="AX48" s="602"/>
      <c r="AY48" s="602"/>
      <c r="AZ48" s="602"/>
      <c r="BA48" s="602"/>
      <c r="BB48" s="602"/>
      <c r="BC48" s="602"/>
      <c r="BD48" s="602"/>
      <c r="BE48" s="602"/>
      <c r="BF48" s="602"/>
      <c r="BG48" s="602"/>
      <c r="BH48" s="602"/>
      <c r="BI48" s="602"/>
      <c r="BJ48" s="602"/>
      <c r="BK48" s="602"/>
      <c r="BL48" s="602"/>
      <c r="BM48" s="602"/>
      <c r="BN48" s="602"/>
      <c r="BO48" s="602"/>
      <c r="BP48" s="602"/>
      <c r="BQ48" s="602"/>
      <c r="BR48" s="602"/>
      <c r="BS48" s="1806"/>
      <c r="BT48" s="1806"/>
      <c r="BU48" s="1806"/>
      <c r="BV48" s="1806"/>
      <c r="BW48" s="602"/>
      <c r="BX48" s="1098"/>
      <c r="BY48" s="1806"/>
      <c r="BZ48" s="602"/>
      <c r="CA48" s="602"/>
      <c r="CB48" s="602"/>
      <c r="CC48" s="602"/>
      <c r="CD48" s="602"/>
      <c r="CE48" s="602"/>
      <c r="CF48" s="602"/>
      <c r="CG48" s="602"/>
      <c r="CH48" s="602"/>
      <c r="CI48" s="602"/>
      <c r="CJ48" s="602"/>
      <c r="CK48" s="602"/>
      <c r="CL48" s="603" t="s">
        <v>3826</v>
      </c>
      <c r="CM48" s="602" t="s">
        <v>2004</v>
      </c>
      <c r="CN48" s="603"/>
      <c r="CO48" s="604"/>
    </row>
    <row r="49" spans="2:95" ht="18" x14ac:dyDescent="0.25">
      <c r="B49" s="1249">
        <v>46</v>
      </c>
      <c r="C49" s="1196" t="s">
        <v>441</v>
      </c>
      <c r="D49" s="608" t="s">
        <v>302</v>
      </c>
      <c r="E49" s="605" t="s">
        <v>1671</v>
      </c>
      <c r="F49" s="606"/>
      <c r="G49" s="606"/>
      <c r="H49" s="606"/>
      <c r="I49" s="606"/>
      <c r="J49" s="606"/>
      <c r="K49" s="606"/>
      <c r="L49" s="606"/>
      <c r="M49" s="606"/>
      <c r="N49" s="606"/>
      <c r="O49" s="606"/>
      <c r="P49" s="606"/>
      <c r="Q49" s="606"/>
      <c r="R49" s="606"/>
      <c r="S49" s="606"/>
      <c r="T49" s="606"/>
      <c r="U49" s="606"/>
      <c r="V49" s="606"/>
      <c r="W49" s="606"/>
      <c r="X49" s="606">
        <v>1</v>
      </c>
      <c r="Y49" s="606"/>
      <c r="Z49" s="1808"/>
      <c r="AA49" s="606" t="s">
        <v>1647</v>
      </c>
      <c r="AB49" s="606"/>
      <c r="AC49" s="606"/>
      <c r="AD49" s="606"/>
      <c r="AE49" s="606"/>
      <c r="AF49" s="606"/>
      <c r="AG49" s="606"/>
      <c r="AH49" s="606"/>
      <c r="AI49" s="605" t="s">
        <v>1648</v>
      </c>
      <c r="AJ49" s="606"/>
      <c r="AK49" s="606"/>
      <c r="AL49" s="606"/>
      <c r="AM49" s="606"/>
      <c r="AN49" s="606"/>
      <c r="AO49" s="606"/>
      <c r="AP49" s="606" t="s">
        <v>1672</v>
      </c>
      <c r="AQ49" s="606"/>
      <c r="AR49" s="606" t="s">
        <v>2167</v>
      </c>
      <c r="AS49" s="605" t="s">
        <v>2443</v>
      </c>
      <c r="AT49" s="605" t="s">
        <v>3562</v>
      </c>
      <c r="AU49" s="605" t="s">
        <v>3563</v>
      </c>
      <c r="AV49" s="605" t="s">
        <v>3564</v>
      </c>
      <c r="AW49" s="605" t="s">
        <v>3565</v>
      </c>
      <c r="AX49" s="605"/>
      <c r="AY49" s="605"/>
      <c r="AZ49" s="605"/>
      <c r="BA49" s="605"/>
      <c r="BB49" s="605"/>
      <c r="BC49" s="605"/>
      <c r="BD49" s="605"/>
      <c r="BE49" s="605"/>
      <c r="BF49" s="605"/>
      <c r="BG49" s="605"/>
      <c r="BH49" s="605"/>
      <c r="BI49" s="605"/>
      <c r="BJ49" s="605"/>
      <c r="BK49" s="605"/>
      <c r="BL49" s="605"/>
      <c r="BM49" s="605"/>
      <c r="BN49" s="605"/>
      <c r="BO49" s="605"/>
      <c r="BP49" s="1209"/>
      <c r="BQ49" s="605"/>
      <c r="BR49" s="605"/>
      <c r="BS49" s="1807"/>
      <c r="BT49" s="1807"/>
      <c r="BU49" s="1807"/>
      <c r="BV49" s="1807"/>
      <c r="BW49" s="605"/>
      <c r="BX49" s="1099"/>
      <c r="BY49" s="1807"/>
      <c r="BZ49" s="605"/>
      <c r="CA49" s="605"/>
      <c r="CB49" s="605"/>
      <c r="CC49" s="605"/>
      <c r="CD49" s="605"/>
      <c r="CE49" s="605"/>
      <c r="CF49" s="605"/>
      <c r="CG49" s="605"/>
      <c r="CH49" s="605"/>
      <c r="CI49" s="605"/>
      <c r="CJ49" s="605"/>
      <c r="CK49" s="605"/>
      <c r="CL49" s="607" t="s">
        <v>4449</v>
      </c>
      <c r="CM49" s="606" t="s">
        <v>2004</v>
      </c>
      <c r="CN49" s="608" t="s">
        <v>903</v>
      </c>
      <c r="CO49" s="609"/>
    </row>
    <row r="50" spans="2:95" ht="18" x14ac:dyDescent="0.25">
      <c r="B50" s="1249">
        <v>47</v>
      </c>
      <c r="C50" s="1196" t="s">
        <v>464</v>
      </c>
      <c r="D50" s="608" t="s">
        <v>294</v>
      </c>
      <c r="E50" s="606"/>
      <c r="F50" s="606"/>
      <c r="G50" s="606"/>
      <c r="H50" s="606"/>
      <c r="I50" s="606"/>
      <c r="J50" s="606" t="s">
        <v>1653</v>
      </c>
      <c r="K50" s="606"/>
      <c r="L50" s="606"/>
      <c r="M50" s="606"/>
      <c r="N50" s="606"/>
      <c r="O50" s="606"/>
      <c r="P50" s="606" t="s">
        <v>1654</v>
      </c>
      <c r="Q50" s="606"/>
      <c r="R50" s="606"/>
      <c r="S50" s="606"/>
      <c r="T50" s="606"/>
      <c r="U50" s="606"/>
      <c r="V50" s="606"/>
      <c r="W50" s="606"/>
      <c r="X50" s="606">
        <v>-1</v>
      </c>
      <c r="Y50" s="606"/>
      <c r="Z50" s="1808"/>
      <c r="AA50" s="606" t="s">
        <v>2131</v>
      </c>
      <c r="AB50" s="606"/>
      <c r="AC50" s="606"/>
      <c r="AD50" s="606"/>
      <c r="AE50" s="606"/>
      <c r="AF50" s="606"/>
      <c r="AG50" s="606" t="s">
        <v>1655</v>
      </c>
      <c r="AH50" s="606"/>
      <c r="AI50" s="605"/>
      <c r="AJ50" s="606"/>
      <c r="AK50" s="606"/>
      <c r="AL50" s="606"/>
      <c r="AM50" s="606" t="s">
        <v>1656</v>
      </c>
      <c r="AN50" s="606"/>
      <c r="AO50" s="606"/>
      <c r="AP50" s="606"/>
      <c r="AQ50" s="606"/>
      <c r="AR50" s="2460" t="s">
        <v>5288</v>
      </c>
      <c r="AS50" s="2460"/>
      <c r="AT50" s="2460"/>
      <c r="AU50" s="2460"/>
      <c r="AV50" s="2460"/>
      <c r="AW50" s="2460"/>
      <c r="AX50" s="2460"/>
      <c r="AY50" s="606"/>
      <c r="AZ50" s="606"/>
      <c r="BA50" s="606"/>
      <c r="BB50" s="606"/>
      <c r="BC50" s="606"/>
      <c r="BD50" s="606"/>
      <c r="BE50" s="606"/>
      <c r="BF50" s="606"/>
      <c r="BG50" s="606"/>
      <c r="BH50" s="606"/>
      <c r="BI50" s="606"/>
      <c r="BJ50" s="606"/>
      <c r="BK50" s="606"/>
      <c r="BL50" s="606"/>
      <c r="BM50" s="606"/>
      <c r="BN50" s="606"/>
      <c r="BO50" s="606"/>
      <c r="BP50" s="1210"/>
      <c r="BQ50" s="606"/>
      <c r="BR50" s="606"/>
      <c r="BS50" s="1808"/>
      <c r="BT50" s="1808"/>
      <c r="BU50" s="1808"/>
      <c r="BV50" s="1808"/>
      <c r="BW50" s="606"/>
      <c r="BX50" s="1100"/>
      <c r="BY50" s="1808"/>
      <c r="BZ50" s="606"/>
      <c r="CA50" s="606"/>
      <c r="CB50" s="606"/>
      <c r="CC50" s="606"/>
      <c r="CD50" s="606"/>
      <c r="CE50" s="606"/>
      <c r="CF50" s="606"/>
      <c r="CG50" s="606"/>
      <c r="CH50" s="606"/>
      <c r="CI50" s="606"/>
      <c r="CJ50" s="606"/>
      <c r="CK50" s="606"/>
      <c r="CL50" s="608" t="s">
        <v>3490</v>
      </c>
      <c r="CM50" s="606" t="s">
        <v>2004</v>
      </c>
      <c r="CN50" s="608"/>
      <c r="CO50" s="609"/>
    </row>
    <row r="51" spans="2:95" ht="18" x14ac:dyDescent="0.25">
      <c r="B51" s="1249">
        <v>48</v>
      </c>
      <c r="C51" s="1196" t="s">
        <v>465</v>
      </c>
      <c r="D51" s="608" t="s">
        <v>2980</v>
      </c>
      <c r="E51" s="606"/>
      <c r="F51" s="606"/>
      <c r="G51" s="606"/>
      <c r="H51" s="606"/>
      <c r="I51" s="606"/>
      <c r="J51" s="606" t="s">
        <v>1653</v>
      </c>
      <c r="K51" s="606"/>
      <c r="L51" s="606"/>
      <c r="M51" s="606"/>
      <c r="N51" s="606"/>
      <c r="O51" s="606"/>
      <c r="P51" s="606"/>
      <c r="Q51" s="606" t="s">
        <v>1654</v>
      </c>
      <c r="R51" s="606"/>
      <c r="S51" s="606"/>
      <c r="T51" s="606"/>
      <c r="U51" s="606"/>
      <c r="V51" s="606"/>
      <c r="W51" s="606"/>
      <c r="X51" s="606">
        <v>-1</v>
      </c>
      <c r="Y51" s="606"/>
      <c r="Z51" s="1808"/>
      <c r="AA51" s="606" t="s">
        <v>2131</v>
      </c>
      <c r="AB51" s="606"/>
      <c r="AC51" s="606"/>
      <c r="AD51" s="606"/>
      <c r="AE51" s="606"/>
      <c r="AF51" s="606"/>
      <c r="AG51" s="606" t="s">
        <v>1655</v>
      </c>
      <c r="AH51" s="606"/>
      <c r="AI51" s="605"/>
      <c r="AJ51" s="606"/>
      <c r="AK51" s="606"/>
      <c r="AL51" s="606"/>
      <c r="AM51" s="606" t="s">
        <v>1656</v>
      </c>
      <c r="AN51" s="606"/>
      <c r="AO51" s="606"/>
      <c r="AP51" s="606"/>
      <c r="AQ51" s="606"/>
      <c r="AR51" s="2460" t="s">
        <v>5288</v>
      </c>
      <c r="AS51" s="2460"/>
      <c r="AT51" s="2460"/>
      <c r="AU51" s="2460"/>
      <c r="AV51" s="2460"/>
      <c r="AW51" s="2460"/>
      <c r="AX51" s="2460"/>
      <c r="AY51" s="606"/>
      <c r="AZ51" s="606"/>
      <c r="BA51" s="606"/>
      <c r="BB51" s="606"/>
      <c r="BC51" s="606"/>
      <c r="BD51" s="606"/>
      <c r="BE51" s="606"/>
      <c r="BF51" s="606"/>
      <c r="BG51" s="606"/>
      <c r="BH51" s="606"/>
      <c r="BI51" s="606"/>
      <c r="BJ51" s="606"/>
      <c r="BK51" s="606"/>
      <c r="BL51" s="606"/>
      <c r="BM51" s="606"/>
      <c r="BN51" s="606"/>
      <c r="BO51" s="606"/>
      <c r="BP51" s="1210"/>
      <c r="BQ51" s="606"/>
      <c r="BR51" s="606"/>
      <c r="BS51" s="1808"/>
      <c r="BT51" s="1808"/>
      <c r="BU51" s="1808"/>
      <c r="BV51" s="1808"/>
      <c r="BW51" s="606"/>
      <c r="BX51" s="1100"/>
      <c r="BY51" s="1808"/>
      <c r="BZ51" s="606"/>
      <c r="CA51" s="606"/>
      <c r="CB51" s="606"/>
      <c r="CC51" s="606"/>
      <c r="CD51" s="606"/>
      <c r="CE51" s="606"/>
      <c r="CF51" s="606"/>
      <c r="CG51" s="606"/>
      <c r="CH51" s="606"/>
      <c r="CI51" s="606"/>
      <c r="CJ51" s="606"/>
      <c r="CK51" s="606"/>
      <c r="CL51" s="608" t="s">
        <v>3491</v>
      </c>
      <c r="CM51" s="606" t="s">
        <v>2004</v>
      </c>
      <c r="CN51" s="608"/>
      <c r="CO51" s="609"/>
    </row>
    <row r="52" spans="2:95" ht="18" x14ac:dyDescent="0.25">
      <c r="B52" s="1250">
        <v>49</v>
      </c>
      <c r="C52" s="1197" t="s">
        <v>466</v>
      </c>
      <c r="D52" s="613" t="s">
        <v>303</v>
      </c>
      <c r="E52" s="610"/>
      <c r="F52" s="610"/>
      <c r="G52" s="610"/>
      <c r="H52" s="610"/>
      <c r="I52" s="610"/>
      <c r="J52" s="610"/>
      <c r="K52" s="610"/>
      <c r="L52" s="610"/>
      <c r="M52" s="610"/>
      <c r="N52" s="610"/>
      <c r="O52" s="610"/>
      <c r="P52" s="610"/>
      <c r="Q52" s="610"/>
      <c r="R52" s="610"/>
      <c r="S52" s="610"/>
      <c r="T52" s="610"/>
      <c r="U52" s="610"/>
      <c r="V52" s="610"/>
      <c r="W52" s="610"/>
      <c r="X52" s="610"/>
      <c r="Y52" s="610">
        <v>1</v>
      </c>
      <c r="Z52" s="1810"/>
      <c r="AA52" s="610" t="s">
        <v>1647</v>
      </c>
      <c r="AB52" s="610"/>
      <c r="AC52" s="610"/>
      <c r="AD52" s="610"/>
      <c r="AE52" s="610"/>
      <c r="AF52" s="610"/>
      <c r="AG52" s="610"/>
      <c r="AH52" s="610"/>
      <c r="AI52" s="611" t="s">
        <v>1648</v>
      </c>
      <c r="AJ52" s="610"/>
      <c r="AK52" s="610"/>
      <c r="AL52" s="610"/>
      <c r="AM52" s="610"/>
      <c r="AN52" s="610"/>
      <c r="AO52" s="610"/>
      <c r="AP52" s="610" t="s">
        <v>1673</v>
      </c>
      <c r="AQ52" s="611" t="s">
        <v>1674</v>
      </c>
      <c r="AR52" s="611" t="s">
        <v>1967</v>
      </c>
      <c r="AS52" s="611" t="s">
        <v>2443</v>
      </c>
      <c r="AT52" s="611" t="s">
        <v>3562</v>
      </c>
      <c r="AU52" s="611" t="s">
        <v>3563</v>
      </c>
      <c r="AV52" s="611" t="s">
        <v>3564</v>
      </c>
      <c r="AW52" s="611" t="s">
        <v>3565</v>
      </c>
      <c r="AX52" s="611"/>
      <c r="AY52" s="611"/>
      <c r="AZ52" s="611"/>
      <c r="BA52" s="611"/>
      <c r="BB52" s="611"/>
      <c r="BC52" s="611"/>
      <c r="BD52" s="611"/>
      <c r="BE52" s="611"/>
      <c r="BF52" s="611"/>
      <c r="BG52" s="611"/>
      <c r="BH52" s="611"/>
      <c r="BI52" s="611"/>
      <c r="BJ52" s="611"/>
      <c r="BK52" s="611"/>
      <c r="BL52" s="611"/>
      <c r="BM52" s="611"/>
      <c r="BN52" s="611"/>
      <c r="BO52" s="611"/>
      <c r="BP52" s="1211"/>
      <c r="BQ52" s="611"/>
      <c r="BR52" s="611"/>
      <c r="BS52" s="1809"/>
      <c r="BT52" s="1809"/>
      <c r="BU52" s="1809"/>
      <c r="BV52" s="1809"/>
      <c r="BW52" s="611"/>
      <c r="BX52" s="1101"/>
      <c r="BY52" s="1809"/>
      <c r="BZ52" s="611"/>
      <c r="CA52" s="611"/>
      <c r="CB52" s="611"/>
      <c r="CC52" s="611"/>
      <c r="CD52" s="611"/>
      <c r="CE52" s="611"/>
      <c r="CF52" s="611"/>
      <c r="CG52" s="611"/>
      <c r="CH52" s="611"/>
      <c r="CI52" s="611"/>
      <c r="CJ52" s="611"/>
      <c r="CK52" s="611"/>
      <c r="CL52" s="612" t="s">
        <v>3598</v>
      </c>
      <c r="CM52" s="610" t="s">
        <v>2004</v>
      </c>
      <c r="CN52" s="613" t="s">
        <v>305</v>
      </c>
      <c r="CO52" s="614"/>
    </row>
    <row r="53" spans="2:95" ht="18" x14ac:dyDescent="0.25">
      <c r="B53" s="1250">
        <v>50</v>
      </c>
      <c r="C53" s="1197" t="s">
        <v>2115</v>
      </c>
      <c r="D53" s="613" t="s">
        <v>293</v>
      </c>
      <c r="E53" s="610"/>
      <c r="F53" s="610"/>
      <c r="G53" s="610"/>
      <c r="H53" s="610"/>
      <c r="I53" s="610"/>
      <c r="J53" s="610" t="s">
        <v>1653</v>
      </c>
      <c r="K53" s="610"/>
      <c r="L53" s="610"/>
      <c r="M53" s="610"/>
      <c r="N53" s="610"/>
      <c r="O53" s="610"/>
      <c r="P53" s="610" t="s">
        <v>1654</v>
      </c>
      <c r="Q53" s="610"/>
      <c r="R53" s="610"/>
      <c r="S53" s="610"/>
      <c r="T53" s="610"/>
      <c r="U53" s="610"/>
      <c r="V53" s="610"/>
      <c r="W53" s="610"/>
      <c r="X53" s="610"/>
      <c r="Y53" s="610">
        <v>-1</v>
      </c>
      <c r="Z53" s="1810"/>
      <c r="AA53" s="610" t="s">
        <v>2131</v>
      </c>
      <c r="AB53" s="610"/>
      <c r="AC53" s="610"/>
      <c r="AD53" s="610"/>
      <c r="AE53" s="610"/>
      <c r="AF53" s="610"/>
      <c r="AG53" s="610" t="s">
        <v>1655</v>
      </c>
      <c r="AH53" s="610"/>
      <c r="AI53" s="610"/>
      <c r="AJ53" s="610"/>
      <c r="AK53" s="610"/>
      <c r="AL53" s="610"/>
      <c r="AM53" s="610" t="s">
        <v>1656</v>
      </c>
      <c r="AN53" s="610"/>
      <c r="AO53" s="610"/>
      <c r="AP53" s="610"/>
      <c r="AQ53" s="610"/>
      <c r="AR53" s="2461" t="s">
        <v>5288</v>
      </c>
      <c r="AS53" s="2461"/>
      <c r="AT53" s="2461"/>
      <c r="AU53" s="2461"/>
      <c r="AV53" s="2461"/>
      <c r="AW53" s="2461"/>
      <c r="AX53" s="610"/>
      <c r="AY53" s="610"/>
      <c r="AZ53" s="610"/>
      <c r="BA53" s="610"/>
      <c r="BB53" s="610"/>
      <c r="BC53" s="610"/>
      <c r="BD53" s="610"/>
      <c r="BE53" s="610"/>
      <c r="BF53" s="610"/>
      <c r="BG53" s="610"/>
      <c r="BH53" s="610"/>
      <c r="BI53" s="610"/>
      <c r="BJ53" s="610"/>
      <c r="BK53" s="610"/>
      <c r="BL53" s="610"/>
      <c r="BM53" s="610"/>
      <c r="BN53" s="610"/>
      <c r="BO53" s="610"/>
      <c r="BP53" s="1212"/>
      <c r="BQ53" s="610"/>
      <c r="BR53" s="610"/>
      <c r="BS53" s="1810"/>
      <c r="BT53" s="1810"/>
      <c r="BU53" s="1810"/>
      <c r="BV53" s="1810"/>
      <c r="BW53" s="610"/>
      <c r="BX53" s="1102"/>
      <c r="BY53" s="1810"/>
      <c r="BZ53" s="610"/>
      <c r="CA53" s="610"/>
      <c r="CB53" s="610"/>
      <c r="CC53" s="610"/>
      <c r="CD53" s="610"/>
      <c r="CE53" s="610"/>
      <c r="CF53" s="610"/>
      <c r="CG53" s="610"/>
      <c r="CH53" s="610"/>
      <c r="CI53" s="610"/>
      <c r="CJ53" s="610"/>
      <c r="CK53" s="610"/>
      <c r="CL53" s="613" t="s">
        <v>3493</v>
      </c>
      <c r="CM53" s="610" t="s">
        <v>2004</v>
      </c>
      <c r="CN53" s="613"/>
      <c r="CO53" s="614"/>
    </row>
    <row r="54" spans="2:95" ht="18" x14ac:dyDescent="0.25">
      <c r="B54" s="1250">
        <v>51</v>
      </c>
      <c r="C54" s="1197" t="s">
        <v>2116</v>
      </c>
      <c r="D54" s="613" t="s">
        <v>2981</v>
      </c>
      <c r="E54" s="610"/>
      <c r="F54" s="610"/>
      <c r="G54" s="610"/>
      <c r="H54" s="610"/>
      <c r="I54" s="610"/>
      <c r="J54" s="610" t="s">
        <v>1653</v>
      </c>
      <c r="K54" s="610"/>
      <c r="L54" s="610"/>
      <c r="M54" s="610"/>
      <c r="N54" s="610"/>
      <c r="O54" s="610"/>
      <c r="P54" s="610"/>
      <c r="Q54" s="610" t="s">
        <v>1654</v>
      </c>
      <c r="R54" s="610"/>
      <c r="S54" s="610"/>
      <c r="T54" s="610"/>
      <c r="U54" s="610"/>
      <c r="V54" s="610"/>
      <c r="W54" s="610"/>
      <c r="X54" s="610"/>
      <c r="Y54" s="610">
        <v>-1</v>
      </c>
      <c r="Z54" s="1810"/>
      <c r="AA54" s="610" t="s">
        <v>2131</v>
      </c>
      <c r="AB54" s="610"/>
      <c r="AC54" s="610"/>
      <c r="AD54" s="610"/>
      <c r="AE54" s="610"/>
      <c r="AF54" s="610"/>
      <c r="AG54" s="610" t="s">
        <v>1655</v>
      </c>
      <c r="AH54" s="610"/>
      <c r="AI54" s="610"/>
      <c r="AJ54" s="610"/>
      <c r="AK54" s="610"/>
      <c r="AL54" s="610"/>
      <c r="AM54" s="610" t="s">
        <v>1656</v>
      </c>
      <c r="AN54" s="610"/>
      <c r="AO54" s="610"/>
      <c r="AP54" s="610"/>
      <c r="AQ54" s="610"/>
      <c r="AR54" s="2461" t="s">
        <v>5288</v>
      </c>
      <c r="AS54" s="2461"/>
      <c r="AT54" s="2461"/>
      <c r="AU54" s="2461"/>
      <c r="AV54" s="2461"/>
      <c r="AW54" s="2461"/>
      <c r="AX54" s="610"/>
      <c r="AY54" s="610"/>
      <c r="AZ54" s="610"/>
      <c r="BA54" s="610"/>
      <c r="BB54" s="610"/>
      <c r="BC54" s="610"/>
      <c r="BD54" s="610"/>
      <c r="BE54" s="610"/>
      <c r="BF54" s="610"/>
      <c r="BG54" s="610"/>
      <c r="BH54" s="610"/>
      <c r="BI54" s="610"/>
      <c r="BJ54" s="610"/>
      <c r="BK54" s="610"/>
      <c r="BL54" s="610"/>
      <c r="BM54" s="610"/>
      <c r="BN54" s="610"/>
      <c r="BO54" s="610"/>
      <c r="BP54" s="1212"/>
      <c r="BQ54" s="610"/>
      <c r="BR54" s="610"/>
      <c r="BS54" s="1810"/>
      <c r="BT54" s="1810"/>
      <c r="BU54" s="1810"/>
      <c r="BV54" s="1810"/>
      <c r="BW54" s="610"/>
      <c r="BX54" s="1102"/>
      <c r="BY54" s="1810"/>
      <c r="BZ54" s="610"/>
      <c r="CA54" s="610"/>
      <c r="CB54" s="610"/>
      <c r="CC54" s="610"/>
      <c r="CD54" s="610"/>
      <c r="CE54" s="610"/>
      <c r="CF54" s="610"/>
      <c r="CG54" s="610"/>
      <c r="CH54" s="610"/>
      <c r="CI54" s="610"/>
      <c r="CJ54" s="610"/>
      <c r="CK54" s="610"/>
      <c r="CL54" s="613" t="s">
        <v>3494</v>
      </c>
      <c r="CM54" s="610" t="s">
        <v>2004</v>
      </c>
      <c r="CN54" s="613"/>
      <c r="CO54" s="614"/>
    </row>
    <row r="55" spans="2:95" ht="18" x14ac:dyDescent="0.35">
      <c r="B55" s="2032">
        <v>52</v>
      </c>
      <c r="C55" s="2033" t="s">
        <v>2117</v>
      </c>
      <c r="D55" s="2034" t="s">
        <v>4611</v>
      </c>
      <c r="E55" s="2035"/>
      <c r="F55" s="2035"/>
      <c r="G55" s="2035"/>
      <c r="H55" s="2035"/>
      <c r="I55" s="2035"/>
      <c r="J55" s="2035"/>
      <c r="K55" s="2035"/>
      <c r="L55" s="2035"/>
      <c r="M55" s="2035"/>
      <c r="N55" s="2035"/>
      <c r="O55" s="2035"/>
      <c r="P55" s="2035"/>
      <c r="Q55" s="2035"/>
      <c r="R55" s="2035"/>
      <c r="S55" s="2035"/>
      <c r="T55" s="2035"/>
      <c r="U55" s="2035"/>
      <c r="V55" s="2035"/>
      <c r="W55" s="2035"/>
      <c r="X55" s="2035"/>
      <c r="Y55" s="2035"/>
      <c r="Z55" s="2035">
        <v>1</v>
      </c>
      <c r="AA55" s="2035"/>
      <c r="AB55" s="2045" t="s">
        <v>4616</v>
      </c>
      <c r="AC55" s="2045" t="s">
        <v>4617</v>
      </c>
      <c r="AD55" s="2035"/>
      <c r="AE55" s="2035"/>
      <c r="AF55" s="2035"/>
      <c r="AG55" s="2035"/>
      <c r="AH55" s="2035"/>
      <c r="AI55" s="2045" t="s">
        <v>4622</v>
      </c>
      <c r="AJ55" s="2035"/>
      <c r="AK55" s="2035"/>
      <c r="AL55" s="2035"/>
      <c r="AM55" s="2035"/>
      <c r="AN55" s="2035"/>
      <c r="AO55" s="2045" t="s">
        <v>4623</v>
      </c>
      <c r="AP55" s="2035"/>
      <c r="AQ55" s="2035"/>
      <c r="AR55" s="2046" t="s">
        <v>4626</v>
      </c>
      <c r="AS55" s="2035" t="s">
        <v>2443</v>
      </c>
      <c r="AT55" s="2047" t="s">
        <v>3562</v>
      </c>
      <c r="AU55" s="2047" t="s">
        <v>3563</v>
      </c>
      <c r="AV55" s="2047" t="s">
        <v>3564</v>
      </c>
      <c r="AW55" s="2047" t="s">
        <v>3565</v>
      </c>
      <c r="AX55" s="2035"/>
      <c r="AY55" s="2035"/>
      <c r="AZ55" s="2035"/>
      <c r="BA55" s="2035"/>
      <c r="BB55" s="2035"/>
      <c r="BC55" s="2035"/>
      <c r="BD55" s="2035"/>
      <c r="BE55" s="2035"/>
      <c r="BF55" s="2035"/>
      <c r="BG55" s="2035"/>
      <c r="BH55" s="2035"/>
      <c r="BI55" s="2035"/>
      <c r="BJ55" s="2035"/>
      <c r="BK55" s="2035"/>
      <c r="BL55" s="2035"/>
      <c r="BM55" s="2035"/>
      <c r="BN55" s="2035"/>
      <c r="BO55" s="2035"/>
      <c r="BP55" s="2035"/>
      <c r="BQ55" s="2035"/>
      <c r="BR55" s="2035"/>
      <c r="BS55" s="2035"/>
      <c r="BT55" s="2035"/>
      <c r="BU55" s="2035"/>
      <c r="BV55" s="2035"/>
      <c r="BW55" s="2035"/>
      <c r="BX55" s="2035"/>
      <c r="BY55" s="2035"/>
      <c r="BZ55" s="2035"/>
      <c r="CA55" s="2035"/>
      <c r="CB55" s="2035"/>
      <c r="CC55" s="2035"/>
      <c r="CD55" s="2035"/>
      <c r="CE55" s="2035"/>
      <c r="CF55" s="2035"/>
      <c r="CG55" s="2035"/>
      <c r="CH55" s="2035"/>
      <c r="CI55" s="2035"/>
      <c r="CJ55" s="2035"/>
      <c r="CK55" s="2035"/>
      <c r="CL55" s="2049" t="s">
        <v>4627</v>
      </c>
      <c r="CM55" s="2035" t="s">
        <v>2004</v>
      </c>
      <c r="CN55" s="2048"/>
      <c r="CO55" s="2036" t="s">
        <v>4631</v>
      </c>
    </row>
    <row r="56" spans="2:95" ht="18" x14ac:dyDescent="0.35">
      <c r="B56" s="2032">
        <v>53</v>
      </c>
      <c r="C56" s="2033" t="s">
        <v>2118</v>
      </c>
      <c r="D56" s="2034" t="s">
        <v>4612</v>
      </c>
      <c r="E56" s="2035"/>
      <c r="F56" s="2035"/>
      <c r="G56" s="2035"/>
      <c r="H56" s="2035"/>
      <c r="I56" s="2035"/>
      <c r="J56" s="2035"/>
      <c r="K56" s="2035"/>
      <c r="L56" s="2035"/>
      <c r="M56" s="2035"/>
      <c r="N56" s="2035"/>
      <c r="O56" s="2035"/>
      <c r="P56" s="2035"/>
      <c r="Q56" s="2035"/>
      <c r="R56" s="2035"/>
      <c r="S56" s="2035"/>
      <c r="T56" s="2035"/>
      <c r="U56" s="2035"/>
      <c r="V56" s="2035"/>
      <c r="W56" s="2035"/>
      <c r="X56" s="2035"/>
      <c r="Y56" s="2035"/>
      <c r="Z56" s="2035">
        <v>1</v>
      </c>
      <c r="AA56" s="2045" t="s">
        <v>4618</v>
      </c>
      <c r="AB56" s="2035"/>
      <c r="AC56" s="2035"/>
      <c r="AD56" s="2035"/>
      <c r="AE56" s="2035"/>
      <c r="AF56" s="2035"/>
      <c r="AG56" s="2035"/>
      <c r="AH56" s="2035"/>
      <c r="AI56" s="2045" t="s">
        <v>4622</v>
      </c>
      <c r="AJ56" s="2035"/>
      <c r="AK56" s="2035"/>
      <c r="AL56" s="2035"/>
      <c r="AM56" s="2035"/>
      <c r="AN56" s="2035"/>
      <c r="AO56" s="2035">
        <v>1</v>
      </c>
      <c r="AP56" s="2035"/>
      <c r="AQ56" s="2035"/>
      <c r="AR56" s="2046" t="s">
        <v>4626</v>
      </c>
      <c r="AS56" s="2035" t="s">
        <v>2443</v>
      </c>
      <c r="AT56" s="2047" t="s">
        <v>3562</v>
      </c>
      <c r="AU56" s="2047" t="s">
        <v>3563</v>
      </c>
      <c r="AV56" s="2047" t="s">
        <v>3564</v>
      </c>
      <c r="AW56" s="2047" t="s">
        <v>3565</v>
      </c>
      <c r="AX56" s="2035"/>
      <c r="AY56" s="2035"/>
      <c r="AZ56" s="2035"/>
      <c r="BA56" s="2035"/>
      <c r="BB56" s="2035"/>
      <c r="BC56" s="2035"/>
      <c r="BD56" s="2035"/>
      <c r="BE56" s="2035"/>
      <c r="BF56" s="2035"/>
      <c r="BG56" s="2035"/>
      <c r="BH56" s="2035"/>
      <c r="BI56" s="2035"/>
      <c r="BJ56" s="2035"/>
      <c r="BK56" s="2035"/>
      <c r="BL56" s="2035"/>
      <c r="BM56" s="2035"/>
      <c r="BN56" s="2035"/>
      <c r="BO56" s="2035"/>
      <c r="BP56" s="2035"/>
      <c r="BQ56" s="2035"/>
      <c r="BR56" s="2035"/>
      <c r="BS56" s="2035"/>
      <c r="BT56" s="2035"/>
      <c r="BU56" s="2035"/>
      <c r="BV56" s="2035"/>
      <c r="BW56" s="2035"/>
      <c r="BX56" s="2035"/>
      <c r="BY56" s="2035"/>
      <c r="BZ56" s="2035"/>
      <c r="CA56" s="2035"/>
      <c r="CB56" s="2035"/>
      <c r="CC56" s="2035"/>
      <c r="CD56" s="2035"/>
      <c r="CE56" s="2035"/>
      <c r="CF56" s="2035"/>
      <c r="CG56" s="2035"/>
      <c r="CH56" s="2035"/>
      <c r="CI56" s="2035"/>
      <c r="CJ56" s="2035"/>
      <c r="CK56" s="2035"/>
      <c r="CL56" s="2049" t="s">
        <v>4628</v>
      </c>
      <c r="CM56" s="2035" t="s">
        <v>2004</v>
      </c>
      <c r="CN56" s="2048"/>
      <c r="CO56" s="2036" t="s">
        <v>4631</v>
      </c>
    </row>
    <row r="57" spans="2:95" ht="18" x14ac:dyDescent="0.35">
      <c r="B57" s="2032">
        <v>54</v>
      </c>
      <c r="C57" s="2033" t="s">
        <v>2119</v>
      </c>
      <c r="D57" s="2034" t="s">
        <v>4613</v>
      </c>
      <c r="E57" s="2035"/>
      <c r="F57" s="2035"/>
      <c r="G57" s="2035"/>
      <c r="H57" s="2035"/>
      <c r="I57" s="2035"/>
      <c r="J57" s="2035"/>
      <c r="K57" s="2035"/>
      <c r="L57" s="2035"/>
      <c r="M57" s="2035"/>
      <c r="N57" s="2035"/>
      <c r="O57" s="2035"/>
      <c r="P57" s="2035"/>
      <c r="Q57" s="2035"/>
      <c r="R57" s="2035"/>
      <c r="S57" s="2035"/>
      <c r="T57" s="2035"/>
      <c r="U57" s="2035"/>
      <c r="V57" s="2035"/>
      <c r="W57" s="2035"/>
      <c r="X57" s="2035"/>
      <c r="Y57" s="2035"/>
      <c r="Z57" s="2035">
        <v>-1</v>
      </c>
      <c r="AA57" s="2045" t="s">
        <v>4619</v>
      </c>
      <c r="AB57" s="2035"/>
      <c r="AC57" s="2035"/>
      <c r="AD57" s="2035"/>
      <c r="AE57" s="2035"/>
      <c r="AF57" s="2035"/>
      <c r="AG57" s="2035"/>
      <c r="AH57" s="2035"/>
      <c r="AI57" s="2045" t="s">
        <v>4624</v>
      </c>
      <c r="AJ57" s="2035"/>
      <c r="AK57" s="2035"/>
      <c r="AL57" s="2035"/>
      <c r="AM57" s="2035"/>
      <c r="AN57" s="2035"/>
      <c r="AO57" s="2035">
        <v>-1</v>
      </c>
      <c r="AP57" s="2035"/>
      <c r="AQ57" s="2035"/>
      <c r="AR57" s="2046" t="s">
        <v>4601</v>
      </c>
      <c r="AS57" s="2462"/>
      <c r="AT57" s="2500"/>
      <c r="AU57" s="2500"/>
      <c r="AV57" s="2500"/>
      <c r="AW57" s="2500"/>
      <c r="AX57" s="2462"/>
      <c r="AY57" s="2035"/>
      <c r="AZ57" s="2035"/>
      <c r="BA57" s="2035"/>
      <c r="BB57" s="2035"/>
      <c r="BC57" s="2035"/>
      <c r="BD57" s="2035"/>
      <c r="BE57" s="2035"/>
      <c r="BF57" s="2035"/>
      <c r="BG57" s="2035"/>
      <c r="BH57" s="2035"/>
      <c r="BI57" s="2035"/>
      <c r="BJ57" s="2035"/>
      <c r="BK57" s="2035"/>
      <c r="BL57" s="2035"/>
      <c r="BM57" s="2035"/>
      <c r="BN57" s="2035"/>
      <c r="BO57" s="2035"/>
      <c r="BP57" s="2035"/>
      <c r="BQ57" s="2035"/>
      <c r="BR57" s="2035"/>
      <c r="BS57" s="2035"/>
      <c r="BT57" s="2035"/>
      <c r="BU57" s="2035"/>
      <c r="BV57" s="2035"/>
      <c r="BW57" s="2035"/>
      <c r="BX57" s="2035"/>
      <c r="BY57" s="2035"/>
      <c r="BZ57" s="2035"/>
      <c r="CA57" s="2035"/>
      <c r="CB57" s="2035"/>
      <c r="CC57" s="2035"/>
      <c r="CD57" s="2035"/>
      <c r="CE57" s="2035"/>
      <c r="CF57" s="2035"/>
      <c r="CG57" s="2035"/>
      <c r="CH57" s="2035"/>
      <c r="CI57" s="2035"/>
      <c r="CJ57" s="2035"/>
      <c r="CK57" s="2035"/>
      <c r="CL57" s="2050" t="s">
        <v>4629</v>
      </c>
      <c r="CM57" s="2035" t="s">
        <v>2004</v>
      </c>
      <c r="CN57" s="2048"/>
      <c r="CO57" s="2036" t="s">
        <v>4631</v>
      </c>
    </row>
    <row r="58" spans="2:95" ht="18" x14ac:dyDescent="0.35">
      <c r="B58" s="2032">
        <v>55</v>
      </c>
      <c r="C58" s="2033" t="s">
        <v>2120</v>
      </c>
      <c r="D58" s="2034" t="s">
        <v>4614</v>
      </c>
      <c r="E58" s="2035"/>
      <c r="F58" s="2035"/>
      <c r="G58" s="2035"/>
      <c r="H58" s="2035"/>
      <c r="I58" s="2035"/>
      <c r="J58" s="2035" t="s">
        <v>1653</v>
      </c>
      <c r="K58" s="2035"/>
      <c r="L58" s="2035"/>
      <c r="M58" s="2035"/>
      <c r="N58" s="2035"/>
      <c r="O58" s="2035"/>
      <c r="P58" s="2035" t="s">
        <v>1654</v>
      </c>
      <c r="Q58" s="2035"/>
      <c r="R58" s="2035"/>
      <c r="S58" s="2035"/>
      <c r="T58" s="2035"/>
      <c r="U58" s="2035"/>
      <c r="V58" s="2035"/>
      <c r="W58" s="2035"/>
      <c r="X58" s="2035"/>
      <c r="Y58" s="2035"/>
      <c r="Z58" s="2035">
        <v>-1</v>
      </c>
      <c r="AA58" s="2045" t="s">
        <v>2131</v>
      </c>
      <c r="AB58" s="2035"/>
      <c r="AC58" s="2035"/>
      <c r="AD58" s="2035"/>
      <c r="AE58" s="2035"/>
      <c r="AF58" s="2035"/>
      <c r="AG58" s="2035" t="s">
        <v>1655</v>
      </c>
      <c r="AH58" s="2035"/>
      <c r="AI58" s="2045" t="s">
        <v>4625</v>
      </c>
      <c r="AJ58" s="2035"/>
      <c r="AK58" s="2035"/>
      <c r="AL58" s="2035"/>
      <c r="AM58" s="2035" t="s">
        <v>1656</v>
      </c>
      <c r="AN58" s="2035"/>
      <c r="AO58" s="2035"/>
      <c r="AP58" s="2035"/>
      <c r="AQ58" s="2035"/>
      <c r="AR58" s="2499" t="s">
        <v>5292</v>
      </c>
      <c r="AS58" s="2462"/>
      <c r="AT58" s="2500"/>
      <c r="AU58" s="2500"/>
      <c r="AV58" s="2500"/>
      <c r="AW58" s="2500"/>
      <c r="AX58" s="2462"/>
      <c r="AY58" s="2035"/>
      <c r="AZ58" s="2035"/>
      <c r="BA58" s="2035"/>
      <c r="BB58" s="2035"/>
      <c r="BC58" s="2035"/>
      <c r="BD58" s="2035"/>
      <c r="BE58" s="2035"/>
      <c r="BF58" s="2035"/>
      <c r="BG58" s="2035"/>
      <c r="BH58" s="2035"/>
      <c r="BI58" s="2035"/>
      <c r="BJ58" s="2035"/>
      <c r="BK58" s="2035"/>
      <c r="BL58" s="2035"/>
      <c r="BM58" s="2035"/>
      <c r="BN58" s="2035"/>
      <c r="BO58" s="2035"/>
      <c r="BP58" s="2035"/>
      <c r="BQ58" s="2035"/>
      <c r="BR58" s="2035"/>
      <c r="BS58" s="2035"/>
      <c r="BT58" s="2035"/>
      <c r="BU58" s="2035"/>
      <c r="BV58" s="2035"/>
      <c r="BW58" s="2035"/>
      <c r="BX58" s="2035"/>
      <c r="BY58" s="2035"/>
      <c r="BZ58" s="2035"/>
      <c r="CA58" s="2035"/>
      <c r="CB58" s="2035"/>
      <c r="CC58" s="2035"/>
      <c r="CD58" s="2035"/>
      <c r="CE58" s="2035"/>
      <c r="CF58" s="2035"/>
      <c r="CG58" s="2035"/>
      <c r="CH58" s="2035"/>
      <c r="CI58" s="2035"/>
      <c r="CJ58" s="2035"/>
      <c r="CK58" s="2035"/>
      <c r="CL58" s="2050" t="s">
        <v>4630</v>
      </c>
      <c r="CM58" s="2035" t="s">
        <v>2004</v>
      </c>
      <c r="CN58" s="2048"/>
      <c r="CO58" s="2036" t="s">
        <v>4631</v>
      </c>
    </row>
    <row r="59" spans="2:95" ht="18" x14ac:dyDescent="0.25">
      <c r="B59" s="1251">
        <v>56</v>
      </c>
      <c r="C59" s="1198" t="s">
        <v>2121</v>
      </c>
      <c r="D59" s="616" t="s">
        <v>1675</v>
      </c>
      <c r="E59" s="615"/>
      <c r="F59" s="615"/>
      <c r="G59" s="615"/>
      <c r="H59" s="615">
        <v>-1</v>
      </c>
      <c r="I59" s="615">
        <v>1</v>
      </c>
      <c r="J59" s="2463"/>
      <c r="K59" s="615"/>
      <c r="L59" s="615"/>
      <c r="M59" s="615"/>
      <c r="N59" s="615"/>
      <c r="O59" s="615"/>
      <c r="P59" s="615"/>
      <c r="Q59" s="615"/>
      <c r="R59" s="615"/>
      <c r="S59" s="615"/>
      <c r="T59" s="615"/>
      <c r="U59" s="615"/>
      <c r="V59" s="615"/>
      <c r="W59" s="615"/>
      <c r="X59" s="615"/>
      <c r="Y59" s="615"/>
      <c r="Z59" s="1811"/>
      <c r="AA59" s="615"/>
      <c r="AB59" s="615"/>
      <c r="AC59" s="615"/>
      <c r="AD59" s="615"/>
      <c r="AE59" s="615"/>
      <c r="AF59" s="615" t="s">
        <v>1676</v>
      </c>
      <c r="AG59" s="2463"/>
      <c r="AH59" s="615"/>
      <c r="AI59" s="615"/>
      <c r="AJ59" s="615"/>
      <c r="AK59" s="615"/>
      <c r="AL59" s="615" t="s">
        <v>1677</v>
      </c>
      <c r="AM59" s="2463"/>
      <c r="AN59" s="615"/>
      <c r="AO59" s="615"/>
      <c r="AP59" s="615"/>
      <c r="AQ59" s="615"/>
      <c r="AR59" s="615"/>
      <c r="AS59" s="615"/>
      <c r="AT59" s="615"/>
      <c r="AU59" s="615"/>
      <c r="AV59" s="615"/>
      <c r="AW59" s="615"/>
      <c r="AX59" s="615"/>
      <c r="AY59" s="615"/>
      <c r="AZ59" s="615"/>
      <c r="BA59" s="615"/>
      <c r="BB59" s="615"/>
      <c r="BC59" s="615"/>
      <c r="BD59" s="615"/>
      <c r="BE59" s="615"/>
      <c r="BF59" s="615"/>
      <c r="BG59" s="615"/>
      <c r="BH59" s="615"/>
      <c r="BI59" s="615"/>
      <c r="BJ59" s="615"/>
      <c r="BK59" s="615"/>
      <c r="BL59" s="615"/>
      <c r="BM59" s="615"/>
      <c r="BN59" s="615"/>
      <c r="BO59" s="615"/>
      <c r="BP59" s="1213"/>
      <c r="BQ59" s="615"/>
      <c r="BR59" s="615"/>
      <c r="BS59" s="1811"/>
      <c r="BT59" s="1811"/>
      <c r="BU59" s="1811"/>
      <c r="BV59" s="1811"/>
      <c r="BW59" s="615"/>
      <c r="BX59" s="1103"/>
      <c r="BY59" s="1811"/>
      <c r="BZ59" s="615"/>
      <c r="CA59" s="615"/>
      <c r="CB59" s="615"/>
      <c r="CC59" s="615"/>
      <c r="CD59" s="615"/>
      <c r="CE59" s="615"/>
      <c r="CF59" s="615"/>
      <c r="CG59" s="615"/>
      <c r="CH59" s="615"/>
      <c r="CI59" s="615"/>
      <c r="CJ59" s="615"/>
      <c r="CK59" s="615"/>
      <c r="CL59" s="2473" t="s">
        <v>4937</v>
      </c>
      <c r="CM59" s="2463" t="s">
        <v>2004</v>
      </c>
      <c r="CN59" s="616"/>
      <c r="CO59" s="617"/>
      <c r="CQ59" s="1024"/>
    </row>
    <row r="60" spans="2:95" ht="18" x14ac:dyDescent="0.25">
      <c r="B60" s="1251">
        <v>57</v>
      </c>
      <c r="C60" s="1198" t="s">
        <v>2122</v>
      </c>
      <c r="D60" s="616" t="s">
        <v>1678</v>
      </c>
      <c r="E60" s="615"/>
      <c r="F60" s="615"/>
      <c r="G60" s="615"/>
      <c r="H60" s="615"/>
      <c r="I60" s="615"/>
      <c r="J60" s="2463"/>
      <c r="K60" s="615"/>
      <c r="L60" s="615">
        <v>-1</v>
      </c>
      <c r="M60" s="615">
        <v>1</v>
      </c>
      <c r="N60" s="615"/>
      <c r="O60" s="615"/>
      <c r="P60" s="615"/>
      <c r="Q60" s="615"/>
      <c r="R60" s="615"/>
      <c r="S60" s="615"/>
      <c r="T60" s="615"/>
      <c r="U60" s="615"/>
      <c r="V60" s="615"/>
      <c r="W60" s="615"/>
      <c r="X60" s="615"/>
      <c r="Y60" s="615"/>
      <c r="Z60" s="1811"/>
      <c r="AA60" s="615"/>
      <c r="AB60" s="615"/>
      <c r="AC60" s="615"/>
      <c r="AD60" s="615"/>
      <c r="AE60" s="615"/>
      <c r="AF60" s="615"/>
      <c r="AG60" s="2463"/>
      <c r="AH60" s="615" t="s">
        <v>1679</v>
      </c>
      <c r="AI60" s="615"/>
      <c r="AJ60" s="615"/>
      <c r="AK60" s="615"/>
      <c r="AL60" s="615"/>
      <c r="AM60" s="2463"/>
      <c r="AN60" s="615" t="s">
        <v>1680</v>
      </c>
      <c r="AO60" s="615"/>
      <c r="AP60" s="615"/>
      <c r="AQ60" s="615"/>
      <c r="AR60" s="615"/>
      <c r="AS60" s="615"/>
      <c r="AT60" s="615"/>
      <c r="AU60" s="615"/>
      <c r="AV60" s="615"/>
      <c r="AW60" s="615"/>
      <c r="AX60" s="615"/>
      <c r="AY60" s="615"/>
      <c r="AZ60" s="615"/>
      <c r="BA60" s="615"/>
      <c r="BB60" s="615"/>
      <c r="BC60" s="615"/>
      <c r="BD60" s="615"/>
      <c r="BE60" s="615"/>
      <c r="BF60" s="615"/>
      <c r="BG60" s="615"/>
      <c r="BH60" s="615"/>
      <c r="BI60" s="615"/>
      <c r="BJ60" s="615"/>
      <c r="BK60" s="615"/>
      <c r="BL60" s="615"/>
      <c r="BM60" s="615"/>
      <c r="BN60" s="615"/>
      <c r="BO60" s="615"/>
      <c r="BP60" s="1213"/>
      <c r="BQ60" s="615"/>
      <c r="BR60" s="615"/>
      <c r="BS60" s="1811"/>
      <c r="BT60" s="1811"/>
      <c r="BU60" s="1811"/>
      <c r="BV60" s="1811"/>
      <c r="BW60" s="615"/>
      <c r="BX60" s="1103"/>
      <c r="BY60" s="1811"/>
      <c r="BZ60" s="615"/>
      <c r="CA60" s="615"/>
      <c r="CB60" s="615"/>
      <c r="CC60" s="615"/>
      <c r="CD60" s="615"/>
      <c r="CE60" s="615"/>
      <c r="CF60" s="615"/>
      <c r="CG60" s="615"/>
      <c r="CH60" s="615"/>
      <c r="CI60" s="615"/>
      <c r="CJ60" s="615"/>
      <c r="CK60" s="615"/>
      <c r="CL60" s="2473" t="s">
        <v>4938</v>
      </c>
      <c r="CM60" s="2463" t="s">
        <v>2004</v>
      </c>
      <c r="CN60" s="616"/>
      <c r="CO60" s="617"/>
      <c r="CQ60" s="1024"/>
    </row>
    <row r="61" spans="2:95" ht="18" x14ac:dyDescent="0.25">
      <c r="B61" s="1251">
        <v>58</v>
      </c>
      <c r="C61" s="1199" t="s">
        <v>2155</v>
      </c>
      <c r="D61" s="687" t="s">
        <v>3328</v>
      </c>
      <c r="E61" s="615"/>
      <c r="F61" s="615"/>
      <c r="G61" s="615"/>
      <c r="H61" s="615">
        <v>-1</v>
      </c>
      <c r="I61" s="615">
        <v>1</v>
      </c>
      <c r="J61" s="2463"/>
      <c r="K61" s="615"/>
      <c r="L61" s="615"/>
      <c r="M61" s="615"/>
      <c r="N61" s="615"/>
      <c r="O61" s="615"/>
      <c r="P61" s="615"/>
      <c r="Q61" s="615"/>
      <c r="R61" s="615"/>
      <c r="S61" s="615"/>
      <c r="T61" s="615"/>
      <c r="U61" s="615"/>
      <c r="V61" s="615"/>
      <c r="W61" s="615"/>
      <c r="X61" s="615"/>
      <c r="Y61" s="615"/>
      <c r="Z61" s="1811"/>
      <c r="AA61" s="615"/>
      <c r="AB61" s="615"/>
      <c r="AC61" s="615"/>
      <c r="AD61" s="615"/>
      <c r="AE61" s="615"/>
      <c r="AF61" s="615" t="s">
        <v>1676</v>
      </c>
      <c r="AG61" s="2463"/>
      <c r="AH61" s="615"/>
      <c r="AI61" s="615"/>
      <c r="AJ61" s="615"/>
      <c r="AK61" s="615"/>
      <c r="AL61" s="615" t="s">
        <v>1677</v>
      </c>
      <c r="AM61" s="2463"/>
      <c r="AN61" s="615"/>
      <c r="AO61" s="615"/>
      <c r="AP61" s="615"/>
      <c r="AQ61" s="615"/>
      <c r="AR61" s="615"/>
      <c r="AS61" s="615"/>
      <c r="AT61" s="615"/>
      <c r="AU61" s="615"/>
      <c r="AV61" s="615"/>
      <c r="AW61" s="615"/>
      <c r="AX61" s="615"/>
      <c r="AY61" s="615"/>
      <c r="AZ61" s="615"/>
      <c r="BA61" s="615"/>
      <c r="BB61" s="615"/>
      <c r="BC61" s="615"/>
      <c r="BD61" s="615"/>
      <c r="BE61" s="615"/>
      <c r="BF61" s="615"/>
      <c r="BG61" s="615"/>
      <c r="BH61" s="615"/>
      <c r="BI61" s="615"/>
      <c r="BJ61" s="615"/>
      <c r="BK61" s="615"/>
      <c r="BL61" s="615"/>
      <c r="BM61" s="615"/>
      <c r="BN61" s="615"/>
      <c r="BO61" s="615"/>
      <c r="BP61" s="1213"/>
      <c r="BQ61" s="615"/>
      <c r="BR61" s="615"/>
      <c r="BS61" s="1811"/>
      <c r="BT61" s="1811"/>
      <c r="BU61" s="1811"/>
      <c r="BV61" s="1811"/>
      <c r="BW61" s="615"/>
      <c r="BX61" s="1103"/>
      <c r="BY61" s="1811"/>
      <c r="BZ61" s="615"/>
      <c r="CA61" s="615"/>
      <c r="CB61" s="615"/>
      <c r="CC61" s="615"/>
      <c r="CD61" s="615"/>
      <c r="CE61" s="615"/>
      <c r="CF61" s="615"/>
      <c r="CG61" s="615"/>
      <c r="CH61" s="615"/>
      <c r="CI61" s="615"/>
      <c r="CJ61" s="615"/>
      <c r="CK61" s="615"/>
      <c r="CL61" s="687" t="s">
        <v>3330</v>
      </c>
      <c r="CM61" s="615" t="s">
        <v>2004</v>
      </c>
      <c r="CN61" s="616"/>
      <c r="CO61" s="617" t="s">
        <v>3337</v>
      </c>
      <c r="CQ61" s="1024"/>
    </row>
    <row r="62" spans="2:95" ht="18" x14ac:dyDescent="0.25">
      <c r="B62" s="1251">
        <v>59</v>
      </c>
      <c r="C62" s="1199" t="s">
        <v>2179</v>
      </c>
      <c r="D62" s="687" t="s">
        <v>3329</v>
      </c>
      <c r="E62" s="615"/>
      <c r="F62" s="615"/>
      <c r="G62" s="615"/>
      <c r="H62" s="615"/>
      <c r="I62" s="615"/>
      <c r="J62" s="2463"/>
      <c r="K62" s="615"/>
      <c r="L62" s="615">
        <v>-1</v>
      </c>
      <c r="M62" s="615">
        <v>1</v>
      </c>
      <c r="N62" s="615"/>
      <c r="O62" s="615"/>
      <c r="P62" s="615"/>
      <c r="Q62" s="615"/>
      <c r="R62" s="615"/>
      <c r="S62" s="615"/>
      <c r="T62" s="615"/>
      <c r="U62" s="615"/>
      <c r="V62" s="615"/>
      <c r="W62" s="615"/>
      <c r="X62" s="615"/>
      <c r="Y62" s="615"/>
      <c r="Z62" s="1811"/>
      <c r="AA62" s="615"/>
      <c r="AB62" s="615"/>
      <c r="AC62" s="615"/>
      <c r="AD62" s="615"/>
      <c r="AE62" s="615"/>
      <c r="AF62" s="615"/>
      <c r="AG62" s="2463"/>
      <c r="AH62" s="615" t="s">
        <v>1679</v>
      </c>
      <c r="AI62" s="615"/>
      <c r="AJ62" s="615"/>
      <c r="AK62" s="615"/>
      <c r="AL62" s="615"/>
      <c r="AM62" s="2463"/>
      <c r="AN62" s="615" t="s">
        <v>1680</v>
      </c>
      <c r="AO62" s="615"/>
      <c r="AP62" s="615"/>
      <c r="AQ62" s="615"/>
      <c r="AR62" s="615"/>
      <c r="AS62" s="615"/>
      <c r="AT62" s="615"/>
      <c r="AU62" s="615"/>
      <c r="AV62" s="615"/>
      <c r="AW62" s="615"/>
      <c r="AX62" s="615"/>
      <c r="AY62" s="615"/>
      <c r="AZ62" s="615"/>
      <c r="BA62" s="615"/>
      <c r="BB62" s="615"/>
      <c r="BC62" s="615"/>
      <c r="BD62" s="615"/>
      <c r="BE62" s="615"/>
      <c r="BF62" s="615"/>
      <c r="BG62" s="615"/>
      <c r="BH62" s="615"/>
      <c r="BI62" s="615"/>
      <c r="BJ62" s="615"/>
      <c r="BK62" s="615"/>
      <c r="BL62" s="615"/>
      <c r="BM62" s="615"/>
      <c r="BN62" s="615"/>
      <c r="BO62" s="615"/>
      <c r="BP62" s="1213"/>
      <c r="BQ62" s="615"/>
      <c r="BR62" s="615"/>
      <c r="BS62" s="1811"/>
      <c r="BT62" s="1811"/>
      <c r="BU62" s="1811"/>
      <c r="BV62" s="1811"/>
      <c r="BW62" s="615"/>
      <c r="BX62" s="1103"/>
      <c r="BY62" s="1811"/>
      <c r="BZ62" s="615"/>
      <c r="CA62" s="615"/>
      <c r="CB62" s="615"/>
      <c r="CC62" s="615"/>
      <c r="CD62" s="615"/>
      <c r="CE62" s="615"/>
      <c r="CF62" s="615"/>
      <c r="CG62" s="615"/>
      <c r="CH62" s="615"/>
      <c r="CI62" s="615"/>
      <c r="CJ62" s="615"/>
      <c r="CK62" s="615"/>
      <c r="CL62" s="687" t="s">
        <v>3331</v>
      </c>
      <c r="CM62" s="615" t="s">
        <v>2004</v>
      </c>
      <c r="CN62" s="616"/>
      <c r="CO62" s="617" t="s">
        <v>3337</v>
      </c>
      <c r="CQ62" s="1024"/>
    </row>
    <row r="63" spans="2:95" ht="18" x14ac:dyDescent="0.25">
      <c r="B63" s="1251">
        <v>60</v>
      </c>
      <c r="C63" s="1198" t="s">
        <v>2400</v>
      </c>
      <c r="D63" s="616" t="s">
        <v>5303</v>
      </c>
      <c r="E63" s="615"/>
      <c r="F63" s="615">
        <v>1</v>
      </c>
      <c r="G63" s="615"/>
      <c r="H63" s="615"/>
      <c r="I63" s="615">
        <v>-1</v>
      </c>
      <c r="J63" s="2463"/>
      <c r="K63" s="615"/>
      <c r="L63" s="615"/>
      <c r="M63" s="615"/>
      <c r="N63" s="615"/>
      <c r="O63" s="615"/>
      <c r="P63" s="615"/>
      <c r="Q63" s="615"/>
      <c r="R63" s="615"/>
      <c r="S63" s="615"/>
      <c r="T63" s="615"/>
      <c r="U63" s="615"/>
      <c r="V63" s="615"/>
      <c r="W63" s="615"/>
      <c r="X63" s="615"/>
      <c r="Y63" s="615"/>
      <c r="Z63" s="1811"/>
      <c r="AA63" s="615"/>
      <c r="AB63" s="615"/>
      <c r="AC63" s="615"/>
      <c r="AD63" s="615"/>
      <c r="AE63" s="619" t="s">
        <v>1681</v>
      </c>
      <c r="AF63" s="619" t="s">
        <v>1682</v>
      </c>
      <c r="AG63" s="2121"/>
      <c r="AH63" s="615"/>
      <c r="AI63" s="615"/>
      <c r="AJ63" s="615"/>
      <c r="AK63" s="619" t="s">
        <v>1683</v>
      </c>
      <c r="AL63" s="619" t="s">
        <v>1684</v>
      </c>
      <c r="AM63" s="2121"/>
      <c r="AN63" s="615"/>
      <c r="AO63" s="615"/>
      <c r="AP63" s="615"/>
      <c r="AQ63" s="615"/>
      <c r="AR63" s="615"/>
      <c r="AS63" s="615"/>
      <c r="AT63" s="615"/>
      <c r="AU63" s="615"/>
      <c r="AV63" s="615"/>
      <c r="AW63" s="615"/>
      <c r="AX63" s="615"/>
      <c r="AY63" s="615"/>
      <c r="AZ63" s="615"/>
      <c r="BA63" s="615"/>
      <c r="BB63" s="615"/>
      <c r="BC63" s="615"/>
      <c r="BD63" s="615"/>
      <c r="BE63" s="615"/>
      <c r="BF63" s="615"/>
      <c r="BG63" s="615"/>
      <c r="BH63" s="615"/>
      <c r="BI63" s="615"/>
      <c r="BJ63" s="615"/>
      <c r="BK63" s="615"/>
      <c r="BL63" s="615"/>
      <c r="BM63" s="615"/>
      <c r="BN63" s="615"/>
      <c r="BO63" s="615"/>
      <c r="BP63" s="1213"/>
      <c r="BQ63" s="615"/>
      <c r="BR63" s="615"/>
      <c r="BS63" s="1811"/>
      <c r="BT63" s="1811"/>
      <c r="BU63" s="1811"/>
      <c r="BV63" s="1811"/>
      <c r="BW63" s="615"/>
      <c r="BX63" s="1103"/>
      <c r="BY63" s="1811"/>
      <c r="BZ63" s="615"/>
      <c r="CA63" s="615"/>
      <c r="CB63" s="615"/>
      <c r="CC63" s="615"/>
      <c r="CD63" s="615"/>
      <c r="CE63" s="615"/>
      <c r="CF63" s="615"/>
      <c r="CG63" s="615"/>
      <c r="CH63" s="615"/>
      <c r="CI63" s="615"/>
      <c r="CJ63" s="615"/>
      <c r="CK63" s="615"/>
      <c r="CL63" s="2203" t="s">
        <v>5287</v>
      </c>
      <c r="CM63" s="615" t="s">
        <v>2004</v>
      </c>
      <c r="CN63" s="616"/>
      <c r="CO63" s="617"/>
    </row>
    <row r="64" spans="2:95" ht="18" x14ac:dyDescent="0.25">
      <c r="B64" s="1251">
        <v>61</v>
      </c>
      <c r="C64" s="1198" t="s">
        <v>2401</v>
      </c>
      <c r="D64" s="616" t="s">
        <v>5302</v>
      </c>
      <c r="E64" s="615"/>
      <c r="F64" s="615">
        <v>1</v>
      </c>
      <c r="G64" s="615"/>
      <c r="H64" s="615"/>
      <c r="I64" s="615"/>
      <c r="J64" s="2463">
        <v>-1</v>
      </c>
      <c r="K64" s="615"/>
      <c r="L64" s="615"/>
      <c r="M64" s="615"/>
      <c r="N64" s="615"/>
      <c r="O64" s="615"/>
      <c r="P64" s="615"/>
      <c r="Q64" s="615"/>
      <c r="R64" s="615"/>
      <c r="S64" s="615"/>
      <c r="T64" s="615"/>
      <c r="U64" s="615"/>
      <c r="V64" s="615"/>
      <c r="W64" s="615"/>
      <c r="X64" s="615"/>
      <c r="Y64" s="615"/>
      <c r="Z64" s="1811"/>
      <c r="AA64" s="615"/>
      <c r="AB64" s="615"/>
      <c r="AC64" s="615"/>
      <c r="AD64" s="615"/>
      <c r="AE64" s="619" t="s">
        <v>5255</v>
      </c>
      <c r="AF64" s="619"/>
      <c r="AG64" s="2121" t="s">
        <v>5256</v>
      </c>
      <c r="AH64" s="615"/>
      <c r="AI64" s="615"/>
      <c r="AJ64" s="615"/>
      <c r="AK64" s="619" t="s">
        <v>5257</v>
      </c>
      <c r="AL64" s="619"/>
      <c r="AM64" s="2121" t="s">
        <v>5258</v>
      </c>
      <c r="AN64" s="615"/>
      <c r="AO64" s="615"/>
      <c r="AP64" s="615"/>
      <c r="AQ64" s="615"/>
      <c r="AR64" s="615" t="s">
        <v>5259</v>
      </c>
      <c r="AS64" s="615" t="s">
        <v>2444</v>
      </c>
      <c r="AT64" s="615" t="s">
        <v>3566</v>
      </c>
      <c r="AU64" s="615" t="s">
        <v>3567</v>
      </c>
      <c r="AV64" s="615" t="s">
        <v>3568</v>
      </c>
      <c r="AW64" s="615" t="s">
        <v>3569</v>
      </c>
      <c r="AX64" s="615"/>
      <c r="AY64" s="615"/>
      <c r="AZ64" s="615"/>
      <c r="BA64" s="615"/>
      <c r="BB64" s="615"/>
      <c r="BC64" s="615"/>
      <c r="BD64" s="615"/>
      <c r="BE64" s="615"/>
      <c r="BF64" s="615"/>
      <c r="BG64" s="615"/>
      <c r="BH64" s="615"/>
      <c r="BI64" s="615"/>
      <c r="BJ64" s="615"/>
      <c r="BK64" s="615"/>
      <c r="BL64" s="615"/>
      <c r="BM64" s="615"/>
      <c r="BN64" s="615"/>
      <c r="BO64" s="615"/>
      <c r="BP64" s="1213"/>
      <c r="BQ64" s="615"/>
      <c r="BR64" s="615"/>
      <c r="BS64" s="1811"/>
      <c r="BT64" s="1811"/>
      <c r="BU64" s="1811"/>
      <c r="BV64" s="1811"/>
      <c r="BW64" s="615"/>
      <c r="BX64" s="1103"/>
      <c r="BY64" s="1811"/>
      <c r="BZ64" s="615"/>
      <c r="CA64" s="615"/>
      <c r="CB64" s="615"/>
      <c r="CC64" s="615"/>
      <c r="CD64" s="615"/>
      <c r="CE64" s="615"/>
      <c r="CF64" s="615"/>
      <c r="CG64" s="615"/>
      <c r="CH64" s="615"/>
      <c r="CI64" s="615"/>
      <c r="CJ64" s="615"/>
      <c r="CK64" s="615"/>
      <c r="CL64" s="2203" t="s">
        <v>5293</v>
      </c>
      <c r="CM64" s="615" t="s">
        <v>2004</v>
      </c>
      <c r="CN64" s="616"/>
      <c r="CO64" s="617"/>
    </row>
    <row r="65" spans="2:93" ht="18" x14ac:dyDescent="0.25">
      <c r="B65" s="1251">
        <v>62</v>
      </c>
      <c r="C65" s="1198" t="s">
        <v>2402</v>
      </c>
      <c r="D65" s="616" t="s">
        <v>5301</v>
      </c>
      <c r="E65" s="615"/>
      <c r="F65" s="615"/>
      <c r="G65" s="615"/>
      <c r="H65" s="615"/>
      <c r="I65" s="615"/>
      <c r="J65" s="2463"/>
      <c r="K65" s="615"/>
      <c r="L65" s="615"/>
      <c r="M65" s="615"/>
      <c r="N65" s="615"/>
      <c r="O65" s="615"/>
      <c r="P65" s="615"/>
      <c r="Q65" s="615"/>
      <c r="R65" s="615"/>
      <c r="S65" s="615"/>
      <c r="T65" s="615"/>
      <c r="U65" s="615"/>
      <c r="V65" s="615"/>
      <c r="W65" s="615"/>
      <c r="X65" s="615"/>
      <c r="Y65" s="615"/>
      <c r="Z65" s="1811"/>
      <c r="AA65" s="615">
        <v>1</v>
      </c>
      <c r="AB65" s="615"/>
      <c r="AC65" s="615"/>
      <c r="AD65" s="615"/>
      <c r="AE65" s="615">
        <v>-1</v>
      </c>
      <c r="AF65" s="615"/>
      <c r="AG65" s="2463"/>
      <c r="AH65" s="615"/>
      <c r="AI65" s="615"/>
      <c r="AJ65" s="615"/>
      <c r="AK65" s="615"/>
      <c r="AL65" s="615"/>
      <c r="AM65" s="2463"/>
      <c r="AN65" s="615"/>
      <c r="AO65" s="615"/>
      <c r="AP65" s="615"/>
      <c r="AQ65" s="615"/>
      <c r="AR65" s="615"/>
      <c r="AS65" s="615"/>
      <c r="AT65" s="615"/>
      <c r="AU65" s="615"/>
      <c r="AV65" s="615"/>
      <c r="AW65" s="615"/>
      <c r="AX65" s="615"/>
      <c r="AY65" s="615"/>
      <c r="AZ65" s="615"/>
      <c r="BA65" s="615"/>
      <c r="BB65" s="615"/>
      <c r="BC65" s="615"/>
      <c r="BD65" s="615"/>
      <c r="BE65" s="615"/>
      <c r="BF65" s="615"/>
      <c r="BG65" s="615"/>
      <c r="BH65" s="615"/>
      <c r="BI65" s="615"/>
      <c r="BJ65" s="615"/>
      <c r="BK65" s="615"/>
      <c r="BL65" s="615"/>
      <c r="BM65" s="615"/>
      <c r="BN65" s="615"/>
      <c r="BO65" s="615"/>
      <c r="BP65" s="1213"/>
      <c r="BQ65" s="615"/>
      <c r="BR65" s="615"/>
      <c r="BS65" s="1811"/>
      <c r="BT65" s="1811"/>
      <c r="BU65" s="1811"/>
      <c r="BV65" s="1811"/>
      <c r="BW65" s="615"/>
      <c r="BX65" s="1103"/>
      <c r="BY65" s="1811"/>
      <c r="BZ65" s="615"/>
      <c r="CA65" s="615"/>
      <c r="CB65" s="615"/>
      <c r="CC65" s="615"/>
      <c r="CD65" s="615"/>
      <c r="CE65" s="615"/>
      <c r="CF65" s="615"/>
      <c r="CG65" s="615"/>
      <c r="CH65" s="615"/>
      <c r="CI65" s="615"/>
      <c r="CJ65" s="615"/>
      <c r="CK65" s="615"/>
      <c r="CL65" s="616" t="s">
        <v>4677</v>
      </c>
      <c r="CM65" s="615" t="s">
        <v>2004</v>
      </c>
      <c r="CN65" s="616"/>
      <c r="CO65" s="617"/>
    </row>
    <row r="66" spans="2:93" ht="18" x14ac:dyDescent="0.25">
      <c r="B66" s="1251">
        <v>63</v>
      </c>
      <c r="C66" s="1198" t="s">
        <v>2403</v>
      </c>
      <c r="D66" s="616" t="s">
        <v>1685</v>
      </c>
      <c r="E66" s="615"/>
      <c r="F66" s="615"/>
      <c r="G66" s="615"/>
      <c r="H66" s="615"/>
      <c r="I66" s="615"/>
      <c r="J66" s="2463"/>
      <c r="K66" s="615"/>
      <c r="L66" s="615"/>
      <c r="M66" s="615"/>
      <c r="N66" s="615"/>
      <c r="O66" s="615"/>
      <c r="P66" s="615"/>
      <c r="Q66" s="615"/>
      <c r="R66" s="615"/>
      <c r="S66" s="615"/>
      <c r="T66" s="615"/>
      <c r="U66" s="615"/>
      <c r="V66" s="615"/>
      <c r="W66" s="615"/>
      <c r="X66" s="615"/>
      <c r="Y66" s="615"/>
      <c r="Z66" s="1811"/>
      <c r="AA66" s="615"/>
      <c r="AB66" s="615"/>
      <c r="AC66" s="615"/>
      <c r="AD66" s="615"/>
      <c r="AE66" s="615"/>
      <c r="AF66" s="615"/>
      <c r="AG66" s="2463"/>
      <c r="AH66" s="615"/>
      <c r="AI66" s="615">
        <v>1</v>
      </c>
      <c r="AJ66" s="615"/>
      <c r="AK66" s="615">
        <v>-1</v>
      </c>
      <c r="AL66" s="615"/>
      <c r="AM66" s="2463"/>
      <c r="AN66" s="615"/>
      <c r="AO66" s="615"/>
      <c r="AP66" s="615"/>
      <c r="AQ66" s="615"/>
      <c r="AR66" s="615"/>
      <c r="AS66" s="615"/>
      <c r="AT66" s="615"/>
      <c r="AU66" s="615"/>
      <c r="AV66" s="615"/>
      <c r="AW66" s="615"/>
      <c r="AX66" s="615"/>
      <c r="AY66" s="615"/>
      <c r="AZ66" s="615"/>
      <c r="BA66" s="615"/>
      <c r="BB66" s="615"/>
      <c r="BC66" s="615"/>
      <c r="BD66" s="615"/>
      <c r="BE66" s="615"/>
      <c r="BF66" s="615"/>
      <c r="BG66" s="615"/>
      <c r="BH66" s="615"/>
      <c r="BI66" s="615"/>
      <c r="BJ66" s="615"/>
      <c r="BK66" s="615"/>
      <c r="BL66" s="615"/>
      <c r="BM66" s="615"/>
      <c r="BN66" s="615"/>
      <c r="BO66" s="615"/>
      <c r="BP66" s="1213"/>
      <c r="BQ66" s="615"/>
      <c r="BR66" s="615"/>
      <c r="BS66" s="1811"/>
      <c r="BT66" s="1811"/>
      <c r="BU66" s="1811"/>
      <c r="BV66" s="1811"/>
      <c r="BW66" s="615"/>
      <c r="BX66" s="1103"/>
      <c r="BY66" s="1811"/>
      <c r="BZ66" s="615"/>
      <c r="CA66" s="615"/>
      <c r="CB66" s="615"/>
      <c r="CC66" s="615"/>
      <c r="CD66" s="615"/>
      <c r="CE66" s="615"/>
      <c r="CF66" s="615"/>
      <c r="CG66" s="615"/>
      <c r="CH66" s="615"/>
      <c r="CI66" s="615"/>
      <c r="CJ66" s="615"/>
      <c r="CK66" s="615"/>
      <c r="CL66" s="616" t="s">
        <v>4678</v>
      </c>
      <c r="CM66" s="615" t="s">
        <v>2004</v>
      </c>
      <c r="CN66" s="616"/>
      <c r="CO66" s="617"/>
    </row>
    <row r="67" spans="2:93" ht="18" x14ac:dyDescent="0.25">
      <c r="B67" s="1251">
        <v>64</v>
      </c>
      <c r="C67" s="1198" t="s">
        <v>2404</v>
      </c>
      <c r="D67" s="616" t="s">
        <v>5304</v>
      </c>
      <c r="E67" s="615"/>
      <c r="F67" s="615"/>
      <c r="G67" s="615"/>
      <c r="H67" s="615"/>
      <c r="I67" s="615">
        <v>1</v>
      </c>
      <c r="J67" s="2463"/>
      <c r="K67" s="615"/>
      <c r="L67" s="615"/>
      <c r="M67" s="615"/>
      <c r="N67" s="615"/>
      <c r="O67" s="615"/>
      <c r="P67" s="615">
        <v>-1</v>
      </c>
      <c r="Q67" s="615"/>
      <c r="R67" s="615"/>
      <c r="S67" s="615"/>
      <c r="T67" s="615"/>
      <c r="U67" s="615"/>
      <c r="V67" s="615"/>
      <c r="W67" s="615"/>
      <c r="X67" s="615"/>
      <c r="Y67" s="615"/>
      <c r="Z67" s="1811"/>
      <c r="AA67" s="615"/>
      <c r="AB67" s="615"/>
      <c r="AC67" s="615"/>
      <c r="AD67" s="615"/>
      <c r="AE67" s="615"/>
      <c r="AF67" s="615" t="s">
        <v>2130</v>
      </c>
      <c r="AG67" s="2463"/>
      <c r="AH67" s="615"/>
      <c r="AI67" s="615"/>
      <c r="AJ67" s="615"/>
      <c r="AK67" s="615"/>
      <c r="AL67" s="615" t="s">
        <v>1622</v>
      </c>
      <c r="AM67" s="2463"/>
      <c r="AN67" s="615"/>
      <c r="AO67" s="615"/>
      <c r="AP67" s="615"/>
      <c r="AQ67" s="615"/>
      <c r="AR67" s="615" t="s">
        <v>1979</v>
      </c>
      <c r="AS67" s="615"/>
      <c r="AT67" s="615"/>
      <c r="AU67" s="615"/>
      <c r="AV67" s="615"/>
      <c r="AW67" s="615"/>
      <c r="AX67" s="615"/>
      <c r="AY67" s="615"/>
      <c r="AZ67" s="615"/>
      <c r="BA67" s="615"/>
      <c r="BB67" s="615"/>
      <c r="BC67" s="615"/>
      <c r="BD67" s="615"/>
      <c r="BE67" s="615"/>
      <c r="BF67" s="615"/>
      <c r="BG67" s="615"/>
      <c r="BH67" s="615"/>
      <c r="BI67" s="615"/>
      <c r="BJ67" s="615"/>
      <c r="BK67" s="615"/>
      <c r="BL67" s="615"/>
      <c r="BM67" s="615"/>
      <c r="BN67" s="615"/>
      <c r="BO67" s="615"/>
      <c r="BP67" s="1213"/>
      <c r="BQ67" s="615"/>
      <c r="BR67" s="615"/>
      <c r="BS67" s="1811"/>
      <c r="BT67" s="1811"/>
      <c r="BU67" s="1811"/>
      <c r="BV67" s="1811"/>
      <c r="BW67" s="615"/>
      <c r="BX67" s="1103"/>
      <c r="BY67" s="1811"/>
      <c r="BZ67" s="615"/>
      <c r="CA67" s="615"/>
      <c r="CB67" s="615"/>
      <c r="CC67" s="615"/>
      <c r="CD67" s="615"/>
      <c r="CE67" s="615"/>
      <c r="CF67" s="615"/>
      <c r="CG67" s="615"/>
      <c r="CH67" s="615"/>
      <c r="CI67" s="615"/>
      <c r="CJ67" s="615"/>
      <c r="CK67" s="615"/>
      <c r="CL67" s="616" t="s">
        <v>1728</v>
      </c>
      <c r="CM67" s="615" t="s">
        <v>2004</v>
      </c>
      <c r="CN67" s="616"/>
      <c r="CO67" s="617"/>
    </row>
    <row r="68" spans="2:93" ht="18" x14ac:dyDescent="0.25">
      <c r="B68" s="1251">
        <v>65</v>
      </c>
      <c r="C68" s="1198" t="s">
        <v>2405</v>
      </c>
      <c r="D68" s="616" t="s">
        <v>5305</v>
      </c>
      <c r="E68" s="615"/>
      <c r="F68" s="615">
        <v>1</v>
      </c>
      <c r="G68" s="615"/>
      <c r="H68" s="615"/>
      <c r="I68" s="615"/>
      <c r="J68" s="2463"/>
      <c r="K68" s="615"/>
      <c r="L68" s="615"/>
      <c r="M68" s="615"/>
      <c r="N68" s="615"/>
      <c r="O68" s="615"/>
      <c r="P68" s="615"/>
      <c r="Q68" s="615">
        <v>-1</v>
      </c>
      <c r="R68" s="615"/>
      <c r="S68" s="615"/>
      <c r="T68" s="615"/>
      <c r="U68" s="615"/>
      <c r="V68" s="615"/>
      <c r="W68" s="615"/>
      <c r="X68" s="615"/>
      <c r="Y68" s="615"/>
      <c r="Z68" s="1811"/>
      <c r="AA68" s="615"/>
      <c r="AB68" s="615"/>
      <c r="AC68" s="615"/>
      <c r="AD68" s="615"/>
      <c r="AE68" s="615"/>
      <c r="AF68" s="615" t="s">
        <v>2130</v>
      </c>
      <c r="AG68" s="2463"/>
      <c r="AH68" s="615"/>
      <c r="AI68" s="615"/>
      <c r="AJ68" s="615"/>
      <c r="AK68" s="615"/>
      <c r="AL68" s="615" t="s">
        <v>1622</v>
      </c>
      <c r="AM68" s="2463"/>
      <c r="AN68" s="615"/>
      <c r="AO68" s="615"/>
      <c r="AP68" s="615"/>
      <c r="AQ68" s="615"/>
      <c r="AR68" s="615" t="s">
        <v>1979</v>
      </c>
      <c r="AS68" s="615"/>
      <c r="AT68" s="615"/>
      <c r="AU68" s="615"/>
      <c r="AV68" s="615"/>
      <c r="AW68" s="615"/>
      <c r="AX68" s="615"/>
      <c r="AY68" s="615"/>
      <c r="AZ68" s="615"/>
      <c r="BA68" s="615"/>
      <c r="BB68" s="615"/>
      <c r="BC68" s="615"/>
      <c r="BD68" s="615"/>
      <c r="BE68" s="615"/>
      <c r="BF68" s="615"/>
      <c r="BG68" s="615"/>
      <c r="BH68" s="615"/>
      <c r="BI68" s="615"/>
      <c r="BJ68" s="615"/>
      <c r="BK68" s="615"/>
      <c r="BL68" s="615"/>
      <c r="BM68" s="615"/>
      <c r="BN68" s="615"/>
      <c r="BO68" s="615"/>
      <c r="BP68" s="1213"/>
      <c r="BQ68" s="615"/>
      <c r="BR68" s="615"/>
      <c r="BS68" s="1811"/>
      <c r="BT68" s="1811"/>
      <c r="BU68" s="1811"/>
      <c r="BV68" s="1811"/>
      <c r="BW68" s="615"/>
      <c r="BX68" s="1103"/>
      <c r="BY68" s="1811"/>
      <c r="BZ68" s="615"/>
      <c r="CA68" s="615"/>
      <c r="CB68" s="615"/>
      <c r="CC68" s="615"/>
      <c r="CD68" s="615"/>
      <c r="CE68" s="615"/>
      <c r="CF68" s="615"/>
      <c r="CG68" s="615"/>
      <c r="CH68" s="615"/>
      <c r="CI68" s="615"/>
      <c r="CJ68" s="615"/>
      <c r="CK68" s="615"/>
      <c r="CL68" s="616" t="s">
        <v>5260</v>
      </c>
      <c r="CM68" s="615" t="s">
        <v>2004</v>
      </c>
      <c r="CN68" s="616"/>
      <c r="CO68" s="617"/>
    </row>
    <row r="69" spans="2:93" ht="18" x14ac:dyDescent="0.25">
      <c r="B69" s="1251">
        <v>66</v>
      </c>
      <c r="C69" s="1198" t="s">
        <v>2406</v>
      </c>
      <c r="D69" s="1966" t="s">
        <v>5306</v>
      </c>
      <c r="E69" s="1811"/>
      <c r="F69" s="1811"/>
      <c r="G69" s="1811"/>
      <c r="H69" s="1811"/>
      <c r="I69" s="1811">
        <v>1</v>
      </c>
      <c r="J69" s="2463"/>
      <c r="K69" s="1811"/>
      <c r="L69" s="1811"/>
      <c r="M69" s="1811">
        <v>-1</v>
      </c>
      <c r="N69" s="1811"/>
      <c r="O69" s="1811"/>
      <c r="P69" s="1811"/>
      <c r="Q69" s="1811"/>
      <c r="R69" s="1811"/>
      <c r="S69" s="1811"/>
      <c r="T69" s="1811"/>
      <c r="U69" s="1811"/>
      <c r="V69" s="1811"/>
      <c r="W69" s="1811"/>
      <c r="X69" s="1811"/>
      <c r="Y69" s="1811"/>
      <c r="Z69" s="1811"/>
      <c r="AA69" s="1811"/>
      <c r="AB69" s="1811"/>
      <c r="AC69" s="1811"/>
      <c r="AD69" s="1811"/>
      <c r="AE69" s="1811"/>
      <c r="AF69" s="1815" t="s">
        <v>4557</v>
      </c>
      <c r="AG69" s="2121"/>
      <c r="AH69" s="1815" t="s">
        <v>4558</v>
      </c>
      <c r="AI69" s="1811"/>
      <c r="AJ69" s="1811"/>
      <c r="AK69" s="1811"/>
      <c r="AL69" s="2121" t="s">
        <v>4671</v>
      </c>
      <c r="AM69" s="2121"/>
      <c r="AN69" s="2121" t="s">
        <v>4672</v>
      </c>
      <c r="AO69" s="1811"/>
      <c r="AP69" s="1811"/>
      <c r="AQ69" s="1811"/>
      <c r="AR69" s="1811"/>
      <c r="AS69" s="1811"/>
      <c r="AT69" s="1811"/>
      <c r="AU69" s="1811"/>
      <c r="AV69" s="1811"/>
      <c r="AW69" s="1811"/>
      <c r="AX69" s="1811"/>
      <c r="AY69" s="1811"/>
      <c r="AZ69" s="1811"/>
      <c r="BA69" s="1811"/>
      <c r="BB69" s="1811"/>
      <c r="BC69" s="1811"/>
      <c r="BD69" s="1811"/>
      <c r="BE69" s="1811"/>
      <c r="BF69" s="1811"/>
      <c r="BG69" s="1811"/>
      <c r="BH69" s="1811"/>
      <c r="BI69" s="1811"/>
      <c r="BJ69" s="1811"/>
      <c r="BK69" s="1811"/>
      <c r="BL69" s="1811"/>
      <c r="BM69" s="1811"/>
      <c r="BN69" s="1811"/>
      <c r="BO69" s="1811"/>
      <c r="BP69" s="1811"/>
      <c r="BQ69" s="1811"/>
      <c r="BR69" s="1811"/>
      <c r="BS69" s="1811"/>
      <c r="BT69" s="1811"/>
      <c r="BU69" s="1811"/>
      <c r="BV69" s="1811"/>
      <c r="BW69" s="1811"/>
      <c r="BX69" s="1811"/>
      <c r="BY69" s="1811"/>
      <c r="BZ69" s="1811"/>
      <c r="CA69" s="1811"/>
      <c r="CB69" s="1811"/>
      <c r="CC69" s="1811"/>
      <c r="CD69" s="1811"/>
      <c r="CE69" s="1811"/>
      <c r="CF69" s="1811"/>
      <c r="CG69" s="1811"/>
      <c r="CH69" s="1811"/>
      <c r="CI69" s="1811"/>
      <c r="CJ69" s="1811"/>
      <c r="CK69" s="1811"/>
      <c r="CL69" s="1966" t="s">
        <v>4562</v>
      </c>
      <c r="CM69" s="615" t="s">
        <v>2004</v>
      </c>
      <c r="CN69" s="1966"/>
      <c r="CO69" s="1967"/>
    </row>
    <row r="70" spans="2:93" ht="18" x14ac:dyDescent="0.25">
      <c r="B70" s="1251">
        <v>67</v>
      </c>
      <c r="C70" s="1198" t="s">
        <v>2407</v>
      </c>
      <c r="D70" s="616" t="s">
        <v>292</v>
      </c>
      <c r="E70" s="618" t="s">
        <v>1372</v>
      </c>
      <c r="F70" s="615"/>
      <c r="G70" s="615">
        <v>-1</v>
      </c>
      <c r="H70" s="615"/>
      <c r="I70" s="615"/>
      <c r="J70" s="2463"/>
      <c r="K70" s="615"/>
      <c r="L70" s="615"/>
      <c r="M70" s="615"/>
      <c r="N70" s="615"/>
      <c r="O70" s="615"/>
      <c r="P70" s="615"/>
      <c r="Q70" s="615"/>
      <c r="R70" s="615"/>
      <c r="S70" s="615"/>
      <c r="T70" s="615"/>
      <c r="U70" s="615"/>
      <c r="V70" s="615"/>
      <c r="W70" s="615"/>
      <c r="X70" s="615"/>
      <c r="Y70" s="615"/>
      <c r="Z70" s="1811"/>
      <c r="AA70" s="615"/>
      <c r="AB70" s="615"/>
      <c r="AC70" s="615"/>
      <c r="AD70" s="615"/>
      <c r="AE70" s="615"/>
      <c r="AF70" s="615"/>
      <c r="AG70" s="2463"/>
      <c r="AH70" s="615"/>
      <c r="AI70" s="615"/>
      <c r="AJ70" s="615"/>
      <c r="AK70" s="615"/>
      <c r="AL70" s="615"/>
      <c r="AM70" s="2463"/>
      <c r="AN70" s="615"/>
      <c r="AO70" s="615"/>
      <c r="AP70" s="615"/>
      <c r="AQ70" s="619" t="s">
        <v>1373</v>
      </c>
      <c r="AR70" s="615" t="s">
        <v>1968</v>
      </c>
      <c r="AS70" s="615"/>
      <c r="AT70" s="615"/>
      <c r="AU70" s="615"/>
      <c r="AV70" s="615"/>
      <c r="AW70" s="615"/>
      <c r="AX70" s="615"/>
      <c r="AY70" s="615"/>
      <c r="AZ70" s="615"/>
      <c r="BA70" s="615"/>
      <c r="BB70" s="615"/>
      <c r="BC70" s="615"/>
      <c r="BD70" s="615"/>
      <c r="BE70" s="615"/>
      <c r="BF70" s="615"/>
      <c r="BG70" s="615"/>
      <c r="BH70" s="615"/>
      <c r="BI70" s="615"/>
      <c r="BJ70" s="615"/>
      <c r="BK70" s="615"/>
      <c r="BL70" s="615"/>
      <c r="BM70" s="615"/>
      <c r="BN70" s="615"/>
      <c r="BO70" s="615"/>
      <c r="BP70" s="1213"/>
      <c r="BQ70" s="615"/>
      <c r="BR70" s="615"/>
      <c r="BS70" s="1811"/>
      <c r="BT70" s="1811"/>
      <c r="BU70" s="1811"/>
      <c r="BV70" s="1811"/>
      <c r="BW70" s="615"/>
      <c r="BX70" s="1103"/>
      <c r="BY70" s="1811"/>
      <c r="BZ70" s="615"/>
      <c r="CA70" s="615"/>
      <c r="CB70" s="615"/>
      <c r="CC70" s="615"/>
      <c r="CD70" s="615"/>
      <c r="CE70" s="615"/>
      <c r="CF70" s="615"/>
      <c r="CG70" s="615"/>
      <c r="CH70" s="615"/>
      <c r="CI70" s="615"/>
      <c r="CJ70" s="615"/>
      <c r="CK70" s="615"/>
      <c r="CL70" s="616" t="s">
        <v>2415</v>
      </c>
      <c r="CM70" s="615" t="s">
        <v>2004</v>
      </c>
      <c r="CN70" s="616" t="s">
        <v>295</v>
      </c>
      <c r="CO70" s="617"/>
    </row>
    <row r="71" spans="2:93" ht="18" x14ac:dyDescent="0.25">
      <c r="B71" s="1251">
        <v>68</v>
      </c>
      <c r="C71" s="1198" t="s">
        <v>2408</v>
      </c>
      <c r="D71" s="616" t="s">
        <v>2309</v>
      </c>
      <c r="E71" s="615"/>
      <c r="F71" s="615"/>
      <c r="G71" s="615"/>
      <c r="H71" s="615"/>
      <c r="I71" s="615"/>
      <c r="J71" s="2463"/>
      <c r="K71" s="615"/>
      <c r="L71" s="615"/>
      <c r="M71" s="615"/>
      <c r="N71" s="615"/>
      <c r="O71" s="615"/>
      <c r="P71" s="615"/>
      <c r="Q71" s="615"/>
      <c r="R71" s="2125" t="s">
        <v>4695</v>
      </c>
      <c r="S71" s="2125" t="s">
        <v>4696</v>
      </c>
      <c r="T71" s="2125" t="s">
        <v>4697</v>
      </c>
      <c r="U71" s="2125" t="s">
        <v>4698</v>
      </c>
      <c r="V71" s="2125" t="s">
        <v>4699</v>
      </c>
      <c r="W71" s="2125" t="s">
        <v>4700</v>
      </c>
      <c r="X71" s="2125" t="s">
        <v>4701</v>
      </c>
      <c r="Y71" s="2125" t="s">
        <v>4702</v>
      </c>
      <c r="Z71" s="2125" t="s">
        <v>4703</v>
      </c>
      <c r="AA71" s="2124" t="s">
        <v>4704</v>
      </c>
      <c r="AB71" s="615">
        <v>-1</v>
      </c>
      <c r="AC71" s="615"/>
      <c r="AD71" s="615"/>
      <c r="AE71" s="615"/>
      <c r="AF71" s="615"/>
      <c r="AG71" s="2463"/>
      <c r="AH71" s="615"/>
      <c r="AI71" s="2124" t="s">
        <v>4706</v>
      </c>
      <c r="AJ71" s="615"/>
      <c r="AK71" s="615"/>
      <c r="AL71" s="615"/>
      <c r="AM71" s="2463"/>
      <c r="AN71" s="615"/>
      <c r="AO71" s="615"/>
      <c r="AP71" s="615"/>
      <c r="AQ71" s="615"/>
      <c r="AR71" s="2124" t="s">
        <v>4709</v>
      </c>
      <c r="AS71" s="615"/>
      <c r="AT71" s="615"/>
      <c r="AU71" s="615"/>
      <c r="AV71" s="615"/>
      <c r="AW71" s="615"/>
      <c r="AX71" s="615"/>
      <c r="AY71" s="615"/>
      <c r="AZ71" s="615"/>
      <c r="BA71" s="615"/>
      <c r="BB71" s="615"/>
      <c r="BC71" s="615"/>
      <c r="BD71" s="615"/>
      <c r="BE71" s="615"/>
      <c r="BF71" s="615"/>
      <c r="BG71" s="615"/>
      <c r="BH71" s="615"/>
      <c r="BI71" s="615"/>
      <c r="BJ71" s="615"/>
      <c r="BK71" s="615"/>
      <c r="BL71" s="615"/>
      <c r="BM71" s="615"/>
      <c r="BN71" s="615"/>
      <c r="BO71" s="615"/>
      <c r="BP71" s="1213"/>
      <c r="BQ71" s="615"/>
      <c r="BR71" s="615"/>
      <c r="BS71" s="1811"/>
      <c r="BT71" s="1811"/>
      <c r="BU71" s="1811"/>
      <c r="BV71" s="1811"/>
      <c r="BW71" s="615"/>
      <c r="BX71" s="1103"/>
      <c r="BY71" s="1811"/>
      <c r="BZ71" s="615"/>
      <c r="CA71" s="615"/>
      <c r="CB71" s="615"/>
      <c r="CC71" s="615"/>
      <c r="CD71" s="615"/>
      <c r="CE71" s="615"/>
      <c r="CF71" s="615"/>
      <c r="CG71" s="615"/>
      <c r="CH71" s="615"/>
      <c r="CI71" s="615"/>
      <c r="CJ71" s="615"/>
      <c r="CK71" s="615"/>
      <c r="CL71" s="1966" t="s">
        <v>4683</v>
      </c>
      <c r="CM71" s="1811" t="s">
        <v>2004</v>
      </c>
      <c r="CN71" s="616"/>
      <c r="CO71" s="617"/>
    </row>
    <row r="72" spans="2:93" ht="18" x14ac:dyDescent="0.25">
      <c r="B72" s="1251">
        <v>69</v>
      </c>
      <c r="C72" s="1198" t="s">
        <v>2409</v>
      </c>
      <c r="D72" s="616" t="s">
        <v>1686</v>
      </c>
      <c r="E72" s="615"/>
      <c r="F72" s="615"/>
      <c r="G72" s="615"/>
      <c r="H72" s="615"/>
      <c r="I72" s="615"/>
      <c r="J72" s="2463"/>
      <c r="K72" s="615"/>
      <c r="L72" s="615"/>
      <c r="M72" s="615"/>
      <c r="N72" s="615"/>
      <c r="O72" s="615"/>
      <c r="P72" s="615"/>
      <c r="Q72" s="615"/>
      <c r="R72" s="2125" t="s">
        <v>4686</v>
      </c>
      <c r="S72" s="2125" t="s">
        <v>4687</v>
      </c>
      <c r="T72" s="2125" t="s">
        <v>4688</v>
      </c>
      <c r="U72" s="2125" t="s">
        <v>4690</v>
      </c>
      <c r="V72" s="2125" t="s">
        <v>4689</v>
      </c>
      <c r="W72" s="2125" t="s">
        <v>4691</v>
      </c>
      <c r="X72" s="2125" t="s">
        <v>4692</v>
      </c>
      <c r="Y72" s="2125" t="s">
        <v>4693</v>
      </c>
      <c r="Z72" s="2125" t="s">
        <v>4694</v>
      </c>
      <c r="AA72" s="2124" t="s">
        <v>4705</v>
      </c>
      <c r="AB72" s="615"/>
      <c r="AC72" s="615">
        <v>-1</v>
      </c>
      <c r="AD72" s="615"/>
      <c r="AE72" s="615"/>
      <c r="AF72" s="615"/>
      <c r="AG72" s="2463"/>
      <c r="AH72" s="615"/>
      <c r="AI72" s="2124" t="s">
        <v>4707</v>
      </c>
      <c r="AJ72" s="615"/>
      <c r="AK72" s="615"/>
      <c r="AL72" s="615"/>
      <c r="AM72" s="2463"/>
      <c r="AN72" s="615"/>
      <c r="AO72" s="615"/>
      <c r="AP72" s="615"/>
      <c r="AQ72" s="615"/>
      <c r="AR72" s="2124" t="s">
        <v>4708</v>
      </c>
      <c r="AS72" s="615"/>
      <c r="AT72" s="615"/>
      <c r="AU72" s="615"/>
      <c r="AV72" s="615"/>
      <c r="AW72" s="615"/>
      <c r="AX72" s="615"/>
      <c r="AY72" s="615"/>
      <c r="AZ72" s="615"/>
      <c r="BA72" s="615"/>
      <c r="BB72" s="615"/>
      <c r="BC72" s="615"/>
      <c r="BD72" s="615"/>
      <c r="BE72" s="615"/>
      <c r="BF72" s="615"/>
      <c r="BG72" s="615"/>
      <c r="BH72" s="615"/>
      <c r="BI72" s="615"/>
      <c r="BJ72" s="615"/>
      <c r="BK72" s="615"/>
      <c r="BL72" s="615"/>
      <c r="BM72" s="615"/>
      <c r="BN72" s="615"/>
      <c r="BO72" s="615"/>
      <c r="BP72" s="1213"/>
      <c r="BQ72" s="615"/>
      <c r="BR72" s="615"/>
      <c r="BS72" s="1811"/>
      <c r="BT72" s="1811"/>
      <c r="BU72" s="1811"/>
      <c r="BV72" s="1811"/>
      <c r="BW72" s="615"/>
      <c r="BX72" s="1103"/>
      <c r="BY72" s="1811"/>
      <c r="BZ72" s="615"/>
      <c r="CA72" s="615"/>
      <c r="CB72" s="615"/>
      <c r="CC72" s="615"/>
      <c r="CD72" s="615"/>
      <c r="CE72" s="615"/>
      <c r="CF72" s="615"/>
      <c r="CG72" s="615"/>
      <c r="CH72" s="615"/>
      <c r="CI72" s="615"/>
      <c r="CJ72" s="615"/>
      <c r="CK72" s="615"/>
      <c r="CL72" s="1966" t="s">
        <v>4684</v>
      </c>
      <c r="CM72" s="1811" t="s">
        <v>2004</v>
      </c>
      <c r="CN72" s="616"/>
      <c r="CO72" s="617"/>
    </row>
    <row r="73" spans="2:93" ht="17.25" customHeight="1" x14ac:dyDescent="0.25">
      <c r="B73" s="1968">
        <v>70</v>
      </c>
      <c r="C73" s="1969" t="s">
        <v>2410</v>
      </c>
      <c r="D73" s="1201" t="s">
        <v>2866</v>
      </c>
      <c r="E73" s="620"/>
      <c r="F73" s="620"/>
      <c r="G73" s="620"/>
      <c r="H73" s="620"/>
      <c r="I73" s="620"/>
      <c r="J73" s="2464"/>
      <c r="K73" s="620"/>
      <c r="L73" s="620"/>
      <c r="M73" s="620"/>
      <c r="N73" s="620"/>
      <c r="O73" s="620"/>
      <c r="P73" s="620"/>
      <c r="Q73" s="620"/>
      <c r="R73" s="621"/>
      <c r="S73" s="620"/>
      <c r="T73" s="620"/>
      <c r="U73" s="620"/>
      <c r="V73" s="620"/>
      <c r="W73" s="620"/>
      <c r="X73" s="620"/>
      <c r="Y73" s="620"/>
      <c r="Z73" s="1812"/>
      <c r="AA73" s="620"/>
      <c r="AB73" s="620"/>
      <c r="AC73" s="620"/>
      <c r="AD73" s="620"/>
      <c r="AE73" s="620"/>
      <c r="AF73" s="620"/>
      <c r="AG73" s="2464"/>
      <c r="AH73" s="620"/>
      <c r="AI73" s="620"/>
      <c r="AJ73" s="620"/>
      <c r="AK73" s="620"/>
      <c r="AL73" s="620"/>
      <c r="AM73" s="2464"/>
      <c r="AN73" s="620"/>
      <c r="AO73" s="620"/>
      <c r="AP73" s="620"/>
      <c r="AQ73" s="620"/>
      <c r="AR73" s="620"/>
      <c r="AS73" s="620"/>
      <c r="AT73" s="620"/>
      <c r="AU73" s="620"/>
      <c r="AV73" s="620"/>
      <c r="AW73" s="620"/>
      <c r="AX73" s="620"/>
      <c r="AY73" s="620"/>
      <c r="AZ73" s="1214" t="s">
        <v>1352</v>
      </c>
      <c r="BA73" s="1214" t="s">
        <v>1353</v>
      </c>
      <c r="BB73" s="1215"/>
      <c r="BC73" s="1214" t="s">
        <v>1356</v>
      </c>
      <c r="BD73" s="1215"/>
      <c r="BE73" s="1214" t="s">
        <v>1357</v>
      </c>
      <c r="BF73" s="1215"/>
      <c r="BG73" s="1188"/>
      <c r="BH73" s="1188"/>
      <c r="BI73" s="620"/>
      <c r="BJ73" s="1188"/>
      <c r="BK73" s="620"/>
      <c r="BL73" s="1188"/>
      <c r="BM73" s="620"/>
      <c r="BN73" s="620"/>
      <c r="BO73" s="620"/>
      <c r="BP73" s="1215"/>
      <c r="BQ73" s="621"/>
      <c r="BR73" s="620"/>
      <c r="BS73" s="1812"/>
      <c r="BT73" s="1812"/>
      <c r="BU73" s="1812"/>
      <c r="BV73" s="1812"/>
      <c r="BW73" s="620"/>
      <c r="BX73" s="1104"/>
      <c r="BY73" s="1812"/>
      <c r="BZ73" s="621"/>
      <c r="CA73" s="621"/>
      <c r="CB73" s="621"/>
      <c r="CC73" s="621"/>
      <c r="CD73" s="621"/>
      <c r="CE73" s="621"/>
      <c r="CF73" s="621"/>
      <c r="CG73" s="621"/>
      <c r="CH73" s="621"/>
      <c r="CI73" s="621"/>
      <c r="CJ73" s="621"/>
      <c r="CK73" s="621"/>
      <c r="CL73" s="918" t="s">
        <v>3877</v>
      </c>
      <c r="CM73" s="620" t="s">
        <v>2004</v>
      </c>
      <c r="CN73" s="622"/>
      <c r="CO73" s="623"/>
    </row>
    <row r="74" spans="2:93" ht="19.5" customHeight="1" x14ac:dyDescent="0.25">
      <c r="B74" s="1968">
        <v>71</v>
      </c>
      <c r="C74" s="1969" t="s">
        <v>2421</v>
      </c>
      <c r="D74" s="1201" t="s">
        <v>2867</v>
      </c>
      <c r="E74" s="620"/>
      <c r="F74" s="620"/>
      <c r="G74" s="620"/>
      <c r="H74" s="620"/>
      <c r="I74" s="620"/>
      <c r="J74" s="2464"/>
      <c r="K74" s="620"/>
      <c r="L74" s="620"/>
      <c r="M74" s="620"/>
      <c r="N74" s="620"/>
      <c r="O74" s="620"/>
      <c r="P74" s="620"/>
      <c r="Q74" s="620"/>
      <c r="R74" s="621"/>
      <c r="S74" s="620"/>
      <c r="T74" s="620"/>
      <c r="U74" s="620"/>
      <c r="V74" s="620"/>
      <c r="W74" s="620"/>
      <c r="X74" s="620"/>
      <c r="Y74" s="620"/>
      <c r="Z74" s="1812"/>
      <c r="AA74" s="620"/>
      <c r="AB74" s="620"/>
      <c r="AC74" s="620"/>
      <c r="AD74" s="620"/>
      <c r="AE74" s="620"/>
      <c r="AF74" s="620"/>
      <c r="AG74" s="2464"/>
      <c r="AH74" s="620"/>
      <c r="AI74" s="620"/>
      <c r="AJ74" s="620"/>
      <c r="AK74" s="620"/>
      <c r="AL74" s="620"/>
      <c r="AM74" s="2464"/>
      <c r="AN74" s="620"/>
      <c r="AO74" s="620"/>
      <c r="AP74" s="620"/>
      <c r="AQ74" s="620"/>
      <c r="AR74" s="620"/>
      <c r="AS74" s="620"/>
      <c r="AT74" s="620"/>
      <c r="AU74" s="620"/>
      <c r="AV74" s="620"/>
      <c r="AW74" s="620"/>
      <c r="AX74" s="620"/>
      <c r="AY74" s="620"/>
      <c r="AZ74" s="1215"/>
      <c r="BA74" s="1214" t="s">
        <v>1354</v>
      </c>
      <c r="BB74" s="1214" t="s">
        <v>1355</v>
      </c>
      <c r="BC74" s="1214"/>
      <c r="BD74" s="1214" t="s">
        <v>1358</v>
      </c>
      <c r="BE74" s="1214"/>
      <c r="BF74" s="1214" t="s">
        <v>1359</v>
      </c>
      <c r="BG74" s="620"/>
      <c r="BH74" s="1188"/>
      <c r="BI74" s="1188"/>
      <c r="BJ74" s="1188"/>
      <c r="BK74" s="1188"/>
      <c r="BL74" s="1188"/>
      <c r="BM74" s="1188"/>
      <c r="BN74" s="620"/>
      <c r="BO74" s="620"/>
      <c r="BP74" s="1215"/>
      <c r="BQ74" s="621"/>
      <c r="BR74" s="620"/>
      <c r="BS74" s="1812"/>
      <c r="BT74" s="1812"/>
      <c r="BU74" s="1812"/>
      <c r="BV74" s="1812"/>
      <c r="BW74" s="620"/>
      <c r="BX74" s="1104"/>
      <c r="BY74" s="1812"/>
      <c r="BZ74" s="621"/>
      <c r="CA74" s="621"/>
      <c r="CB74" s="621"/>
      <c r="CC74" s="621"/>
      <c r="CD74" s="621"/>
      <c r="CE74" s="621"/>
      <c r="CF74" s="621"/>
      <c r="CG74" s="621"/>
      <c r="CH74" s="621"/>
      <c r="CI74" s="621"/>
      <c r="CJ74" s="621"/>
      <c r="CK74" s="621"/>
      <c r="CL74" s="918" t="s">
        <v>3878</v>
      </c>
      <c r="CM74" s="620" t="s">
        <v>2004</v>
      </c>
      <c r="CN74" s="622"/>
      <c r="CO74" s="623"/>
    </row>
    <row r="75" spans="2:93" ht="18" x14ac:dyDescent="0.25">
      <c r="B75" s="1968">
        <v>72</v>
      </c>
      <c r="C75" s="1969" t="s">
        <v>2422</v>
      </c>
      <c r="D75" s="1201" t="s">
        <v>2868</v>
      </c>
      <c r="E75" s="620"/>
      <c r="F75" s="620"/>
      <c r="G75" s="620"/>
      <c r="H75" s="620"/>
      <c r="I75" s="620"/>
      <c r="J75" s="2464"/>
      <c r="K75" s="620"/>
      <c r="L75" s="620"/>
      <c r="M75" s="620"/>
      <c r="N75" s="620"/>
      <c r="O75" s="620"/>
      <c r="P75" s="620"/>
      <c r="Q75" s="620"/>
      <c r="R75" s="621"/>
      <c r="S75" s="620"/>
      <c r="T75" s="620"/>
      <c r="U75" s="620"/>
      <c r="V75" s="620"/>
      <c r="W75" s="620"/>
      <c r="X75" s="620"/>
      <c r="Y75" s="620"/>
      <c r="Z75" s="1812"/>
      <c r="AA75" s="620"/>
      <c r="AB75" s="620"/>
      <c r="AC75" s="620"/>
      <c r="AD75" s="620"/>
      <c r="AE75" s="620"/>
      <c r="AF75" s="620"/>
      <c r="AG75" s="2464"/>
      <c r="AH75" s="620"/>
      <c r="AI75" s="620">
        <v>-1</v>
      </c>
      <c r="AJ75" s="620"/>
      <c r="AK75" s="620"/>
      <c r="AL75" s="620"/>
      <c r="AM75" s="2464"/>
      <c r="AN75" s="620"/>
      <c r="AO75" s="620"/>
      <c r="AP75" s="620"/>
      <c r="AQ75" s="620"/>
      <c r="AR75" s="620"/>
      <c r="AS75" s="620"/>
      <c r="AT75" s="620"/>
      <c r="AU75" s="620"/>
      <c r="AV75" s="620"/>
      <c r="AW75" s="620"/>
      <c r="AX75" s="620"/>
      <c r="AY75" s="620"/>
      <c r="AZ75" s="1216" t="s">
        <v>3884</v>
      </c>
      <c r="BA75" s="1215"/>
      <c r="BB75" s="1215"/>
      <c r="BC75" s="1216" t="s">
        <v>3885</v>
      </c>
      <c r="BD75" s="1215"/>
      <c r="BE75" s="1216"/>
      <c r="BF75" s="1216"/>
      <c r="BG75" s="621"/>
      <c r="BH75" s="620"/>
      <c r="BI75" s="620"/>
      <c r="BJ75" s="621"/>
      <c r="BK75" s="620"/>
      <c r="BL75" s="621"/>
      <c r="BM75" s="621"/>
      <c r="BN75" s="620"/>
      <c r="BO75" s="620"/>
      <c r="BP75" s="1215"/>
      <c r="BQ75" s="621"/>
      <c r="BR75" s="620"/>
      <c r="BS75" s="1812"/>
      <c r="BT75" s="1812"/>
      <c r="BU75" s="1812"/>
      <c r="BV75" s="1812"/>
      <c r="BW75" s="620"/>
      <c r="BX75" s="1104"/>
      <c r="BY75" s="1812"/>
      <c r="BZ75" s="621"/>
      <c r="CA75" s="621"/>
      <c r="CB75" s="621"/>
      <c r="CC75" s="621"/>
      <c r="CD75" s="621"/>
      <c r="CE75" s="621"/>
      <c r="CF75" s="621"/>
      <c r="CG75" s="621"/>
      <c r="CH75" s="621"/>
      <c r="CI75" s="621"/>
      <c r="CJ75" s="621"/>
      <c r="CK75" s="621"/>
      <c r="CL75" s="918" t="s">
        <v>3879</v>
      </c>
      <c r="CM75" s="620" t="s">
        <v>2004</v>
      </c>
      <c r="CN75" s="622"/>
      <c r="CO75" s="623"/>
    </row>
    <row r="76" spans="2:93" ht="18" x14ac:dyDescent="0.25">
      <c r="B76" s="1968">
        <v>73</v>
      </c>
      <c r="C76" s="1969" t="s">
        <v>2849</v>
      </c>
      <c r="D76" s="1201" t="s">
        <v>2869</v>
      </c>
      <c r="E76" s="620"/>
      <c r="F76" s="620"/>
      <c r="G76" s="620"/>
      <c r="H76" s="620"/>
      <c r="I76" s="620"/>
      <c r="J76" s="2464"/>
      <c r="K76" s="620"/>
      <c r="L76" s="620"/>
      <c r="M76" s="620"/>
      <c r="N76" s="620"/>
      <c r="O76" s="620"/>
      <c r="P76" s="620"/>
      <c r="Q76" s="620"/>
      <c r="R76" s="621"/>
      <c r="S76" s="620"/>
      <c r="T76" s="620"/>
      <c r="U76" s="620"/>
      <c r="V76" s="620"/>
      <c r="W76" s="620"/>
      <c r="X76" s="620"/>
      <c r="Y76" s="620"/>
      <c r="Z76" s="1812"/>
      <c r="AA76" s="620"/>
      <c r="AB76" s="620"/>
      <c r="AC76" s="620"/>
      <c r="AD76" s="620"/>
      <c r="AE76" s="620"/>
      <c r="AF76" s="620"/>
      <c r="AG76" s="2464"/>
      <c r="AH76" s="620"/>
      <c r="AI76" s="620">
        <v>-1</v>
      </c>
      <c r="AJ76" s="620"/>
      <c r="AK76" s="620"/>
      <c r="AL76" s="620"/>
      <c r="AM76" s="2464"/>
      <c r="AN76" s="620"/>
      <c r="AO76" s="620"/>
      <c r="AP76" s="620"/>
      <c r="AQ76" s="620"/>
      <c r="AR76" s="620"/>
      <c r="AS76" s="620"/>
      <c r="AT76" s="620"/>
      <c r="AU76" s="620"/>
      <c r="AV76" s="620"/>
      <c r="AW76" s="620"/>
      <c r="AX76" s="620"/>
      <c r="AY76" s="620"/>
      <c r="AZ76" s="1215"/>
      <c r="BA76" s="1216" t="s">
        <v>3886</v>
      </c>
      <c r="BB76" s="1215"/>
      <c r="BC76" s="1215"/>
      <c r="BD76" s="1216" t="s">
        <v>3887</v>
      </c>
      <c r="BE76" s="1215"/>
      <c r="BF76" s="1215"/>
      <c r="BG76" s="620"/>
      <c r="BH76" s="621"/>
      <c r="BI76" s="620"/>
      <c r="BJ76" s="620"/>
      <c r="BK76" s="621"/>
      <c r="BL76" s="620"/>
      <c r="BM76" s="620"/>
      <c r="BN76" s="620"/>
      <c r="BO76" s="620"/>
      <c r="BP76" s="1215"/>
      <c r="BQ76" s="621"/>
      <c r="BR76" s="620"/>
      <c r="BS76" s="1812"/>
      <c r="BT76" s="1812"/>
      <c r="BU76" s="1812"/>
      <c r="BV76" s="1812"/>
      <c r="BW76" s="620"/>
      <c r="BX76" s="1104"/>
      <c r="BY76" s="1812"/>
      <c r="BZ76" s="621"/>
      <c r="CA76" s="621"/>
      <c r="CB76" s="621"/>
      <c r="CC76" s="621"/>
      <c r="CD76" s="621"/>
      <c r="CE76" s="621"/>
      <c r="CF76" s="621"/>
      <c r="CG76" s="621"/>
      <c r="CH76" s="621"/>
      <c r="CI76" s="621"/>
      <c r="CJ76" s="621"/>
      <c r="CK76" s="621"/>
      <c r="CL76" s="918" t="s">
        <v>3880</v>
      </c>
      <c r="CM76" s="620" t="s">
        <v>2004</v>
      </c>
      <c r="CN76" s="622"/>
      <c r="CO76" s="623"/>
    </row>
    <row r="77" spans="2:93" ht="18" x14ac:dyDescent="0.25">
      <c r="B77" s="1968">
        <v>74</v>
      </c>
      <c r="C77" s="1969" t="s">
        <v>2850</v>
      </c>
      <c r="D77" s="1201" t="s">
        <v>3345</v>
      </c>
      <c r="E77" s="620"/>
      <c r="F77" s="620"/>
      <c r="G77" s="620"/>
      <c r="H77" s="620"/>
      <c r="I77" s="620"/>
      <c r="J77" s="2464"/>
      <c r="K77" s="620"/>
      <c r="L77" s="620"/>
      <c r="M77" s="620"/>
      <c r="N77" s="620"/>
      <c r="O77" s="620"/>
      <c r="P77" s="620"/>
      <c r="Q77" s="620"/>
      <c r="R77" s="621"/>
      <c r="S77" s="620"/>
      <c r="T77" s="620"/>
      <c r="U77" s="620"/>
      <c r="V77" s="620"/>
      <c r="W77" s="620"/>
      <c r="X77" s="620"/>
      <c r="Y77" s="620"/>
      <c r="Z77" s="1812"/>
      <c r="AA77" s="620"/>
      <c r="AB77" s="620"/>
      <c r="AC77" s="620"/>
      <c r="AD77" s="620"/>
      <c r="AE77" s="620"/>
      <c r="AF77" s="620"/>
      <c r="AG77" s="2464"/>
      <c r="AH77" s="620"/>
      <c r="AI77" s="1105" t="s">
        <v>3900</v>
      </c>
      <c r="AJ77" s="620"/>
      <c r="AK77" s="620"/>
      <c r="AL77" s="620"/>
      <c r="AM77" s="2464"/>
      <c r="AN77" s="620"/>
      <c r="AO77" s="620"/>
      <c r="AP77" s="620"/>
      <c r="AQ77" s="620"/>
      <c r="AR77" s="620"/>
      <c r="AS77" s="620"/>
      <c r="AT77" s="620"/>
      <c r="AU77" s="620"/>
      <c r="AV77" s="620"/>
      <c r="AW77" s="620"/>
      <c r="AX77" s="620"/>
      <c r="AY77" s="621"/>
      <c r="AZ77" s="1215">
        <v>1</v>
      </c>
      <c r="BA77" s="1215"/>
      <c r="BB77" s="1216"/>
      <c r="BC77" s="1216">
        <v>-1</v>
      </c>
      <c r="BD77" s="1215"/>
      <c r="BE77" s="1216"/>
      <c r="BF77" s="1216"/>
      <c r="BG77" s="620"/>
      <c r="BH77" s="620"/>
      <c r="BI77" s="621"/>
      <c r="BJ77" s="621"/>
      <c r="BK77" s="620"/>
      <c r="BL77" s="621"/>
      <c r="BM77" s="621"/>
      <c r="BN77" s="621"/>
      <c r="BO77" s="621"/>
      <c r="BP77" s="1216"/>
      <c r="BQ77" s="621"/>
      <c r="BR77" s="621"/>
      <c r="BS77" s="1813"/>
      <c r="BT77" s="1813"/>
      <c r="BU77" s="1813"/>
      <c r="BV77" s="1813"/>
      <c r="BW77" s="621"/>
      <c r="BX77" s="1105"/>
      <c r="BY77" s="1813"/>
      <c r="BZ77" s="621"/>
      <c r="CA77" s="621"/>
      <c r="CB77" s="621"/>
      <c r="CC77" s="621"/>
      <c r="CD77" s="621"/>
      <c r="CE77" s="621"/>
      <c r="CF77" s="621"/>
      <c r="CG77" s="621"/>
      <c r="CH77" s="621"/>
      <c r="CI77" s="621"/>
      <c r="CJ77" s="621"/>
      <c r="CK77" s="621"/>
      <c r="CL77" s="918" t="s">
        <v>3881</v>
      </c>
      <c r="CM77" s="620" t="s">
        <v>2004</v>
      </c>
      <c r="CN77" s="622"/>
      <c r="CO77" s="623"/>
    </row>
    <row r="78" spans="2:93" ht="18" x14ac:dyDescent="0.25">
      <c r="B78" s="1968">
        <v>75</v>
      </c>
      <c r="C78" s="1969" t="s">
        <v>2964</v>
      </c>
      <c r="D78" s="1201" t="s">
        <v>3346</v>
      </c>
      <c r="E78" s="620"/>
      <c r="F78" s="620"/>
      <c r="G78" s="620"/>
      <c r="H78" s="620"/>
      <c r="I78" s="620"/>
      <c r="J78" s="2464"/>
      <c r="K78" s="620"/>
      <c r="L78" s="620"/>
      <c r="M78" s="620"/>
      <c r="N78" s="620"/>
      <c r="O78" s="620"/>
      <c r="P78" s="620"/>
      <c r="Q78" s="620"/>
      <c r="R78" s="621"/>
      <c r="S78" s="620"/>
      <c r="T78" s="620"/>
      <c r="U78" s="620"/>
      <c r="V78" s="620"/>
      <c r="W78" s="620"/>
      <c r="X78" s="620"/>
      <c r="Y78" s="620"/>
      <c r="Z78" s="1812"/>
      <c r="AA78" s="620"/>
      <c r="AB78" s="620"/>
      <c r="AC78" s="620"/>
      <c r="AD78" s="620"/>
      <c r="AE78" s="620"/>
      <c r="AF78" s="620"/>
      <c r="AG78" s="2464"/>
      <c r="AH78" s="620"/>
      <c r="AI78" s="1105" t="s">
        <v>3901</v>
      </c>
      <c r="AJ78" s="620"/>
      <c r="AK78" s="620"/>
      <c r="AL78" s="620"/>
      <c r="AM78" s="2464"/>
      <c r="AN78" s="620"/>
      <c r="AO78" s="620"/>
      <c r="AP78" s="620"/>
      <c r="AQ78" s="620"/>
      <c r="AR78" s="620"/>
      <c r="AS78" s="620"/>
      <c r="AT78" s="620"/>
      <c r="AU78" s="620"/>
      <c r="AV78" s="620"/>
      <c r="AW78" s="620"/>
      <c r="AX78" s="620"/>
      <c r="AY78" s="621"/>
      <c r="AZ78" s="1215"/>
      <c r="BA78" s="1215">
        <v>1</v>
      </c>
      <c r="BB78" s="1216"/>
      <c r="BC78" s="1216"/>
      <c r="BD78" s="1215">
        <v>-1</v>
      </c>
      <c r="BE78" s="1216"/>
      <c r="BF78" s="1216"/>
      <c r="BG78" s="620"/>
      <c r="BH78" s="620"/>
      <c r="BI78" s="621"/>
      <c r="BJ78" s="621"/>
      <c r="BK78" s="620"/>
      <c r="BL78" s="621"/>
      <c r="BM78" s="621"/>
      <c r="BN78" s="621"/>
      <c r="BO78" s="621"/>
      <c r="BP78" s="1216"/>
      <c r="BQ78" s="621"/>
      <c r="BR78" s="621"/>
      <c r="BS78" s="1813"/>
      <c r="BT78" s="1813"/>
      <c r="BU78" s="1813"/>
      <c r="BV78" s="1813"/>
      <c r="BW78" s="621"/>
      <c r="BX78" s="1105"/>
      <c r="BY78" s="1813"/>
      <c r="BZ78" s="621"/>
      <c r="CA78" s="621"/>
      <c r="CB78" s="621"/>
      <c r="CC78" s="621"/>
      <c r="CD78" s="621"/>
      <c r="CE78" s="621"/>
      <c r="CF78" s="621"/>
      <c r="CG78" s="621"/>
      <c r="CH78" s="621"/>
      <c r="CI78" s="621"/>
      <c r="CJ78" s="621"/>
      <c r="CK78" s="621"/>
      <c r="CL78" s="918" t="s">
        <v>3882</v>
      </c>
      <c r="CM78" s="620" t="s">
        <v>2004</v>
      </c>
      <c r="CN78" s="622"/>
      <c r="CO78" s="623"/>
    </row>
    <row r="79" spans="2:93" ht="18" customHeight="1" x14ac:dyDescent="0.25">
      <c r="B79" s="1968">
        <v>76</v>
      </c>
      <c r="C79" s="1969" t="s">
        <v>2965</v>
      </c>
      <c r="D79" s="1201" t="s">
        <v>3347</v>
      </c>
      <c r="E79" s="620"/>
      <c r="F79" s="620"/>
      <c r="G79" s="620"/>
      <c r="H79" s="620"/>
      <c r="I79" s="620"/>
      <c r="J79" s="2464"/>
      <c r="K79" s="620"/>
      <c r="L79" s="620"/>
      <c r="M79" s="620"/>
      <c r="N79" s="620"/>
      <c r="O79" s="620"/>
      <c r="P79" s="620"/>
      <c r="Q79" s="620"/>
      <c r="R79" s="621"/>
      <c r="S79" s="620"/>
      <c r="T79" s="620"/>
      <c r="U79" s="620"/>
      <c r="V79" s="620"/>
      <c r="W79" s="620"/>
      <c r="X79" s="620"/>
      <c r="Y79" s="620"/>
      <c r="Z79" s="1812"/>
      <c r="AA79" s="620"/>
      <c r="AB79" s="620"/>
      <c r="AC79" s="620"/>
      <c r="AD79" s="620"/>
      <c r="AE79" s="620"/>
      <c r="AF79" s="620"/>
      <c r="AG79" s="2464"/>
      <c r="AH79" s="620"/>
      <c r="AI79" s="1105" t="s">
        <v>3902</v>
      </c>
      <c r="AJ79" s="620"/>
      <c r="AK79" s="620"/>
      <c r="AL79" s="620"/>
      <c r="AM79" s="2464"/>
      <c r="AN79" s="620"/>
      <c r="AO79" s="620"/>
      <c r="AP79" s="620"/>
      <c r="AQ79" s="620"/>
      <c r="AR79" s="620"/>
      <c r="AS79" s="620"/>
      <c r="AT79" s="620"/>
      <c r="AU79" s="620"/>
      <c r="AV79" s="620"/>
      <c r="AW79" s="620"/>
      <c r="AX79" s="620"/>
      <c r="AY79" s="621"/>
      <c r="AZ79" s="1215"/>
      <c r="BA79" s="1215"/>
      <c r="BB79" s="1216">
        <v>1</v>
      </c>
      <c r="BC79" s="1216"/>
      <c r="BD79" s="1215"/>
      <c r="BE79" s="1214" t="s">
        <v>3349</v>
      </c>
      <c r="BF79" s="1214" t="s">
        <v>3350</v>
      </c>
      <c r="BG79" s="620"/>
      <c r="BH79" s="620"/>
      <c r="BI79" s="621"/>
      <c r="BJ79" s="621"/>
      <c r="BK79" s="620"/>
      <c r="BL79" s="1188"/>
      <c r="BM79" s="1188"/>
      <c r="BN79" s="621"/>
      <c r="BO79" s="621"/>
      <c r="BP79" s="1216"/>
      <c r="BQ79" s="621"/>
      <c r="BR79" s="621"/>
      <c r="BS79" s="1813"/>
      <c r="BT79" s="1813"/>
      <c r="BU79" s="1813"/>
      <c r="BV79" s="1813"/>
      <c r="BW79" s="621"/>
      <c r="BX79" s="1105"/>
      <c r="BY79" s="1813"/>
      <c r="BZ79" s="621"/>
      <c r="CA79" s="621"/>
      <c r="CB79" s="621"/>
      <c r="CC79" s="621"/>
      <c r="CD79" s="621"/>
      <c r="CE79" s="621"/>
      <c r="CF79" s="621"/>
      <c r="CG79" s="621"/>
      <c r="CH79" s="621"/>
      <c r="CI79" s="621"/>
      <c r="CJ79" s="621"/>
      <c r="CK79" s="621"/>
      <c r="CL79" s="918" t="s">
        <v>3883</v>
      </c>
      <c r="CM79" s="620" t="s">
        <v>2004</v>
      </c>
      <c r="CN79" s="622"/>
      <c r="CO79" s="715"/>
    </row>
    <row r="80" spans="2:93" ht="18.75" customHeight="1" x14ac:dyDescent="0.25">
      <c r="B80" s="1970">
        <v>77</v>
      </c>
      <c r="C80" s="1971" t="s">
        <v>2966</v>
      </c>
      <c r="D80" s="624" t="s">
        <v>1687</v>
      </c>
      <c r="E80" s="625" t="s">
        <v>1870</v>
      </c>
      <c r="F80" s="625" t="s">
        <v>1869</v>
      </c>
      <c r="G80" s="626"/>
      <c r="H80" s="626"/>
      <c r="I80" s="626"/>
      <c r="J80" s="2465"/>
      <c r="K80" s="626"/>
      <c r="L80" s="626"/>
      <c r="M80" s="626"/>
      <c r="N80" s="626"/>
      <c r="O80" s="626"/>
      <c r="P80" s="626"/>
      <c r="Q80" s="626"/>
      <c r="R80" s="625"/>
      <c r="S80" s="626"/>
      <c r="T80" s="626"/>
      <c r="U80" s="626"/>
      <c r="V80" s="626"/>
      <c r="W80" s="626"/>
      <c r="X80" s="626"/>
      <c r="Y80" s="626"/>
      <c r="Z80" s="2040"/>
      <c r="AA80" s="626"/>
      <c r="AB80" s="626"/>
      <c r="AC80" s="626"/>
      <c r="AD80" s="626"/>
      <c r="AE80" s="626"/>
      <c r="AF80" s="626"/>
      <c r="AG80" s="2465"/>
      <c r="AH80" s="626"/>
      <c r="AI80" s="1189" t="s">
        <v>3827</v>
      </c>
      <c r="AJ80" s="626"/>
      <c r="AK80" s="626"/>
      <c r="AL80" s="626"/>
      <c r="AM80" s="2465"/>
      <c r="AN80" s="626"/>
      <c r="AO80" s="626"/>
      <c r="AP80" s="626"/>
      <c r="AQ80" s="626"/>
      <c r="AR80" s="625" t="s">
        <v>1970</v>
      </c>
      <c r="AS80" s="626"/>
      <c r="AT80" s="626"/>
      <c r="AU80" s="626"/>
      <c r="AV80" s="626"/>
      <c r="AW80" s="626"/>
      <c r="AX80" s="626"/>
      <c r="AY80" s="625">
        <v>1</v>
      </c>
      <c r="AZ80" s="1189" t="s">
        <v>3828</v>
      </c>
      <c r="BA80" s="1189" t="s">
        <v>3829</v>
      </c>
      <c r="BB80" s="1189" t="s">
        <v>3830</v>
      </c>
      <c r="BC80" s="1189" t="s">
        <v>3831</v>
      </c>
      <c r="BD80" s="1189" t="s">
        <v>3832</v>
      </c>
      <c r="BE80" s="1189" t="s">
        <v>3833</v>
      </c>
      <c r="BF80" s="1189" t="s">
        <v>3834</v>
      </c>
      <c r="BG80" s="1189"/>
      <c r="BH80" s="1189"/>
      <c r="BI80" s="1189"/>
      <c r="BJ80" s="1189"/>
      <c r="BK80" s="1189"/>
      <c r="BL80" s="1189"/>
      <c r="BM80" s="1189"/>
      <c r="BN80" s="625"/>
      <c r="BO80" s="625"/>
      <c r="BP80" s="1217"/>
      <c r="BQ80" s="625"/>
      <c r="BR80" s="625"/>
      <c r="BS80" s="1814"/>
      <c r="BT80" s="1814"/>
      <c r="BU80" s="1814"/>
      <c r="BV80" s="1814"/>
      <c r="BW80" s="625"/>
      <c r="BX80" s="1106"/>
      <c r="BY80" s="1814"/>
      <c r="BZ80" s="625"/>
      <c r="CA80" s="625"/>
      <c r="CB80" s="625"/>
      <c r="CC80" s="625"/>
      <c r="CD80" s="625"/>
      <c r="CE80" s="625"/>
      <c r="CF80" s="625"/>
      <c r="CG80" s="625"/>
      <c r="CH80" s="625"/>
      <c r="CI80" s="625"/>
      <c r="CJ80" s="625"/>
      <c r="CK80" s="625"/>
      <c r="CL80" s="558" t="s">
        <v>3835</v>
      </c>
      <c r="CM80" s="626" t="s">
        <v>2004</v>
      </c>
      <c r="CN80" s="624"/>
      <c r="CO80" s="627"/>
    </row>
    <row r="81" spans="2:94" ht="18" x14ac:dyDescent="0.25">
      <c r="B81" s="1972">
        <v>78</v>
      </c>
      <c r="C81" s="1973" t="s">
        <v>2967</v>
      </c>
      <c r="D81" s="1202" t="s">
        <v>1688</v>
      </c>
      <c r="E81" s="626"/>
      <c r="F81" s="626"/>
      <c r="G81" s="626"/>
      <c r="H81" s="626"/>
      <c r="I81" s="626"/>
      <c r="J81" s="2465"/>
      <c r="K81" s="626"/>
      <c r="L81" s="626"/>
      <c r="M81" s="626"/>
      <c r="N81" s="626"/>
      <c r="O81" s="626"/>
      <c r="P81" s="626"/>
      <c r="Q81" s="626"/>
      <c r="R81" s="625"/>
      <c r="S81" s="626"/>
      <c r="T81" s="626"/>
      <c r="U81" s="626"/>
      <c r="V81" s="626"/>
      <c r="W81" s="626"/>
      <c r="X81" s="626"/>
      <c r="Y81" s="626"/>
      <c r="Z81" s="2040"/>
      <c r="AA81" s="626"/>
      <c r="AB81" s="626"/>
      <c r="AC81" s="626"/>
      <c r="AD81" s="626"/>
      <c r="AE81" s="626"/>
      <c r="AF81" s="626"/>
      <c r="AG81" s="2465"/>
      <c r="AH81" s="626"/>
      <c r="AI81" s="625"/>
      <c r="AJ81" s="626"/>
      <c r="AK81" s="626"/>
      <c r="AL81" s="626"/>
      <c r="AM81" s="2465"/>
      <c r="AN81" s="626"/>
      <c r="AO81" s="625" t="s">
        <v>1689</v>
      </c>
      <c r="AP81" s="626"/>
      <c r="AQ81" s="626"/>
      <c r="AR81" s="625"/>
      <c r="AS81" s="626"/>
      <c r="AT81" s="626"/>
      <c r="AU81" s="626"/>
      <c r="AV81" s="626"/>
      <c r="AW81" s="626"/>
      <c r="AX81" s="626"/>
      <c r="AY81" s="625" t="s">
        <v>1147</v>
      </c>
      <c r="AZ81" s="626">
        <v>1</v>
      </c>
      <c r="BA81" s="626"/>
      <c r="BB81" s="626"/>
      <c r="BC81" s="625"/>
      <c r="BD81" s="626"/>
      <c r="BE81" s="625"/>
      <c r="BF81" s="625"/>
      <c r="BG81" s="626"/>
      <c r="BH81" s="626"/>
      <c r="BI81" s="626"/>
      <c r="BJ81" s="625"/>
      <c r="BK81" s="626"/>
      <c r="BL81" s="625"/>
      <c r="BM81" s="625"/>
      <c r="BN81" s="625"/>
      <c r="BO81" s="625"/>
      <c r="BP81" s="1217"/>
      <c r="BQ81" s="625"/>
      <c r="BR81" s="625"/>
      <c r="BS81" s="1814"/>
      <c r="BT81" s="1814"/>
      <c r="BU81" s="1814"/>
      <c r="BV81" s="1814"/>
      <c r="BW81" s="625"/>
      <c r="BX81" s="1106"/>
      <c r="BY81" s="1814"/>
      <c r="BZ81" s="625"/>
      <c r="CA81" s="625"/>
      <c r="CB81" s="625"/>
      <c r="CC81" s="625"/>
      <c r="CD81" s="625"/>
      <c r="CE81" s="625"/>
      <c r="CF81" s="625"/>
      <c r="CG81" s="625"/>
      <c r="CH81" s="625"/>
      <c r="CI81" s="625"/>
      <c r="CJ81" s="625"/>
      <c r="CK81" s="625"/>
      <c r="CL81" s="558" t="s">
        <v>3352</v>
      </c>
      <c r="CM81" s="626" t="s">
        <v>2004</v>
      </c>
      <c r="CN81" s="624"/>
      <c r="CO81" s="627"/>
    </row>
    <row r="82" spans="2:94" s="69" customFormat="1" ht="18" x14ac:dyDescent="0.25">
      <c r="B82" s="1974">
        <v>79</v>
      </c>
      <c r="C82" s="1975" t="s">
        <v>2968</v>
      </c>
      <c r="D82" s="915" t="s">
        <v>3748</v>
      </c>
      <c r="E82" s="1213"/>
      <c r="F82" s="1213"/>
      <c r="G82" s="1213"/>
      <c r="H82" s="1213"/>
      <c r="I82" s="1213"/>
      <c r="J82" s="2463"/>
      <c r="K82" s="1213"/>
      <c r="L82" s="1213"/>
      <c r="M82" s="1213"/>
      <c r="N82" s="1213"/>
      <c r="O82" s="1213"/>
      <c r="P82" s="1213"/>
      <c r="Q82" s="1213"/>
      <c r="R82" s="1218"/>
      <c r="S82" s="1213"/>
      <c r="T82" s="1213"/>
      <c r="U82" s="1213"/>
      <c r="V82" s="1213"/>
      <c r="W82" s="1213"/>
      <c r="X82" s="1213"/>
      <c r="Y82" s="1213"/>
      <c r="Z82" s="1811"/>
      <c r="AA82" s="1213"/>
      <c r="AB82" s="1213"/>
      <c r="AC82" s="1213"/>
      <c r="AD82" s="1213"/>
      <c r="AE82" s="921"/>
      <c r="AF82" s="1213"/>
      <c r="AG82" s="2463"/>
      <c r="AH82" s="1213"/>
      <c r="AI82" s="921"/>
      <c r="AJ82" s="1213"/>
      <c r="AK82" s="1218"/>
      <c r="AL82" s="1213"/>
      <c r="AM82" s="2463"/>
      <c r="AN82" s="1213"/>
      <c r="AO82" s="1218"/>
      <c r="AP82" s="1213"/>
      <c r="AQ82" s="1213"/>
      <c r="AR82" s="1213"/>
      <c r="AS82" s="1213"/>
      <c r="AT82" s="1213"/>
      <c r="AU82" s="1213"/>
      <c r="AV82" s="1218"/>
      <c r="AW82" s="1213"/>
      <c r="AX82" s="1213"/>
      <c r="AY82" s="1213"/>
      <c r="AZ82" s="1218"/>
      <c r="BA82" s="1213"/>
      <c r="BB82" s="1218"/>
      <c r="BC82" s="1218"/>
      <c r="BD82" s="1219"/>
      <c r="BE82" s="1219"/>
      <c r="BF82" s="1213"/>
      <c r="BG82" s="1219" t="s">
        <v>3749</v>
      </c>
      <c r="BH82" s="1219" t="s">
        <v>3750</v>
      </c>
      <c r="BI82" s="1213"/>
      <c r="BJ82" s="1219" t="s">
        <v>3751</v>
      </c>
      <c r="BK82" s="1213"/>
      <c r="BL82" s="1219" t="s">
        <v>3752</v>
      </c>
      <c r="BM82" s="1213"/>
      <c r="BN82" s="1218"/>
      <c r="BO82" s="1218"/>
      <c r="BP82" s="1218"/>
      <c r="BQ82" s="1218"/>
      <c r="BR82" s="1218"/>
      <c r="BS82" s="1815"/>
      <c r="BT82" s="1815"/>
      <c r="BU82" s="1815"/>
      <c r="BV82" s="1815"/>
      <c r="BW82" s="1218"/>
      <c r="BX82" s="1220"/>
      <c r="BY82" s="1815"/>
      <c r="BZ82" s="1218"/>
      <c r="CA82" s="1218"/>
      <c r="CB82" s="1218"/>
      <c r="CC82" s="1218"/>
      <c r="CD82" s="1218"/>
      <c r="CE82" s="1218"/>
      <c r="CF82" s="1218"/>
      <c r="CG82" s="1218"/>
      <c r="CH82" s="1218"/>
      <c r="CI82" s="1218"/>
      <c r="CJ82" s="1218"/>
      <c r="CK82" s="1218"/>
      <c r="CL82" s="919" t="s">
        <v>3753</v>
      </c>
      <c r="CM82" s="922" t="s">
        <v>2004</v>
      </c>
      <c r="CN82" s="915"/>
      <c r="CO82" s="688"/>
      <c r="CP82" s="274"/>
    </row>
    <row r="83" spans="2:94" s="69" customFormat="1" ht="18" x14ac:dyDescent="0.25">
      <c r="B83" s="1974">
        <v>80</v>
      </c>
      <c r="C83" s="1975" t="s">
        <v>2969</v>
      </c>
      <c r="D83" s="915" t="s">
        <v>3754</v>
      </c>
      <c r="E83" s="1213"/>
      <c r="F83" s="1213"/>
      <c r="G83" s="1213"/>
      <c r="H83" s="1213"/>
      <c r="I83" s="1213"/>
      <c r="J83" s="2463"/>
      <c r="K83" s="1213"/>
      <c r="L83" s="1213"/>
      <c r="M83" s="1213"/>
      <c r="N83" s="1213"/>
      <c r="O83" s="1213"/>
      <c r="P83" s="1213"/>
      <c r="Q83" s="1213"/>
      <c r="R83" s="1218"/>
      <c r="S83" s="1213"/>
      <c r="T83" s="1213"/>
      <c r="U83" s="1213"/>
      <c r="V83" s="1213"/>
      <c r="W83" s="1213"/>
      <c r="X83" s="1213"/>
      <c r="Y83" s="1213"/>
      <c r="Z83" s="1811"/>
      <c r="AA83" s="1213"/>
      <c r="AB83" s="1213"/>
      <c r="AC83" s="1213"/>
      <c r="AD83" s="1213"/>
      <c r="AE83" s="921"/>
      <c r="AF83" s="1213"/>
      <c r="AG83" s="2463"/>
      <c r="AH83" s="1213"/>
      <c r="AI83" s="921"/>
      <c r="AJ83" s="1213"/>
      <c r="AK83" s="1218"/>
      <c r="AL83" s="1213"/>
      <c r="AM83" s="2463"/>
      <c r="AN83" s="1213"/>
      <c r="AO83" s="1218"/>
      <c r="AP83" s="1213"/>
      <c r="AQ83" s="1213"/>
      <c r="AR83" s="1213"/>
      <c r="AS83" s="1213"/>
      <c r="AT83" s="1213"/>
      <c r="AU83" s="1213"/>
      <c r="AV83" s="1218"/>
      <c r="AW83" s="1213"/>
      <c r="AX83" s="1213"/>
      <c r="AY83" s="1213"/>
      <c r="AZ83" s="1218"/>
      <c r="BA83" s="1213"/>
      <c r="BB83" s="1218"/>
      <c r="BC83" s="1218"/>
      <c r="BD83" s="1213"/>
      <c r="BE83" s="1219"/>
      <c r="BF83" s="1219"/>
      <c r="BG83" s="1213"/>
      <c r="BH83" s="1219" t="s">
        <v>3755</v>
      </c>
      <c r="BI83" s="1219" t="s">
        <v>3756</v>
      </c>
      <c r="BJ83" s="1219"/>
      <c r="BK83" s="1219" t="s">
        <v>3757</v>
      </c>
      <c r="BL83" s="1219"/>
      <c r="BM83" s="1219" t="s">
        <v>3758</v>
      </c>
      <c r="BN83" s="1218"/>
      <c r="BO83" s="1218"/>
      <c r="BP83" s="1218"/>
      <c r="BQ83" s="1218"/>
      <c r="BR83" s="1218"/>
      <c r="BS83" s="1815"/>
      <c r="BT83" s="1815"/>
      <c r="BU83" s="1815"/>
      <c r="BV83" s="1815"/>
      <c r="BW83" s="1218"/>
      <c r="BX83" s="1220"/>
      <c r="BY83" s="1815"/>
      <c r="BZ83" s="1218"/>
      <c r="CA83" s="1218"/>
      <c r="CB83" s="1218"/>
      <c r="CC83" s="1218"/>
      <c r="CD83" s="1218"/>
      <c r="CE83" s="1218"/>
      <c r="CF83" s="1218"/>
      <c r="CG83" s="1218"/>
      <c r="CH83" s="1218"/>
      <c r="CI83" s="1218"/>
      <c r="CJ83" s="1218"/>
      <c r="CK83" s="1218"/>
      <c r="CL83" s="919" t="s">
        <v>3759</v>
      </c>
      <c r="CM83" s="922" t="s">
        <v>2004</v>
      </c>
      <c r="CN83" s="915"/>
      <c r="CO83" s="688"/>
      <c r="CP83" s="274"/>
    </row>
    <row r="84" spans="2:94" s="69" customFormat="1" ht="18" x14ac:dyDescent="0.25">
      <c r="B84" s="1974">
        <v>81</v>
      </c>
      <c r="C84" s="1975" t="s">
        <v>2970</v>
      </c>
      <c r="D84" s="915" t="s">
        <v>3760</v>
      </c>
      <c r="E84" s="1213"/>
      <c r="F84" s="1213"/>
      <c r="G84" s="1213"/>
      <c r="H84" s="1213"/>
      <c r="I84" s="1213"/>
      <c r="J84" s="2463"/>
      <c r="K84" s="1213"/>
      <c r="L84" s="1213"/>
      <c r="M84" s="1213"/>
      <c r="N84" s="1213"/>
      <c r="O84" s="1213"/>
      <c r="P84" s="1213"/>
      <c r="Q84" s="1213"/>
      <c r="R84" s="1218"/>
      <c r="S84" s="1213"/>
      <c r="T84" s="1213"/>
      <c r="U84" s="1213"/>
      <c r="V84" s="1213"/>
      <c r="W84" s="1213"/>
      <c r="X84" s="1213"/>
      <c r="Y84" s="1213"/>
      <c r="Z84" s="1811"/>
      <c r="AA84" s="1213"/>
      <c r="AB84" s="1213"/>
      <c r="AC84" s="1213"/>
      <c r="AD84" s="1213"/>
      <c r="AE84" s="921"/>
      <c r="AF84" s="1213"/>
      <c r="AG84" s="2463"/>
      <c r="AH84" s="1213"/>
      <c r="AI84" s="921">
        <v>-1</v>
      </c>
      <c r="AJ84" s="1213"/>
      <c r="AK84" s="1218"/>
      <c r="AL84" s="1213"/>
      <c r="AM84" s="2463"/>
      <c r="AN84" s="1213"/>
      <c r="AO84" s="1218"/>
      <c r="AP84" s="1213"/>
      <c r="AQ84" s="1213"/>
      <c r="AR84" s="1213"/>
      <c r="AS84" s="1213"/>
      <c r="AT84" s="1213"/>
      <c r="AU84" s="1213"/>
      <c r="AV84" s="1218"/>
      <c r="AW84" s="1213"/>
      <c r="AX84" s="1213"/>
      <c r="AY84" s="1213"/>
      <c r="AZ84" s="1218"/>
      <c r="BA84" s="1213"/>
      <c r="BB84" s="1218"/>
      <c r="BC84" s="1218"/>
      <c r="BD84" s="1218"/>
      <c r="BE84" s="1213"/>
      <c r="BF84" s="1213"/>
      <c r="BG84" s="1218" t="s">
        <v>3761</v>
      </c>
      <c r="BH84" s="1213"/>
      <c r="BI84" s="1213"/>
      <c r="BJ84" s="1218" t="s">
        <v>3762</v>
      </c>
      <c r="BK84" s="1213"/>
      <c r="BL84" s="1218"/>
      <c r="BM84" s="1218"/>
      <c r="BN84" s="1218"/>
      <c r="BO84" s="1218"/>
      <c r="BP84" s="1218"/>
      <c r="BQ84" s="1218"/>
      <c r="BR84" s="1218"/>
      <c r="BS84" s="1815"/>
      <c r="BT84" s="1815"/>
      <c r="BU84" s="1815"/>
      <c r="BV84" s="1815"/>
      <c r="BW84" s="1218"/>
      <c r="BX84" s="1220"/>
      <c r="BY84" s="1815"/>
      <c r="BZ84" s="1218"/>
      <c r="CA84" s="1218"/>
      <c r="CB84" s="1218"/>
      <c r="CC84" s="1218"/>
      <c r="CD84" s="1218"/>
      <c r="CE84" s="1218"/>
      <c r="CF84" s="1218"/>
      <c r="CG84" s="1218"/>
      <c r="CH84" s="1218"/>
      <c r="CI84" s="1218"/>
      <c r="CJ84" s="1218"/>
      <c r="CK84" s="1218"/>
      <c r="CL84" s="919" t="s">
        <v>3763</v>
      </c>
      <c r="CM84" s="922" t="s">
        <v>2004</v>
      </c>
      <c r="CN84" s="915"/>
      <c r="CO84" s="688"/>
      <c r="CP84" s="274"/>
    </row>
    <row r="85" spans="2:94" s="69" customFormat="1" ht="18" x14ac:dyDescent="0.25">
      <c r="B85" s="1974">
        <v>82</v>
      </c>
      <c r="C85" s="1975" t="s">
        <v>2971</v>
      </c>
      <c r="D85" s="915" t="s">
        <v>3764</v>
      </c>
      <c r="E85" s="1213"/>
      <c r="F85" s="1213"/>
      <c r="G85" s="1213"/>
      <c r="H85" s="1213"/>
      <c r="I85" s="1213"/>
      <c r="J85" s="2463"/>
      <c r="K85" s="1213"/>
      <c r="L85" s="1213"/>
      <c r="M85" s="1213"/>
      <c r="N85" s="1213"/>
      <c r="O85" s="1213"/>
      <c r="P85" s="1213"/>
      <c r="Q85" s="1213"/>
      <c r="R85" s="1218"/>
      <c r="S85" s="1213"/>
      <c r="T85" s="1213"/>
      <c r="U85" s="1213"/>
      <c r="V85" s="1213"/>
      <c r="W85" s="1213"/>
      <c r="X85" s="1213"/>
      <c r="Y85" s="1213"/>
      <c r="Z85" s="1811"/>
      <c r="AA85" s="1213"/>
      <c r="AB85" s="1213"/>
      <c r="AC85" s="1213"/>
      <c r="AD85" s="1213"/>
      <c r="AE85" s="921"/>
      <c r="AF85" s="1213"/>
      <c r="AG85" s="2463"/>
      <c r="AH85" s="1213"/>
      <c r="AI85" s="921">
        <v>-1</v>
      </c>
      <c r="AJ85" s="1213"/>
      <c r="AK85" s="1218"/>
      <c r="AL85" s="1213"/>
      <c r="AM85" s="2463"/>
      <c r="AN85" s="1213"/>
      <c r="AO85" s="1218"/>
      <c r="AP85" s="1213"/>
      <c r="AQ85" s="1213"/>
      <c r="AR85" s="1213"/>
      <c r="AS85" s="1213"/>
      <c r="AT85" s="1213"/>
      <c r="AU85" s="1213"/>
      <c r="AV85" s="1218"/>
      <c r="AW85" s="1213"/>
      <c r="AX85" s="1213"/>
      <c r="AY85" s="1213"/>
      <c r="AZ85" s="1218"/>
      <c r="BA85" s="1213"/>
      <c r="BB85" s="1218"/>
      <c r="BC85" s="1218"/>
      <c r="BD85" s="1213"/>
      <c r="BE85" s="1218"/>
      <c r="BF85" s="1213"/>
      <c r="BG85" s="1213"/>
      <c r="BH85" s="1218" t="s">
        <v>3765</v>
      </c>
      <c r="BI85" s="1213"/>
      <c r="BJ85" s="1213"/>
      <c r="BK85" s="1218" t="s">
        <v>3766</v>
      </c>
      <c r="BL85" s="1213"/>
      <c r="BM85" s="1213"/>
      <c r="BN85" s="1218"/>
      <c r="BO85" s="1218"/>
      <c r="BP85" s="1218"/>
      <c r="BQ85" s="1218"/>
      <c r="BR85" s="1218"/>
      <c r="BS85" s="1815"/>
      <c r="BT85" s="1815"/>
      <c r="BU85" s="1815"/>
      <c r="BV85" s="1815"/>
      <c r="BW85" s="1218"/>
      <c r="BX85" s="1220"/>
      <c r="BY85" s="1815"/>
      <c r="BZ85" s="1218"/>
      <c r="CA85" s="1218"/>
      <c r="CB85" s="1218"/>
      <c r="CC85" s="1218"/>
      <c r="CD85" s="1218"/>
      <c r="CE85" s="1218"/>
      <c r="CF85" s="1218"/>
      <c r="CG85" s="1218"/>
      <c r="CH85" s="1218"/>
      <c r="CI85" s="1218"/>
      <c r="CJ85" s="1218"/>
      <c r="CK85" s="1218"/>
      <c r="CL85" s="919" t="s">
        <v>3767</v>
      </c>
      <c r="CM85" s="922" t="s">
        <v>2004</v>
      </c>
      <c r="CN85" s="915"/>
      <c r="CO85" s="688"/>
      <c r="CP85" s="274"/>
    </row>
    <row r="86" spans="2:94" s="69" customFormat="1" ht="18" x14ac:dyDescent="0.25">
      <c r="B86" s="1974">
        <v>83</v>
      </c>
      <c r="C86" s="1975" t="s">
        <v>2972</v>
      </c>
      <c r="D86" s="915" t="s">
        <v>3768</v>
      </c>
      <c r="E86" s="1213"/>
      <c r="F86" s="1213"/>
      <c r="G86" s="1213"/>
      <c r="H86" s="1213"/>
      <c r="I86" s="1213"/>
      <c r="J86" s="2463"/>
      <c r="K86" s="1213"/>
      <c r="L86" s="1213"/>
      <c r="M86" s="1213"/>
      <c r="N86" s="1213"/>
      <c r="O86" s="1213"/>
      <c r="P86" s="1213"/>
      <c r="Q86" s="1213"/>
      <c r="R86" s="1218"/>
      <c r="S86" s="1213"/>
      <c r="T86" s="1213"/>
      <c r="U86" s="1213"/>
      <c r="V86" s="1213"/>
      <c r="W86" s="1213"/>
      <c r="X86" s="1213"/>
      <c r="Y86" s="1213"/>
      <c r="Z86" s="1811"/>
      <c r="AA86" s="1213"/>
      <c r="AB86" s="1213"/>
      <c r="AC86" s="1213"/>
      <c r="AD86" s="1213"/>
      <c r="AE86" s="1218"/>
      <c r="AF86" s="1213"/>
      <c r="AG86" s="2463"/>
      <c r="AH86" s="1213"/>
      <c r="AI86" s="1218" t="s">
        <v>3769</v>
      </c>
      <c r="AJ86" s="1213"/>
      <c r="AK86" s="1218"/>
      <c r="AL86" s="1213"/>
      <c r="AM86" s="2463"/>
      <c r="AN86" s="1213"/>
      <c r="AO86" s="1218"/>
      <c r="AP86" s="1213"/>
      <c r="AQ86" s="1213"/>
      <c r="AR86" s="1213"/>
      <c r="AS86" s="1213"/>
      <c r="AT86" s="1213"/>
      <c r="AU86" s="1213"/>
      <c r="AV86" s="1218"/>
      <c r="AW86" s="1213"/>
      <c r="AX86" s="1213"/>
      <c r="AY86" s="1213"/>
      <c r="AZ86" s="1218"/>
      <c r="BA86" s="1213"/>
      <c r="BB86" s="1218"/>
      <c r="BC86" s="1218"/>
      <c r="BD86" s="922"/>
      <c r="BE86" s="922"/>
      <c r="BF86" s="922"/>
      <c r="BG86" s="922">
        <v>1</v>
      </c>
      <c r="BH86" s="922"/>
      <c r="BI86" s="922"/>
      <c r="BJ86" s="922">
        <v>-1</v>
      </c>
      <c r="BK86" s="922"/>
      <c r="BL86" s="922"/>
      <c r="BM86" s="922"/>
      <c r="BN86" s="1218"/>
      <c r="BO86" s="1218"/>
      <c r="BP86" s="1218"/>
      <c r="BQ86" s="1218"/>
      <c r="BR86" s="1218"/>
      <c r="BS86" s="1815"/>
      <c r="BT86" s="1815"/>
      <c r="BU86" s="1815"/>
      <c r="BV86" s="1815"/>
      <c r="BW86" s="1218"/>
      <c r="BX86" s="1220"/>
      <c r="BY86" s="1815"/>
      <c r="BZ86" s="1218"/>
      <c r="CA86" s="1218"/>
      <c r="CB86" s="1218"/>
      <c r="CC86" s="1218"/>
      <c r="CD86" s="1218"/>
      <c r="CE86" s="1218"/>
      <c r="CF86" s="1218"/>
      <c r="CG86" s="1218"/>
      <c r="CH86" s="1218"/>
      <c r="CI86" s="1218"/>
      <c r="CJ86" s="1218"/>
      <c r="CK86" s="1218"/>
      <c r="CL86" s="919" t="s">
        <v>3770</v>
      </c>
      <c r="CM86" s="922" t="s">
        <v>2004</v>
      </c>
      <c r="CN86" s="915"/>
      <c r="CO86" s="688"/>
      <c r="CP86" s="274"/>
    </row>
    <row r="87" spans="2:94" s="69" customFormat="1" ht="18" x14ac:dyDescent="0.25">
      <c r="B87" s="1974">
        <v>84</v>
      </c>
      <c r="C87" s="1975" t="s">
        <v>2973</v>
      </c>
      <c r="D87" s="915" t="s">
        <v>3771</v>
      </c>
      <c r="E87" s="1213"/>
      <c r="F87" s="1213"/>
      <c r="G87" s="1213"/>
      <c r="H87" s="1213"/>
      <c r="I87" s="1213"/>
      <c r="J87" s="2463"/>
      <c r="K87" s="1213"/>
      <c r="L87" s="1213"/>
      <c r="M87" s="1213"/>
      <c r="N87" s="1213"/>
      <c r="O87" s="1213"/>
      <c r="P87" s="1213"/>
      <c r="Q87" s="1213"/>
      <c r="R87" s="1218"/>
      <c r="S87" s="1213"/>
      <c r="T87" s="1213"/>
      <c r="U87" s="1213"/>
      <c r="V87" s="1213"/>
      <c r="W87" s="1213"/>
      <c r="X87" s="1213"/>
      <c r="Y87" s="1213"/>
      <c r="Z87" s="1811"/>
      <c r="AA87" s="1213"/>
      <c r="AB87" s="1213"/>
      <c r="AC87" s="1213"/>
      <c r="AD87" s="1213"/>
      <c r="AE87" s="1218"/>
      <c r="AF87" s="1213"/>
      <c r="AG87" s="2463"/>
      <c r="AH87" s="1213"/>
      <c r="AI87" s="1218" t="s">
        <v>3772</v>
      </c>
      <c r="AJ87" s="1213"/>
      <c r="AK87" s="1218"/>
      <c r="AL87" s="1213"/>
      <c r="AM87" s="2463"/>
      <c r="AN87" s="1213"/>
      <c r="AO87" s="1218"/>
      <c r="AP87" s="1213"/>
      <c r="AQ87" s="1213"/>
      <c r="AR87" s="1213"/>
      <c r="AS87" s="1213"/>
      <c r="AT87" s="1213"/>
      <c r="AU87" s="1213"/>
      <c r="AV87" s="1218"/>
      <c r="AW87" s="1213"/>
      <c r="AX87" s="1213"/>
      <c r="AY87" s="1213"/>
      <c r="AZ87" s="1218"/>
      <c r="BA87" s="1213"/>
      <c r="BB87" s="1218"/>
      <c r="BC87" s="1218"/>
      <c r="BD87" s="922"/>
      <c r="BE87" s="922"/>
      <c r="BF87" s="922"/>
      <c r="BG87" s="922"/>
      <c r="BH87" s="922">
        <v>1</v>
      </c>
      <c r="BI87" s="922"/>
      <c r="BJ87" s="922"/>
      <c r="BK87" s="922">
        <v>-1</v>
      </c>
      <c r="BL87" s="922"/>
      <c r="BM87" s="922"/>
      <c r="BN87" s="1218"/>
      <c r="BO87" s="1218"/>
      <c r="BP87" s="1218"/>
      <c r="BQ87" s="1218"/>
      <c r="BR87" s="1218"/>
      <c r="BS87" s="1815"/>
      <c r="BT87" s="1815"/>
      <c r="BU87" s="1815"/>
      <c r="BV87" s="1815"/>
      <c r="BW87" s="1218"/>
      <c r="BX87" s="1220"/>
      <c r="BY87" s="1815"/>
      <c r="BZ87" s="1218"/>
      <c r="CA87" s="1218"/>
      <c r="CB87" s="1218"/>
      <c r="CC87" s="1218"/>
      <c r="CD87" s="1218"/>
      <c r="CE87" s="1218"/>
      <c r="CF87" s="1218"/>
      <c r="CG87" s="1218"/>
      <c r="CH87" s="1218"/>
      <c r="CI87" s="1218"/>
      <c r="CJ87" s="1218"/>
      <c r="CK87" s="1218"/>
      <c r="CL87" s="919" t="s">
        <v>3773</v>
      </c>
      <c r="CM87" s="922" t="s">
        <v>2004</v>
      </c>
      <c r="CN87" s="915"/>
      <c r="CO87" s="688"/>
      <c r="CP87" s="274"/>
    </row>
    <row r="88" spans="2:94" s="69" customFormat="1" ht="18" x14ac:dyDescent="0.25">
      <c r="B88" s="1974">
        <v>85</v>
      </c>
      <c r="C88" s="1975" t="s">
        <v>2974</v>
      </c>
      <c r="D88" s="915" t="s">
        <v>3774</v>
      </c>
      <c r="E88" s="1213"/>
      <c r="F88" s="1213"/>
      <c r="G88" s="1213"/>
      <c r="H88" s="1213"/>
      <c r="I88" s="1213"/>
      <c r="J88" s="2463"/>
      <c r="K88" s="1213"/>
      <c r="L88" s="1213"/>
      <c r="M88" s="1213"/>
      <c r="N88" s="1213"/>
      <c r="O88" s="1213"/>
      <c r="P88" s="1213"/>
      <c r="Q88" s="1213"/>
      <c r="R88" s="1218"/>
      <c r="S88" s="1213"/>
      <c r="T88" s="1213"/>
      <c r="U88" s="1213"/>
      <c r="V88" s="1213"/>
      <c r="W88" s="1213"/>
      <c r="X88" s="1213"/>
      <c r="Y88" s="1213"/>
      <c r="Z88" s="1811"/>
      <c r="AA88" s="1213"/>
      <c r="AB88" s="1213"/>
      <c r="AC88" s="1213"/>
      <c r="AD88" s="1213"/>
      <c r="AE88" s="1218"/>
      <c r="AF88" s="1213"/>
      <c r="AG88" s="2463"/>
      <c r="AH88" s="1213"/>
      <c r="AI88" s="1218" t="s">
        <v>3775</v>
      </c>
      <c r="AJ88" s="1213"/>
      <c r="AK88" s="1218"/>
      <c r="AL88" s="1213"/>
      <c r="AM88" s="2463"/>
      <c r="AN88" s="1213"/>
      <c r="AO88" s="1218"/>
      <c r="AP88" s="1213"/>
      <c r="AQ88" s="1213"/>
      <c r="AR88" s="1213"/>
      <c r="AS88" s="1213"/>
      <c r="AT88" s="1213"/>
      <c r="AU88" s="1213"/>
      <c r="AV88" s="1218"/>
      <c r="AW88" s="1213"/>
      <c r="AX88" s="1213"/>
      <c r="AY88" s="1213"/>
      <c r="AZ88" s="1218"/>
      <c r="BA88" s="1213"/>
      <c r="BB88" s="1218"/>
      <c r="BC88" s="1218"/>
      <c r="BD88" s="922"/>
      <c r="BE88" s="922"/>
      <c r="BF88" s="922"/>
      <c r="BG88" s="922"/>
      <c r="BH88" s="922"/>
      <c r="BI88" s="922">
        <v>1</v>
      </c>
      <c r="BJ88" s="922"/>
      <c r="BK88" s="922"/>
      <c r="BL88" s="1219" t="s">
        <v>3776</v>
      </c>
      <c r="BM88" s="1219" t="s">
        <v>3777</v>
      </c>
      <c r="BN88" s="1218"/>
      <c r="BO88" s="1218"/>
      <c r="BP88" s="1218"/>
      <c r="BQ88" s="1218"/>
      <c r="BR88" s="1218"/>
      <c r="BS88" s="1815"/>
      <c r="BT88" s="1815"/>
      <c r="BU88" s="1815"/>
      <c r="BV88" s="1815"/>
      <c r="BW88" s="1218"/>
      <c r="BX88" s="1220"/>
      <c r="BY88" s="1815"/>
      <c r="BZ88" s="1218"/>
      <c r="CA88" s="1218"/>
      <c r="CB88" s="1218"/>
      <c r="CC88" s="1218"/>
      <c r="CD88" s="1218"/>
      <c r="CE88" s="1218"/>
      <c r="CF88" s="1218"/>
      <c r="CG88" s="1218"/>
      <c r="CH88" s="1218"/>
      <c r="CI88" s="1218"/>
      <c r="CJ88" s="1218"/>
      <c r="CK88" s="1218"/>
      <c r="CL88" s="919" t="s">
        <v>3778</v>
      </c>
      <c r="CM88" s="922" t="s">
        <v>2004</v>
      </c>
      <c r="CN88" s="915"/>
      <c r="CO88" s="688"/>
      <c r="CP88" s="274"/>
    </row>
    <row r="89" spans="2:94" ht="18" x14ac:dyDescent="0.25">
      <c r="B89" s="1976">
        <v>86</v>
      </c>
      <c r="C89" s="1977" t="s">
        <v>3119</v>
      </c>
      <c r="D89" s="1203" t="s">
        <v>1126</v>
      </c>
      <c r="E89" s="628"/>
      <c r="F89" s="628"/>
      <c r="G89" s="628"/>
      <c r="H89" s="628"/>
      <c r="I89" s="628"/>
      <c r="J89" s="2466"/>
      <c r="K89" s="628"/>
      <c r="L89" s="628"/>
      <c r="M89" s="628"/>
      <c r="N89" s="628"/>
      <c r="O89" s="628"/>
      <c r="P89" s="628"/>
      <c r="Q89" s="628"/>
      <c r="R89" s="629"/>
      <c r="S89" s="628"/>
      <c r="T89" s="628"/>
      <c r="U89" s="628"/>
      <c r="V89" s="628"/>
      <c r="W89" s="628"/>
      <c r="X89" s="628"/>
      <c r="Y89" s="628"/>
      <c r="Z89" s="2041"/>
      <c r="AA89" s="628"/>
      <c r="AB89" s="628"/>
      <c r="AC89" s="628"/>
      <c r="AD89" s="628"/>
      <c r="AE89" s="628"/>
      <c r="AF89" s="628"/>
      <c r="AG89" s="2466"/>
      <c r="AH89" s="628"/>
      <c r="AI89" s="629"/>
      <c r="AJ89" s="628"/>
      <c r="AK89" s="628"/>
      <c r="AL89" s="628"/>
      <c r="AM89" s="2466"/>
      <c r="AN89" s="628"/>
      <c r="AO89" s="628"/>
      <c r="AP89" s="628"/>
      <c r="AQ89" s="628"/>
      <c r="AR89" s="629" t="s">
        <v>2441</v>
      </c>
      <c r="AS89" s="628"/>
      <c r="AT89" s="628"/>
      <c r="AU89" s="628"/>
      <c r="AV89" s="629" t="s">
        <v>1690</v>
      </c>
      <c r="AW89" s="628"/>
      <c r="AX89" s="628"/>
      <c r="AY89" s="629"/>
      <c r="AZ89" s="628"/>
      <c r="BA89" s="628"/>
      <c r="BB89" s="629"/>
      <c r="BC89" s="629"/>
      <c r="BD89" s="628"/>
      <c r="BE89" s="629"/>
      <c r="BF89" s="629"/>
      <c r="BG89" s="628"/>
      <c r="BH89" s="628"/>
      <c r="BI89" s="629"/>
      <c r="BJ89" s="629"/>
      <c r="BK89" s="628"/>
      <c r="BL89" s="629"/>
      <c r="BM89" s="629"/>
      <c r="BN89" s="629">
        <v>1</v>
      </c>
      <c r="BO89" s="629"/>
      <c r="BP89" s="916"/>
      <c r="BQ89" s="629"/>
      <c r="BR89" s="629"/>
      <c r="BS89" s="1816"/>
      <c r="BT89" s="1816"/>
      <c r="BU89" s="1816"/>
      <c r="BV89" s="1816"/>
      <c r="BW89" s="629"/>
      <c r="BX89" s="1107"/>
      <c r="BY89" s="1816"/>
      <c r="BZ89" s="629"/>
      <c r="CA89" s="629"/>
      <c r="CB89" s="629"/>
      <c r="CC89" s="629"/>
      <c r="CD89" s="629"/>
      <c r="CE89" s="629"/>
      <c r="CF89" s="629"/>
      <c r="CG89" s="629"/>
      <c r="CH89" s="629"/>
      <c r="CI89" s="629"/>
      <c r="CJ89" s="629"/>
      <c r="CK89" s="629"/>
      <c r="CL89" s="630" t="s">
        <v>1691</v>
      </c>
      <c r="CM89" s="628" t="s">
        <v>2004</v>
      </c>
      <c r="CN89" s="631" t="s">
        <v>1127</v>
      </c>
      <c r="CO89" s="632"/>
    </row>
    <row r="90" spans="2:94" ht="18" x14ac:dyDescent="0.25">
      <c r="B90" s="1976">
        <v>87</v>
      </c>
      <c r="C90" s="1977" t="s">
        <v>3120</v>
      </c>
      <c r="D90" s="1203" t="s">
        <v>1125</v>
      </c>
      <c r="E90" s="628"/>
      <c r="F90" s="628"/>
      <c r="G90" s="628"/>
      <c r="H90" s="628"/>
      <c r="I90" s="628"/>
      <c r="J90" s="2466"/>
      <c r="K90" s="628"/>
      <c r="L90" s="628"/>
      <c r="M90" s="628"/>
      <c r="N90" s="628"/>
      <c r="O90" s="628"/>
      <c r="P90" s="628"/>
      <c r="Q90" s="628"/>
      <c r="R90" s="629"/>
      <c r="S90" s="628"/>
      <c r="T90" s="628"/>
      <c r="U90" s="628"/>
      <c r="V90" s="628"/>
      <c r="W90" s="628"/>
      <c r="X90" s="628"/>
      <c r="Y90" s="628"/>
      <c r="Z90" s="2041"/>
      <c r="AA90" s="628"/>
      <c r="AB90" s="628"/>
      <c r="AC90" s="628"/>
      <c r="AD90" s="628"/>
      <c r="AE90" s="628"/>
      <c r="AF90" s="628"/>
      <c r="AG90" s="2466"/>
      <c r="AH90" s="628"/>
      <c r="AI90" s="629" t="s">
        <v>1692</v>
      </c>
      <c r="AJ90" s="628"/>
      <c r="AK90" s="628"/>
      <c r="AL90" s="628"/>
      <c r="AM90" s="2466"/>
      <c r="AN90" s="628"/>
      <c r="AO90" s="628"/>
      <c r="AP90" s="628"/>
      <c r="AQ90" s="628"/>
      <c r="AR90" s="628"/>
      <c r="AS90" s="628"/>
      <c r="AT90" s="628"/>
      <c r="AU90" s="628"/>
      <c r="AV90" s="629" t="s">
        <v>1693</v>
      </c>
      <c r="AW90" s="628"/>
      <c r="AX90" s="628"/>
      <c r="AY90" s="629"/>
      <c r="AZ90" s="628"/>
      <c r="BA90" s="628"/>
      <c r="BB90" s="629"/>
      <c r="BC90" s="629"/>
      <c r="BD90" s="628"/>
      <c r="BE90" s="629"/>
      <c r="BF90" s="629"/>
      <c r="BG90" s="628"/>
      <c r="BH90" s="628"/>
      <c r="BI90" s="629"/>
      <c r="BJ90" s="629"/>
      <c r="BK90" s="628"/>
      <c r="BL90" s="629"/>
      <c r="BM90" s="629"/>
      <c r="BN90" s="629"/>
      <c r="BO90" s="629">
        <v>1</v>
      </c>
      <c r="BP90" s="916"/>
      <c r="BQ90" s="629"/>
      <c r="BR90" s="629"/>
      <c r="BS90" s="1816"/>
      <c r="BT90" s="1816"/>
      <c r="BU90" s="1816"/>
      <c r="BV90" s="1816"/>
      <c r="BW90" s="629"/>
      <c r="BX90" s="1107"/>
      <c r="BY90" s="1816"/>
      <c r="BZ90" s="629"/>
      <c r="CA90" s="629"/>
      <c r="CB90" s="629"/>
      <c r="CC90" s="629"/>
      <c r="CD90" s="629"/>
      <c r="CE90" s="629"/>
      <c r="CF90" s="629"/>
      <c r="CG90" s="629"/>
      <c r="CH90" s="629"/>
      <c r="CI90" s="629"/>
      <c r="CJ90" s="629"/>
      <c r="CK90" s="629"/>
      <c r="CL90" s="630" t="s">
        <v>1694</v>
      </c>
      <c r="CM90" s="628" t="s">
        <v>2004</v>
      </c>
      <c r="CN90" s="631" t="s">
        <v>1128</v>
      </c>
      <c r="CO90" s="632"/>
    </row>
    <row r="91" spans="2:94" s="69" customFormat="1" ht="18" x14ac:dyDescent="0.25">
      <c r="B91" s="1976">
        <v>88</v>
      </c>
      <c r="C91" s="1977" t="s">
        <v>3121</v>
      </c>
      <c r="D91" s="1204" t="s">
        <v>3779</v>
      </c>
      <c r="E91" s="1221"/>
      <c r="F91" s="1221"/>
      <c r="G91" s="1221"/>
      <c r="H91" s="1221"/>
      <c r="I91" s="1221"/>
      <c r="J91" s="2466"/>
      <c r="K91" s="1221"/>
      <c r="L91" s="1221"/>
      <c r="M91" s="1221"/>
      <c r="N91" s="1221"/>
      <c r="O91" s="1221"/>
      <c r="P91" s="1221"/>
      <c r="Q91" s="1221"/>
      <c r="R91" s="916"/>
      <c r="S91" s="1221"/>
      <c r="T91" s="1221"/>
      <c r="U91" s="1221"/>
      <c r="V91" s="1221"/>
      <c r="W91" s="1221"/>
      <c r="X91" s="1221"/>
      <c r="Y91" s="1221"/>
      <c r="Z91" s="2041"/>
      <c r="AA91" s="1221"/>
      <c r="AB91" s="1221"/>
      <c r="AC91" s="1221"/>
      <c r="AD91" s="1221"/>
      <c r="AE91" s="916"/>
      <c r="AF91" s="1221"/>
      <c r="AG91" s="2466"/>
      <c r="AH91" s="1221"/>
      <c r="AI91" s="916" t="s">
        <v>3780</v>
      </c>
      <c r="AJ91" s="1221"/>
      <c r="AK91" s="1221"/>
      <c r="AL91" s="1221"/>
      <c r="AM91" s="2466"/>
      <c r="AN91" s="1221"/>
      <c r="AO91" s="1221"/>
      <c r="AP91" s="1221"/>
      <c r="AQ91" s="1221"/>
      <c r="AR91" s="1221"/>
      <c r="AS91" s="916"/>
      <c r="AT91" s="1221"/>
      <c r="AU91" s="1221"/>
      <c r="AV91" s="916" t="s">
        <v>3781</v>
      </c>
      <c r="AW91" s="1221"/>
      <c r="AX91" s="1221"/>
      <c r="AY91" s="916"/>
      <c r="AZ91" s="916"/>
      <c r="BA91" s="1221"/>
      <c r="BB91" s="916"/>
      <c r="BC91" s="916"/>
      <c r="BD91" s="1221"/>
      <c r="BE91" s="1221"/>
      <c r="BF91" s="916"/>
      <c r="BG91" s="916"/>
      <c r="BH91" s="1221"/>
      <c r="BI91" s="916"/>
      <c r="BJ91" s="916"/>
      <c r="BK91" s="916"/>
      <c r="BL91" s="916"/>
      <c r="BM91" s="916"/>
      <c r="BN91" s="916"/>
      <c r="BO91" s="916"/>
      <c r="BP91" s="916">
        <v>1</v>
      </c>
      <c r="BQ91" s="916"/>
      <c r="BR91" s="916"/>
      <c r="BS91" s="1816"/>
      <c r="BT91" s="1816"/>
      <c r="BU91" s="1816"/>
      <c r="BV91" s="1816"/>
      <c r="BW91" s="916"/>
      <c r="BX91" s="1107"/>
      <c r="BY91" s="1816"/>
      <c r="BZ91" s="916"/>
      <c r="CA91" s="916"/>
      <c r="CB91" s="916"/>
      <c r="CC91" s="916"/>
      <c r="CD91" s="916"/>
      <c r="CE91" s="916"/>
      <c r="CF91" s="916"/>
      <c r="CG91" s="916"/>
      <c r="CH91" s="916"/>
      <c r="CI91" s="916"/>
      <c r="CJ91" s="916"/>
      <c r="CK91" s="916"/>
      <c r="CL91" s="920" t="s">
        <v>3782</v>
      </c>
      <c r="CM91" s="628" t="s">
        <v>2004</v>
      </c>
      <c r="CN91" s="958" t="s">
        <v>4048</v>
      </c>
      <c r="CO91" s="923"/>
      <c r="CP91" s="274"/>
    </row>
    <row r="92" spans="2:94" ht="18" x14ac:dyDescent="0.25">
      <c r="B92" s="1976">
        <v>89</v>
      </c>
      <c r="C92" s="1977" t="s">
        <v>3122</v>
      </c>
      <c r="D92" s="1203" t="s">
        <v>287</v>
      </c>
      <c r="E92" s="628"/>
      <c r="F92" s="628"/>
      <c r="G92" s="628"/>
      <c r="H92" s="628"/>
      <c r="I92" s="628"/>
      <c r="J92" s="2466"/>
      <c r="K92" s="628"/>
      <c r="L92" s="628"/>
      <c r="M92" s="628"/>
      <c r="N92" s="628"/>
      <c r="O92" s="628"/>
      <c r="P92" s="628"/>
      <c r="Q92" s="628"/>
      <c r="R92" s="629"/>
      <c r="S92" s="628"/>
      <c r="T92" s="628"/>
      <c r="U92" s="628"/>
      <c r="V92" s="628"/>
      <c r="W92" s="628"/>
      <c r="X92" s="628"/>
      <c r="Y92" s="628"/>
      <c r="Z92" s="2041"/>
      <c r="AA92" s="629" t="s">
        <v>1695</v>
      </c>
      <c r="AB92" s="628"/>
      <c r="AC92" s="628"/>
      <c r="AD92" s="628"/>
      <c r="AE92" s="628"/>
      <c r="AF92" s="628"/>
      <c r="AG92" s="2466"/>
      <c r="AH92" s="628"/>
      <c r="AI92" s="629" t="s">
        <v>1696</v>
      </c>
      <c r="AJ92" s="628"/>
      <c r="AK92" s="628"/>
      <c r="AL92" s="628"/>
      <c r="AM92" s="2466"/>
      <c r="AN92" s="628"/>
      <c r="AO92" s="628"/>
      <c r="AP92" s="628"/>
      <c r="AQ92" s="628"/>
      <c r="AR92" s="628"/>
      <c r="AS92" s="628"/>
      <c r="AT92" s="628"/>
      <c r="AU92" s="628"/>
      <c r="AV92" s="628"/>
      <c r="AW92" s="629" t="s">
        <v>1697</v>
      </c>
      <c r="AX92" s="628"/>
      <c r="AY92" s="629"/>
      <c r="AZ92" s="628"/>
      <c r="BA92" s="628"/>
      <c r="BB92" s="629"/>
      <c r="BC92" s="629"/>
      <c r="BD92" s="628"/>
      <c r="BE92" s="629"/>
      <c r="BF92" s="629"/>
      <c r="BG92" s="628"/>
      <c r="BH92" s="628"/>
      <c r="BI92" s="629"/>
      <c r="BJ92" s="629"/>
      <c r="BK92" s="628"/>
      <c r="BL92" s="629"/>
      <c r="BM92" s="629"/>
      <c r="BN92" s="629"/>
      <c r="BO92" s="629"/>
      <c r="BP92" s="916"/>
      <c r="BQ92" s="629">
        <v>1</v>
      </c>
      <c r="BR92" s="629"/>
      <c r="BS92" s="1816"/>
      <c r="BT92" s="1816"/>
      <c r="BU92" s="1816"/>
      <c r="BV92" s="1816"/>
      <c r="BW92" s="629"/>
      <c r="BX92" s="1107"/>
      <c r="BY92" s="1816"/>
      <c r="BZ92" s="629"/>
      <c r="CA92" s="629"/>
      <c r="CB92" s="629"/>
      <c r="CC92" s="629"/>
      <c r="CD92" s="629"/>
      <c r="CE92" s="629"/>
      <c r="CF92" s="629"/>
      <c r="CG92" s="629"/>
      <c r="CH92" s="629"/>
      <c r="CI92" s="629"/>
      <c r="CJ92" s="629"/>
      <c r="CK92" s="629"/>
      <c r="CL92" s="630" t="s">
        <v>1698</v>
      </c>
      <c r="CM92" s="628" t="s">
        <v>2004</v>
      </c>
      <c r="CN92" s="631" t="s">
        <v>1124</v>
      </c>
      <c r="CO92" s="632"/>
    </row>
    <row r="93" spans="2:94" ht="18" x14ac:dyDescent="0.25">
      <c r="B93" s="1976">
        <v>90</v>
      </c>
      <c r="C93" s="1977" t="s">
        <v>3123</v>
      </c>
      <c r="D93" s="1203" t="s">
        <v>1123</v>
      </c>
      <c r="E93" s="628"/>
      <c r="F93" s="628"/>
      <c r="G93" s="628"/>
      <c r="H93" s="628"/>
      <c r="I93" s="628"/>
      <c r="J93" s="2466"/>
      <c r="K93" s="628"/>
      <c r="L93" s="628"/>
      <c r="M93" s="628"/>
      <c r="N93" s="628"/>
      <c r="O93" s="628"/>
      <c r="P93" s="628"/>
      <c r="Q93" s="628"/>
      <c r="R93" s="629"/>
      <c r="S93" s="628"/>
      <c r="T93" s="628"/>
      <c r="U93" s="628"/>
      <c r="V93" s="628"/>
      <c r="W93" s="628"/>
      <c r="X93" s="628"/>
      <c r="Y93" s="628"/>
      <c r="Z93" s="2041"/>
      <c r="AA93" s="629"/>
      <c r="AB93" s="628"/>
      <c r="AC93" s="628"/>
      <c r="AD93" s="628"/>
      <c r="AE93" s="628"/>
      <c r="AF93" s="628"/>
      <c r="AG93" s="2466"/>
      <c r="AH93" s="628"/>
      <c r="AI93" s="629" t="s">
        <v>1699</v>
      </c>
      <c r="AJ93" s="628"/>
      <c r="AK93" s="628"/>
      <c r="AL93" s="628"/>
      <c r="AM93" s="2466"/>
      <c r="AN93" s="628"/>
      <c r="AO93" s="628"/>
      <c r="AP93" s="628"/>
      <c r="AQ93" s="628"/>
      <c r="AR93" s="628"/>
      <c r="AS93" s="628"/>
      <c r="AT93" s="628"/>
      <c r="AU93" s="628"/>
      <c r="AV93" s="628"/>
      <c r="AW93" s="629"/>
      <c r="AX93" s="628"/>
      <c r="AY93" s="629" t="s">
        <v>1700</v>
      </c>
      <c r="AZ93" s="628"/>
      <c r="BA93" s="628"/>
      <c r="BB93" s="629"/>
      <c r="BC93" s="629"/>
      <c r="BD93" s="628"/>
      <c r="BE93" s="629"/>
      <c r="BF93" s="629"/>
      <c r="BG93" s="628"/>
      <c r="BH93" s="628"/>
      <c r="BI93" s="629"/>
      <c r="BJ93" s="629"/>
      <c r="BK93" s="628"/>
      <c r="BL93" s="629"/>
      <c r="BM93" s="629"/>
      <c r="BN93" s="629"/>
      <c r="BO93" s="629"/>
      <c r="BP93" s="916"/>
      <c r="BQ93" s="629"/>
      <c r="BR93" s="629">
        <v>1</v>
      </c>
      <c r="BS93" s="1816"/>
      <c r="BT93" s="1816"/>
      <c r="BU93" s="1816"/>
      <c r="BV93" s="1816"/>
      <c r="BW93" s="629"/>
      <c r="BX93" s="1107"/>
      <c r="BY93" s="1816"/>
      <c r="BZ93" s="629"/>
      <c r="CA93" s="629"/>
      <c r="CB93" s="629"/>
      <c r="CC93" s="629"/>
      <c r="CD93" s="629"/>
      <c r="CE93" s="629"/>
      <c r="CF93" s="629"/>
      <c r="CG93" s="629"/>
      <c r="CH93" s="629"/>
      <c r="CI93" s="629"/>
      <c r="CJ93" s="629"/>
      <c r="CK93" s="629"/>
      <c r="CL93" s="630" t="s">
        <v>1701</v>
      </c>
      <c r="CM93" s="628" t="s">
        <v>2004</v>
      </c>
      <c r="CN93" s="631" t="s">
        <v>1129</v>
      </c>
      <c r="CO93" s="632"/>
    </row>
    <row r="94" spans="2:94" ht="18" x14ac:dyDescent="0.25">
      <c r="B94" s="2331">
        <v>91</v>
      </c>
      <c r="C94" s="2332" t="s">
        <v>3124</v>
      </c>
      <c r="D94" s="2333" t="s">
        <v>4775</v>
      </c>
      <c r="E94" s="2334"/>
      <c r="F94" s="2334"/>
      <c r="G94" s="2334"/>
      <c r="H94" s="2334"/>
      <c r="I94" s="2334"/>
      <c r="J94" s="2467"/>
      <c r="K94" s="2335"/>
      <c r="L94" s="2334"/>
      <c r="M94" s="2334"/>
      <c r="N94" s="2334"/>
      <c r="O94" s="2334"/>
      <c r="P94" s="2334"/>
      <c r="Q94" s="2334"/>
      <c r="R94" s="2334"/>
      <c r="S94" s="2334"/>
      <c r="T94" s="2334"/>
      <c r="U94" s="2334"/>
      <c r="V94" s="2334"/>
      <c r="W94" s="2334"/>
      <c r="X94" s="2334"/>
      <c r="Y94" s="2334"/>
      <c r="Z94" s="2334"/>
      <c r="AA94" s="2334"/>
      <c r="AB94" s="2335"/>
      <c r="AC94" s="2335"/>
      <c r="AD94" s="2335"/>
      <c r="AE94" s="2335"/>
      <c r="AF94" s="2335"/>
      <c r="AG94" s="2474"/>
      <c r="AH94" s="2335"/>
      <c r="AI94" s="2335"/>
      <c r="AJ94" s="2335"/>
      <c r="AK94" s="2335"/>
      <c r="AL94" s="2335"/>
      <c r="AM94" s="2474"/>
      <c r="AN94" s="2335"/>
      <c r="AO94" s="2334"/>
      <c r="AP94" s="2335"/>
      <c r="AQ94" s="2335"/>
      <c r="AR94" s="2335"/>
      <c r="AS94" s="2334"/>
      <c r="AT94" s="2335"/>
      <c r="AU94" s="2335"/>
      <c r="AV94" s="2335"/>
      <c r="AW94" s="2335"/>
      <c r="AX94" s="2335"/>
      <c r="AY94" s="2335"/>
      <c r="AZ94" s="2335"/>
      <c r="BA94" s="2335"/>
      <c r="BB94" s="2335"/>
      <c r="BC94" s="2335"/>
      <c r="BD94" s="2335"/>
      <c r="BE94" s="2335"/>
      <c r="BF94" s="2335"/>
      <c r="BG94" s="2335"/>
      <c r="BH94" s="2335"/>
      <c r="BI94" s="2335"/>
      <c r="BJ94" s="2335"/>
      <c r="BK94" s="2335"/>
      <c r="BL94" s="2335"/>
      <c r="BM94" s="2335"/>
      <c r="BN94" s="2335"/>
      <c r="BO94" s="2335"/>
      <c r="BP94" s="2335"/>
      <c r="BQ94" s="2335"/>
      <c r="BR94" s="2335"/>
      <c r="BS94" s="2335">
        <v>-1</v>
      </c>
      <c r="BT94" s="2335">
        <v>1</v>
      </c>
      <c r="BU94" s="2335"/>
      <c r="BV94" s="2335"/>
      <c r="BW94" s="2335"/>
      <c r="BX94" s="2335"/>
      <c r="BY94" s="2335"/>
      <c r="BZ94" s="2335"/>
      <c r="CA94" s="2335"/>
      <c r="CB94" s="2335"/>
      <c r="CC94" s="2335"/>
      <c r="CD94" s="2335"/>
      <c r="CE94" s="2335"/>
      <c r="CF94" s="2335"/>
      <c r="CG94" s="2335"/>
      <c r="CH94" s="2335"/>
      <c r="CI94" s="2335"/>
      <c r="CJ94" s="2335"/>
      <c r="CK94" s="2333"/>
      <c r="CL94" s="2336" t="s">
        <v>4776</v>
      </c>
      <c r="CM94" s="2334" t="s">
        <v>2004</v>
      </c>
      <c r="CN94" s="2335"/>
      <c r="CO94" s="2337" t="s">
        <v>4745</v>
      </c>
      <c r="CP94"/>
    </row>
    <row r="95" spans="2:94" ht="18" x14ac:dyDescent="0.25">
      <c r="B95" s="2331">
        <v>92</v>
      </c>
      <c r="C95" s="2332" t="s">
        <v>3326</v>
      </c>
      <c r="D95" s="2333" t="s">
        <v>4777</v>
      </c>
      <c r="E95" s="2334"/>
      <c r="F95" s="2334"/>
      <c r="G95" s="2334"/>
      <c r="H95" s="2334"/>
      <c r="I95" s="2334"/>
      <c r="J95" s="2467"/>
      <c r="K95" s="2335"/>
      <c r="L95" s="2334"/>
      <c r="M95" s="2334"/>
      <c r="N95" s="2334"/>
      <c r="O95" s="2334"/>
      <c r="P95" s="2334"/>
      <c r="Q95" s="2334"/>
      <c r="R95" s="2334"/>
      <c r="S95" s="2334"/>
      <c r="T95" s="2334"/>
      <c r="U95" s="2334"/>
      <c r="V95" s="2334"/>
      <c r="W95" s="2334"/>
      <c r="X95" s="2334"/>
      <c r="Y95" s="2334"/>
      <c r="Z95" s="2334"/>
      <c r="AA95" s="2334"/>
      <c r="AB95" s="2335"/>
      <c r="AC95" s="2335"/>
      <c r="AD95" s="2335"/>
      <c r="AE95" s="2335"/>
      <c r="AF95" s="2335"/>
      <c r="AG95" s="2474"/>
      <c r="AH95" s="2335"/>
      <c r="AI95" s="2335"/>
      <c r="AJ95" s="2335"/>
      <c r="AK95" s="2335"/>
      <c r="AL95" s="2335"/>
      <c r="AM95" s="2474"/>
      <c r="AN95" s="2335"/>
      <c r="AO95" s="2334"/>
      <c r="AP95" s="2335"/>
      <c r="AQ95" s="2335"/>
      <c r="AR95" s="2335"/>
      <c r="AS95" s="2334"/>
      <c r="AT95" s="2335"/>
      <c r="AU95" s="2335"/>
      <c r="AV95" s="2335"/>
      <c r="AW95" s="2335"/>
      <c r="AX95" s="2335"/>
      <c r="AY95" s="2335"/>
      <c r="AZ95" s="2335"/>
      <c r="BA95" s="2335"/>
      <c r="BB95" s="2335"/>
      <c r="BC95" s="2335"/>
      <c r="BD95" s="2335"/>
      <c r="BE95" s="2335"/>
      <c r="BF95" s="2335"/>
      <c r="BG95" s="2335"/>
      <c r="BH95" s="2335"/>
      <c r="BI95" s="2335"/>
      <c r="BJ95" s="2335"/>
      <c r="BK95" s="2335"/>
      <c r="BL95" s="2335"/>
      <c r="BM95" s="2335"/>
      <c r="BN95" s="2335"/>
      <c r="BO95" s="2335"/>
      <c r="BP95" s="2335"/>
      <c r="BQ95" s="2335"/>
      <c r="BR95" s="2335"/>
      <c r="BS95" s="2335"/>
      <c r="BT95" s="2335"/>
      <c r="BU95" s="2335">
        <v>-1</v>
      </c>
      <c r="BV95" s="2335">
        <v>1</v>
      </c>
      <c r="BW95" s="2335"/>
      <c r="BX95" s="2335"/>
      <c r="BY95" s="2335"/>
      <c r="BZ95" s="2335"/>
      <c r="CA95" s="2335"/>
      <c r="CB95" s="2335"/>
      <c r="CC95" s="2335"/>
      <c r="CD95" s="2335"/>
      <c r="CE95" s="2335"/>
      <c r="CF95" s="2335"/>
      <c r="CG95" s="2335"/>
      <c r="CH95" s="2335"/>
      <c r="CI95" s="2335"/>
      <c r="CJ95" s="2335"/>
      <c r="CK95" s="2333"/>
      <c r="CL95" s="2336" t="s">
        <v>4778</v>
      </c>
      <c r="CM95" s="2334" t="s">
        <v>2004</v>
      </c>
      <c r="CN95" s="2335"/>
      <c r="CO95" s="2337" t="s">
        <v>4745</v>
      </c>
      <c r="CP95"/>
    </row>
    <row r="96" spans="2:94" ht="18" x14ac:dyDescent="0.25">
      <c r="B96" s="1978">
        <v>93</v>
      </c>
      <c r="C96" s="1979" t="s">
        <v>3327</v>
      </c>
      <c r="D96" s="1113" t="s">
        <v>4076</v>
      </c>
      <c r="E96" s="1200"/>
      <c r="F96" s="1200"/>
      <c r="G96" s="1200"/>
      <c r="H96" s="1200"/>
      <c r="I96" s="1200"/>
      <c r="J96" s="2468"/>
      <c r="K96" s="1200"/>
      <c r="L96" s="1200"/>
      <c r="M96" s="1200"/>
      <c r="N96" s="1200"/>
      <c r="O96" s="1200"/>
      <c r="P96" s="1200"/>
      <c r="Q96" s="1200"/>
      <c r="R96" s="1200"/>
      <c r="S96" s="1200"/>
      <c r="T96" s="1200"/>
      <c r="U96" s="1200"/>
      <c r="V96" s="1200"/>
      <c r="W96" s="1200"/>
      <c r="X96" s="1200"/>
      <c r="Y96" s="1200"/>
      <c r="Z96" s="1979"/>
      <c r="AA96" s="1200"/>
      <c r="AB96" s="1200"/>
      <c r="AC96" s="1200"/>
      <c r="AD96" s="1200"/>
      <c r="AE96" s="1200"/>
      <c r="AF96" s="1200"/>
      <c r="AG96" s="2468"/>
      <c r="AH96" s="1200"/>
      <c r="AI96" s="1200"/>
      <c r="AJ96" s="1200"/>
      <c r="AK96" s="1200"/>
      <c r="AL96" s="1200"/>
      <c r="AM96" s="2468"/>
      <c r="AN96" s="1200"/>
      <c r="AO96" s="1200"/>
      <c r="AP96" s="1200"/>
      <c r="AQ96" s="1200"/>
      <c r="AR96" s="1200"/>
      <c r="AS96" s="1200"/>
      <c r="AT96" s="1200"/>
      <c r="AU96" s="1200"/>
      <c r="AV96" s="1200"/>
      <c r="AW96" s="1200"/>
      <c r="AX96" s="1200"/>
      <c r="AY96" s="1200"/>
      <c r="AZ96" s="1200"/>
      <c r="BA96" s="1200"/>
      <c r="BB96" s="1200"/>
      <c r="BC96" s="1200"/>
      <c r="BD96" s="1200"/>
      <c r="BE96" s="1200"/>
      <c r="BF96" s="1200"/>
      <c r="BG96" s="1200"/>
      <c r="BH96" s="1200"/>
      <c r="BI96" s="1200"/>
      <c r="BJ96" s="1200"/>
      <c r="BK96" s="1200"/>
      <c r="BL96" s="1200"/>
      <c r="BM96" s="1200"/>
      <c r="BN96" s="1200"/>
      <c r="BO96" s="1200"/>
      <c r="BP96" s="1200"/>
      <c r="BQ96" s="1200"/>
      <c r="BR96" s="1200"/>
      <c r="BS96" s="1979"/>
      <c r="BT96" s="1979"/>
      <c r="BU96" s="1979"/>
      <c r="BV96" s="1979"/>
      <c r="BW96" s="1200"/>
      <c r="BX96" s="1223">
        <v>1</v>
      </c>
      <c r="BY96" s="1817"/>
      <c r="BZ96" s="1200"/>
      <c r="CA96" s="1200"/>
      <c r="CB96" s="1200"/>
      <c r="CC96" s="1200"/>
      <c r="CD96" s="1200"/>
      <c r="CE96" s="1200"/>
      <c r="CF96" s="1200"/>
      <c r="CG96" s="1200"/>
      <c r="CH96" s="1200"/>
      <c r="CI96" s="1200"/>
      <c r="CJ96" s="1200"/>
      <c r="CK96" s="1200"/>
      <c r="CL96" s="1114" t="s">
        <v>4496</v>
      </c>
      <c r="CM96" s="1224" t="s">
        <v>4077</v>
      </c>
      <c r="CN96" s="1226"/>
      <c r="CO96" s="1252"/>
    </row>
    <row r="97" spans="1:94" ht="18" x14ac:dyDescent="0.25">
      <c r="B97" s="1980">
        <v>94</v>
      </c>
      <c r="C97" s="1981" t="s">
        <v>3348</v>
      </c>
      <c r="D97" s="633" t="s">
        <v>3113</v>
      </c>
      <c r="E97" s="634"/>
      <c r="F97" s="634"/>
      <c r="G97" s="634"/>
      <c r="H97" s="634"/>
      <c r="I97" s="634"/>
      <c r="J97" s="2469"/>
      <c r="K97" s="634"/>
      <c r="L97" s="634"/>
      <c r="M97" s="634"/>
      <c r="N97" s="634"/>
      <c r="O97" s="634"/>
      <c r="P97" s="634"/>
      <c r="Q97" s="634"/>
      <c r="R97" s="635"/>
      <c r="S97" s="634"/>
      <c r="T97" s="634"/>
      <c r="U97" s="634"/>
      <c r="V97" s="634"/>
      <c r="W97" s="634"/>
      <c r="X97" s="634"/>
      <c r="Y97" s="634"/>
      <c r="Z97" s="2042"/>
      <c r="AA97" s="634"/>
      <c r="AB97" s="634"/>
      <c r="AC97" s="634"/>
      <c r="AD97" s="634"/>
      <c r="AE97" s="634"/>
      <c r="AF97" s="634"/>
      <c r="AG97" s="2469"/>
      <c r="AH97" s="634"/>
      <c r="AI97" s="634"/>
      <c r="AJ97" s="634"/>
      <c r="AK97" s="634"/>
      <c r="AL97" s="634"/>
      <c r="AM97" s="2469"/>
      <c r="AN97" s="634"/>
      <c r="AO97" s="634"/>
      <c r="AP97" s="634"/>
      <c r="AQ97" s="634"/>
      <c r="AR97" s="634">
        <v>1</v>
      </c>
      <c r="AS97" s="634"/>
      <c r="AT97" s="634"/>
      <c r="AU97" s="634"/>
      <c r="AV97" s="634"/>
      <c r="AW97" s="634"/>
      <c r="AX97" s="634"/>
      <c r="AY97" s="635"/>
      <c r="AZ97" s="635"/>
      <c r="BA97" s="635"/>
      <c r="BB97" s="635"/>
      <c r="BC97" s="635"/>
      <c r="BD97" s="635"/>
      <c r="BE97" s="635"/>
      <c r="BF97" s="635"/>
      <c r="BG97" s="635"/>
      <c r="BH97" s="635"/>
      <c r="BI97" s="635"/>
      <c r="BJ97" s="635"/>
      <c r="BK97" s="635"/>
      <c r="BL97" s="635"/>
      <c r="BM97" s="635"/>
      <c r="BN97" s="635"/>
      <c r="BO97" s="635"/>
      <c r="BP97" s="1222"/>
      <c r="BQ97" s="635"/>
      <c r="BR97" s="635"/>
      <c r="BS97" s="1818"/>
      <c r="BT97" s="1818"/>
      <c r="BU97" s="1818"/>
      <c r="BV97" s="1818"/>
      <c r="BW97" s="635"/>
      <c r="BX97" s="1108"/>
      <c r="BY97" s="1818"/>
      <c r="BZ97" s="634">
        <v>-1</v>
      </c>
      <c r="CA97" s="634"/>
      <c r="CB97" s="634"/>
      <c r="CC97" s="634"/>
      <c r="CD97" s="634"/>
      <c r="CE97" s="634"/>
      <c r="CF97" s="635"/>
      <c r="CG97" s="635"/>
      <c r="CH97" s="635"/>
      <c r="CI97" s="635"/>
      <c r="CJ97" s="635"/>
      <c r="CK97" s="635"/>
      <c r="CL97" s="633" t="s">
        <v>3107</v>
      </c>
      <c r="CM97" s="634" t="s">
        <v>2004</v>
      </c>
      <c r="CN97" s="633"/>
      <c r="CO97" s="636"/>
    </row>
    <row r="98" spans="1:94" ht="18" x14ac:dyDescent="0.25">
      <c r="B98" s="1980">
        <v>95</v>
      </c>
      <c r="C98" s="1981" t="s">
        <v>3852</v>
      </c>
      <c r="D98" s="633" t="s">
        <v>3114</v>
      </c>
      <c r="E98" s="634"/>
      <c r="F98" s="634"/>
      <c r="G98" s="634"/>
      <c r="H98" s="634"/>
      <c r="I98" s="634"/>
      <c r="J98" s="2469"/>
      <c r="K98" s="634"/>
      <c r="L98" s="634"/>
      <c r="M98" s="634"/>
      <c r="N98" s="634"/>
      <c r="O98" s="634"/>
      <c r="P98" s="634"/>
      <c r="Q98" s="634"/>
      <c r="R98" s="635"/>
      <c r="S98" s="634"/>
      <c r="T98" s="634"/>
      <c r="U98" s="634"/>
      <c r="V98" s="634"/>
      <c r="W98" s="634"/>
      <c r="X98" s="634"/>
      <c r="Y98" s="634"/>
      <c r="Z98" s="2042"/>
      <c r="AA98" s="634"/>
      <c r="AB98" s="634"/>
      <c r="AC98" s="634"/>
      <c r="AD98" s="634"/>
      <c r="AE98" s="634"/>
      <c r="AF98" s="634"/>
      <c r="AG98" s="2469"/>
      <c r="AH98" s="634"/>
      <c r="AI98" s="634"/>
      <c r="AJ98" s="634"/>
      <c r="AK98" s="634"/>
      <c r="AL98" s="634"/>
      <c r="AM98" s="2469"/>
      <c r="AN98" s="634"/>
      <c r="AO98" s="634"/>
      <c r="AP98" s="634">
        <v>1</v>
      </c>
      <c r="AQ98" s="634"/>
      <c r="AR98" s="634"/>
      <c r="AS98" s="634"/>
      <c r="AT98" s="634"/>
      <c r="AU98" s="634"/>
      <c r="AV98" s="634"/>
      <c r="AW98" s="634"/>
      <c r="AX98" s="634"/>
      <c r="AY98" s="635"/>
      <c r="AZ98" s="635"/>
      <c r="BA98" s="635"/>
      <c r="BB98" s="635"/>
      <c r="BC98" s="635"/>
      <c r="BD98" s="635"/>
      <c r="BE98" s="635"/>
      <c r="BF98" s="635"/>
      <c r="BG98" s="635"/>
      <c r="BH98" s="635"/>
      <c r="BI98" s="635"/>
      <c r="BJ98" s="635"/>
      <c r="BK98" s="635"/>
      <c r="BL98" s="635"/>
      <c r="BM98" s="635"/>
      <c r="BN98" s="635"/>
      <c r="BO98" s="635"/>
      <c r="BP98" s="1222"/>
      <c r="BQ98" s="635"/>
      <c r="BR98" s="635"/>
      <c r="BS98" s="1818"/>
      <c r="BT98" s="1818"/>
      <c r="BU98" s="1818"/>
      <c r="BV98" s="1818"/>
      <c r="BW98" s="635"/>
      <c r="BX98" s="1108"/>
      <c r="BY98" s="1818"/>
      <c r="BZ98" s="634"/>
      <c r="CA98" s="634">
        <v>-1</v>
      </c>
      <c r="CB98" s="634"/>
      <c r="CC98" s="634"/>
      <c r="CD98" s="634"/>
      <c r="CE98" s="634"/>
      <c r="CF98" s="635"/>
      <c r="CG98" s="635"/>
      <c r="CH98" s="635"/>
      <c r="CI98" s="635"/>
      <c r="CJ98" s="635"/>
      <c r="CK98" s="635"/>
      <c r="CL98" s="633" t="s">
        <v>3108</v>
      </c>
      <c r="CM98" s="634" t="s">
        <v>2004</v>
      </c>
      <c r="CN98" s="633"/>
      <c r="CO98" s="636"/>
    </row>
    <row r="99" spans="1:94" ht="18" x14ac:dyDescent="0.25">
      <c r="B99" s="1980">
        <v>96</v>
      </c>
      <c r="C99" s="1981" t="s">
        <v>3853</v>
      </c>
      <c r="D99" s="633" t="s">
        <v>3115</v>
      </c>
      <c r="E99" s="634"/>
      <c r="F99" s="634"/>
      <c r="G99" s="634"/>
      <c r="H99" s="634"/>
      <c r="I99" s="634"/>
      <c r="J99" s="2469"/>
      <c r="K99" s="634"/>
      <c r="L99" s="634"/>
      <c r="M99" s="634"/>
      <c r="N99" s="634"/>
      <c r="O99" s="634"/>
      <c r="P99" s="634"/>
      <c r="Q99" s="634"/>
      <c r="R99" s="635"/>
      <c r="S99" s="634"/>
      <c r="T99" s="634"/>
      <c r="U99" s="634"/>
      <c r="V99" s="634"/>
      <c r="W99" s="634"/>
      <c r="X99" s="634"/>
      <c r="Y99" s="634"/>
      <c r="Z99" s="2042"/>
      <c r="AA99" s="634"/>
      <c r="AB99" s="634"/>
      <c r="AC99" s="634"/>
      <c r="AD99" s="634"/>
      <c r="AE99" s="634"/>
      <c r="AF99" s="634"/>
      <c r="AG99" s="2469"/>
      <c r="AH99" s="634"/>
      <c r="AI99" s="634"/>
      <c r="AJ99" s="634"/>
      <c r="AK99" s="634"/>
      <c r="AL99" s="634"/>
      <c r="AM99" s="2469"/>
      <c r="AN99" s="634"/>
      <c r="AO99" s="634"/>
      <c r="AP99" s="634"/>
      <c r="AQ99" s="634">
        <v>1</v>
      </c>
      <c r="AR99" s="634"/>
      <c r="AS99" s="634"/>
      <c r="AT99" s="634"/>
      <c r="AU99" s="634"/>
      <c r="AV99" s="634"/>
      <c r="AW99" s="634"/>
      <c r="AX99" s="634"/>
      <c r="AY99" s="635"/>
      <c r="AZ99" s="635"/>
      <c r="BA99" s="635"/>
      <c r="BB99" s="635"/>
      <c r="BC99" s="635"/>
      <c r="BD99" s="635"/>
      <c r="BE99" s="635"/>
      <c r="BF99" s="635"/>
      <c r="BG99" s="635"/>
      <c r="BH99" s="635"/>
      <c r="BI99" s="635"/>
      <c r="BJ99" s="635"/>
      <c r="BK99" s="635"/>
      <c r="BL99" s="635"/>
      <c r="BM99" s="635"/>
      <c r="BN99" s="635"/>
      <c r="BO99" s="635"/>
      <c r="BP99" s="1222"/>
      <c r="BQ99" s="635"/>
      <c r="BR99" s="635"/>
      <c r="BS99" s="1818"/>
      <c r="BT99" s="1818"/>
      <c r="BU99" s="1818"/>
      <c r="BV99" s="1818"/>
      <c r="BW99" s="635"/>
      <c r="BX99" s="1108"/>
      <c r="BY99" s="1818"/>
      <c r="BZ99" s="634"/>
      <c r="CA99" s="634"/>
      <c r="CB99" s="634">
        <v>-1</v>
      </c>
      <c r="CC99" s="634"/>
      <c r="CD99" s="634"/>
      <c r="CE99" s="634"/>
      <c r="CF99" s="635"/>
      <c r="CG99" s="635"/>
      <c r="CH99" s="635"/>
      <c r="CI99" s="635"/>
      <c r="CJ99" s="635"/>
      <c r="CK99" s="635"/>
      <c r="CL99" s="633" t="s">
        <v>3109</v>
      </c>
      <c r="CM99" s="634" t="s">
        <v>2004</v>
      </c>
      <c r="CN99" s="633"/>
      <c r="CO99" s="636"/>
    </row>
    <row r="100" spans="1:94" ht="18" x14ac:dyDescent="0.25">
      <c r="B100" s="1980">
        <v>97</v>
      </c>
      <c r="C100" s="1981" t="s">
        <v>4512</v>
      </c>
      <c r="D100" s="633" t="s">
        <v>3116</v>
      </c>
      <c r="E100" s="634"/>
      <c r="F100" s="634"/>
      <c r="G100" s="634"/>
      <c r="H100" s="634"/>
      <c r="I100" s="634"/>
      <c r="J100" s="2469"/>
      <c r="K100" s="634"/>
      <c r="L100" s="634"/>
      <c r="M100" s="634"/>
      <c r="N100" s="634"/>
      <c r="O100" s="634"/>
      <c r="P100" s="634"/>
      <c r="Q100" s="634"/>
      <c r="R100" s="635"/>
      <c r="S100" s="634"/>
      <c r="T100" s="634"/>
      <c r="U100" s="634"/>
      <c r="V100" s="634"/>
      <c r="W100" s="634"/>
      <c r="X100" s="634"/>
      <c r="Y100" s="634"/>
      <c r="Z100" s="2042"/>
      <c r="AA100" s="634"/>
      <c r="AB100" s="634"/>
      <c r="AC100" s="634"/>
      <c r="AD100" s="634"/>
      <c r="AE100" s="634"/>
      <c r="AF100" s="634"/>
      <c r="AG100" s="2469"/>
      <c r="AH100" s="634"/>
      <c r="AI100" s="634"/>
      <c r="AJ100" s="634"/>
      <c r="AK100" s="634"/>
      <c r="AL100" s="634"/>
      <c r="AM100" s="2469"/>
      <c r="AN100" s="634"/>
      <c r="AO100" s="634">
        <v>1</v>
      </c>
      <c r="AP100" s="634"/>
      <c r="AQ100" s="634"/>
      <c r="AR100" s="634"/>
      <c r="AS100" s="634"/>
      <c r="AT100" s="634"/>
      <c r="AU100" s="634"/>
      <c r="AV100" s="634"/>
      <c r="AW100" s="634"/>
      <c r="AX100" s="634"/>
      <c r="AY100" s="635"/>
      <c r="AZ100" s="635"/>
      <c r="BA100" s="635"/>
      <c r="BB100" s="635"/>
      <c r="BC100" s="635"/>
      <c r="BD100" s="635"/>
      <c r="BE100" s="635"/>
      <c r="BF100" s="635"/>
      <c r="BG100" s="635"/>
      <c r="BH100" s="635"/>
      <c r="BI100" s="635"/>
      <c r="BJ100" s="635"/>
      <c r="BK100" s="635"/>
      <c r="BL100" s="635"/>
      <c r="BM100" s="635"/>
      <c r="BN100" s="635"/>
      <c r="BO100" s="635"/>
      <c r="BP100" s="1222"/>
      <c r="BQ100" s="635"/>
      <c r="BR100" s="635"/>
      <c r="BS100" s="1818"/>
      <c r="BT100" s="1818"/>
      <c r="BU100" s="1818"/>
      <c r="BV100" s="1818"/>
      <c r="BW100" s="635"/>
      <c r="BX100" s="1108"/>
      <c r="BY100" s="1818"/>
      <c r="BZ100" s="634"/>
      <c r="CA100" s="634"/>
      <c r="CB100" s="634"/>
      <c r="CC100" s="634">
        <v>-1</v>
      </c>
      <c r="CD100" s="634"/>
      <c r="CE100" s="634"/>
      <c r="CF100" s="635"/>
      <c r="CG100" s="635"/>
      <c r="CH100" s="635"/>
      <c r="CI100" s="635"/>
      <c r="CJ100" s="635"/>
      <c r="CK100" s="635"/>
      <c r="CL100" s="633" t="s">
        <v>3110</v>
      </c>
      <c r="CM100" s="634" t="s">
        <v>2004</v>
      </c>
      <c r="CN100" s="633"/>
      <c r="CO100" s="636"/>
    </row>
    <row r="101" spans="1:94" ht="18" x14ac:dyDescent="0.25">
      <c r="B101" s="1980">
        <v>98</v>
      </c>
      <c r="C101" s="1981" t="s">
        <v>4556</v>
      </c>
      <c r="D101" s="633" t="s">
        <v>3117</v>
      </c>
      <c r="E101" s="634"/>
      <c r="F101" s="634"/>
      <c r="G101" s="634"/>
      <c r="H101" s="634"/>
      <c r="I101" s="634"/>
      <c r="J101" s="2469"/>
      <c r="K101" s="634"/>
      <c r="L101" s="634"/>
      <c r="M101" s="634"/>
      <c r="N101" s="634"/>
      <c r="O101" s="634"/>
      <c r="P101" s="634"/>
      <c r="Q101" s="634"/>
      <c r="R101" s="635"/>
      <c r="S101" s="634"/>
      <c r="T101" s="634"/>
      <c r="U101" s="634"/>
      <c r="V101" s="634"/>
      <c r="W101" s="634"/>
      <c r="X101" s="634"/>
      <c r="Y101" s="634"/>
      <c r="Z101" s="2042"/>
      <c r="AA101" s="634">
        <v>1</v>
      </c>
      <c r="AB101" s="634"/>
      <c r="AC101" s="634"/>
      <c r="AD101" s="634"/>
      <c r="AE101" s="634"/>
      <c r="AF101" s="634"/>
      <c r="AG101" s="2469"/>
      <c r="AH101" s="634"/>
      <c r="AI101" s="634"/>
      <c r="AJ101" s="634"/>
      <c r="AK101" s="634"/>
      <c r="AL101" s="634"/>
      <c r="AM101" s="2469"/>
      <c r="AN101" s="634"/>
      <c r="AO101" s="634"/>
      <c r="AP101" s="634"/>
      <c r="AQ101" s="634"/>
      <c r="AR101" s="634"/>
      <c r="AS101" s="634"/>
      <c r="AT101" s="634"/>
      <c r="AU101" s="634"/>
      <c r="AV101" s="634"/>
      <c r="AW101" s="634"/>
      <c r="AX101" s="634"/>
      <c r="AY101" s="635"/>
      <c r="AZ101" s="635"/>
      <c r="BA101" s="635"/>
      <c r="BB101" s="635"/>
      <c r="BC101" s="635"/>
      <c r="BD101" s="635"/>
      <c r="BE101" s="635"/>
      <c r="BF101" s="635"/>
      <c r="BG101" s="635"/>
      <c r="BH101" s="635"/>
      <c r="BI101" s="635"/>
      <c r="BJ101" s="635"/>
      <c r="BK101" s="635"/>
      <c r="BL101" s="635"/>
      <c r="BM101" s="635"/>
      <c r="BN101" s="635"/>
      <c r="BO101" s="635"/>
      <c r="BP101" s="1222"/>
      <c r="BQ101" s="635"/>
      <c r="BR101" s="635"/>
      <c r="BS101" s="1818"/>
      <c r="BT101" s="1818"/>
      <c r="BU101" s="1818"/>
      <c r="BV101" s="1818"/>
      <c r="BW101" s="635"/>
      <c r="BX101" s="1108"/>
      <c r="BY101" s="1818"/>
      <c r="BZ101" s="634"/>
      <c r="CA101" s="634"/>
      <c r="CB101" s="634"/>
      <c r="CC101" s="634"/>
      <c r="CD101" s="634">
        <v>-1</v>
      </c>
      <c r="CE101" s="634"/>
      <c r="CF101" s="635"/>
      <c r="CG101" s="635"/>
      <c r="CH101" s="635"/>
      <c r="CI101" s="635"/>
      <c r="CJ101" s="635"/>
      <c r="CK101" s="635"/>
      <c r="CL101" s="633" t="s">
        <v>3111</v>
      </c>
      <c r="CM101" s="634" t="s">
        <v>2004</v>
      </c>
      <c r="CN101" s="633"/>
      <c r="CO101" s="636"/>
    </row>
    <row r="102" spans="1:94" ht="18" x14ac:dyDescent="0.25">
      <c r="B102" s="1980">
        <v>99</v>
      </c>
      <c r="C102" s="1981" t="s">
        <v>4607</v>
      </c>
      <c r="D102" s="1253" t="s">
        <v>3118</v>
      </c>
      <c r="E102" s="1254"/>
      <c r="F102" s="1254"/>
      <c r="G102" s="1254"/>
      <c r="H102" s="1254"/>
      <c r="I102" s="1254"/>
      <c r="J102" s="2469"/>
      <c r="K102" s="1254"/>
      <c r="L102" s="1254"/>
      <c r="M102" s="1254"/>
      <c r="N102" s="1254"/>
      <c r="O102" s="1254"/>
      <c r="P102" s="1254"/>
      <c r="Q102" s="1254"/>
      <c r="R102" s="1108"/>
      <c r="S102" s="1254"/>
      <c r="T102" s="1254"/>
      <c r="U102" s="1254"/>
      <c r="V102" s="1254"/>
      <c r="W102" s="1254"/>
      <c r="X102" s="1254"/>
      <c r="Y102" s="1254"/>
      <c r="Z102" s="2042"/>
      <c r="AA102" s="1254"/>
      <c r="AB102" s="1254"/>
      <c r="AC102" s="1254"/>
      <c r="AD102" s="1254">
        <v>1</v>
      </c>
      <c r="AE102" s="1254"/>
      <c r="AF102" s="1254"/>
      <c r="AG102" s="2469"/>
      <c r="AH102" s="1254"/>
      <c r="AI102" s="1254"/>
      <c r="AJ102" s="1254"/>
      <c r="AK102" s="1254"/>
      <c r="AL102" s="1254"/>
      <c r="AM102" s="2469"/>
      <c r="AN102" s="1254"/>
      <c r="AO102" s="1254"/>
      <c r="AP102" s="1254"/>
      <c r="AQ102" s="1254"/>
      <c r="AR102" s="1254"/>
      <c r="AS102" s="1254"/>
      <c r="AT102" s="1254"/>
      <c r="AU102" s="1254"/>
      <c r="AV102" s="1254"/>
      <c r="AW102" s="1254"/>
      <c r="AX102" s="1254"/>
      <c r="AY102" s="1108"/>
      <c r="AZ102" s="1108"/>
      <c r="BA102" s="1108"/>
      <c r="BB102" s="1108"/>
      <c r="BC102" s="1108"/>
      <c r="BD102" s="1108"/>
      <c r="BE102" s="1108"/>
      <c r="BF102" s="1108"/>
      <c r="BG102" s="1108"/>
      <c r="BH102" s="1108"/>
      <c r="BI102" s="1108"/>
      <c r="BJ102" s="1108"/>
      <c r="BK102" s="1108"/>
      <c r="BL102" s="1108"/>
      <c r="BM102" s="1108"/>
      <c r="BN102" s="1108"/>
      <c r="BO102" s="1108"/>
      <c r="BP102" s="1254"/>
      <c r="BQ102" s="1108"/>
      <c r="BR102" s="1108"/>
      <c r="BS102" s="1818"/>
      <c r="BT102" s="1818"/>
      <c r="BU102" s="1818"/>
      <c r="BV102" s="1818"/>
      <c r="BW102" s="1108"/>
      <c r="BX102" s="1108"/>
      <c r="BY102" s="1818"/>
      <c r="BZ102" s="1254"/>
      <c r="CA102" s="1254"/>
      <c r="CB102" s="1254"/>
      <c r="CC102" s="1254"/>
      <c r="CD102" s="1254"/>
      <c r="CE102" s="1254">
        <v>-1</v>
      </c>
      <c r="CF102" s="1108"/>
      <c r="CG102" s="1108"/>
      <c r="CH102" s="1108"/>
      <c r="CI102" s="1108"/>
      <c r="CJ102" s="1108"/>
      <c r="CK102" s="1108"/>
      <c r="CL102" s="1253" t="s">
        <v>3112</v>
      </c>
      <c r="CM102" s="1254" t="s">
        <v>2004</v>
      </c>
      <c r="CN102" s="1253"/>
      <c r="CO102" s="1255"/>
    </row>
    <row r="103" spans="1:94" s="150" customFormat="1" ht="18" x14ac:dyDescent="0.25">
      <c r="A103"/>
      <c r="B103" s="1982">
        <v>100</v>
      </c>
      <c r="C103" s="1983" t="s">
        <v>4608</v>
      </c>
      <c r="D103" s="1256" t="s">
        <v>3094</v>
      </c>
      <c r="E103" s="1102"/>
      <c r="F103" s="1102"/>
      <c r="G103" s="1102"/>
      <c r="H103" s="1102"/>
      <c r="I103" s="1102"/>
      <c r="J103" s="2461"/>
      <c r="K103" s="1102"/>
      <c r="L103" s="1102"/>
      <c r="M103" s="1102"/>
      <c r="N103" s="1102"/>
      <c r="O103" s="1102"/>
      <c r="P103" s="1102"/>
      <c r="Q103" s="1102"/>
      <c r="R103" s="1102"/>
      <c r="S103" s="1102"/>
      <c r="T103" s="1102"/>
      <c r="U103" s="1102"/>
      <c r="V103" s="1102"/>
      <c r="W103" s="1102"/>
      <c r="X103" s="1102"/>
      <c r="Y103" s="1102"/>
      <c r="Z103" s="1810"/>
      <c r="AA103" s="1102"/>
      <c r="AB103" s="1102"/>
      <c r="AC103" s="1102"/>
      <c r="AD103" s="1102"/>
      <c r="AE103" s="1102"/>
      <c r="AF103" s="1102"/>
      <c r="AG103" s="2461"/>
      <c r="AH103" s="1102"/>
      <c r="AI103" s="1102"/>
      <c r="AJ103" s="1102"/>
      <c r="AK103" s="1102"/>
      <c r="AL103" s="1102"/>
      <c r="AM103" s="2461"/>
      <c r="AN103" s="1102"/>
      <c r="AO103" s="1102"/>
      <c r="AP103" s="1102"/>
      <c r="AQ103" s="1102"/>
      <c r="AR103" s="1102">
        <v>1</v>
      </c>
      <c r="AS103" s="1102"/>
      <c r="AT103" s="1102"/>
      <c r="AU103" s="1102"/>
      <c r="AV103" s="1102"/>
      <c r="AW103" s="1102"/>
      <c r="AX103" s="1102"/>
      <c r="AY103" s="1102"/>
      <c r="AZ103" s="1102"/>
      <c r="BA103" s="1102"/>
      <c r="BB103" s="1102"/>
      <c r="BC103" s="1102"/>
      <c r="BD103" s="1102"/>
      <c r="BE103" s="1102"/>
      <c r="BF103" s="1102"/>
      <c r="BG103" s="1102"/>
      <c r="BH103" s="1102"/>
      <c r="BI103" s="1102"/>
      <c r="BJ103" s="1102"/>
      <c r="BK103" s="1102"/>
      <c r="BL103" s="1102"/>
      <c r="BM103" s="1102"/>
      <c r="BN103" s="1102"/>
      <c r="BO103" s="1102"/>
      <c r="BP103" s="1102"/>
      <c r="BQ103" s="1102"/>
      <c r="BR103" s="1102"/>
      <c r="BS103" s="1810"/>
      <c r="BT103" s="1810"/>
      <c r="BU103" s="1810"/>
      <c r="BV103" s="1810"/>
      <c r="BW103" s="1102"/>
      <c r="BX103" s="1102"/>
      <c r="BY103" s="1810"/>
      <c r="BZ103" s="1102"/>
      <c r="CA103" s="1102"/>
      <c r="CB103" s="1102"/>
      <c r="CC103" s="1102"/>
      <c r="CD103" s="1102"/>
      <c r="CE103" s="1102"/>
      <c r="CF103" s="1101" t="s">
        <v>3095</v>
      </c>
      <c r="CG103" s="1102"/>
      <c r="CH103" s="1102"/>
      <c r="CI103" s="1102"/>
      <c r="CJ103" s="1102"/>
      <c r="CK103" s="1102"/>
      <c r="CL103" s="1256" t="s">
        <v>3096</v>
      </c>
      <c r="CM103" s="1102" t="s">
        <v>2004</v>
      </c>
      <c r="CN103" s="1256"/>
      <c r="CO103" s="1257"/>
      <c r="CP103" s="1025"/>
    </row>
    <row r="104" spans="1:94" s="150" customFormat="1" ht="18" x14ac:dyDescent="0.25">
      <c r="A104"/>
      <c r="B104" s="1982">
        <v>101</v>
      </c>
      <c r="C104" s="1983" t="s">
        <v>4609</v>
      </c>
      <c r="D104" s="689" t="s">
        <v>3097</v>
      </c>
      <c r="E104" s="690"/>
      <c r="F104" s="690"/>
      <c r="G104" s="690"/>
      <c r="H104" s="690"/>
      <c r="I104" s="690"/>
      <c r="J104" s="2461"/>
      <c r="K104" s="690"/>
      <c r="L104" s="690"/>
      <c r="M104" s="690"/>
      <c r="N104" s="690"/>
      <c r="O104" s="690"/>
      <c r="P104" s="690"/>
      <c r="Q104" s="690"/>
      <c r="R104" s="690"/>
      <c r="S104" s="690"/>
      <c r="T104" s="690"/>
      <c r="U104" s="690"/>
      <c r="V104" s="690"/>
      <c r="W104" s="690"/>
      <c r="X104" s="690"/>
      <c r="Y104" s="690"/>
      <c r="Z104" s="1810"/>
      <c r="AA104" s="690"/>
      <c r="AB104" s="690"/>
      <c r="AC104" s="690"/>
      <c r="AD104" s="690"/>
      <c r="AE104" s="690"/>
      <c r="AF104" s="690"/>
      <c r="AG104" s="2461"/>
      <c r="AH104" s="690"/>
      <c r="AI104" s="690"/>
      <c r="AJ104" s="690"/>
      <c r="AK104" s="690"/>
      <c r="AL104" s="690"/>
      <c r="AM104" s="2461"/>
      <c r="AN104" s="690"/>
      <c r="AO104" s="690"/>
      <c r="AP104" s="690">
        <v>1</v>
      </c>
      <c r="AQ104" s="690"/>
      <c r="AR104" s="690"/>
      <c r="AS104" s="690"/>
      <c r="AT104" s="690"/>
      <c r="AU104" s="690"/>
      <c r="AV104" s="690"/>
      <c r="AW104" s="690"/>
      <c r="AX104" s="690"/>
      <c r="AY104" s="690"/>
      <c r="AZ104" s="690"/>
      <c r="BA104" s="690"/>
      <c r="BB104" s="690"/>
      <c r="BC104" s="690"/>
      <c r="BD104" s="690"/>
      <c r="BE104" s="690"/>
      <c r="BF104" s="690"/>
      <c r="BG104" s="690"/>
      <c r="BH104" s="690"/>
      <c r="BI104" s="690"/>
      <c r="BJ104" s="690"/>
      <c r="BK104" s="690"/>
      <c r="BL104" s="690"/>
      <c r="BM104" s="690"/>
      <c r="BN104" s="690"/>
      <c r="BO104" s="690"/>
      <c r="BP104" s="1212"/>
      <c r="BQ104" s="690"/>
      <c r="BR104" s="690"/>
      <c r="BS104" s="1810"/>
      <c r="BT104" s="1810"/>
      <c r="BU104" s="1810"/>
      <c r="BV104" s="1810"/>
      <c r="BW104" s="690"/>
      <c r="BX104" s="1102"/>
      <c r="BY104" s="1810"/>
      <c r="BZ104" s="690"/>
      <c r="CA104" s="690"/>
      <c r="CB104" s="690"/>
      <c r="CC104" s="690"/>
      <c r="CD104" s="690"/>
      <c r="CE104" s="690"/>
      <c r="CF104" s="690"/>
      <c r="CG104" s="691" t="s">
        <v>3095</v>
      </c>
      <c r="CH104" s="690"/>
      <c r="CI104" s="690"/>
      <c r="CJ104" s="690"/>
      <c r="CK104" s="690"/>
      <c r="CL104" s="689" t="s">
        <v>3098</v>
      </c>
      <c r="CM104" s="690" t="s">
        <v>2004</v>
      </c>
      <c r="CN104" s="689"/>
      <c r="CO104" s="1225"/>
      <c r="CP104" s="1025"/>
    </row>
    <row r="105" spans="1:94" s="150" customFormat="1" ht="18" x14ac:dyDescent="0.25">
      <c r="A105"/>
      <c r="B105" s="1982">
        <v>102</v>
      </c>
      <c r="C105" s="1983" t="s">
        <v>4610</v>
      </c>
      <c r="D105" s="689" t="s">
        <v>3099</v>
      </c>
      <c r="E105" s="690"/>
      <c r="F105" s="690"/>
      <c r="G105" s="690"/>
      <c r="H105" s="690"/>
      <c r="I105" s="690"/>
      <c r="J105" s="2461"/>
      <c r="K105" s="690"/>
      <c r="L105" s="690"/>
      <c r="M105" s="690"/>
      <c r="N105" s="690"/>
      <c r="O105" s="690"/>
      <c r="P105" s="690"/>
      <c r="Q105" s="690"/>
      <c r="R105" s="690"/>
      <c r="S105" s="690"/>
      <c r="T105" s="690"/>
      <c r="U105" s="690"/>
      <c r="V105" s="690"/>
      <c r="W105" s="690"/>
      <c r="X105" s="690"/>
      <c r="Y105" s="690"/>
      <c r="Z105" s="1810"/>
      <c r="AA105" s="690"/>
      <c r="AB105" s="690"/>
      <c r="AC105" s="690"/>
      <c r="AD105" s="690"/>
      <c r="AE105" s="690"/>
      <c r="AF105" s="690"/>
      <c r="AG105" s="2461"/>
      <c r="AH105" s="690"/>
      <c r="AI105" s="690"/>
      <c r="AJ105" s="690"/>
      <c r="AK105" s="690"/>
      <c r="AL105" s="690"/>
      <c r="AM105" s="2461"/>
      <c r="AN105" s="690"/>
      <c r="AO105" s="690"/>
      <c r="AP105" s="690"/>
      <c r="AQ105" s="690">
        <v>1</v>
      </c>
      <c r="AR105" s="690"/>
      <c r="AS105" s="690"/>
      <c r="AT105" s="690"/>
      <c r="AU105" s="690"/>
      <c r="AV105" s="690"/>
      <c r="AW105" s="690"/>
      <c r="AX105" s="690"/>
      <c r="AY105" s="690"/>
      <c r="AZ105" s="690"/>
      <c r="BA105" s="690"/>
      <c r="BB105" s="690"/>
      <c r="BC105" s="690"/>
      <c r="BD105" s="690"/>
      <c r="BE105" s="690"/>
      <c r="BF105" s="690"/>
      <c r="BG105" s="690"/>
      <c r="BH105" s="690"/>
      <c r="BI105" s="690"/>
      <c r="BJ105" s="690"/>
      <c r="BK105" s="690"/>
      <c r="BL105" s="690"/>
      <c r="BM105" s="690"/>
      <c r="BN105" s="690"/>
      <c r="BO105" s="690"/>
      <c r="BP105" s="1212"/>
      <c r="BQ105" s="690"/>
      <c r="BR105" s="690"/>
      <c r="BS105" s="1810"/>
      <c r="BT105" s="1810"/>
      <c r="BU105" s="1810"/>
      <c r="BV105" s="1810"/>
      <c r="BW105" s="690"/>
      <c r="BX105" s="1102"/>
      <c r="BY105" s="1810"/>
      <c r="BZ105" s="690"/>
      <c r="CA105" s="690"/>
      <c r="CB105" s="690"/>
      <c r="CC105" s="690"/>
      <c r="CD105" s="690"/>
      <c r="CE105" s="690"/>
      <c r="CF105" s="690"/>
      <c r="CG105" s="690"/>
      <c r="CH105" s="691" t="s">
        <v>3095</v>
      </c>
      <c r="CI105" s="690"/>
      <c r="CJ105" s="690"/>
      <c r="CK105" s="690"/>
      <c r="CL105" s="689" t="s">
        <v>3100</v>
      </c>
      <c r="CM105" s="690" t="s">
        <v>2004</v>
      </c>
      <c r="CN105" s="689"/>
      <c r="CO105" s="1225"/>
      <c r="CP105" s="1025"/>
    </row>
    <row r="106" spans="1:94" s="150" customFormat="1" ht="18" x14ac:dyDescent="0.25">
      <c r="A106"/>
      <c r="B106" s="1982">
        <v>103</v>
      </c>
      <c r="C106" s="1983" t="s">
        <v>4779</v>
      </c>
      <c r="D106" s="689" t="s">
        <v>3101</v>
      </c>
      <c r="E106" s="690"/>
      <c r="F106" s="690"/>
      <c r="G106" s="690"/>
      <c r="H106" s="690"/>
      <c r="I106" s="690"/>
      <c r="J106" s="2461"/>
      <c r="K106" s="690"/>
      <c r="L106" s="690"/>
      <c r="M106" s="690"/>
      <c r="N106" s="690"/>
      <c r="O106" s="690"/>
      <c r="P106" s="690"/>
      <c r="Q106" s="690"/>
      <c r="R106" s="690"/>
      <c r="S106" s="690"/>
      <c r="T106" s="690"/>
      <c r="U106" s="690"/>
      <c r="V106" s="690"/>
      <c r="W106" s="690"/>
      <c r="X106" s="690"/>
      <c r="Y106" s="690"/>
      <c r="Z106" s="1810"/>
      <c r="AA106" s="690"/>
      <c r="AB106" s="690"/>
      <c r="AC106" s="690"/>
      <c r="AD106" s="690"/>
      <c r="AE106" s="690"/>
      <c r="AF106" s="690"/>
      <c r="AG106" s="2461"/>
      <c r="AH106" s="690"/>
      <c r="AI106" s="690"/>
      <c r="AJ106" s="690"/>
      <c r="AK106" s="690"/>
      <c r="AL106" s="690"/>
      <c r="AM106" s="2461"/>
      <c r="AN106" s="690"/>
      <c r="AO106" s="690">
        <v>1</v>
      </c>
      <c r="AP106" s="690"/>
      <c r="AQ106" s="690"/>
      <c r="AR106" s="690"/>
      <c r="AS106" s="690"/>
      <c r="AT106" s="690"/>
      <c r="AU106" s="690"/>
      <c r="AV106" s="690"/>
      <c r="AW106" s="690"/>
      <c r="AX106" s="690"/>
      <c r="AY106" s="690"/>
      <c r="AZ106" s="690"/>
      <c r="BA106" s="690"/>
      <c r="BB106" s="690"/>
      <c r="BC106" s="690"/>
      <c r="BD106" s="690"/>
      <c r="BE106" s="690"/>
      <c r="BF106" s="690"/>
      <c r="BG106" s="690"/>
      <c r="BH106" s="690"/>
      <c r="BI106" s="690"/>
      <c r="BJ106" s="690"/>
      <c r="BK106" s="690"/>
      <c r="BL106" s="690"/>
      <c r="BM106" s="690"/>
      <c r="BN106" s="690"/>
      <c r="BO106" s="690"/>
      <c r="BP106" s="1212"/>
      <c r="BQ106" s="690"/>
      <c r="BR106" s="690"/>
      <c r="BS106" s="1810"/>
      <c r="BT106" s="1810"/>
      <c r="BU106" s="1810"/>
      <c r="BV106" s="1810"/>
      <c r="BW106" s="690"/>
      <c r="BX106" s="1102"/>
      <c r="BY106" s="1810"/>
      <c r="BZ106" s="690"/>
      <c r="CA106" s="690"/>
      <c r="CB106" s="690"/>
      <c r="CC106" s="690"/>
      <c r="CD106" s="690"/>
      <c r="CE106" s="690"/>
      <c r="CF106" s="690"/>
      <c r="CG106" s="690"/>
      <c r="CH106" s="690"/>
      <c r="CI106" s="691" t="s">
        <v>3095</v>
      </c>
      <c r="CJ106" s="690"/>
      <c r="CK106" s="690"/>
      <c r="CL106" s="689" t="s">
        <v>3102</v>
      </c>
      <c r="CM106" s="690" t="s">
        <v>2004</v>
      </c>
      <c r="CN106" s="689"/>
      <c r="CO106" s="1225"/>
      <c r="CP106" s="1025"/>
    </row>
    <row r="107" spans="1:94" s="150" customFormat="1" ht="18" x14ac:dyDescent="0.25">
      <c r="A107"/>
      <c r="B107" s="1982">
        <v>104</v>
      </c>
      <c r="C107" s="1983" t="s">
        <v>4780</v>
      </c>
      <c r="D107" s="689" t="s">
        <v>3103</v>
      </c>
      <c r="E107" s="690"/>
      <c r="F107" s="690"/>
      <c r="G107" s="690"/>
      <c r="H107" s="690"/>
      <c r="I107" s="690"/>
      <c r="J107" s="2461"/>
      <c r="K107" s="690"/>
      <c r="L107" s="690"/>
      <c r="M107" s="690"/>
      <c r="N107" s="690"/>
      <c r="O107" s="690"/>
      <c r="P107" s="690"/>
      <c r="Q107" s="690"/>
      <c r="R107" s="690"/>
      <c r="S107" s="690"/>
      <c r="T107" s="690"/>
      <c r="U107" s="690"/>
      <c r="V107" s="690"/>
      <c r="W107" s="690"/>
      <c r="X107" s="690"/>
      <c r="Y107" s="690"/>
      <c r="Z107" s="1810"/>
      <c r="AA107" s="690">
        <v>1</v>
      </c>
      <c r="AB107" s="690"/>
      <c r="AC107" s="690"/>
      <c r="AD107" s="690"/>
      <c r="AE107" s="690"/>
      <c r="AF107" s="690"/>
      <c r="AG107" s="2461"/>
      <c r="AH107" s="690"/>
      <c r="AI107" s="690"/>
      <c r="AJ107" s="690"/>
      <c r="AK107" s="690"/>
      <c r="AL107" s="690"/>
      <c r="AM107" s="2461"/>
      <c r="AN107" s="690"/>
      <c r="AO107" s="690"/>
      <c r="AP107" s="690"/>
      <c r="AQ107" s="690"/>
      <c r="AR107" s="690"/>
      <c r="AS107" s="690"/>
      <c r="AT107" s="690"/>
      <c r="AU107" s="690"/>
      <c r="AV107" s="690"/>
      <c r="AW107" s="690"/>
      <c r="AX107" s="690"/>
      <c r="AY107" s="690"/>
      <c r="AZ107" s="690"/>
      <c r="BA107" s="690"/>
      <c r="BB107" s="690"/>
      <c r="BC107" s="690"/>
      <c r="BD107" s="690"/>
      <c r="BE107" s="690"/>
      <c r="BF107" s="690"/>
      <c r="BG107" s="690"/>
      <c r="BH107" s="690"/>
      <c r="BI107" s="690"/>
      <c r="BJ107" s="690"/>
      <c r="BK107" s="690"/>
      <c r="BL107" s="690"/>
      <c r="BM107" s="690"/>
      <c r="BN107" s="690"/>
      <c r="BO107" s="690"/>
      <c r="BP107" s="1212"/>
      <c r="BQ107" s="690"/>
      <c r="BR107" s="690"/>
      <c r="BS107" s="1810"/>
      <c r="BT107" s="1810"/>
      <c r="BU107" s="1810"/>
      <c r="BV107" s="1810"/>
      <c r="BW107" s="690"/>
      <c r="BX107" s="1102"/>
      <c r="BY107" s="1810"/>
      <c r="BZ107" s="690"/>
      <c r="CA107" s="690"/>
      <c r="CB107" s="690"/>
      <c r="CC107" s="690"/>
      <c r="CD107" s="690"/>
      <c r="CE107" s="690"/>
      <c r="CF107" s="690"/>
      <c r="CG107" s="690"/>
      <c r="CH107" s="690"/>
      <c r="CI107" s="690"/>
      <c r="CJ107" s="691" t="s">
        <v>3095</v>
      </c>
      <c r="CK107" s="690"/>
      <c r="CL107" s="689" t="s">
        <v>3104</v>
      </c>
      <c r="CM107" s="690" t="s">
        <v>2004</v>
      </c>
      <c r="CN107" s="689"/>
      <c r="CO107" s="1225"/>
      <c r="CP107" s="1025"/>
    </row>
    <row r="108" spans="1:94" s="150" customFormat="1" ht="18.75" thickBot="1" x14ac:dyDescent="0.3">
      <c r="A108"/>
      <c r="B108" s="1824">
        <v>105</v>
      </c>
      <c r="C108" s="1825" t="s">
        <v>5309</v>
      </c>
      <c r="D108" s="1826" t="s">
        <v>3105</v>
      </c>
      <c r="E108" s="1827"/>
      <c r="F108" s="1827"/>
      <c r="G108" s="1827"/>
      <c r="H108" s="1827"/>
      <c r="I108" s="1827"/>
      <c r="J108" s="2161"/>
      <c r="K108" s="1827"/>
      <c r="L108" s="1827"/>
      <c r="M108" s="1827"/>
      <c r="N108" s="1827"/>
      <c r="O108" s="1827"/>
      <c r="P108" s="1827"/>
      <c r="Q108" s="1827"/>
      <c r="R108" s="1827"/>
      <c r="S108" s="1827"/>
      <c r="T108" s="1827"/>
      <c r="U108" s="1827"/>
      <c r="V108" s="1827"/>
      <c r="W108" s="1827"/>
      <c r="X108" s="1827"/>
      <c r="Y108" s="1827"/>
      <c r="Z108" s="1827"/>
      <c r="AA108" s="1827"/>
      <c r="AB108" s="1827"/>
      <c r="AC108" s="1827"/>
      <c r="AD108" s="1827">
        <v>1</v>
      </c>
      <c r="AE108" s="1827"/>
      <c r="AF108" s="1827"/>
      <c r="AG108" s="2161"/>
      <c r="AH108" s="1827"/>
      <c r="AI108" s="1827"/>
      <c r="AJ108" s="1827"/>
      <c r="AK108" s="1827"/>
      <c r="AL108" s="1827"/>
      <c r="AM108" s="2161"/>
      <c r="AN108" s="1827"/>
      <c r="AO108" s="1827"/>
      <c r="AP108" s="1827"/>
      <c r="AQ108" s="1827"/>
      <c r="AR108" s="1827"/>
      <c r="AS108" s="1827"/>
      <c r="AT108" s="1827"/>
      <c r="AU108" s="1827"/>
      <c r="AV108" s="1827"/>
      <c r="AW108" s="1827"/>
      <c r="AX108" s="1827"/>
      <c r="AY108" s="1827"/>
      <c r="AZ108" s="1827"/>
      <c r="BA108" s="1827"/>
      <c r="BB108" s="1827"/>
      <c r="BC108" s="1827"/>
      <c r="BD108" s="1827"/>
      <c r="BE108" s="1827"/>
      <c r="BF108" s="1827"/>
      <c r="BG108" s="1827"/>
      <c r="BH108" s="1827"/>
      <c r="BI108" s="1827"/>
      <c r="BJ108" s="1827"/>
      <c r="BK108" s="1827"/>
      <c r="BL108" s="1827"/>
      <c r="BM108" s="1827"/>
      <c r="BN108" s="1827"/>
      <c r="BO108" s="1827"/>
      <c r="BP108" s="1827"/>
      <c r="BQ108" s="1827"/>
      <c r="BR108" s="1827"/>
      <c r="BS108" s="2161"/>
      <c r="BT108" s="2161"/>
      <c r="BU108" s="2161"/>
      <c r="BV108" s="2161"/>
      <c r="BW108" s="1827"/>
      <c r="BX108" s="1827"/>
      <c r="BY108" s="1827"/>
      <c r="BZ108" s="1827"/>
      <c r="CA108" s="1827"/>
      <c r="CB108" s="1827"/>
      <c r="CC108" s="1827"/>
      <c r="CD108" s="1827"/>
      <c r="CE108" s="1827"/>
      <c r="CF108" s="1827"/>
      <c r="CG108" s="1827"/>
      <c r="CH108" s="1827"/>
      <c r="CI108" s="1827"/>
      <c r="CJ108" s="1827"/>
      <c r="CK108" s="1828" t="s">
        <v>3095</v>
      </c>
      <c r="CL108" s="1826" t="s">
        <v>3106</v>
      </c>
      <c r="CM108" s="1827" t="s">
        <v>2004</v>
      </c>
      <c r="CN108" s="1826"/>
      <c r="CO108" s="1829"/>
      <c r="CP108" s="1025"/>
    </row>
    <row r="109" spans="1:94" ht="15.75" thickBot="1" x14ac:dyDescent="0.3"/>
    <row r="110" spans="1:94" ht="15.75" thickBot="1" x14ac:dyDescent="0.3">
      <c r="D110" s="1236" t="s">
        <v>6</v>
      </c>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1"/>
      <c r="AI110" s="71"/>
      <c r="AJ110" s="71"/>
      <c r="AK110" s="71"/>
      <c r="AL110" s="71"/>
      <c r="AM110" s="71"/>
      <c r="AN110" s="71"/>
      <c r="AO110" s="71"/>
      <c r="AP110" s="71"/>
      <c r="AQ110" s="71"/>
      <c r="AR110" s="71"/>
      <c r="AS110" s="71"/>
      <c r="AT110" s="71"/>
      <c r="AU110" s="71"/>
      <c r="AV110" s="71"/>
      <c r="AW110" s="71"/>
      <c r="AX110" s="71"/>
      <c r="AY110" s="71"/>
      <c r="AZ110" s="71"/>
      <c r="BA110" s="71"/>
      <c r="BB110" s="71"/>
      <c r="BC110" s="71"/>
      <c r="BD110" s="71"/>
      <c r="BE110" s="71"/>
      <c r="BF110" s="71"/>
      <c r="BG110" s="71"/>
      <c r="BH110" s="71"/>
      <c r="BI110" s="71"/>
      <c r="BJ110" s="71"/>
      <c r="BK110" s="71"/>
      <c r="BL110" s="71"/>
      <c r="BM110" s="71"/>
      <c r="BN110" s="71"/>
      <c r="BO110" s="71"/>
      <c r="BP110" s="1020"/>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1020"/>
    </row>
    <row r="111" spans="1:94" ht="18.75" x14ac:dyDescent="0.25">
      <c r="D111" s="1237" t="s">
        <v>148</v>
      </c>
      <c r="E111" s="288">
        <v>1</v>
      </c>
      <c r="F111" s="288">
        <v>1</v>
      </c>
      <c r="G111" s="288">
        <v>1</v>
      </c>
      <c r="H111" s="288">
        <v>1</v>
      </c>
      <c r="I111" s="288">
        <v>1</v>
      </c>
      <c r="J111" s="2470">
        <v>1</v>
      </c>
      <c r="K111" s="288">
        <v>1</v>
      </c>
      <c r="L111" s="288">
        <v>1</v>
      </c>
      <c r="M111" s="288">
        <v>1</v>
      </c>
      <c r="N111" s="288">
        <v>1</v>
      </c>
      <c r="O111" s="288">
        <v>1</v>
      </c>
      <c r="P111" s="288">
        <v>1</v>
      </c>
      <c r="Q111" s="288">
        <v>1</v>
      </c>
      <c r="R111" s="288">
        <v>1</v>
      </c>
      <c r="S111" s="288">
        <v>1</v>
      </c>
      <c r="T111" s="288">
        <v>1</v>
      </c>
      <c r="U111" s="288">
        <v>1</v>
      </c>
      <c r="V111" s="288">
        <v>1</v>
      </c>
      <c r="W111" s="288">
        <v>1</v>
      </c>
      <c r="X111" s="288">
        <v>1</v>
      </c>
      <c r="Y111" s="288">
        <v>1</v>
      </c>
      <c r="Z111" s="2043">
        <v>1</v>
      </c>
      <c r="AA111" s="288"/>
      <c r="AB111" s="289" t="s">
        <v>2416</v>
      </c>
      <c r="AC111" s="289" t="s">
        <v>1617</v>
      </c>
      <c r="AD111" s="289" t="s">
        <v>1618</v>
      </c>
      <c r="AE111" s="288"/>
      <c r="AF111" s="288"/>
      <c r="AG111" s="2470"/>
      <c r="AH111" s="288"/>
      <c r="AI111" s="288"/>
      <c r="AJ111" s="288"/>
      <c r="AK111" s="288"/>
      <c r="AL111" s="288"/>
      <c r="AM111" s="2470"/>
      <c r="AN111" s="288"/>
      <c r="AO111" s="288">
        <v>-1</v>
      </c>
      <c r="AP111" s="288">
        <v>1</v>
      </c>
      <c r="AQ111" s="288">
        <v>1</v>
      </c>
      <c r="AR111" s="288"/>
      <c r="AS111" s="288"/>
      <c r="AT111" s="288"/>
      <c r="AU111" s="288"/>
      <c r="AV111" s="288"/>
      <c r="AW111" s="288"/>
      <c r="AX111" s="288"/>
      <c r="AY111" s="288" t="s">
        <v>1344</v>
      </c>
      <c r="AZ111" s="288"/>
      <c r="BA111" s="288"/>
      <c r="BB111" s="288"/>
      <c r="BC111" s="288"/>
      <c r="BD111" s="288"/>
      <c r="BE111" s="288"/>
      <c r="BF111" s="288"/>
      <c r="BG111" s="288"/>
      <c r="BH111" s="288"/>
      <c r="BI111" s="288"/>
      <c r="BJ111" s="288"/>
      <c r="BK111" s="288"/>
      <c r="BL111" s="288"/>
      <c r="BM111" s="288"/>
      <c r="BN111" s="288"/>
      <c r="BO111" s="288"/>
      <c r="BP111" s="1227"/>
      <c r="BQ111" s="288"/>
      <c r="BR111" s="290" t="s">
        <v>1619</v>
      </c>
      <c r="BS111" s="2162"/>
      <c r="BT111" s="2162"/>
      <c r="BU111" s="2162"/>
      <c r="BV111" s="2162"/>
      <c r="BW111" s="290"/>
      <c r="BX111" s="1109"/>
      <c r="BY111" s="1819"/>
      <c r="BZ111" s="666"/>
      <c r="CA111" s="667" t="s">
        <v>3300</v>
      </c>
      <c r="CB111" s="667" t="s">
        <v>3300</v>
      </c>
      <c r="CC111" s="667" t="s">
        <v>1147</v>
      </c>
      <c r="CD111" s="666"/>
      <c r="CE111" s="667" t="s">
        <v>3301</v>
      </c>
      <c r="CF111" s="1228"/>
      <c r="CG111" s="1228" t="s">
        <v>3125</v>
      </c>
      <c r="CH111" s="1228" t="s">
        <v>3125</v>
      </c>
      <c r="CI111" s="1228" t="s">
        <v>3126</v>
      </c>
      <c r="CJ111" s="1228"/>
      <c r="CK111" s="1228" t="s">
        <v>3127</v>
      </c>
      <c r="CL111" s="1229"/>
    </row>
    <row r="112" spans="1:94" ht="18.75" x14ac:dyDescent="0.25">
      <c r="D112" s="1238" t="s">
        <v>258</v>
      </c>
      <c r="E112" s="201" t="s">
        <v>1953</v>
      </c>
      <c r="F112" s="201" t="s">
        <v>1954</v>
      </c>
      <c r="G112" s="201" t="s">
        <v>1955</v>
      </c>
      <c r="H112" s="201" t="s">
        <v>1954</v>
      </c>
      <c r="I112" s="201" t="s">
        <v>1954</v>
      </c>
      <c r="J112" s="2471" t="s">
        <v>5261</v>
      </c>
      <c r="K112" s="201" t="s">
        <v>1954</v>
      </c>
      <c r="L112" s="201" t="s">
        <v>1954</v>
      </c>
      <c r="M112" s="201" t="s">
        <v>1954</v>
      </c>
      <c r="N112" s="201" t="s">
        <v>1958</v>
      </c>
      <c r="O112" s="201" t="s">
        <v>1958</v>
      </c>
      <c r="P112" s="201" t="s">
        <v>1616</v>
      </c>
      <c r="Q112" s="201" t="s">
        <v>1616</v>
      </c>
      <c r="R112" s="201" t="s">
        <v>1616</v>
      </c>
      <c r="S112" s="201" t="s">
        <v>1616</v>
      </c>
      <c r="T112" s="201" t="s">
        <v>1616</v>
      </c>
      <c r="U112" s="201" t="s">
        <v>1616</v>
      </c>
      <c r="V112" s="201" t="s">
        <v>1616</v>
      </c>
      <c r="W112" s="201" t="s">
        <v>1616</v>
      </c>
      <c r="X112" s="201" t="s">
        <v>1616</v>
      </c>
      <c r="Y112" s="201" t="s">
        <v>1616</v>
      </c>
      <c r="Z112" s="1820" t="s">
        <v>4601</v>
      </c>
      <c r="AA112" s="201"/>
      <c r="AB112" s="287"/>
      <c r="AC112" s="287"/>
      <c r="AD112" s="287"/>
      <c r="AE112" s="201"/>
      <c r="AF112" s="201"/>
      <c r="AG112" s="2471"/>
      <c r="AH112" s="201"/>
      <c r="AI112" s="201"/>
      <c r="AJ112" s="201"/>
      <c r="AK112" s="201"/>
      <c r="AL112" s="201"/>
      <c r="AM112" s="2471"/>
      <c r="AN112" s="201"/>
      <c r="AO112" s="201"/>
      <c r="AP112" s="201" t="s">
        <v>1952</v>
      </c>
      <c r="AQ112" s="201"/>
      <c r="AR112" s="201">
        <v>1</v>
      </c>
      <c r="AS112" s="201"/>
      <c r="AT112" s="201"/>
      <c r="AU112" s="201"/>
      <c r="AV112" s="201"/>
      <c r="AW112" s="201"/>
      <c r="AX112" s="201"/>
      <c r="AY112" s="201"/>
      <c r="AZ112" s="201"/>
      <c r="BA112" s="201"/>
      <c r="BB112" s="201"/>
      <c r="BC112" s="201"/>
      <c r="BD112" s="201"/>
      <c r="BE112" s="201"/>
      <c r="BF112" s="201"/>
      <c r="BG112" s="201"/>
      <c r="BH112" s="201"/>
      <c r="BI112" s="201"/>
      <c r="BJ112" s="201"/>
      <c r="BK112" s="201"/>
      <c r="BL112" s="201"/>
      <c r="BM112" s="201"/>
      <c r="BN112" s="201" t="s">
        <v>2442</v>
      </c>
      <c r="BO112" s="201"/>
      <c r="BP112" s="1230"/>
      <c r="BQ112" s="201"/>
      <c r="BR112" s="202"/>
      <c r="BS112" s="1796"/>
      <c r="BT112" s="1796"/>
      <c r="BU112" s="1796"/>
      <c r="BV112" s="1796"/>
      <c r="BW112" s="202"/>
      <c r="BX112" s="1110"/>
      <c r="BY112" s="1796"/>
      <c r="BZ112" s="668" t="s">
        <v>3300</v>
      </c>
      <c r="CA112" s="669" t="s">
        <v>1952</v>
      </c>
      <c r="CB112" s="669"/>
      <c r="CC112" s="668"/>
      <c r="CD112" s="669"/>
      <c r="CE112" s="668"/>
      <c r="CF112" s="1231" t="s">
        <v>3125</v>
      </c>
      <c r="CG112" s="1231" t="s">
        <v>3128</v>
      </c>
      <c r="CH112" s="1231"/>
      <c r="CI112" s="1231"/>
      <c r="CJ112" s="1231"/>
      <c r="CK112" s="1231"/>
      <c r="CL112" s="1232"/>
    </row>
    <row r="113" spans="2:102" ht="18.75" x14ac:dyDescent="0.25">
      <c r="D113" s="1238" t="s">
        <v>254</v>
      </c>
      <c r="E113" s="201"/>
      <c r="F113" s="201"/>
      <c r="G113" s="201"/>
      <c r="H113" s="201" t="s">
        <v>1121</v>
      </c>
      <c r="I113" s="201"/>
      <c r="J113" s="2471"/>
      <c r="K113" s="201" t="s">
        <v>1122</v>
      </c>
      <c r="L113" s="201" t="s">
        <v>1056</v>
      </c>
      <c r="M113" s="201"/>
      <c r="N113" s="201"/>
      <c r="O113" s="201"/>
      <c r="P113" s="201" t="s">
        <v>2130</v>
      </c>
      <c r="Q113" s="201" t="s">
        <v>2130</v>
      </c>
      <c r="R113" s="201" t="s">
        <v>1620</v>
      </c>
      <c r="S113" s="201" t="s">
        <v>1620</v>
      </c>
      <c r="T113" s="201" t="s">
        <v>1620</v>
      </c>
      <c r="U113" s="201" t="s">
        <v>1620</v>
      </c>
      <c r="V113" s="201" t="s">
        <v>1620</v>
      </c>
      <c r="W113" s="201" t="s">
        <v>1620</v>
      </c>
      <c r="X113" s="201" t="s">
        <v>1620</v>
      </c>
      <c r="Y113" s="201" t="s">
        <v>1620</v>
      </c>
      <c r="Z113" s="1820" t="s">
        <v>4620</v>
      </c>
      <c r="AA113" s="201">
        <v>1</v>
      </c>
      <c r="AB113" s="201">
        <v>1</v>
      </c>
      <c r="AC113" s="201">
        <v>1</v>
      </c>
      <c r="AD113" s="201">
        <v>1</v>
      </c>
      <c r="AE113" s="201">
        <v>1</v>
      </c>
      <c r="AF113" s="201">
        <v>1</v>
      </c>
      <c r="AG113" s="2471">
        <v>1</v>
      </c>
      <c r="AH113" s="201">
        <v>1</v>
      </c>
      <c r="AI113" s="201"/>
      <c r="AJ113" s="201"/>
      <c r="AK113" s="201"/>
      <c r="AL113" s="201"/>
      <c r="AM113" s="2471"/>
      <c r="AN113" s="201"/>
      <c r="AO113" s="201"/>
      <c r="AP113" s="201"/>
      <c r="AQ113" s="201"/>
      <c r="AR113" s="201"/>
      <c r="AS113" s="201"/>
      <c r="AT113" s="201"/>
      <c r="AU113" s="201"/>
      <c r="AV113" s="201"/>
      <c r="AW113" s="201"/>
      <c r="AX113" s="201"/>
      <c r="AY113" s="201"/>
      <c r="AZ113" s="201"/>
      <c r="BA113" s="201"/>
      <c r="BB113" s="201"/>
      <c r="BC113" s="201"/>
      <c r="BD113" s="201"/>
      <c r="BE113" s="201"/>
      <c r="BF113" s="201"/>
      <c r="BG113" s="201"/>
      <c r="BH113" s="201"/>
      <c r="BI113" s="201"/>
      <c r="BJ113" s="201"/>
      <c r="BK113" s="201"/>
      <c r="BL113" s="201"/>
      <c r="BM113" s="201"/>
      <c r="BN113" s="201"/>
      <c r="BO113" s="201"/>
      <c r="BP113" s="1230"/>
      <c r="BQ113" s="201" t="s">
        <v>1621</v>
      </c>
      <c r="BR113" s="201"/>
      <c r="BS113" s="1820"/>
      <c r="BT113" s="1820"/>
      <c r="BU113" s="1820"/>
      <c r="BV113" s="1820"/>
      <c r="BW113" s="201"/>
      <c r="BX113" s="1111"/>
      <c r="BY113" s="1820"/>
      <c r="BZ113" s="669"/>
      <c r="CA113" s="669"/>
      <c r="CB113" s="669"/>
      <c r="CC113" s="669"/>
      <c r="CD113" s="668" t="s">
        <v>3300</v>
      </c>
      <c r="CE113" s="668" t="s">
        <v>3300</v>
      </c>
      <c r="CF113" s="657"/>
      <c r="CG113" s="657"/>
      <c r="CH113" s="657"/>
      <c r="CI113" s="657"/>
      <c r="CJ113" s="657" t="s">
        <v>3125</v>
      </c>
      <c r="CK113" s="657" t="s">
        <v>3125</v>
      </c>
      <c r="CL113" s="291"/>
    </row>
    <row r="114" spans="2:102" ht="18" x14ac:dyDescent="0.25">
      <c r="D114" s="1238" t="s">
        <v>255</v>
      </c>
      <c r="E114" s="201"/>
      <c r="F114" s="201"/>
      <c r="G114" s="201"/>
      <c r="H114" s="201" t="s">
        <v>1057</v>
      </c>
      <c r="I114" s="201"/>
      <c r="J114" s="2471"/>
      <c r="K114" s="201" t="s">
        <v>1059</v>
      </c>
      <c r="L114" s="201" t="s">
        <v>1058</v>
      </c>
      <c r="M114" s="201"/>
      <c r="N114" s="201"/>
      <c r="O114" s="201"/>
      <c r="P114" s="201" t="s">
        <v>1622</v>
      </c>
      <c r="Q114" s="201" t="s">
        <v>1622</v>
      </c>
      <c r="R114" s="201" t="s">
        <v>1622</v>
      </c>
      <c r="S114" s="201" t="s">
        <v>1622</v>
      </c>
      <c r="T114" s="201" t="s">
        <v>1622</v>
      </c>
      <c r="U114" s="201" t="s">
        <v>1622</v>
      </c>
      <c r="V114" s="201" t="s">
        <v>1622</v>
      </c>
      <c r="W114" s="201" t="s">
        <v>1622</v>
      </c>
      <c r="X114" s="201" t="s">
        <v>1622</v>
      </c>
      <c r="Y114" s="201" t="s">
        <v>1622</v>
      </c>
      <c r="Z114" s="1820" t="s">
        <v>4621</v>
      </c>
      <c r="AA114" s="201"/>
      <c r="AB114" s="201"/>
      <c r="AC114" s="201"/>
      <c r="AD114" s="201"/>
      <c r="AE114" s="201"/>
      <c r="AF114" s="201"/>
      <c r="AG114" s="2471"/>
      <c r="AH114" s="201"/>
      <c r="AI114" s="201">
        <v>1</v>
      </c>
      <c r="AJ114" s="201">
        <v>1</v>
      </c>
      <c r="AK114" s="201">
        <v>1</v>
      </c>
      <c r="AL114" s="201">
        <v>1</v>
      </c>
      <c r="AM114" s="2471">
        <v>1</v>
      </c>
      <c r="AN114" s="201">
        <v>1</v>
      </c>
      <c r="AO114" s="201"/>
      <c r="AP114" s="201"/>
      <c r="AQ114" s="201"/>
      <c r="AR114" s="201"/>
      <c r="AS114" s="201"/>
      <c r="AT114" s="201"/>
      <c r="AU114" s="201"/>
      <c r="AV114" s="201"/>
      <c r="AW114" s="201"/>
      <c r="AX114" s="201"/>
      <c r="AY114" s="202"/>
      <c r="AZ114" s="201"/>
      <c r="BA114" s="201"/>
      <c r="BB114" s="202"/>
      <c r="BC114" s="1230" t="s">
        <v>3888</v>
      </c>
      <c r="BD114" s="1230" t="s">
        <v>3889</v>
      </c>
      <c r="BE114" s="1230" t="s">
        <v>3888</v>
      </c>
      <c r="BF114" s="1230" t="s">
        <v>3889</v>
      </c>
      <c r="BG114" s="201"/>
      <c r="BH114" s="201"/>
      <c r="BI114" s="202"/>
      <c r="BJ114" s="1111" t="s">
        <v>3903</v>
      </c>
      <c r="BK114" s="1111" t="s">
        <v>3904</v>
      </c>
      <c r="BL114" s="1111" t="s">
        <v>3903</v>
      </c>
      <c r="BM114" s="1111" t="s">
        <v>3904</v>
      </c>
      <c r="BN114" s="202"/>
      <c r="BO114" s="201" t="s">
        <v>1623</v>
      </c>
      <c r="BP114" s="1230" t="s">
        <v>3746</v>
      </c>
      <c r="BQ114" s="201" t="s">
        <v>1624</v>
      </c>
      <c r="BR114" s="202" t="s">
        <v>1625</v>
      </c>
      <c r="BS114" s="1796"/>
      <c r="BT114" s="1796"/>
      <c r="BU114" s="1796"/>
      <c r="BV114" s="1796"/>
      <c r="BW114" s="202"/>
      <c r="BX114" s="1110"/>
      <c r="BY114" s="1796"/>
      <c r="BZ114" s="669"/>
      <c r="CA114" s="669"/>
      <c r="CB114" s="669"/>
      <c r="CC114" s="669"/>
      <c r="CD114" s="669"/>
      <c r="CE114" s="669"/>
      <c r="CF114" s="657"/>
      <c r="CG114" s="657"/>
      <c r="CH114" s="657"/>
      <c r="CI114" s="657"/>
      <c r="CJ114" s="657"/>
      <c r="CK114" s="657"/>
      <c r="CL114" s="291"/>
    </row>
    <row r="115" spans="2:102" ht="18" x14ac:dyDescent="0.25">
      <c r="D115" s="1238" t="s">
        <v>1112</v>
      </c>
      <c r="E115" s="201"/>
      <c r="F115" s="201"/>
      <c r="G115" s="201"/>
      <c r="H115" s="201"/>
      <c r="I115" s="201"/>
      <c r="J115" s="2471"/>
      <c r="K115" s="201"/>
      <c r="L115" s="201"/>
      <c r="M115" s="201"/>
      <c r="N115" s="201"/>
      <c r="O115" s="201"/>
      <c r="P115" s="201"/>
      <c r="Q115" s="201"/>
      <c r="R115" s="201"/>
      <c r="S115" s="201"/>
      <c r="T115" s="201"/>
      <c r="U115" s="201"/>
      <c r="V115" s="201"/>
      <c r="W115" s="201"/>
      <c r="X115" s="201"/>
      <c r="Y115" s="201"/>
      <c r="Z115" s="1820"/>
      <c r="AA115" s="201"/>
      <c r="AB115" s="201"/>
      <c r="AC115" s="201"/>
      <c r="AD115" s="201"/>
      <c r="AE115" s="201"/>
      <c r="AF115" s="201"/>
      <c r="AG115" s="2471"/>
      <c r="AH115" s="201"/>
      <c r="AI115" s="201"/>
      <c r="AJ115" s="201"/>
      <c r="AK115" s="201"/>
      <c r="AL115" s="201"/>
      <c r="AM115" s="2471"/>
      <c r="AN115" s="201"/>
      <c r="AO115" s="201"/>
      <c r="AP115" s="201"/>
      <c r="AQ115" s="201"/>
      <c r="AR115" s="201"/>
      <c r="AS115" s="1233" t="s">
        <v>3572</v>
      </c>
      <c r="AT115" s="201">
        <v>1</v>
      </c>
      <c r="AU115" s="201"/>
      <c r="AV115" s="201"/>
      <c r="AW115" s="201"/>
      <c r="AX115" s="201"/>
      <c r="AY115" s="202"/>
      <c r="AZ115" s="201"/>
      <c r="BA115" s="201"/>
      <c r="BB115" s="202"/>
      <c r="BC115" s="202"/>
      <c r="BD115" s="201"/>
      <c r="BE115" s="202"/>
      <c r="BF115" s="202"/>
      <c r="BG115" s="201"/>
      <c r="BH115" s="201"/>
      <c r="BI115" s="202"/>
      <c r="BJ115" s="202"/>
      <c r="BK115" s="201"/>
      <c r="BL115" s="202"/>
      <c r="BM115" s="202"/>
      <c r="BN115" s="202"/>
      <c r="BO115" s="202"/>
      <c r="BP115" s="1234"/>
      <c r="BQ115" s="201"/>
      <c r="BR115" s="202"/>
      <c r="BS115" s="1796"/>
      <c r="BT115" s="1796"/>
      <c r="BU115" s="1796"/>
      <c r="BV115" s="1796"/>
      <c r="BW115" s="202"/>
      <c r="BX115" s="1110"/>
      <c r="BY115" s="1796"/>
      <c r="BZ115" s="669"/>
      <c r="CA115" s="669"/>
      <c r="CB115" s="669"/>
      <c r="CC115" s="669"/>
      <c r="CD115" s="669"/>
      <c r="CE115" s="669"/>
      <c r="CF115" s="657"/>
      <c r="CG115" s="657"/>
      <c r="CH115" s="657"/>
      <c r="CI115" s="657"/>
      <c r="CJ115" s="657"/>
      <c r="CK115" s="657"/>
      <c r="CL115" s="291"/>
    </row>
    <row r="116" spans="2:102" ht="18" x14ac:dyDescent="0.25">
      <c r="D116" s="1238" t="s">
        <v>474</v>
      </c>
      <c r="E116" s="201"/>
      <c r="F116" s="201"/>
      <c r="G116" s="201"/>
      <c r="H116" s="201"/>
      <c r="I116" s="201"/>
      <c r="J116" s="2471"/>
      <c r="K116" s="201"/>
      <c r="L116" s="201"/>
      <c r="M116" s="201"/>
      <c r="N116" s="201"/>
      <c r="O116" s="201"/>
      <c r="P116" s="201"/>
      <c r="Q116" s="201"/>
      <c r="R116" s="201"/>
      <c r="S116" s="201"/>
      <c r="T116" s="201"/>
      <c r="U116" s="201"/>
      <c r="V116" s="201"/>
      <c r="W116" s="201"/>
      <c r="X116" s="201"/>
      <c r="Y116" s="201"/>
      <c r="Z116" s="1820"/>
      <c r="AA116" s="201"/>
      <c r="AB116" s="201"/>
      <c r="AC116" s="201"/>
      <c r="AD116" s="201"/>
      <c r="AE116" s="201"/>
      <c r="AF116" s="201"/>
      <c r="AG116" s="2471"/>
      <c r="AH116" s="201"/>
      <c r="AI116" s="201"/>
      <c r="AJ116" s="201" t="s">
        <v>1626</v>
      </c>
      <c r="AK116" s="201"/>
      <c r="AL116" s="201"/>
      <c r="AM116" s="2471"/>
      <c r="AN116" s="201"/>
      <c r="AO116" s="201"/>
      <c r="AP116" s="201"/>
      <c r="AQ116" s="201"/>
      <c r="AR116" s="201"/>
      <c r="AS116" s="1233"/>
      <c r="AT116" s="201"/>
      <c r="AU116" s="201"/>
      <c r="AV116" s="201"/>
      <c r="AW116" s="201"/>
      <c r="AX116" s="201">
        <v>1</v>
      </c>
      <c r="AY116" s="201"/>
      <c r="AZ116" s="201"/>
      <c r="BA116" s="201"/>
      <c r="BB116" s="201"/>
      <c r="BC116" s="201"/>
      <c r="BD116" s="201"/>
      <c r="BE116" s="201"/>
      <c r="BF116" s="201"/>
      <c r="BG116" s="201"/>
      <c r="BH116" s="201"/>
      <c r="BI116" s="201"/>
      <c r="BJ116" s="201"/>
      <c r="BK116" s="201"/>
      <c r="BL116" s="201"/>
      <c r="BM116" s="201"/>
      <c r="BN116" s="201"/>
      <c r="BO116" s="201"/>
      <c r="BP116" s="1230"/>
      <c r="BQ116" s="201"/>
      <c r="BR116" s="201"/>
      <c r="BS116" s="1820"/>
      <c r="BT116" s="1820"/>
      <c r="BU116" s="1820"/>
      <c r="BV116" s="1820"/>
      <c r="BW116" s="201"/>
      <c r="BX116" s="1111"/>
      <c r="BY116" s="1820"/>
      <c r="BZ116" s="201"/>
      <c r="CA116" s="201"/>
      <c r="CB116" s="201"/>
      <c r="CC116" s="201"/>
      <c r="CD116" s="201"/>
      <c r="CE116" s="291"/>
      <c r="CF116" s="657"/>
      <c r="CG116" s="657"/>
      <c r="CH116" s="657"/>
      <c r="CI116" s="657"/>
      <c r="CJ116" s="657"/>
      <c r="CK116" s="657"/>
      <c r="CL116" s="291"/>
    </row>
    <row r="117" spans="2:102" ht="18" x14ac:dyDescent="0.25">
      <c r="D117" s="1238" t="s">
        <v>985</v>
      </c>
      <c r="E117" s="201"/>
      <c r="F117" s="201"/>
      <c r="G117" s="201"/>
      <c r="H117" s="201"/>
      <c r="I117" s="201"/>
      <c r="J117" s="2471"/>
      <c r="K117" s="201"/>
      <c r="L117" s="201"/>
      <c r="M117" s="201"/>
      <c r="N117" s="201"/>
      <c r="O117" s="201"/>
      <c r="P117" s="201"/>
      <c r="Q117" s="201"/>
      <c r="R117" s="201"/>
      <c r="S117" s="201"/>
      <c r="T117" s="201"/>
      <c r="U117" s="201"/>
      <c r="V117" s="201"/>
      <c r="W117" s="201"/>
      <c r="X117" s="201"/>
      <c r="Y117" s="201"/>
      <c r="Z117" s="1820"/>
      <c r="AA117" s="201"/>
      <c r="AB117" s="201"/>
      <c r="AC117" s="201"/>
      <c r="AD117" s="201"/>
      <c r="AE117" s="201"/>
      <c r="AF117" s="201"/>
      <c r="AG117" s="2471"/>
      <c r="AH117" s="201"/>
      <c r="AI117" s="201"/>
      <c r="AJ117" s="201" t="s">
        <v>1627</v>
      </c>
      <c r="AK117" s="201"/>
      <c r="AL117" s="201"/>
      <c r="AM117" s="2471"/>
      <c r="AN117" s="201"/>
      <c r="AO117" s="201"/>
      <c r="AP117" s="201"/>
      <c r="AQ117" s="201"/>
      <c r="AR117" s="201"/>
      <c r="AS117" s="1233" t="s">
        <v>3554</v>
      </c>
      <c r="AT117" s="201"/>
      <c r="AU117" s="201"/>
      <c r="AV117" s="201">
        <v>1</v>
      </c>
      <c r="AW117" s="201"/>
      <c r="AX117" s="201"/>
      <c r="AY117" s="201"/>
      <c r="AZ117" s="201"/>
      <c r="BA117" s="201"/>
      <c r="BB117" s="201"/>
      <c r="BC117" s="201"/>
      <c r="BD117" s="201"/>
      <c r="BE117" s="201"/>
      <c r="BF117" s="201"/>
      <c r="BG117" s="201"/>
      <c r="BH117" s="201"/>
      <c r="BI117" s="201"/>
      <c r="BJ117" s="201"/>
      <c r="BK117" s="201"/>
      <c r="BL117" s="201"/>
      <c r="BM117" s="201"/>
      <c r="BN117" s="201" t="s">
        <v>1628</v>
      </c>
      <c r="BO117" s="201" t="s">
        <v>1629</v>
      </c>
      <c r="BP117" s="1230" t="s">
        <v>3747</v>
      </c>
      <c r="BQ117" s="201"/>
      <c r="BR117" s="201"/>
      <c r="BS117" s="1820"/>
      <c r="BT117" s="1820"/>
      <c r="BU117" s="1820"/>
      <c r="BV117" s="1820"/>
      <c r="BW117" s="201"/>
      <c r="BX117" s="1111"/>
      <c r="BY117" s="1820"/>
      <c r="BZ117" s="201"/>
      <c r="CA117" s="201"/>
      <c r="CB117" s="201"/>
      <c r="CC117" s="201"/>
      <c r="CD117" s="201"/>
      <c r="CE117" s="291"/>
      <c r="CF117" s="657"/>
      <c r="CG117" s="657"/>
      <c r="CH117" s="657"/>
      <c r="CI117" s="657"/>
      <c r="CJ117" s="657"/>
      <c r="CK117" s="657"/>
      <c r="CL117" s="291"/>
    </row>
    <row r="118" spans="2:102" ht="18" x14ac:dyDescent="0.25">
      <c r="D118" s="1238" t="s">
        <v>986</v>
      </c>
      <c r="E118" s="201"/>
      <c r="F118" s="201"/>
      <c r="G118" s="201"/>
      <c r="H118" s="201"/>
      <c r="I118" s="201"/>
      <c r="J118" s="2471"/>
      <c r="K118" s="201"/>
      <c r="L118" s="201"/>
      <c r="M118" s="201"/>
      <c r="N118" s="201"/>
      <c r="O118" s="201"/>
      <c r="P118" s="201"/>
      <c r="Q118" s="201"/>
      <c r="R118" s="201"/>
      <c r="S118" s="201"/>
      <c r="T118" s="201"/>
      <c r="U118" s="201"/>
      <c r="V118" s="201"/>
      <c r="W118" s="201"/>
      <c r="X118" s="201"/>
      <c r="Y118" s="201"/>
      <c r="Z118" s="1820"/>
      <c r="AA118" s="201"/>
      <c r="AB118" s="201"/>
      <c r="AC118" s="201"/>
      <c r="AD118" s="201"/>
      <c r="AE118" s="201"/>
      <c r="AF118" s="201"/>
      <c r="AG118" s="2471"/>
      <c r="AH118" s="201"/>
      <c r="AI118" s="201"/>
      <c r="AJ118" s="201" t="s">
        <v>1630</v>
      </c>
      <c r="AK118" s="201"/>
      <c r="AL118" s="201"/>
      <c r="AM118" s="2471"/>
      <c r="AN118" s="201"/>
      <c r="AO118" s="201"/>
      <c r="AP118" s="201"/>
      <c r="AQ118" s="201"/>
      <c r="AR118" s="201"/>
      <c r="AS118" s="1233" t="s">
        <v>3557</v>
      </c>
      <c r="AT118" s="201"/>
      <c r="AU118" s="201"/>
      <c r="AV118" s="201"/>
      <c r="AW118" s="201">
        <v>1</v>
      </c>
      <c r="AX118" s="201"/>
      <c r="AY118" s="201"/>
      <c r="AZ118" s="201"/>
      <c r="BA118" s="201"/>
      <c r="BB118" s="201"/>
      <c r="BC118" s="201"/>
      <c r="BD118" s="201"/>
      <c r="BE118" s="201"/>
      <c r="BF118" s="201"/>
      <c r="BG118" s="201"/>
      <c r="BH118" s="201"/>
      <c r="BI118" s="201"/>
      <c r="BJ118" s="201"/>
      <c r="BK118" s="201"/>
      <c r="BL118" s="201"/>
      <c r="BM118" s="201"/>
      <c r="BN118" s="201"/>
      <c r="BO118" s="201"/>
      <c r="BP118" s="1230"/>
      <c r="BQ118" s="201" t="s">
        <v>1631</v>
      </c>
      <c r="BR118" s="201"/>
      <c r="BS118" s="1820"/>
      <c r="BT118" s="1820"/>
      <c r="BU118" s="1820"/>
      <c r="BV118" s="1820"/>
      <c r="BW118" s="201"/>
      <c r="BX118" s="1111"/>
      <c r="BY118" s="1820"/>
      <c r="BZ118" s="201"/>
      <c r="CA118" s="201"/>
      <c r="CB118" s="201"/>
      <c r="CC118" s="201"/>
      <c r="CD118" s="201"/>
      <c r="CE118" s="291"/>
      <c r="CF118" s="657"/>
      <c r="CG118" s="657"/>
      <c r="CH118" s="657"/>
      <c r="CI118" s="657"/>
      <c r="CJ118" s="657"/>
      <c r="CK118" s="657"/>
      <c r="CL118" s="291"/>
    </row>
    <row r="119" spans="2:102" ht="18" x14ac:dyDescent="0.25">
      <c r="D119" s="1238" t="s">
        <v>142</v>
      </c>
      <c r="E119" s="201"/>
      <c r="F119" s="201"/>
      <c r="G119" s="201"/>
      <c r="H119" s="201"/>
      <c r="I119" s="201"/>
      <c r="J119" s="2471"/>
      <c r="K119" s="201"/>
      <c r="L119" s="201"/>
      <c r="M119" s="201"/>
      <c r="N119" s="201"/>
      <c r="O119" s="201"/>
      <c r="P119" s="201"/>
      <c r="Q119" s="201"/>
      <c r="R119" s="201"/>
      <c r="S119" s="201"/>
      <c r="T119" s="201"/>
      <c r="U119" s="201"/>
      <c r="V119" s="201"/>
      <c r="W119" s="201"/>
      <c r="X119" s="201"/>
      <c r="Y119" s="201"/>
      <c r="Z119" s="1820"/>
      <c r="AA119" s="201"/>
      <c r="AB119" s="201"/>
      <c r="AC119" s="201"/>
      <c r="AD119" s="201"/>
      <c r="AE119" s="201"/>
      <c r="AF119" s="201"/>
      <c r="AG119" s="2471"/>
      <c r="AH119" s="201"/>
      <c r="AI119" s="201"/>
      <c r="AJ119" s="201"/>
      <c r="AK119" s="201"/>
      <c r="AL119" s="201"/>
      <c r="AM119" s="2471"/>
      <c r="AN119" s="201"/>
      <c r="AO119" s="201"/>
      <c r="AP119" s="201"/>
      <c r="AQ119" s="201"/>
      <c r="AR119" s="201"/>
      <c r="AS119" s="1233" t="s">
        <v>3573</v>
      </c>
      <c r="AT119" s="201"/>
      <c r="AU119" s="201">
        <v>1</v>
      </c>
      <c r="AV119" s="201"/>
      <c r="AW119" s="201"/>
      <c r="AX119" s="201"/>
      <c r="AY119" s="201"/>
      <c r="AZ119" s="201"/>
      <c r="BA119" s="201"/>
      <c r="BB119" s="201"/>
      <c r="BC119" s="201"/>
      <c r="BD119" s="201"/>
      <c r="BE119" s="201"/>
      <c r="BF119" s="201"/>
      <c r="BG119" s="201"/>
      <c r="BH119" s="201"/>
      <c r="BI119" s="201"/>
      <c r="BJ119" s="201"/>
      <c r="BK119" s="201"/>
      <c r="BL119" s="201"/>
      <c r="BM119" s="201"/>
      <c r="BN119" s="201"/>
      <c r="BO119" s="201"/>
      <c r="BP119" s="1230"/>
      <c r="BQ119" s="201"/>
      <c r="BR119" s="201"/>
      <c r="BS119" s="1820"/>
      <c r="BT119" s="1820"/>
      <c r="BU119" s="1820"/>
      <c r="BV119" s="1820"/>
      <c r="BW119" s="201"/>
      <c r="BX119" s="1111"/>
      <c r="BY119" s="1820"/>
      <c r="BZ119" s="201"/>
      <c r="CA119" s="201"/>
      <c r="CB119" s="201"/>
      <c r="CC119" s="201"/>
      <c r="CD119" s="201"/>
      <c r="CE119" s="291"/>
      <c r="CF119" s="657"/>
      <c r="CG119" s="657"/>
      <c r="CH119" s="657"/>
      <c r="CI119" s="657"/>
      <c r="CJ119" s="657"/>
      <c r="CK119" s="657"/>
      <c r="CL119" s="291"/>
    </row>
    <row r="120" spans="2:102" ht="18" x14ac:dyDescent="0.25">
      <c r="D120" s="1238" t="s">
        <v>2956</v>
      </c>
      <c r="E120" s="201"/>
      <c r="F120" s="201"/>
      <c r="G120" s="201"/>
      <c r="H120" s="201"/>
      <c r="I120" s="201"/>
      <c r="J120" s="2471"/>
      <c r="K120" s="201"/>
      <c r="L120" s="201"/>
      <c r="M120" s="201"/>
      <c r="N120" s="201"/>
      <c r="O120" s="201"/>
      <c r="P120" s="201"/>
      <c r="Q120" s="201"/>
      <c r="R120" s="201"/>
      <c r="S120" s="201"/>
      <c r="T120" s="201"/>
      <c r="U120" s="201"/>
      <c r="V120" s="201"/>
      <c r="W120" s="201"/>
      <c r="X120" s="201"/>
      <c r="Y120" s="201"/>
      <c r="Z120" s="1820"/>
      <c r="AA120" s="201"/>
      <c r="AB120" s="201"/>
      <c r="AC120" s="201"/>
      <c r="AD120" s="201"/>
      <c r="AE120" s="201"/>
      <c r="AF120" s="201"/>
      <c r="AG120" s="2471"/>
      <c r="AH120" s="201"/>
      <c r="AI120" s="201"/>
      <c r="AJ120" s="201"/>
      <c r="AK120" s="201"/>
      <c r="AL120" s="201"/>
      <c r="AM120" s="2471"/>
      <c r="AN120" s="201"/>
      <c r="AO120" s="201"/>
      <c r="AP120" s="201"/>
      <c r="AQ120" s="201"/>
      <c r="AR120" s="201"/>
      <c r="AS120" s="201"/>
      <c r="AT120" s="201"/>
      <c r="AU120" s="201"/>
      <c r="AV120" s="201"/>
      <c r="AW120" s="201"/>
      <c r="AX120" s="201"/>
      <c r="AY120" s="201">
        <v>1</v>
      </c>
      <c r="AZ120" s="201">
        <v>1</v>
      </c>
      <c r="BA120" s="201">
        <v>1</v>
      </c>
      <c r="BB120" s="201">
        <v>1</v>
      </c>
      <c r="BC120" s="201">
        <v>1</v>
      </c>
      <c r="BD120" s="201">
        <v>1</v>
      </c>
      <c r="BE120" s="201">
        <v>1</v>
      </c>
      <c r="BF120" s="201">
        <v>1</v>
      </c>
      <c r="BG120" s="201">
        <v>1</v>
      </c>
      <c r="BH120" s="201">
        <v>1</v>
      </c>
      <c r="BI120" s="201">
        <v>1</v>
      </c>
      <c r="BJ120" s="201">
        <v>1</v>
      </c>
      <c r="BK120" s="201">
        <v>1</v>
      </c>
      <c r="BL120" s="201">
        <v>1</v>
      </c>
      <c r="BM120" s="201">
        <v>1</v>
      </c>
      <c r="BN120" s="201"/>
      <c r="BO120" s="201"/>
      <c r="BP120" s="1230"/>
      <c r="BQ120" s="201"/>
      <c r="BR120" s="201" t="s">
        <v>1632</v>
      </c>
      <c r="BS120" s="1820"/>
      <c r="BT120" s="1820"/>
      <c r="BU120" s="1820"/>
      <c r="BV120" s="1820"/>
      <c r="BW120" s="201"/>
      <c r="BX120" s="1111"/>
      <c r="BY120" s="1820"/>
      <c r="BZ120" s="201"/>
      <c r="CA120" s="201"/>
      <c r="CB120" s="201"/>
      <c r="CC120" s="201"/>
      <c r="CD120" s="201"/>
      <c r="CE120" s="291"/>
      <c r="CF120" s="657"/>
      <c r="CG120" s="657"/>
      <c r="CH120" s="657"/>
      <c r="CI120" s="657"/>
      <c r="CJ120" s="657"/>
      <c r="CK120" s="657"/>
      <c r="CL120" s="291"/>
    </row>
    <row r="121" spans="2:102" ht="15.75" thickBot="1" x14ac:dyDescent="0.3">
      <c r="D121" s="1239" t="s">
        <v>2957</v>
      </c>
      <c r="E121" s="254"/>
      <c r="F121" s="254"/>
      <c r="G121" s="254"/>
      <c r="H121" s="254"/>
      <c r="I121" s="254"/>
      <c r="J121" s="2472"/>
      <c r="K121" s="254"/>
      <c r="L121" s="254"/>
      <c r="M121" s="254"/>
      <c r="N121" s="254"/>
      <c r="O121" s="254"/>
      <c r="P121" s="254"/>
      <c r="Q121" s="254"/>
      <c r="R121" s="254"/>
      <c r="S121" s="254"/>
      <c r="T121" s="254"/>
      <c r="U121" s="254"/>
      <c r="V121" s="254"/>
      <c r="W121" s="254"/>
      <c r="X121" s="254"/>
      <c r="Y121" s="254"/>
      <c r="Z121" s="2044"/>
      <c r="AA121" s="254"/>
      <c r="AB121" s="254"/>
      <c r="AC121" s="254"/>
      <c r="AD121" s="254"/>
      <c r="AE121" s="254"/>
      <c r="AF121" s="254"/>
      <c r="AG121" s="2472"/>
      <c r="AH121" s="254"/>
      <c r="AI121" s="254"/>
      <c r="AJ121" s="254"/>
      <c r="AK121" s="254"/>
      <c r="AL121" s="254"/>
      <c r="AM121" s="2472"/>
      <c r="AN121" s="254"/>
      <c r="AO121" s="254"/>
      <c r="AP121" s="254"/>
      <c r="AQ121" s="254"/>
      <c r="AR121" s="254"/>
      <c r="AS121" s="254"/>
      <c r="AT121" s="254"/>
      <c r="AU121" s="254"/>
      <c r="AV121" s="254"/>
      <c r="AW121" s="254"/>
      <c r="AX121" s="254"/>
      <c r="AY121" s="255"/>
      <c r="AZ121" s="254"/>
      <c r="BA121" s="254"/>
      <c r="BB121" s="255"/>
      <c r="BC121" s="255"/>
      <c r="BD121" s="254"/>
      <c r="BE121" s="255"/>
      <c r="BF121" s="255"/>
      <c r="BG121" s="254"/>
      <c r="BH121" s="254"/>
      <c r="BI121" s="255"/>
      <c r="BJ121" s="255"/>
      <c r="BK121" s="254"/>
      <c r="BL121" s="255"/>
      <c r="BM121" s="255"/>
      <c r="BN121" s="255"/>
      <c r="BO121" s="255"/>
      <c r="BP121" s="1235"/>
      <c r="BQ121" s="254"/>
      <c r="BR121" s="255"/>
      <c r="BS121" s="2163"/>
      <c r="BT121" s="2163"/>
      <c r="BU121" s="2163"/>
      <c r="BV121" s="2163"/>
      <c r="BW121" s="255"/>
      <c r="BX121" s="1112"/>
      <c r="BY121" s="1821"/>
      <c r="BZ121" s="254"/>
      <c r="CA121" s="254"/>
      <c r="CB121" s="254"/>
      <c r="CC121" s="254"/>
      <c r="CD121" s="254"/>
      <c r="CE121" s="292"/>
      <c r="CF121" s="658"/>
      <c r="CG121" s="658"/>
      <c r="CH121" s="658"/>
      <c r="CI121" s="658"/>
      <c r="CJ121" s="658"/>
      <c r="CK121" s="658"/>
      <c r="CL121" s="292"/>
    </row>
    <row r="124" spans="2:102" x14ac:dyDescent="0.25">
      <c r="CL124"/>
    </row>
    <row r="126" spans="2:102" ht="15.75" thickBot="1" x14ac:dyDescent="0.3">
      <c r="CN126" s="4" t="s">
        <v>4049</v>
      </c>
    </row>
    <row r="127" spans="2:102" ht="38.25" thickBot="1" x14ac:dyDescent="0.3">
      <c r="B127" s="566" t="s">
        <v>93</v>
      </c>
      <c r="C127" s="567"/>
      <c r="D127" s="570" t="s">
        <v>1</v>
      </c>
      <c r="E127" s="568" t="s">
        <v>803</v>
      </c>
      <c r="F127" s="568" t="s">
        <v>804</v>
      </c>
      <c r="G127" s="568" t="s">
        <v>805</v>
      </c>
      <c r="H127" s="568" t="s">
        <v>806</v>
      </c>
      <c r="I127" s="568" t="s">
        <v>807</v>
      </c>
      <c r="J127" s="2431" t="s">
        <v>5252</v>
      </c>
      <c r="K127" s="568" t="s">
        <v>808</v>
      </c>
      <c r="L127" s="568" t="s">
        <v>809</v>
      </c>
      <c r="M127" s="568" t="s">
        <v>810</v>
      </c>
      <c r="N127" s="2431" t="s">
        <v>5142</v>
      </c>
      <c r="O127" s="2431" t="s">
        <v>5143</v>
      </c>
      <c r="P127" s="568" t="s">
        <v>811</v>
      </c>
      <c r="Q127" s="568" t="s">
        <v>1727</v>
      </c>
      <c r="R127" s="568" t="s">
        <v>812</v>
      </c>
      <c r="S127" s="568" t="s">
        <v>4080</v>
      </c>
      <c r="T127" s="568" t="s">
        <v>813</v>
      </c>
      <c r="U127" s="568" t="s">
        <v>2194</v>
      </c>
      <c r="V127" s="568" t="s">
        <v>2193</v>
      </c>
      <c r="W127" s="568" t="s">
        <v>2213</v>
      </c>
      <c r="X127" s="568" t="s">
        <v>814</v>
      </c>
      <c r="Y127" s="568" t="s">
        <v>815</v>
      </c>
      <c r="Z127" s="2037" t="s">
        <v>4615</v>
      </c>
      <c r="AA127" s="568" t="s">
        <v>816</v>
      </c>
      <c r="AB127" s="568" t="s">
        <v>2191</v>
      </c>
      <c r="AC127" s="568" t="s">
        <v>2192</v>
      </c>
      <c r="AD127" s="568" t="s">
        <v>817</v>
      </c>
      <c r="AE127" s="568" t="s">
        <v>818</v>
      </c>
      <c r="AF127" s="568" t="s">
        <v>820</v>
      </c>
      <c r="AG127" s="2431" t="s">
        <v>5253</v>
      </c>
      <c r="AH127" s="568" t="s">
        <v>821</v>
      </c>
      <c r="AI127" s="568" t="s">
        <v>822</v>
      </c>
      <c r="AJ127" s="568" t="s">
        <v>2104</v>
      </c>
      <c r="AK127" s="568" t="s">
        <v>823</v>
      </c>
      <c r="AL127" s="568" t="s">
        <v>824</v>
      </c>
      <c r="AM127" s="2431" t="s">
        <v>5254</v>
      </c>
      <c r="AN127" s="568" t="s">
        <v>825</v>
      </c>
      <c r="AO127" s="568" t="s">
        <v>826</v>
      </c>
      <c r="AP127" s="568" t="s">
        <v>828</v>
      </c>
      <c r="AQ127" s="568" t="s">
        <v>829</v>
      </c>
      <c r="AR127" s="568" t="s">
        <v>830</v>
      </c>
      <c r="AS127" s="568" t="s">
        <v>831</v>
      </c>
      <c r="AT127" s="568" t="s">
        <v>1158</v>
      </c>
      <c r="AU127" s="568" t="s">
        <v>1159</v>
      </c>
      <c r="AV127" s="568" t="s">
        <v>997</v>
      </c>
      <c r="AW127" s="568" t="s">
        <v>1633</v>
      </c>
      <c r="AX127" s="568" t="s">
        <v>1043</v>
      </c>
      <c r="AY127" s="568" t="s">
        <v>1597</v>
      </c>
      <c r="AZ127" s="568" t="s">
        <v>1634</v>
      </c>
      <c r="BA127" s="568" t="s">
        <v>1635</v>
      </c>
      <c r="BB127" s="568" t="s">
        <v>1636</v>
      </c>
      <c r="BC127" s="568" t="s">
        <v>1637</v>
      </c>
      <c r="BD127" s="568" t="s">
        <v>1638</v>
      </c>
      <c r="BE127" s="568" t="s">
        <v>1639</v>
      </c>
      <c r="BF127" s="568" t="s">
        <v>1640</v>
      </c>
      <c r="BG127" s="914" t="s">
        <v>3738</v>
      </c>
      <c r="BH127" s="914" t="s">
        <v>3739</v>
      </c>
      <c r="BI127" s="914" t="s">
        <v>3740</v>
      </c>
      <c r="BJ127" s="914" t="s">
        <v>3741</v>
      </c>
      <c r="BK127" s="914" t="s">
        <v>3742</v>
      </c>
      <c r="BL127" s="914" t="s">
        <v>3743</v>
      </c>
      <c r="BM127" s="914" t="s">
        <v>3744</v>
      </c>
      <c r="BN127" s="569" t="s">
        <v>999</v>
      </c>
      <c r="BO127" s="569" t="s">
        <v>1131</v>
      </c>
      <c r="BP127" s="917" t="s">
        <v>3745</v>
      </c>
      <c r="BQ127" s="569" t="s">
        <v>354</v>
      </c>
      <c r="BR127" s="568" t="s">
        <v>1113</v>
      </c>
      <c r="BS127" s="568" t="s">
        <v>4771</v>
      </c>
      <c r="BT127" s="568" t="s">
        <v>4772</v>
      </c>
      <c r="BU127" s="568" t="s">
        <v>4773</v>
      </c>
      <c r="BV127" s="568" t="s">
        <v>4774</v>
      </c>
      <c r="BW127" s="568" t="s">
        <v>4731</v>
      </c>
      <c r="BX127" s="1115" t="s">
        <v>4075</v>
      </c>
      <c r="BY127" s="2164" t="s">
        <v>4508</v>
      </c>
      <c r="BZ127" s="567" t="s">
        <v>1641</v>
      </c>
      <c r="CA127" s="567" t="s">
        <v>1642</v>
      </c>
      <c r="CB127" s="567" t="s">
        <v>1643</v>
      </c>
      <c r="CC127" s="567" t="s">
        <v>1644</v>
      </c>
      <c r="CD127" s="567" t="s">
        <v>1050</v>
      </c>
      <c r="CE127" s="567" t="s">
        <v>1645</v>
      </c>
      <c r="CF127" s="567" t="s">
        <v>3088</v>
      </c>
      <c r="CG127" s="567" t="s">
        <v>3089</v>
      </c>
      <c r="CH127" s="567" t="s">
        <v>3090</v>
      </c>
      <c r="CI127" s="567" t="s">
        <v>3091</v>
      </c>
      <c r="CJ127" s="567" t="s">
        <v>3092</v>
      </c>
      <c r="CK127" s="567" t="s">
        <v>3093</v>
      </c>
      <c r="CL127" s="570" t="s">
        <v>1219</v>
      </c>
      <c r="CN127" s="2825" t="s">
        <v>148</v>
      </c>
      <c r="CO127" s="2825" t="s">
        <v>258</v>
      </c>
      <c r="CP127" s="2825" t="s">
        <v>254</v>
      </c>
      <c r="CQ127" s="2825" t="s">
        <v>255</v>
      </c>
      <c r="CR127" s="2825" t="s">
        <v>1112</v>
      </c>
      <c r="CS127" s="2825" t="s">
        <v>474</v>
      </c>
      <c r="CT127" s="2825" t="s">
        <v>985</v>
      </c>
      <c r="CU127" s="2825" t="s">
        <v>986</v>
      </c>
      <c r="CV127" s="2825" t="s">
        <v>142</v>
      </c>
      <c r="CW127" s="2825" t="s">
        <v>2956</v>
      </c>
      <c r="CX127" s="2825" t="s">
        <v>2957</v>
      </c>
    </row>
    <row r="128" spans="2:102" ht="18" x14ac:dyDescent="0.25">
      <c r="B128" s="1242">
        <v>1</v>
      </c>
      <c r="C128" s="1190" t="s">
        <v>223</v>
      </c>
      <c r="D128" s="432" t="s">
        <v>1646</v>
      </c>
      <c r="E128" s="2652">
        <f>-1/Y_OHO_VFA_ox</f>
        <v>-1.6666666666666667</v>
      </c>
      <c r="F128" s="2686">
        <f>0</f>
        <v>0</v>
      </c>
      <c r="G128" s="2686">
        <f>0</f>
        <v>0</v>
      </c>
      <c r="H128" s="2686">
        <f>0</f>
        <v>0</v>
      </c>
      <c r="I128" s="2686">
        <f>0</f>
        <v>0</v>
      </c>
      <c r="J128" s="2690">
        <f>0</f>
        <v>0</v>
      </c>
      <c r="K128" s="2686">
        <f>0</f>
        <v>0</v>
      </c>
      <c r="L128" s="2686">
        <f>0</f>
        <v>0</v>
      </c>
      <c r="M128" s="2686">
        <f>0</f>
        <v>0</v>
      </c>
      <c r="N128" s="2686">
        <f>0</f>
        <v>0</v>
      </c>
      <c r="O128" s="2686">
        <f>0</f>
        <v>0</v>
      </c>
      <c r="P128" s="2686">
        <f>0</f>
        <v>0</v>
      </c>
      <c r="Q128" s="2686">
        <f>0</f>
        <v>0</v>
      </c>
      <c r="R128" s="2686">
        <f>1</f>
        <v>1</v>
      </c>
      <c r="S128" s="2686">
        <f>0</f>
        <v>0</v>
      </c>
      <c r="T128" s="2686">
        <f>0</f>
        <v>0</v>
      </c>
      <c r="U128" s="2686">
        <f>0</f>
        <v>0</v>
      </c>
      <c r="V128" s="2686">
        <f>0</f>
        <v>0</v>
      </c>
      <c r="W128" s="2686">
        <f>0</f>
        <v>0</v>
      </c>
      <c r="X128" s="2686">
        <f>0</f>
        <v>0</v>
      </c>
      <c r="Y128" s="2686">
        <f>0</f>
        <v>0</v>
      </c>
      <c r="Z128" s="2686">
        <f>0</f>
        <v>0</v>
      </c>
      <c r="AA128" s="2652">
        <f>-i_N_BIO</f>
        <v>-7.0000000000000007E-2</v>
      </c>
      <c r="AB128" s="2686">
        <f>0</f>
        <v>0</v>
      </c>
      <c r="AC128" s="2686">
        <f>0</f>
        <v>0</v>
      </c>
      <c r="AD128" s="2686">
        <f>0</f>
        <v>0</v>
      </c>
      <c r="AE128" s="2686">
        <f>0</f>
        <v>0</v>
      </c>
      <c r="AF128" s="2686">
        <f>0</f>
        <v>0</v>
      </c>
      <c r="AG128" s="2686">
        <f>0</f>
        <v>0</v>
      </c>
      <c r="AH128" s="2686">
        <f>0</f>
        <v>0</v>
      </c>
      <c r="AI128" s="2652">
        <f>-i_P_BIO</f>
        <v>-0.02</v>
      </c>
      <c r="AJ128" s="2686">
        <f>0</f>
        <v>0</v>
      </c>
      <c r="AK128" s="2686">
        <f>0</f>
        <v>0</v>
      </c>
      <c r="AL128" s="2686">
        <f>0</f>
        <v>0</v>
      </c>
      <c r="AM128" s="2686">
        <f>0</f>
        <v>0</v>
      </c>
      <c r="AN128" s="2686">
        <f>0</f>
        <v>0</v>
      </c>
      <c r="AO128" s="2652">
        <f>-(1-Y_OHO_VFA_ox)/Y_OHO_VFA_ox</f>
        <v>-0.66666666666666674</v>
      </c>
      <c r="AP128" s="2652">
        <f>0</f>
        <v>0</v>
      </c>
      <c r="AQ128" s="2652">
        <f>0</f>
        <v>0</v>
      </c>
      <c r="AR128" s="2652">
        <f>i_CIT_VFA/Y_OHO_VFA_ox-i_CIT_BIO</f>
        <v>0.27300000000000002</v>
      </c>
      <c r="AS128" s="2739">
        <f>i_INORG</f>
        <v>0.11</v>
      </c>
      <c r="AT128" s="2739">
        <f>-i_INORG*(1-i_Ca_INORG*(A_MCa+2*A_MCl)/A_MCa-i_Mg_INORG*(A_MMg+2*A_MCl)/A_MMg)*f_Na</f>
        <v>-2.8804303582798466E-2</v>
      </c>
      <c r="AU128" s="2739">
        <f>-i_INORG*(i_Ca_INORG*(2*A_MCl)/A_MCa+i_Mg_INORG*(2*A_MCl)/A_MMg)-i_INORG*(1-i_Ca_INORG*(A_MCa+2*A_MCl)/A_MCa-i_Mg_INORG*(A_MMg+2*A_MCl)/A_MMg)*(1-f_Na)</f>
        <v>-7.0195696417201539E-2</v>
      </c>
      <c r="AV128" s="2739">
        <f>-i_INORG*i_Ca_INORG</f>
        <v>-5.5000000000000005E-3</v>
      </c>
      <c r="AW128" s="2739">
        <f>-i_INORG*i_Mg_INORG</f>
        <v>-5.5000000000000005E-3</v>
      </c>
      <c r="AX128" s="2652">
        <f>0</f>
        <v>0</v>
      </c>
      <c r="AY128" s="2652">
        <f>0</f>
        <v>0</v>
      </c>
      <c r="AZ128" s="2652">
        <f>0</f>
        <v>0</v>
      </c>
      <c r="BA128" s="2652">
        <f>0</f>
        <v>0</v>
      </c>
      <c r="BB128" s="2652">
        <f>0</f>
        <v>0</v>
      </c>
      <c r="BC128" s="2652">
        <f>0</f>
        <v>0</v>
      </c>
      <c r="BD128" s="2652">
        <f>0</f>
        <v>0</v>
      </c>
      <c r="BE128" s="2652">
        <f>0</f>
        <v>0</v>
      </c>
      <c r="BF128" s="2652">
        <f>0</f>
        <v>0</v>
      </c>
      <c r="BG128" s="2652">
        <f>0</f>
        <v>0</v>
      </c>
      <c r="BH128" s="2652">
        <f>0</f>
        <v>0</v>
      </c>
      <c r="BI128" s="2652">
        <f>0</f>
        <v>0</v>
      </c>
      <c r="BJ128" s="2652">
        <f>0</f>
        <v>0</v>
      </c>
      <c r="BK128" s="2652">
        <f>0</f>
        <v>0</v>
      </c>
      <c r="BL128" s="2652">
        <f>0</f>
        <v>0</v>
      </c>
      <c r="BM128" s="2652">
        <f>0</f>
        <v>0</v>
      </c>
      <c r="BN128" s="2652">
        <f>0</f>
        <v>0</v>
      </c>
      <c r="BO128" s="2652">
        <f>0</f>
        <v>0</v>
      </c>
      <c r="BP128" s="2755">
        <f>0</f>
        <v>0</v>
      </c>
      <c r="BQ128" s="2652">
        <f>0</f>
        <v>0</v>
      </c>
      <c r="BR128" s="2652">
        <f>0</f>
        <v>0</v>
      </c>
      <c r="BS128" s="2765">
        <f>0</f>
        <v>0</v>
      </c>
      <c r="BT128" s="2765">
        <f>0</f>
        <v>0</v>
      </c>
      <c r="BU128" s="2765">
        <f>0</f>
        <v>0</v>
      </c>
      <c r="BV128" s="2765">
        <f>0</f>
        <v>0</v>
      </c>
      <c r="BW128" s="2652">
        <f>0</f>
        <v>0</v>
      </c>
      <c r="BX128" s="2652">
        <f>0</f>
        <v>0</v>
      </c>
      <c r="BY128" s="2765">
        <f>0</f>
        <v>0</v>
      </c>
      <c r="BZ128" s="2652">
        <f>0</f>
        <v>0</v>
      </c>
      <c r="CA128" s="2652">
        <f>0</f>
        <v>0</v>
      </c>
      <c r="CB128" s="2652">
        <f>0</f>
        <v>0</v>
      </c>
      <c r="CC128" s="2652">
        <f>0</f>
        <v>0</v>
      </c>
      <c r="CD128" s="2652">
        <f>0</f>
        <v>0</v>
      </c>
      <c r="CE128" s="2652">
        <f>0</f>
        <v>0</v>
      </c>
      <c r="CF128" s="2652">
        <f>0</f>
        <v>0</v>
      </c>
      <c r="CG128" s="2652">
        <f>0</f>
        <v>0</v>
      </c>
      <c r="CH128" s="2652">
        <f>0</f>
        <v>0</v>
      </c>
      <c r="CI128" s="2652">
        <f>0</f>
        <v>0</v>
      </c>
      <c r="CJ128" s="2652">
        <f>0</f>
        <v>0</v>
      </c>
      <c r="CK128" s="2652">
        <f>0</f>
        <v>0</v>
      </c>
      <c r="CL128" s="2799">
        <f>µ_OHO_T*X_OHO*M_satSVFA_KVFA*M_satSO2_KO2_OHO*M_satSNHx_KNHx_BIO*M_satSPO4_KPO4_BIO*M_satSCAT_KCAT*M_satSAN_KAN*M_satSCa_KCa*M_satSMg_KMg*B_ellinhpH</f>
        <v>36.025541576211332</v>
      </c>
      <c r="CN128" s="2295">
        <f>E236*E128+F236*F128+G236*G128+H236*H128+I236*I128+J236*J128+K236*K128+L236*L128+M236*M128+N236*N128+O236*O128+P236*P128+Q236*Q128+R236*R128+S236*S128+T236*T128+U236*U128+V236*V128+W236*W128+X236*X128+Y236*Y128+Z236*Z128+AA236*AA128+AB236*AB128+AC236*AC128+AD236*AD128+AE236*AE128+AF236*AF128+AG236*AG128+AH236*AH128+AI236*AI128+AJ236*AJ128+AK236*AK128+AL236*AL128+AM236*AM128+AN236*AN128+AO236*AO128+AP236*AP128+AQ236*AQ128+AR236*AR128+AS236*AS128+AT236*AT128+AU236*AU128+AV236*AV128+AW236*AW128+AX236*AX128+AY236*AY128+AZ236*AZ128+BA236*BA128+BB236*BB128+BC236*BC128+BD236*BD128+BE236*BE128+BF236*BF128+BG236*BG128+BH236*BH128+BI236*BI128+BJ236*BJ128+BK236*BK128+BL236*BL128+BM236*BM128+BN236*BN128+BO236*BO128+BP236*BP128+BQ236*BQ128+BR236*BR128+BS236*BS128+BT236*BT128+BU236*BU128+BV236*BV128+BW236*BW128+BX236*BX128+BY236*BY128+BZ236*BZ128+CA236*CA128+CB236*CB128+CC236*CC128+CD236*CD128+CE236*CE128+CF236*CF128+CG236*CG128+CH236*CH128+CI236*CI128+CJ236*CJ128+CK236*CK128</f>
        <v>0</v>
      </c>
      <c r="CO128" s="2295">
        <f>E237*E128+F237*F128+G237*G128+H237*H128+I237*I128+J237*J128+K237*K128+L237*L128+M237*M128+N237*N128+O237*O128+P237*P128+Q237*Q128+R237*R128+S237*S128+T237*T128+U237*U128+V237*V128+W237*W128+X237*X128+Y237*Y128+Z237*Z128+AA237*AA128+AB237*AB128+AC237*AC128+AD237*AD128+AE237*AE128+AF237*AF128+AG237*AG128+AH237*AH128+AI237*AI128+AJ237*AJ128+AK237*AK128+AL237*AL128+AM237*AM128+AN237*AN128+AO237*AO128+AP237*AP128+AQ237*AQ128+AR237*AR128+AS237*AS128+AT237*AT128+AU237*AU128+AV237*AV128+AW237*AW128+AX237*AX128+AY237*AY128+AZ237*AZ128+BA237*BA128+BB237*BB128+BC237*BC128+BD237*BD128+BE237*BE128+BF237*BF128+BG237*BG128+BH237*BH128+BI237*BI128+BJ237*BJ128+BK237*BK128+BL237*BL128+BM237*BM128+BN237*BN128+BO237*BO128+BP237*BP128+BQ237*BQ128+BR237*BR128+BS237*BS128+BT237*BT128+BU237*BU128+BV237*BV128+BW237*BW128+BX237*BX128+BY237*BY128+BZ237*BZ128+CA237*CA128+CB237*CB128+CC237*CC128+CD237*CD128+CE237*CE128+CF237*CF128+CG237*CG128+CH237*CH128+CI237*CI128+CJ237*CJ128+CK237*CK128</f>
        <v>0</v>
      </c>
      <c r="CP128" s="2296">
        <f>E238*E128+F238*F128+G238*G128+H238*H128+I238*I128+J238*J128+K238*K128+L238*L128+M238*M128+N238*N128+O238*O128+P238*P128+Q238*Q128+R238*R128+S238*S128+T238*T128+U238*U128+V238*V128+W238*W128+X238*X128+Y238*Y128+Z238*Z128+AA238*AA128+AB238*AB128+AC238*AC128+AD238*AD128+AE238*AE128+AF238*AF128+AG238*AG128+AH238*AH128+AI238*AI128+AJ238*AJ128+AK238*AK128+AL238*AL128+AM238*AM128+AN238*AN128+AO238*AO128+AP238*AP128+AQ238*AQ128+AR238*AR128+AS238*AS128+AT238*AT128+AU238*AU128+AV238*AV128+AW238*AW128+AX238*AX128+AY238*AY128+AZ238*AZ128+BA238*BA128+BB238*BB128+BC238*BC128+BD238*BD128+BE238*BE128+BF238*BF128+BG238*BG128+BH238*BH128+BI238*BI128+BJ238*BJ128+BK238*BK128+BL238*BL128+BM238*BM128+BN238*BN128+BO238*BO128+BP238*BP128+BQ238*BQ128+BR238*BR128+BS238*BS128+BT238*BT128+BU238*BU128+BV238*BV128+BW238*BW128+BX238*BX128+BY238*BY128+BZ238*BZ128+CA238*CA128+CB238*CB128+CC238*CC128+CD238*CD128+CE238*CE128+CF238*CF128+CG238*CG128+CH238*CH128+CI238*CI128+CJ238*CJ128+CK238*CK128</f>
        <v>0</v>
      </c>
      <c r="CQ128" s="2297">
        <f>E239*E128+F239*F128+G239*G128+H239*H128+I239*I128+J239*J128+K239*K128+L239*L128+M239*M128+N239*N128+O239*O128+P239*P128+Q239*Q128+R239*R128+S239*S128+T239*T128+U239*U128+V239*V128+W239*W128+X239*X128+Y239*Y128+Z239*Z128+AA239*AA128+AB239*AB128+AC239*AC128+AD239*AD128+AE239*AE128+AF239*AF128+AG239*AG128+AH239*AH128+AI239*AI128+AJ239*AJ128+AK239*AK128+AL239*AL128+AM239*AM128+AN239*AN128+AO239*AO128+AP239*AP128+AQ239*AQ128+AR239*AR128+AS239*AS128+AT239*AT128+AU239*AU128+AV239*AV128+AW239*AW128+AX239*AX128+AY239*AY128+AZ239*AZ128+BA239*BA128+BB239*BB128+BC239*BC128+BD239*BD128+BE239*BE128+BF239*BF128+BG239*BG128+BH239*BH128+BI239*BI128+BJ239*BJ128+BK239*BK128+BL239*BL128+BM239*BM128+BN239*BN128+BO239*BO128+BP239*BP128+BQ239*BQ128+BR239*BR128+BS239*BS128+BT239*BT128+BU239*BU128+BV239*BV128+BW239*BW128+BX239*BX128+BY239*BY128+BZ239*BZ128+CA239*CA128+CB239*CB128+CC239*CC128+CD239*CD128+CE239*CE128+CF239*CF128+CG239*CG128+CH239*CH128+CI239*CI128+CJ239*CJ128+CK239*CK128</f>
        <v>0</v>
      </c>
      <c r="CR128" s="2297">
        <f>E240*E128+F240*F128+G240*G128+H240*H128+I240*I128+J240*J128+K240*K128+L240*L128+M240*M128+N240*N128+O240*O128+P240*P128+Q240*Q128+R240*R128+S240*S128+T240*T128+U240*U128+V240*V128+W240*W128+X240*X128+Y240*Y128+Z240*Z128+AA240*AA128+AB240*AB128+AC240*AC128+AD240*AD128+AE240*AE128+AF240*AF128+AG240*AG128+AH240*AH128+AI240*AI128+AJ240*AJ128+AK240*AK128+AL240*AL128+AM240*AM128+AN240*AN128+AO240*AO128+AP240*AP128+AQ240*AQ128+AR240*AR128+AS240*AS128+AT240*AT128+AU240*AU128+AV240*AV128+AW240*AW128+AX240*AX128+AY240*AY128+AZ240*AZ128+BA240*BA128+BB240*BB128+BC240*BC128+BD240*BD128+BE240*BE128+BF240*BF128+BG240*BG128+BH240*BH128+BI240*BI128+BJ240*BJ128+BK240*BK128+BL240*BL128+BM240*BM128+BN240*BN128+BO240*BO128+BP240*BP128+BQ240*BQ128+BR240*BR128+BS240*BS128+BT240*BT128+BU240*BU128+BV240*BV128+BW240*BW128+BX240*BX128+BY240*BY128+BZ240*BZ128+CA240*CA128+CB240*CB128+CC240*CC128+CD240*CD128+CE240*CE128+CF240*CF128+CG240*CG128+CH240*CH128+CI240*CI128+CJ240*CJ128+CK240*CK128</f>
        <v>0</v>
      </c>
      <c r="CS128" s="2297">
        <f>E241*E128+F241*F128+G241*G128+H241*H128+I241*I128+J241*J128+K241*K128+L241*L128+M241*M128+N241*N128+O241*O128+P241*P128+Q241*Q128+R241*R128+S241*S128+T241*T128+U241*U128+V241*V128+W241*W128+X241*X128+Y241*Y128+Z241*Z128+AA241*AA128+AB241*AB128+AC241*AC128+AD241*AD128+AE241*AE128+AF241*AF128+AG241*AG128+AH241*AH128+AI241*AI128+AJ241*AJ128+AK241*AK128+AL241*AL128+AM241*AM128+AN241*AN128+AO241*AO128+AP241*AP128+AQ241*AQ128+AR241*AR128+AS241*AS128+AT241*AT128+AU241*AU128+AV241*AV128+AW241*AW128+AX241*AX128+AY241*AY128+AZ241*AZ128+BA241*BA128+BB241*BB128+BC241*BC128+BD241*BD128+BE241*BE128+BF241*BF128+BG241*BG128+BH241*BH128+BI241*BI128+BJ241*BJ128+BK241*BK128+BL241*BL128+BM241*BM128+BN241*BN128+BO241*BO128+BP241*BP128+BQ241*BQ128+BR241*BR128+BS241*BS128+BT241*BT128+BU241*BU128+BV241*BV128+BW241*BW128+BX241*BX128+BY241*BY128+BZ241*BZ128+CA241*CA128+CB241*CB128+CC241*CC128+CD241*CD128+CE241*CE128+CF241*CF128+CG241*CG128+CH241*CH128+CI241*CI128+CJ241*CJ128+CK241*CK128</f>
        <v>0</v>
      </c>
      <c r="CT128" s="2297">
        <f>E242*E128+F242*F128+G242*G128+H242*H128+I242*I128+J242*J128+K242*K128+L242*L128+M242*M128+N242*N128+O242*O128+P242*P128+Q242*Q128+R242*R128+S242*S128+T242*T128+U242*U128+V242*V128+W242*W128+X242*X128+Y242*Y128+Z242*Z128+AA242*AA128+AB242*AB128+AC242*AC128+AD242*AD128+AE242*AE128+AF242*AF128+AG242*AG128+AH242*AH128+AI242*AI128+AJ242*AJ128+AK242*AK128+AL242*AL128+AM242*AM128+AN242*AN128+AO242*AO128+AP242*AP128+AQ242*AQ128+AR242*AR128+AS242*AS128+AT242*AT128+AU242*AU128+AV242*AV128+AW242*AW128+AX242*AX128+AY242*AY128+AZ242*AZ128+BA242*BA128+BB242*BB128+BC242*BC128+BD242*BD128+BE242*BE128+BF242*BF128+BG242*BG128+BH242*BH128+BI242*BI128+BJ242*BJ128+BK242*BK128+BL242*BL128+BM242*BM128+BN242*BN128+BO242*BO128+BP242*BP128+BQ242*BQ128+BR242*BR128+BS242*BS128+BT242*BT128+BU242*BU128+BV242*BV128+BW242*BW128+BX242*BX128+BY242*BY128+BZ242*BZ128+CA242*CA128+CB242*CB128+CC242*CC128+CD242*CD128+CE242*CE128+CF242*CF128+CG242*CG128+CH242*CH128+CI242*CI128+CJ242*CJ128+CK242*CK128</f>
        <v>0</v>
      </c>
      <c r="CU128" s="2297">
        <f>E243*E128+F243*F128+G243*G128+H243*H128+I243*I128+J243*J128+K243*K128+L243*L128+M243*M128+N243*N128+O243*O128+P243*P128+Q243*Q128+R243*R128+S243*S128+T243*T128+U243*U128+V243*V128+W243*W128+X243*X128+Y243*Y128+Z243*Z128+AA243*AA128+AB243*AB128+AC243*AC128+AD243*AD128+AE243*AE128+AF243*AF128+AG243*AG128+AH243*AH128+AI243*AI128+AJ243*AJ128+AK243*AK128+AL243*AL128+AM243*AM128+AN243*AN128+AO243*AO128+AP243*AP128+AQ243*AQ128+AR243*AR128+AS243*AS128+AT243*AT128+AU243*AU128+AV243*AV128+AW243*AW128+AX243*AX128+AY243*AY128+AZ243*AZ128+BA243*BA128+BB243*BB128+BC243*BC128+BD243*BD128+BE243*BE128+BF243*BF128+BG243*BG128+BH243*BH128+BI243*BI128+BJ243*BJ128+BK243*BK128+BL243*BL128+BM243*BM128+BN243*BN128+BO243*BO128+BP243*BP128+BQ243*BQ128+BR243*BR128+BS243*BS128+BT243*BT128+BU243*BU128+BV243*BV128+BW243*BW128+BX243*BX128+BY243*BY128+BZ243*BZ128+CA243*CA128+CB243*CB128+CC243*CC128+CD243*CD128+CE243*CE128+CF243*CF128+CG243*CG128+CH243*CH128+CI243*CI128+CJ243*CJ128+CK243*CK128</f>
        <v>0</v>
      </c>
      <c r="CV128" s="2297">
        <f>E244*E128+F244*F128+G244*G128+H244*H128+I244*I128+J244*J128+K244*K128+L244*L128+M244*M128+N244*N128+O244*O128+P244*P128+Q244*Q128+R244*R128+S244*S128+T244*T128+U244*U128+V244*V128+W244*W128+X244*X128+Y244*Y128+Z244*Z128+AA244*AA128+AB244*AB128+AC244*AC128+AD244*AD128+AE244*AE128+AF244*AF128+AG244*AG128+AH244*AH128+AI244*AI128+AJ244*AJ128+AK244*AK128+AL244*AL128+AM244*AM128+AN244*AN128+AO244*AO128+AP244*AP128+AQ244*AQ128+AR244*AR128+AS244*AS128+AT244*AT128+AU244*AU128+AV244*AV128+AW244*AW128+AX244*AX128+AY244*AY128+AZ244*AZ128+BA244*BA128+BB244*BB128+BC244*BC128+BD244*BD128+BE244*BE128+BF244*BF128+BG244*BG128+BH244*BH128+BI244*BI128+BJ244*BJ128+BK244*BK128+BL244*BL128+BM244*BM128+BN244*BN128+BO244*BO128+BP244*BP128+BQ244*BQ128+BR244*BR128+BS244*BS128+BT244*BT128+BU244*BU128+BV244*BV128+BW244*BW128+BX244*BX128+BY244*BY128+BZ244*BZ128+CA244*CA128+CB244*CB128+CC244*CC128+CD244*CD128+CE244*CE128+CF244*CF128+CG244*CG128+CH244*CH128+CI244*CI128+CJ244*CJ128+CK244*CK128</f>
        <v>0</v>
      </c>
      <c r="CW128" s="2297">
        <f>E245*E128+F245*F128+G245*G128+H245*H128+I245*I128+J245*J128+K245*K128+L245*L128+M245*M128+N245*N128+O245*O128+P245*P128+Q245*Q128+R245*R128+S245*S128+T245*T128+U245*U128+V245*V128+W245*W128+X245*X128+Y245*Y128+Z245*Z128+AA245*AA128+AB245*AB128+AC245*AC128+AD245*AD128+AE245*AE128+AF245*AF128+AG245*AG128+AH245*AH128+AI245*AI128+AJ245*AJ128+AK245*AK128+AL245*AL128+AM245*AM128+AN245*AN128+AO245*AO128+AP245*AP128+AQ245*AQ128+AR245*AR128+AS245*AS128+AT245*AT128+AU245*AU128+AV245*AV128+AW245*AW128+AX245*AX128+AY245*AY128+AZ245*AZ128+BA245*BA128+BB245*BB128+BC245*BC128+BD245*BD128+BE245*BE128+BF245*BF128+BG245*BG128+BH245*BH128+BI245*BI128+BJ245*BJ128+BK245*BK128+BL245*BL128+BM245*BM128+BN245*BN128+BO245*BO128+BP245*BP128+BQ245*BQ128+BR245*BR128+BS245*BS128+BT245*BT128+BU245*BU128+BV245*BV128+BW245*BW128+BX245*BX128+BY245*BY128+BZ245*BZ128+CA245*CA128+CB245*CB128+CC245*CC128+CD245*CD128+CE245*CE128+CF245*CF128+CG245*CG128+CH245*CH128+CI245*CI128+CJ245*CJ128+CK245*CK128</f>
        <v>0</v>
      </c>
      <c r="CX128" s="2297">
        <f>E246*E128+F246*F128+G246*G128+H246*H128+I246*I128+J246*J128+K246*K128+L246*L128+M246*M128+N246*N128+O246*O128+P246*P128+Q246*Q128+R246*R128+S246*S128+T246*T128+U246*U128+V246*V128+W246*W128+X246*X128+Y246*Y128+Z246*Z128+AA246*AA128+AB246*AB128+AC246*AC128+AD246*AD128+AE246*AE128+AF246*AF128+AG246*AG128+AH246*AH128+AI246*AI128+AJ246*AJ128+AK246*AK128+AL246*AL128+AM246*AM128+AN246*AN128+AO246*AO128+AP246*AP128+AQ246*AQ128+AR246*AR128+AS246*AS128+AT246*AT128+AU246*AU128+AV246*AV128+AW246*AW128+AX246*AX128+AY246*AY128+AZ246*AZ128+BA246*BA128+BB246*BB128+BC246*BC128+BD246*BD128+BE246*BE128+BF246*BF128+BG246*BG128+BH246*BH128+BI246*BI128+BJ246*BJ128+BK246*BK128+BL246*BL128+BM246*BM128+BN246*BN128+BO246*BO128+BP246*BP128+BQ246*BQ128+BR246*BR128+BS246*BS128+BT246*BT128+BU246*BU128+BV246*BV128+BW246*BW128+BX246*BX128+BY246*BY128+BZ246*BZ128+CA246*CA128+CB246*CB128+CC246*CC128+CD246*CD128+CE246*CE128+CF246*CF128+CG246*CG128+CH246*CH128+CI246*CI128+CJ246*CJ128+CK246*CK128</f>
        <v>0</v>
      </c>
    </row>
    <row r="129" spans="2:102" ht="18" x14ac:dyDescent="0.25">
      <c r="B129" s="1243">
        <v>2</v>
      </c>
      <c r="C129" s="1191" t="s">
        <v>224</v>
      </c>
      <c r="D129" s="577" t="s">
        <v>2214</v>
      </c>
      <c r="E129" s="2653">
        <f>-1/Y_OHO_VFA_anox</f>
        <v>-2.2222222222222223</v>
      </c>
      <c r="F129" s="2686">
        <f>0</f>
        <v>0</v>
      </c>
      <c r="G129" s="2686">
        <f>0</f>
        <v>0</v>
      </c>
      <c r="H129" s="2686">
        <f>0</f>
        <v>0</v>
      </c>
      <c r="I129" s="2686">
        <f>0</f>
        <v>0</v>
      </c>
      <c r="J129" s="2690">
        <f>0</f>
        <v>0</v>
      </c>
      <c r="K129" s="2686">
        <f>0</f>
        <v>0</v>
      </c>
      <c r="L129" s="2686">
        <f>0</f>
        <v>0</v>
      </c>
      <c r="M129" s="2686">
        <f>0</f>
        <v>0</v>
      </c>
      <c r="N129" s="2686">
        <f>0</f>
        <v>0</v>
      </c>
      <c r="O129" s="2686">
        <f>0</f>
        <v>0</v>
      </c>
      <c r="P129" s="2686">
        <f>0</f>
        <v>0</v>
      </c>
      <c r="Q129" s="2686">
        <f>0</f>
        <v>0</v>
      </c>
      <c r="R129" s="2686">
        <f>1</f>
        <v>1</v>
      </c>
      <c r="S129" s="2686">
        <f>0</f>
        <v>0</v>
      </c>
      <c r="T129" s="2686">
        <f>0</f>
        <v>0</v>
      </c>
      <c r="U129" s="2686">
        <f>0</f>
        <v>0</v>
      </c>
      <c r="V129" s="2686">
        <f>0</f>
        <v>0</v>
      </c>
      <c r="W129" s="2686">
        <f>0</f>
        <v>0</v>
      </c>
      <c r="X129" s="2686">
        <f>0</f>
        <v>0</v>
      </c>
      <c r="Y129" s="2686">
        <f>0</f>
        <v>0</v>
      </c>
      <c r="Z129" s="2686">
        <f>0</f>
        <v>0</v>
      </c>
      <c r="AA129" s="2652">
        <f>-i_N_BIO</f>
        <v>-7.0000000000000007E-2</v>
      </c>
      <c r="AB129" s="2653">
        <f>-(1-Y_OHO_VFA_anox)/(E_EQN2_NO2*Y_OHO_VFA_anox)</f>
        <v>-0.71333091657603842</v>
      </c>
      <c r="AC129" s="2653">
        <f>0</f>
        <v>0</v>
      </c>
      <c r="AD129" s="2653">
        <f>(1-Y_OHO_VFA_anox)/(E_EQN2_NO2*Y_OHO_VFA_anox)</f>
        <v>0.71333091657603842</v>
      </c>
      <c r="AE129" s="2686">
        <f>0</f>
        <v>0</v>
      </c>
      <c r="AF129" s="2686">
        <f>0</f>
        <v>0</v>
      </c>
      <c r="AG129" s="2686">
        <f>0</f>
        <v>0</v>
      </c>
      <c r="AH129" s="2686">
        <f>0</f>
        <v>0</v>
      </c>
      <c r="AI129" s="2653">
        <f>-i_P_BIO</f>
        <v>-0.02</v>
      </c>
      <c r="AJ129" s="2686">
        <f>0</f>
        <v>0</v>
      </c>
      <c r="AK129" s="2686">
        <f>0</f>
        <v>0</v>
      </c>
      <c r="AL129" s="2686">
        <f>0</f>
        <v>0</v>
      </c>
      <c r="AM129" s="2686">
        <f>0</f>
        <v>0</v>
      </c>
      <c r="AN129" s="2686">
        <f>0</f>
        <v>0</v>
      </c>
      <c r="AO129" s="2652">
        <f>0</f>
        <v>0</v>
      </c>
      <c r="AP129" s="2652">
        <f>0</f>
        <v>0</v>
      </c>
      <c r="AQ129" s="2652">
        <f>0</f>
        <v>0</v>
      </c>
      <c r="AR129" s="2653">
        <f>i_CIT_VFA/Y_OHO_VFA_anox-i_CIT_BIO</f>
        <v>0.48133333333333328</v>
      </c>
      <c r="AS129" s="2740">
        <f>i_INORG</f>
        <v>0.11</v>
      </c>
      <c r="AT129" s="2740">
        <f>-i_INORG*(1-i_Ca_INORG*(A_MCa+2*A_MCl)/A_MCa-i_Mg_INORG*(A_MMg+2*A_MCl)/A_MMg)*f_Na</f>
        <v>-2.8804303582798466E-2</v>
      </c>
      <c r="AU129" s="2740">
        <f>-i_INORG*(i_Ca_INORG*(2*A_MCl)/A_MCa+i_Mg_INORG*(2*A_MCl)/A_MMg)-i_INORG*(1-i_Ca_INORG*(A_MCa+2*A_MCl)/A_MCa-i_Mg_INORG*(A_MMg+2*A_MCl)/A_MMg)*(1-f_Na)</f>
        <v>-7.0195696417201539E-2</v>
      </c>
      <c r="AV129" s="2740">
        <f>-i_INORG*i_Ca_INORG</f>
        <v>-5.5000000000000005E-3</v>
      </c>
      <c r="AW129" s="2740">
        <f>-i_INORG*i_Mg_INORG</f>
        <v>-5.5000000000000005E-3</v>
      </c>
      <c r="AX129" s="2652">
        <f>0</f>
        <v>0</v>
      </c>
      <c r="AY129" s="2652">
        <f>0</f>
        <v>0</v>
      </c>
      <c r="AZ129" s="2652">
        <f>0</f>
        <v>0</v>
      </c>
      <c r="BA129" s="2652">
        <f>0</f>
        <v>0</v>
      </c>
      <c r="BB129" s="2652">
        <f>0</f>
        <v>0</v>
      </c>
      <c r="BC129" s="2652">
        <f>0</f>
        <v>0</v>
      </c>
      <c r="BD129" s="2652">
        <f>0</f>
        <v>0</v>
      </c>
      <c r="BE129" s="2652">
        <f>0</f>
        <v>0</v>
      </c>
      <c r="BF129" s="2652">
        <f>0</f>
        <v>0</v>
      </c>
      <c r="BG129" s="2652">
        <f>0</f>
        <v>0</v>
      </c>
      <c r="BH129" s="2652">
        <f>0</f>
        <v>0</v>
      </c>
      <c r="BI129" s="2652">
        <f>0</f>
        <v>0</v>
      </c>
      <c r="BJ129" s="2652">
        <f>0</f>
        <v>0</v>
      </c>
      <c r="BK129" s="2652">
        <f>0</f>
        <v>0</v>
      </c>
      <c r="BL129" s="2652">
        <f>0</f>
        <v>0</v>
      </c>
      <c r="BM129" s="2652">
        <f>0</f>
        <v>0</v>
      </c>
      <c r="BN129" s="2652">
        <f>0</f>
        <v>0</v>
      </c>
      <c r="BO129" s="2652">
        <f>0</f>
        <v>0</v>
      </c>
      <c r="BP129" s="2756">
        <f>0</f>
        <v>0</v>
      </c>
      <c r="BQ129" s="2652">
        <f>0</f>
        <v>0</v>
      </c>
      <c r="BR129" s="2652">
        <f>0</f>
        <v>0</v>
      </c>
      <c r="BS129" s="2765">
        <f>0</f>
        <v>0</v>
      </c>
      <c r="BT129" s="2765">
        <f>0</f>
        <v>0</v>
      </c>
      <c r="BU129" s="2765">
        <f>0</f>
        <v>0</v>
      </c>
      <c r="BV129" s="2765">
        <f>0</f>
        <v>0</v>
      </c>
      <c r="BW129" s="2652">
        <f>0</f>
        <v>0</v>
      </c>
      <c r="BX129" s="2652">
        <f>0</f>
        <v>0</v>
      </c>
      <c r="BY129" s="2765">
        <f>0</f>
        <v>0</v>
      </c>
      <c r="BZ129" s="2652">
        <f>0</f>
        <v>0</v>
      </c>
      <c r="CA129" s="2652">
        <f>0</f>
        <v>0</v>
      </c>
      <c r="CB129" s="2652">
        <f>0</f>
        <v>0</v>
      </c>
      <c r="CC129" s="2652">
        <f>0</f>
        <v>0</v>
      </c>
      <c r="CD129" s="2652">
        <f>0</f>
        <v>0</v>
      </c>
      <c r="CE129" s="2652">
        <f>0</f>
        <v>0</v>
      </c>
      <c r="CF129" s="2652">
        <f>0</f>
        <v>0</v>
      </c>
      <c r="CG129" s="2652">
        <f>0</f>
        <v>0</v>
      </c>
      <c r="CH129" s="2652">
        <f>0</f>
        <v>0</v>
      </c>
      <c r="CI129" s="2652">
        <f>0</f>
        <v>0</v>
      </c>
      <c r="CJ129" s="2652">
        <f>0</f>
        <v>0</v>
      </c>
      <c r="CK129" s="2652">
        <f>0</f>
        <v>0</v>
      </c>
      <c r="CL129" s="2800">
        <f>µ_OHO_T*X_OHO*η_OHO_anox_NO2red*M_satSVFA_KVFA*M_satSNO2_KNO2_OHO*(L_oginhSNO3_KNO3_OHO*L_oginhSVFA_KVFA_OHO_SNO2+L_ogsatSVFA_KVFA_OHO_SNO2)*M_inhSO2_KO2_OHO*M_satSNHx_KNHx_BIO*M_satSPO4_KPO4_BIO*M_satSCAT_KCAT*M_satSAN_KAN*M_satSCa_KCa*M_satSMg_KMg*B_ellinhpH</f>
        <v>1.1069411823665496E-89</v>
      </c>
      <c r="CN129" s="2295">
        <f>E236*E129+F236*F129+G236*G129+H236*H129+I236*I129+J236*J129+K236*K129+L236*L129+M236*M129+N236*N129+O236*O129+P236*P129+Q236*Q129+R236*R129+S236*S129+T236*T129+U236*U129+V236*V129+W236*W129+X236*X129+Y236*Y129+Z236*Z129+AA236*AA129+AB236*AB129+AC236*AC129+AD236*AD129+AE236*AE129+AF236*AF129+AG236*AG129+AH236*AH129+AI236*AI129+AJ236*AJ129+AK236*AK129+AL236*AL129+AM236*AM129+AN236*AN129+AO236*AO129+AP236*AP129+AQ236*AQ129+AR236*AR129+AS236*AS129+AT236*AT129+AU236*AU129+AV236*AV129+AW236*AW129+AX236*AX129+AY236*AY129+AZ236*AZ129+BA236*BA129+BB236*BB129+BC236*BC129+BD236*BD129+BE236*BE129+BF236*BF129+BG236*BG129+BH236*BH129+BI236*BI129+BJ236*BJ129+BK236*BK129+BL236*BL129+BM236*BM129+BN236*BN129+BO236*BO129+BP236*BP129+BQ236*BQ129+BR236*BR129+BS236*BS129+BT236*BT129+BU236*BU129+BV236*BV129+BW236*BW129+BX236*BX129+BY236*BY129+BZ236*BZ129+CA236*CA129+CB236*CB129+CC236*CC129+CD236*CD129+CE236*CE129+CF236*CF129+CG236*CG129+CH236*CH129+CI236*CI129+CJ236*CJ129+CK236*CK129</f>
        <v>0</v>
      </c>
      <c r="CO129" s="2295">
        <f>E237*E129+F237*F129+G237*G129+H237*H129+I237*I129+J237*J129+K237*K129+L237*L129+M237*M129+N237*N129+O237*O129+P237*P129+Q237*Q129+R237*R129+S237*S129+T237*T129+U237*U129+V237*V129+W237*W129+X237*X129+Y237*Y129+Z237*Z129+AA237*AA129+AB237*AB129+AC237*AC129+AD237*AD129+AE237*AE129+AF237*AF129+AG237*AG129+AH237*AH129+AI237*AI129+AJ237*AJ129+AK237*AK129+AL237*AL129+AM237*AM129+AN237*AN129+AO237*AO129+AP237*AP129+AQ237*AQ129+AR237*AR129+AS237*AS129+AT237*AT129+AU237*AU129+AV237*AV129+AW237*AW129+AX237*AX129+AY237*AY129+AZ237*AZ129+BA237*BA129+BB237*BB129+BC237*BC129+BD237*BD129+BE237*BE129+BF237*BF129+BG237*BG129+BH237*BH129+BI237*BI129+BJ237*BJ129+BK237*BK129+BL237*BL129+BM237*BM129+BN237*BN129+BO237*BO129+BP237*BP129+BQ237*BQ129+BR237*BR129+BS237*BS129+BT237*BT129+BU237*BU129+BV237*BV129+BW237*BW129+BX237*BX129+BY237*BY129+BZ237*BZ129+CA237*CA129+CB237*CB129+CC237*CC129+CD237*CD129+CE237*CE129+CF237*CF129+CG237*CG129+CH237*CH129+CI237*CI129+CJ237*CJ129+CK237*CK129</f>
        <v>-1.1102230246251565E-16</v>
      </c>
      <c r="CP129" s="2296">
        <f>E238*E129+F238*F129+G238*G129+H238*H129+I238*I129+J238*J129+K238*K129+L238*L129+M238*M129+N238*N129+O238*O129+P238*P129+Q238*Q129+R238*R129+S238*S129+T238*T129+U238*U129+V238*V129+W238*W129+X238*X129+Y238*Y129+Z238*Z129+AA238*AA129+AB238*AB129+AC238*AC129+AD238*AD129+AE238*AE129+AF238*AF129+AG238*AG129+AH238*AH129+AI238*AI129+AJ238*AJ129+AK238*AK129+AL238*AL129+AM238*AM129+AN238*AN129+AO238*AO129+AP238*AP129+AQ238*AQ129+AR238*AR129+AS238*AS129+AT238*AT129+AU238*AU129+AV238*AV129+AW238*AW129+AX238*AX129+AY238*AY129+AZ238*AZ129+BA238*BA129+BB238*BB129+BC238*BC129+BD238*BD129+BE238*BE129+BF238*BF129+BG238*BG129+BH238*BH129+BI238*BI129+BJ238*BJ129+BK238*BK129+BL238*BL129+BM238*BM129+BN238*BN129+BO238*BO129+BP238*BP129+BQ238*BQ129+BR238*BR129+BS238*BS129+BT238*BT129+BU238*BU129+BV238*BV129+BW238*BW129+BX238*BX129+BY238*BY129+BZ238*BZ129+CA238*CA129+CB238*CB129+CC238*CC129+CD238*CD129+CE238*CE129+CF238*CF129+CG238*CG129+CH238*CH129+CI238*CI129+CJ238*CJ129+CK238*CK129</f>
        <v>0</v>
      </c>
      <c r="CQ129" s="2297">
        <f>E239*E129+F239*F129+G239*G129+H239*H129+I239*I129+J239*J129+K239*K129+L239*L129+M239*M129+N239*N129+O239*O129+P239*P129+Q239*Q129+R239*R129+S239*S129+T239*T129+U239*U129+V239*V129+W239*W129+X239*X129+Y239*Y129+Z239*Z129+AA239*AA129+AB239*AB129+AC239*AC129+AD239*AD129+AE239*AE129+AF239*AF129+AG239*AG129+AH239*AH129+AI239*AI129+AJ239*AJ129+AK239*AK129+AL239*AL129+AM239*AM129+AN239*AN129+AO239*AO129+AP239*AP129+AQ239*AQ129+AR239*AR129+AS239*AS129+AT239*AT129+AU239*AU129+AV239*AV129+AW239*AW129+AX239*AX129+AY239*AY129+AZ239*AZ129+BA239*BA129+BB239*BB129+BC239*BC129+BD239*BD129+BE239*BE129+BF239*BF129+BG239*BG129+BH239*BH129+BI239*BI129+BJ239*BJ129+BK239*BK129+BL239*BL129+BM239*BM129+BN239*BN129+BO239*BO129+BP239*BP129+BQ239*BQ129+BR239*BR129+BS239*BS129+BT239*BT129+BU239*BU129+BV239*BV129+BW239*BW129+BX239*BX129+BY239*BY129+BZ239*BZ129+CA239*CA129+CB239*CB129+CC239*CC129+CD239*CD129+CE239*CE129+CF239*CF129+CG239*CG129+CH239*CH129+CI239*CI129+CJ239*CJ129+CK239*CK129</f>
        <v>0</v>
      </c>
      <c r="CR129" s="2297">
        <f>E240*E129+F240*F129+G240*G129+H240*H129+I240*I129+J240*J129+K240*K129+L240*L129+M240*M129+N240*N129+O240*O129+P240*P129+Q240*Q129+R240*R129+S240*S129+T240*T129+U240*U129+V240*V129+W240*W129+X240*X129+Y240*Y129+Z240*Z129+AA240*AA129+AB240*AB129+AC240*AC129+AD240*AD129+AE240*AE129+AF240*AF129+AG240*AG129+AH240*AH129+AI240*AI129+AJ240*AJ129+AK240*AK129+AL240*AL129+AM240*AM129+AN240*AN129+AO240*AO129+AP240*AP129+AQ240*AQ129+AR240*AR129+AS240*AS129+AT240*AT129+AU240*AU129+AV240*AV129+AW240*AW129+AX240*AX129+AY240*AY129+AZ240*AZ129+BA240*BA129+BB240*BB129+BC240*BC129+BD240*BD129+BE240*BE129+BF240*BF129+BG240*BG129+BH240*BH129+BI240*BI129+BJ240*BJ129+BK240*BK129+BL240*BL129+BM240*BM129+BN240*BN129+BO240*BO129+BP240*BP129+BQ240*BQ129+BR240*BR129+BS240*BS129+BT240*BT129+BU240*BU129+BV240*BV129+BW240*BW129+BX240*BX129+BY240*BY129+BZ240*BZ129+CA240*CA129+CB240*CB129+CC240*CC129+CD240*CD129+CE240*CE129+CF240*CF129+CG240*CG129+CH240*CH129+CI240*CI129+CJ240*CJ129+CK240*CK129</f>
        <v>0</v>
      </c>
      <c r="CS129" s="2297">
        <f>E241*E129+F241*F129+G241*G129+H241*H129+I241*I129+J241*J129+K241*K129+L241*L129+M241*M129+N241*N129+O241*O129+P241*P129+Q241*Q129+R241*R129+S241*S129+T241*T129+U241*U129+V241*V129+W241*W129+X241*X129+Y241*Y129+Z241*Z129+AA241*AA129+AB241*AB129+AC241*AC129+AD241*AD129+AE241*AE129+AF241*AF129+AG241*AG129+AH241*AH129+AI241*AI129+AJ241*AJ129+AK241*AK129+AL241*AL129+AM241*AM129+AN241*AN129+AO241*AO129+AP241*AP129+AQ241*AQ129+AR241*AR129+AS241*AS129+AT241*AT129+AU241*AU129+AV241*AV129+AW241*AW129+AX241*AX129+AY241*AY129+AZ241*AZ129+BA241*BA129+BB241*BB129+BC241*BC129+BD241*BD129+BE241*BE129+BF241*BF129+BG241*BG129+BH241*BH129+BI241*BI129+BJ241*BJ129+BK241*BK129+BL241*BL129+BM241*BM129+BN241*BN129+BO241*BO129+BP241*BP129+BQ241*BQ129+BR241*BR129+BS241*BS129+BT241*BT129+BU241*BU129+BV241*BV129+BW241*BW129+BX241*BX129+BY241*BY129+BZ241*BZ129+CA241*CA129+CB241*CB129+CC241*CC129+CD241*CD129+CE241*CE129+CF241*CF129+CG241*CG129+CH241*CH129+CI241*CI129+CJ241*CJ129+CK241*CK129</f>
        <v>0</v>
      </c>
      <c r="CT129" s="2297">
        <f>E242*E129+F242*F129+G242*G129+H242*H129+I242*I129+J242*J129+K242*K129+L242*L129+M242*M129+N242*N129+O242*O129+P242*P129+Q242*Q129+R242*R129+S242*S129+T242*T129+U242*U129+V242*V129+W242*W129+X242*X129+Y242*Y129+Z242*Z129+AA242*AA129+AB242*AB129+AC242*AC129+AD242*AD129+AE242*AE129+AF242*AF129+AG242*AG129+AH242*AH129+AI242*AI129+AJ242*AJ129+AK242*AK129+AL242*AL129+AM242*AM129+AN242*AN129+AO242*AO129+AP242*AP129+AQ242*AQ129+AR242*AR129+AS242*AS129+AT242*AT129+AU242*AU129+AV242*AV129+AW242*AW129+AX242*AX129+AY242*AY129+AZ242*AZ129+BA242*BA129+BB242*BB129+BC242*BC129+BD242*BD129+BE242*BE129+BF242*BF129+BG242*BG129+BH242*BH129+BI242*BI129+BJ242*BJ129+BK242*BK129+BL242*BL129+BM242*BM129+BN242*BN129+BO242*BO129+BP242*BP129+BQ242*BQ129+BR242*BR129+BS242*BS129+BT242*BT129+BU242*BU129+BV242*BV129+BW242*BW129+BX242*BX129+BY242*BY129+BZ242*BZ129+CA242*CA129+CB242*CB129+CC242*CC129+CD242*CD129+CE242*CE129+CF242*CF129+CG242*CG129+CH242*CH129+CI242*CI129+CJ242*CJ129+CK242*CK129</f>
        <v>0</v>
      </c>
      <c r="CU129" s="2297">
        <f>E243*E129+F243*F129+G243*G129+H243*H129+I243*I129+J243*J129+K243*K129+L243*L129+M243*M129+N243*N129+O243*O129+P243*P129+Q243*Q129+R243*R129+S243*S129+T243*T129+U243*U129+V243*V129+W243*W129+X243*X129+Y243*Y129+Z243*Z129+AA243*AA129+AB243*AB129+AC243*AC129+AD243*AD129+AE243*AE129+AF243*AF129+AG243*AG129+AH243*AH129+AI243*AI129+AJ243*AJ129+AK243*AK129+AL243*AL129+AM243*AM129+AN243*AN129+AO243*AO129+AP243*AP129+AQ243*AQ129+AR243*AR129+AS243*AS129+AT243*AT129+AU243*AU129+AV243*AV129+AW243*AW129+AX243*AX129+AY243*AY129+AZ243*AZ129+BA243*BA129+BB243*BB129+BC243*BC129+BD243*BD129+BE243*BE129+BF243*BF129+BG243*BG129+BH243*BH129+BI243*BI129+BJ243*BJ129+BK243*BK129+BL243*BL129+BM243*BM129+BN243*BN129+BO243*BO129+BP243*BP129+BQ243*BQ129+BR243*BR129+BS243*BS129+BT243*BT129+BU243*BU129+BV243*BV129+BW243*BW129+BX243*BX129+BY243*BY129+BZ243*BZ129+CA243*CA129+CB243*CB129+CC243*CC129+CD243*CD129+CE243*CE129+CF243*CF129+CG243*CG129+CH243*CH129+CI243*CI129+CJ243*CJ129+CK243*CK129</f>
        <v>0</v>
      </c>
      <c r="CV129" s="2297">
        <f>E244*E129+F244*F129+G244*G129+H244*H129+I244*I129+J244*J129+K244*K129+L244*L129+M244*M129+N244*N129+O244*O129+P244*P129+Q244*Q129+R244*R129+S244*S129+T244*T129+U244*U129+V244*V129+W244*W129+X244*X129+Y244*Y129+Z244*Z129+AA244*AA129+AB244*AB129+AC244*AC129+AD244*AD129+AE244*AE129+AF244*AF129+AG244*AG129+AH244*AH129+AI244*AI129+AJ244*AJ129+AK244*AK129+AL244*AL129+AM244*AM129+AN244*AN129+AO244*AO129+AP244*AP129+AQ244*AQ129+AR244*AR129+AS244*AS129+AT244*AT129+AU244*AU129+AV244*AV129+AW244*AW129+AX244*AX129+AY244*AY129+AZ244*AZ129+BA244*BA129+BB244*BB129+BC244*BC129+BD244*BD129+BE244*BE129+BF244*BF129+BG244*BG129+BH244*BH129+BI244*BI129+BJ244*BJ129+BK244*BK129+BL244*BL129+BM244*BM129+BN244*BN129+BO244*BO129+BP244*BP129+BQ244*BQ129+BR244*BR129+BS244*BS129+BT244*BT129+BU244*BU129+BV244*BV129+BW244*BW129+BX244*BX129+BY244*BY129+BZ244*BZ129+CA244*CA129+CB244*CB129+CC244*CC129+CD244*CD129+CE244*CE129+CF244*CF129+CG244*CG129+CH244*CH129+CI244*CI129+CJ244*CJ129+CK244*CK129</f>
        <v>0</v>
      </c>
      <c r="CW129" s="2297">
        <f>E245*E129+F245*F129+G245*G129+H245*H129+I245*I129+J245*J129+K245*K129+L245*L129+M245*M129+N245*N129+O245*O129+P245*P129+Q245*Q129+R245*R129+S245*S129+T245*T129+U245*U129+V245*V129+W245*W129+X245*X129+Y245*Y129+Z245*Z129+AA245*AA129+AB245*AB129+AC245*AC129+AD245*AD129+AE245*AE129+AF245*AF129+AG245*AG129+AH245*AH129+AI245*AI129+AJ245*AJ129+AK245*AK129+AL245*AL129+AM245*AM129+AN245*AN129+AO245*AO129+AP245*AP129+AQ245*AQ129+AR245*AR129+AS245*AS129+AT245*AT129+AU245*AU129+AV245*AV129+AW245*AW129+AX245*AX129+AY245*AY129+AZ245*AZ129+BA245*BA129+BB245*BB129+BC245*BC129+BD245*BD129+BE245*BE129+BF245*BF129+BG245*BG129+BH245*BH129+BI245*BI129+BJ245*BJ129+BK245*BK129+BL245*BL129+BM245*BM129+BN245*BN129+BO245*BO129+BP245*BP129+BQ245*BQ129+BR245*BR129+BS245*BS129+BT245*BT129+BU245*BU129+BV245*BV129+BW245*BW129+BX245*BX129+BY245*BY129+BZ245*BZ129+CA245*CA129+CB245*CB129+CC245*CC129+CD245*CD129+CE245*CE129+CF245*CF129+CG245*CG129+CH245*CH129+CI245*CI129+CJ245*CJ129+CK245*CK129</f>
        <v>0</v>
      </c>
      <c r="CX129" s="2297">
        <f>E246*E129+F246*F129+G246*G129+H246*H129+I246*I129+J246*J129+K246*K129+L246*L129+M246*M129+N246*N129+O246*O129+P246*P129+Q246*Q129+R246*R129+S246*S129+T246*T129+U246*U129+V246*V129+W246*W129+X246*X129+Y246*Y129+Z246*Z129+AA246*AA129+AB246*AB129+AC246*AC129+AD246*AD129+AE246*AE129+AF246*AF129+AG246*AG129+AH246*AH129+AI246*AI129+AJ246*AJ129+AK246*AK129+AL246*AL129+AM246*AM129+AN246*AN129+AO246*AO129+AP246*AP129+AQ246*AQ129+AR246*AR129+AS246*AS129+AT246*AT129+AU246*AU129+AV246*AV129+AW246*AW129+AX246*AX129+AY246*AY129+AZ246*AZ129+BA246*BA129+BB246*BB129+BC246*BC129+BD246*BD129+BE246*BE129+BF246*BF129+BG246*BG129+BH246*BH129+BI246*BI129+BJ246*BJ129+BK246*BK129+BL246*BL129+BM246*BM129+BN246*BN129+BO246*BO129+BP246*BP129+BQ246*BQ129+BR246*BR129+BS246*BS129+BT246*BT129+BU246*BU129+BV246*BV129+BW246*BW129+BX246*BX129+BY246*BY129+BZ246*BZ129+CA246*CA129+CB246*CB129+CC246*CC129+CD246*CD129+CE246*CE129+CF246*CF129+CG246*CG129+CH246*CH129+CI246*CI129+CJ246*CJ129+CK246*CK129</f>
        <v>0</v>
      </c>
    </row>
    <row r="130" spans="2:102" ht="18" x14ac:dyDescent="0.25">
      <c r="B130" s="1243">
        <v>3</v>
      </c>
      <c r="C130" s="1191" t="s">
        <v>225</v>
      </c>
      <c r="D130" s="577" t="s">
        <v>1649</v>
      </c>
      <c r="E130" s="2653">
        <f>-1/Y_OHO_VFA_anox</f>
        <v>-2.2222222222222223</v>
      </c>
      <c r="F130" s="2654">
        <f>0</f>
        <v>0</v>
      </c>
      <c r="G130" s="2654">
        <f>0</f>
        <v>0</v>
      </c>
      <c r="H130" s="2654">
        <f>0</f>
        <v>0</v>
      </c>
      <c r="I130" s="2654">
        <f>0</f>
        <v>0</v>
      </c>
      <c r="J130" s="2691">
        <f>0</f>
        <v>0</v>
      </c>
      <c r="K130" s="2654">
        <f>0</f>
        <v>0</v>
      </c>
      <c r="L130" s="2654">
        <f>0</f>
        <v>0</v>
      </c>
      <c r="M130" s="2654">
        <f>0</f>
        <v>0</v>
      </c>
      <c r="N130" s="2654">
        <f>0</f>
        <v>0</v>
      </c>
      <c r="O130" s="2654">
        <f>0</f>
        <v>0</v>
      </c>
      <c r="P130" s="2654">
        <f>0</f>
        <v>0</v>
      </c>
      <c r="Q130" s="2654">
        <f>0</f>
        <v>0</v>
      </c>
      <c r="R130" s="2654">
        <f>1</f>
        <v>1</v>
      </c>
      <c r="S130" s="2654">
        <f>0</f>
        <v>0</v>
      </c>
      <c r="T130" s="2654">
        <f>0</f>
        <v>0</v>
      </c>
      <c r="U130" s="2654">
        <f>0</f>
        <v>0</v>
      </c>
      <c r="V130" s="2654">
        <f>0</f>
        <v>0</v>
      </c>
      <c r="W130" s="2654">
        <f>0</f>
        <v>0</v>
      </c>
      <c r="X130" s="2654">
        <f>0</f>
        <v>0</v>
      </c>
      <c r="Y130" s="2654">
        <f>0</f>
        <v>0</v>
      </c>
      <c r="Z130" s="2713">
        <f>0</f>
        <v>0</v>
      </c>
      <c r="AA130" s="2653">
        <f>-i_N_BIO</f>
        <v>-7.0000000000000007E-2</v>
      </c>
      <c r="AB130" s="2653">
        <f>(1-Y_OHO_VFA_anox)/(E_EQNO2_NO3*Y_OHO_VFA_anox)</f>
        <v>1.0699963748640577</v>
      </c>
      <c r="AC130" s="2653">
        <f>-(1-Y_OHO_VFA_anox)/(E_EQNO2_NO3*Y_OHO_VFA_anox)</f>
        <v>-1.0699963748640577</v>
      </c>
      <c r="AD130" s="2653">
        <f>0</f>
        <v>0</v>
      </c>
      <c r="AE130" s="2654">
        <f>0</f>
        <v>0</v>
      </c>
      <c r="AF130" s="2654">
        <f>0</f>
        <v>0</v>
      </c>
      <c r="AG130" s="2654">
        <f>0</f>
        <v>0</v>
      </c>
      <c r="AH130" s="2654">
        <f>0</f>
        <v>0</v>
      </c>
      <c r="AI130" s="2653">
        <f>-i_P_BIO</f>
        <v>-0.02</v>
      </c>
      <c r="AJ130" s="2654">
        <f>0</f>
        <v>0</v>
      </c>
      <c r="AK130" s="2654">
        <f>0</f>
        <v>0</v>
      </c>
      <c r="AL130" s="2654">
        <f>0</f>
        <v>0</v>
      </c>
      <c r="AM130" s="2654">
        <f>0</f>
        <v>0</v>
      </c>
      <c r="AN130" s="2654">
        <f>0</f>
        <v>0</v>
      </c>
      <c r="AO130" s="2653">
        <f>0</f>
        <v>0</v>
      </c>
      <c r="AP130" s="2653">
        <f>0</f>
        <v>0</v>
      </c>
      <c r="AQ130" s="2653">
        <f>0</f>
        <v>0</v>
      </c>
      <c r="AR130" s="2653">
        <f>i_CIT_VFA/Y_OHO_VFA_anox-i_CIT_BIO</f>
        <v>0.48133333333333328</v>
      </c>
      <c r="AS130" s="2740">
        <f>i_INORG</f>
        <v>0.11</v>
      </c>
      <c r="AT130" s="2740">
        <f>-i_INORG*(1-i_Ca_INORG*(A_MCa+2*A_MCl)/A_MCa-i_Mg_INORG*(A_MMg+2*A_MCl)/A_MMg)*f_Na</f>
        <v>-2.8804303582798466E-2</v>
      </c>
      <c r="AU130" s="2740">
        <f>-i_INORG*(i_Ca_INORG*(2*A_MCl)/A_MCa+i_Mg_INORG*(2*A_MCl)/A_MMg)-i_INORG*(1-i_Ca_INORG*(A_MCa+2*A_MCl)/A_MCa-i_Mg_INORG*(A_MMg+2*A_MCl)/A_MMg)*(1-f_Na)</f>
        <v>-7.0195696417201539E-2</v>
      </c>
      <c r="AV130" s="2740">
        <f>-i_INORG*i_Ca_INORG</f>
        <v>-5.5000000000000005E-3</v>
      </c>
      <c r="AW130" s="2740">
        <f>-i_INORG*i_Mg_INORG</f>
        <v>-5.5000000000000005E-3</v>
      </c>
      <c r="AX130" s="2653">
        <f>0</f>
        <v>0</v>
      </c>
      <c r="AY130" s="2653">
        <f>0</f>
        <v>0</v>
      </c>
      <c r="AZ130" s="2653">
        <f>0</f>
        <v>0</v>
      </c>
      <c r="BA130" s="2653">
        <f>0</f>
        <v>0</v>
      </c>
      <c r="BB130" s="2653">
        <f>0</f>
        <v>0</v>
      </c>
      <c r="BC130" s="2653">
        <f>0</f>
        <v>0</v>
      </c>
      <c r="BD130" s="2653">
        <f>0</f>
        <v>0</v>
      </c>
      <c r="BE130" s="2653">
        <f>0</f>
        <v>0</v>
      </c>
      <c r="BF130" s="2653">
        <f>0</f>
        <v>0</v>
      </c>
      <c r="BG130" s="2653">
        <f>0</f>
        <v>0</v>
      </c>
      <c r="BH130" s="2653">
        <f>0</f>
        <v>0</v>
      </c>
      <c r="BI130" s="2653">
        <f>0</f>
        <v>0</v>
      </c>
      <c r="BJ130" s="2653">
        <f>0</f>
        <v>0</v>
      </c>
      <c r="BK130" s="2653">
        <f>0</f>
        <v>0</v>
      </c>
      <c r="BL130" s="2653">
        <f>0</f>
        <v>0</v>
      </c>
      <c r="BM130" s="2653">
        <f>0</f>
        <v>0</v>
      </c>
      <c r="BN130" s="2653">
        <f>0</f>
        <v>0</v>
      </c>
      <c r="BO130" s="2653">
        <f>0</f>
        <v>0</v>
      </c>
      <c r="BP130" s="2756">
        <f>0</f>
        <v>0</v>
      </c>
      <c r="BQ130" s="2653">
        <f>0</f>
        <v>0</v>
      </c>
      <c r="BR130" s="2653">
        <f>0</f>
        <v>0</v>
      </c>
      <c r="BS130" s="2766">
        <f>0</f>
        <v>0</v>
      </c>
      <c r="BT130" s="2766">
        <f>0</f>
        <v>0</v>
      </c>
      <c r="BU130" s="2766">
        <f>0</f>
        <v>0</v>
      </c>
      <c r="BV130" s="2766">
        <f>0</f>
        <v>0</v>
      </c>
      <c r="BW130" s="2653">
        <f>0</f>
        <v>0</v>
      </c>
      <c r="BX130" s="2774">
        <f>0</f>
        <v>0</v>
      </c>
      <c r="BY130" s="2766">
        <f>0</f>
        <v>0</v>
      </c>
      <c r="BZ130" s="2653">
        <f>0</f>
        <v>0</v>
      </c>
      <c r="CA130" s="2653">
        <f>0</f>
        <v>0</v>
      </c>
      <c r="CB130" s="2653">
        <f>0</f>
        <v>0</v>
      </c>
      <c r="CC130" s="2653">
        <f>0</f>
        <v>0</v>
      </c>
      <c r="CD130" s="2653">
        <f>0</f>
        <v>0</v>
      </c>
      <c r="CE130" s="2653">
        <f>0</f>
        <v>0</v>
      </c>
      <c r="CF130" s="2653">
        <f>0</f>
        <v>0</v>
      </c>
      <c r="CG130" s="2653">
        <f>0</f>
        <v>0</v>
      </c>
      <c r="CH130" s="2653">
        <f>0</f>
        <v>0</v>
      </c>
      <c r="CI130" s="2653">
        <f>0</f>
        <v>0</v>
      </c>
      <c r="CJ130" s="2653">
        <f>0</f>
        <v>0</v>
      </c>
      <c r="CK130" s="2653">
        <f>0</f>
        <v>0</v>
      </c>
      <c r="CL130" s="2800">
        <f>µ_OHO_T*X_OHO*η_OHO_anox*M_satSVFA_KVFA*L_ogsatSNO3_KNO3_OHO*(L_oginhSVFA_KVFA_OHO_SNO2+M_inhSNO2_KNO2_OHO*L_ogsatSVFA_KVFA_OHO_SNO2)*M_inhSO2_KO2_OHO*M_satSNHx_KNHx_BIO*M_satSPO4_KPO4_BIO*M_satSCAT_KCAT*M_satSAN_KAN*M_satSCa_KCa*M_satSMg_KMg*B_ellinhpH</f>
        <v>1.621120203845134</v>
      </c>
      <c r="CN130" s="2295">
        <f>E236*E130+F236*F130+G236*G130+H236*H130+I236*I130+J236*J130+K236*K130+L236*L130+M236*M130+N236*N130+O236*O130+P236*P130+Q236*Q130+R236*R130+S236*S130+T236*T130+U236*U130+V236*V130+W236*W130+X236*X130+Y236*Y130+Z236*Z130+AA236*AA130+AB236*AB130+AC236*AC130+AD236*AD130+AE236*AE130+AF236*AF130+AG236*AG130+AH236*AH130+AI236*AI130+AJ236*AJ130+AK236*AK130+AL236*AL130+AM236*AM130+AN236*AN130+AO236*AO130+AP236*AP130+AQ236*AQ130+AR236*AR130+AS236*AS130+AT236*AT130+AU236*AU130+AV236*AV130+AW236*AW130+AX236*AX130+AY236*AY130+AZ236*AZ130+BA236*BA130+BB236*BB130+BC236*BC130+BD236*BD130+BE236*BE130+BF236*BF130+BG236*BG130+BH236*BH130+BI236*BI130+BJ236*BJ130+BK236*BK130+BL236*BL130+BM236*BM130+BN236*BN130+BO236*BO130+BP236*BP130+BQ236*BQ130+BR236*BR130+BS236*BS130+BT236*BT130+BU236*BU130+BV236*BV130+BW236*BW130+BX236*BX130+BY236*BY130+BZ236*BZ130+CA236*CA130+CB236*CB130+CC236*CC130+CD236*CD130+CE236*CE130+CF236*CF130+CG236*CG130+CH236*CH130+CI236*CI130+CJ236*CJ130+CK236*CK130</f>
        <v>8.8817841970012523E-16</v>
      </c>
      <c r="CO130" s="2295">
        <f>E237*E130+F237*F130+G237*G130+H237*H130+I237*I130+J237*J130+K237*K130+L237*L130+M237*M130+N237*N130+O237*O130+P237*P130+Q237*Q130+R237*R130+S237*S130+T237*T130+U237*U130+V237*V130+W237*W130+X237*X130+Y237*Y130+Z237*Z130+AA237*AA130+AB237*AB130+AC237*AC130+AD237*AD130+AE237*AE130+AF237*AF130+AG237*AG130+AH237*AH130+AI237*AI130+AJ237*AJ130+AK237*AK130+AL237*AL130+AM237*AM130+AN237*AN130+AO237*AO130+AP237*AP130+AQ237*AQ130+AR237*AR130+AS237*AS130+AT237*AT130+AU237*AU130+AV237*AV130+AW237*AW130+AX237*AX130+AY237*AY130+AZ237*AZ130+BA237*BA130+BB237*BB130+BC237*BC130+BD237*BD130+BE237*BE130+BF237*BF130+BG237*BG130+BH237*BH130+BI237*BI130+BJ237*BJ130+BK237*BK130+BL237*BL130+BM237*BM130+BN237*BN130+BO237*BO130+BP237*BP130+BQ237*BQ130+BR237*BR130+BS237*BS130+BT237*BT130+BU237*BU130+BV237*BV130+BW237*BW130+BX237*BX130+BY237*BY130+BZ237*BZ130+CA237*CA130+CB237*CB130+CC237*CC130+CD237*CD130+CE237*CE130+CF237*CF130+CG237*CG130+CH237*CH130+CI237*CI130+CJ237*CJ130+CK237*CK130</f>
        <v>-1.1102230246251565E-16</v>
      </c>
      <c r="CP130" s="2296">
        <f>E238*E130+F238*F130+G238*G130+H238*H130+I238*I130+J238*J130+K238*K130+L238*L130+M238*M130+N238*N130+O238*O130+P238*P130+Q238*Q130+R238*R130+S238*S130+T238*T130+U238*U130+V238*V130+W238*W130+X238*X130+Y238*Y130+Z238*Z130+AA238*AA130+AB238*AB130+AC238*AC130+AD238*AD130+AE238*AE130+AF238*AF130+AG238*AG130+AH238*AH130+AI238*AI130+AJ238*AJ130+AK238*AK130+AL238*AL130+AM238*AM130+AN238*AN130+AO238*AO130+AP238*AP130+AQ238*AQ130+AR238*AR130+AS238*AS130+AT238*AT130+AU238*AU130+AV238*AV130+AW238*AW130+AX238*AX130+AY238*AY130+AZ238*AZ130+BA238*BA130+BB238*BB130+BC238*BC130+BD238*BD130+BE238*BE130+BF238*BF130+BG238*BG130+BH238*BH130+BI238*BI130+BJ238*BJ130+BK238*BK130+BL238*BL130+BM238*BM130+BN238*BN130+BO238*BO130+BP238*BP130+BQ238*BQ130+BR238*BR130+BS238*BS130+BT238*BT130+BU238*BU130+BV238*BV130+BW238*BW130+BX238*BX130+BY238*BY130+BZ238*BZ130+CA238*CA130+CB238*CB130+CC238*CC130+CD238*CD130+CE238*CE130+CF238*CF130+CG238*CG130+CH238*CH130+CI238*CI130+CJ238*CJ130+CK238*CK130</f>
        <v>0</v>
      </c>
      <c r="CQ130" s="2297">
        <f>E239*E130+F239*F130+G239*G130+H239*H130+I239*I130+J239*J130+K239*K130+L239*L130+M239*M130+N239*N130+O239*O130+P239*P130+Q239*Q130+R239*R130+S239*S130+T239*T130+U239*U130+V239*V130+W239*W130+X239*X130+Y239*Y130+Z239*Z130+AA239*AA130+AB239*AB130+AC239*AC130+AD239*AD130+AE239*AE130+AF239*AF130+AG239*AG130+AH239*AH130+AI239*AI130+AJ239*AJ130+AK239*AK130+AL239*AL130+AM239*AM130+AN239*AN130+AO239*AO130+AP239*AP130+AQ239*AQ130+AR239*AR130+AS239*AS130+AT239*AT130+AU239*AU130+AV239*AV130+AW239*AW130+AX239*AX130+AY239*AY130+AZ239*AZ130+BA239*BA130+BB239*BB130+BC239*BC130+BD239*BD130+BE239*BE130+BF239*BF130+BG239*BG130+BH239*BH130+BI239*BI130+BJ239*BJ130+BK239*BK130+BL239*BL130+BM239*BM130+BN239*BN130+BO239*BO130+BP239*BP130+BQ239*BQ130+BR239*BR130+BS239*BS130+BT239*BT130+BU239*BU130+BV239*BV130+BW239*BW130+BX239*BX130+BY239*BY130+BZ239*BZ130+CA239*CA130+CB239*CB130+CC239*CC130+CD239*CD130+CE239*CE130+CF239*CF130+CG239*CG130+CH239*CH130+CI239*CI130+CJ239*CJ130+CK239*CK130</f>
        <v>0</v>
      </c>
      <c r="CR130" s="2297">
        <f>E240*E130+F240*F130+G240*G130+H240*H130+I240*I130+J240*J130+K240*K130+L240*L130+M240*M130+N240*N130+O240*O130+P240*P130+Q240*Q130+R240*R130+S240*S130+T240*T130+U240*U130+V240*V130+W240*W130+X240*X130+Y240*Y130+Z240*Z130+AA240*AA130+AB240*AB130+AC240*AC130+AD240*AD130+AE240*AE130+AF240*AF130+AG240*AG130+AH240*AH130+AI240*AI130+AJ240*AJ130+AK240*AK130+AL240*AL130+AM240*AM130+AN240*AN130+AO240*AO130+AP240*AP130+AQ240*AQ130+AR240*AR130+AS240*AS130+AT240*AT130+AU240*AU130+AV240*AV130+AW240*AW130+AX240*AX130+AY240*AY130+AZ240*AZ130+BA240*BA130+BB240*BB130+BC240*BC130+BD240*BD130+BE240*BE130+BF240*BF130+BG240*BG130+BH240*BH130+BI240*BI130+BJ240*BJ130+BK240*BK130+BL240*BL130+BM240*BM130+BN240*BN130+BO240*BO130+BP240*BP130+BQ240*BQ130+BR240*BR130+BS240*BS130+BT240*BT130+BU240*BU130+BV240*BV130+BW240*BW130+BX240*BX130+BY240*BY130+BZ240*BZ130+CA240*CA130+CB240*CB130+CC240*CC130+CD240*CD130+CE240*CE130+CF240*CF130+CG240*CG130+CH240*CH130+CI240*CI130+CJ240*CJ130+CK240*CK130</f>
        <v>0</v>
      </c>
      <c r="CS130" s="2297">
        <f>E241*E130+F241*F130+G241*G130+H241*H130+I241*I130+J241*J130+K241*K130+L241*L130+M241*M130+N241*N130+O241*O130+P241*P130+Q241*Q130+R241*R130+S241*S130+T241*T130+U241*U130+V241*V130+W241*W130+X241*X130+Y241*Y130+Z241*Z130+AA241*AA130+AB241*AB130+AC241*AC130+AD241*AD130+AE241*AE130+AF241*AF130+AG241*AG130+AH241*AH130+AI241*AI130+AJ241*AJ130+AK241*AK130+AL241*AL130+AM241*AM130+AN241*AN130+AO241*AO130+AP241*AP130+AQ241*AQ130+AR241*AR130+AS241*AS130+AT241*AT130+AU241*AU130+AV241*AV130+AW241*AW130+AX241*AX130+AY241*AY130+AZ241*AZ130+BA241*BA130+BB241*BB130+BC241*BC130+BD241*BD130+BE241*BE130+BF241*BF130+BG241*BG130+BH241*BH130+BI241*BI130+BJ241*BJ130+BK241*BK130+BL241*BL130+BM241*BM130+BN241*BN130+BO241*BO130+BP241*BP130+BQ241*BQ130+BR241*BR130+BS241*BS130+BT241*BT130+BU241*BU130+BV241*BV130+BW241*BW130+BX241*BX130+BY241*BY130+BZ241*BZ130+CA241*CA130+CB241*CB130+CC241*CC130+CD241*CD130+CE241*CE130+CF241*CF130+CG241*CG130+CH241*CH130+CI241*CI130+CJ241*CJ130+CK241*CK130</f>
        <v>0</v>
      </c>
      <c r="CT130" s="2297">
        <f>E242*E130+F242*F130+G242*G130+H242*H130+I242*I130+J242*J130+K242*K130+L242*L130+M242*M130+N242*N130+O242*O130+P242*P130+Q242*Q130+R242*R130+S242*S130+T242*T130+U242*U130+V242*V130+W242*W130+X242*X130+Y242*Y130+Z242*Z130+AA242*AA130+AB242*AB130+AC242*AC130+AD242*AD130+AE242*AE130+AF242*AF130+AG242*AG130+AH242*AH130+AI242*AI130+AJ242*AJ130+AK242*AK130+AL242*AL130+AM242*AM130+AN242*AN130+AO242*AO130+AP242*AP130+AQ242*AQ130+AR242*AR130+AS242*AS130+AT242*AT130+AU242*AU130+AV242*AV130+AW242*AW130+AX242*AX130+AY242*AY130+AZ242*AZ130+BA242*BA130+BB242*BB130+BC242*BC130+BD242*BD130+BE242*BE130+BF242*BF130+BG242*BG130+BH242*BH130+BI242*BI130+BJ242*BJ130+BK242*BK130+BL242*BL130+BM242*BM130+BN242*BN130+BO242*BO130+BP242*BP130+BQ242*BQ130+BR242*BR130+BS242*BS130+BT242*BT130+BU242*BU130+BV242*BV130+BW242*BW130+BX242*BX130+BY242*BY130+BZ242*BZ130+CA242*CA130+CB242*CB130+CC242*CC130+CD242*CD130+CE242*CE130+CF242*CF130+CG242*CG130+CH242*CH130+CI242*CI130+CJ242*CJ130+CK242*CK130</f>
        <v>0</v>
      </c>
      <c r="CU130" s="2297">
        <f>E243*E130+F243*F130+G243*G130+H243*H130+I243*I130+J243*J130+K243*K130+L243*L130+M243*M130+N243*N130+O243*O130+P243*P130+Q243*Q130+R243*R130+S243*S130+T243*T130+U243*U130+V243*V130+W243*W130+X243*X130+Y243*Y130+Z243*Z130+AA243*AA130+AB243*AB130+AC243*AC130+AD243*AD130+AE243*AE130+AF243*AF130+AG243*AG130+AH243*AH130+AI243*AI130+AJ243*AJ130+AK243*AK130+AL243*AL130+AM243*AM130+AN243*AN130+AO243*AO130+AP243*AP130+AQ243*AQ130+AR243*AR130+AS243*AS130+AT243*AT130+AU243*AU130+AV243*AV130+AW243*AW130+AX243*AX130+AY243*AY130+AZ243*AZ130+BA243*BA130+BB243*BB130+BC243*BC130+BD243*BD130+BE243*BE130+BF243*BF130+BG243*BG130+BH243*BH130+BI243*BI130+BJ243*BJ130+BK243*BK130+BL243*BL130+BM243*BM130+BN243*BN130+BO243*BO130+BP243*BP130+BQ243*BQ130+BR243*BR130+BS243*BS130+BT243*BT130+BU243*BU130+BV243*BV130+BW243*BW130+BX243*BX130+BY243*BY130+BZ243*BZ130+CA243*CA130+CB243*CB130+CC243*CC130+CD243*CD130+CE243*CE130+CF243*CF130+CG243*CG130+CH243*CH130+CI243*CI130+CJ243*CJ130+CK243*CK130</f>
        <v>0</v>
      </c>
      <c r="CV130" s="2297">
        <f>E244*E130+F244*F130+G244*G130+H244*H130+I244*I130+J244*J130+K244*K130+L244*L130+M244*M130+N244*N130+O244*O130+P244*P130+Q244*Q130+R244*R130+S244*S130+T244*T130+U244*U130+V244*V130+W244*W130+X244*X130+Y244*Y130+Z244*Z130+AA244*AA130+AB244*AB130+AC244*AC130+AD244*AD130+AE244*AE130+AF244*AF130+AG244*AG130+AH244*AH130+AI244*AI130+AJ244*AJ130+AK244*AK130+AL244*AL130+AM244*AM130+AN244*AN130+AO244*AO130+AP244*AP130+AQ244*AQ130+AR244*AR130+AS244*AS130+AT244*AT130+AU244*AU130+AV244*AV130+AW244*AW130+AX244*AX130+AY244*AY130+AZ244*AZ130+BA244*BA130+BB244*BB130+BC244*BC130+BD244*BD130+BE244*BE130+BF244*BF130+BG244*BG130+BH244*BH130+BI244*BI130+BJ244*BJ130+BK244*BK130+BL244*BL130+BM244*BM130+BN244*BN130+BO244*BO130+BP244*BP130+BQ244*BQ130+BR244*BR130+BS244*BS130+BT244*BT130+BU244*BU130+BV244*BV130+BW244*BW130+BX244*BX130+BY244*BY130+BZ244*BZ130+CA244*CA130+CB244*CB130+CC244*CC130+CD244*CD130+CE244*CE130+CF244*CF130+CG244*CG130+CH244*CH130+CI244*CI130+CJ244*CJ130+CK244*CK130</f>
        <v>0</v>
      </c>
      <c r="CW130" s="2297">
        <f>E245*E130+F245*F130+G245*G130+H245*H130+I245*I130+J245*J130+K245*K130+L245*L130+M245*M130+N245*N130+O245*O130+P245*P130+Q245*Q130+R245*R130+S245*S130+T245*T130+U245*U130+V245*V130+W245*W130+X245*X130+Y245*Y130+Z245*Z130+AA245*AA130+AB245*AB130+AC245*AC130+AD245*AD130+AE245*AE130+AF245*AF130+AG245*AG130+AH245*AH130+AI245*AI130+AJ245*AJ130+AK245*AK130+AL245*AL130+AM245*AM130+AN245*AN130+AO245*AO130+AP245*AP130+AQ245*AQ130+AR245*AR130+AS245*AS130+AT245*AT130+AU245*AU130+AV245*AV130+AW245*AW130+AX245*AX130+AY245*AY130+AZ245*AZ130+BA245*BA130+BB245*BB130+BC245*BC130+BD245*BD130+BE245*BE130+BF245*BF130+BG245*BG130+BH245*BH130+BI245*BI130+BJ245*BJ130+BK245*BK130+BL245*BL130+BM245*BM130+BN245*BN130+BO245*BO130+BP245*BP130+BQ245*BQ130+BR245*BR130+BS245*BS130+BT245*BT130+BU245*BU130+BV245*BV130+BW245*BW130+BX245*BX130+BY245*BY130+BZ245*BZ130+CA245*CA130+CB245*CB130+CC245*CC130+CD245*CD130+CE245*CE130+CF245*CF130+CG245*CG130+CH245*CH130+CI245*CI130+CJ245*CJ130+CK245*CK130</f>
        <v>0</v>
      </c>
      <c r="CX130" s="2297">
        <f>E246*E130+F246*F130+G246*G130+H246*H130+I246*I130+J246*J130+K246*K130+L246*L130+M246*M130+N246*N130+O246*O130+P246*P130+Q246*Q130+R246*R130+S246*S130+T246*T130+U246*U130+V246*V130+W246*W130+X246*X130+Y246*Y130+Z246*Z130+AA246*AA130+AB246*AB130+AC246*AC130+AD246*AD130+AE246*AE130+AF246*AF130+AG246*AG130+AH246*AH130+AI246*AI130+AJ246*AJ130+AK246*AK130+AL246*AL130+AM246*AM130+AN246*AN130+AO246*AO130+AP246*AP130+AQ246*AQ130+AR246*AR130+AS246*AS130+AT246*AT130+AU246*AU130+AV246*AV130+AW246*AW130+AX246*AX130+AY246*AY130+AZ246*AZ130+BA246*BA130+BB246*BB130+BC246*BC130+BD246*BD130+BE246*BE130+BF246*BF130+BG246*BG130+BH246*BH130+BI246*BI130+BJ246*BJ130+BK246*BK130+BL246*BL130+BM246*BM130+BN246*BN130+BO246*BO130+BP246*BP130+BQ246*BQ130+BR246*BR130+BS246*BS130+BT246*BT130+BU246*BU130+BV246*BV130+BW246*BW130+BX246*BX130+BY246*BY130+BZ246*BZ130+CA246*CA130+CB246*CB130+CC246*CC130+CD246*CD130+CE246*CE130+CF246*CF130+CG246*CG130+CH246*CH130+CI246*CI130+CJ246*CJ130+CK246*CK130</f>
        <v>0</v>
      </c>
    </row>
    <row r="131" spans="2:102" ht="18" x14ac:dyDescent="0.25">
      <c r="B131" s="1243">
        <v>4</v>
      </c>
      <c r="C131" s="1191" t="s">
        <v>226</v>
      </c>
      <c r="D131" s="577" t="s">
        <v>1650</v>
      </c>
      <c r="E131" s="2654">
        <f>0</f>
        <v>0</v>
      </c>
      <c r="F131" s="2653">
        <f>-1/Y_OHO_SB_ox</f>
        <v>-1.4925373134328357</v>
      </c>
      <c r="G131" s="2654">
        <f>0</f>
        <v>0</v>
      </c>
      <c r="H131" s="2654">
        <f>0</f>
        <v>0</v>
      </c>
      <c r="I131" s="2654">
        <f>0</f>
        <v>0</v>
      </c>
      <c r="J131" s="2691">
        <f>0</f>
        <v>0</v>
      </c>
      <c r="K131" s="2654">
        <f>0</f>
        <v>0</v>
      </c>
      <c r="L131" s="2654">
        <f>0</f>
        <v>0</v>
      </c>
      <c r="M131" s="2654">
        <f>0</f>
        <v>0</v>
      </c>
      <c r="N131" s="2654">
        <f>0</f>
        <v>0</v>
      </c>
      <c r="O131" s="2654">
        <f>0</f>
        <v>0</v>
      </c>
      <c r="P131" s="2654">
        <f>0</f>
        <v>0</v>
      </c>
      <c r="Q131" s="2654">
        <f>0</f>
        <v>0</v>
      </c>
      <c r="R131" s="2654">
        <f>1</f>
        <v>1</v>
      </c>
      <c r="S131" s="2654">
        <f>0</f>
        <v>0</v>
      </c>
      <c r="T131" s="2654">
        <f>0</f>
        <v>0</v>
      </c>
      <c r="U131" s="2654">
        <f>0</f>
        <v>0</v>
      </c>
      <c r="V131" s="2654">
        <f>0</f>
        <v>0</v>
      </c>
      <c r="W131" s="2654">
        <f>0</f>
        <v>0</v>
      </c>
      <c r="X131" s="2654">
        <f>0</f>
        <v>0</v>
      </c>
      <c r="Y131" s="2654">
        <f>0</f>
        <v>0</v>
      </c>
      <c r="Z131" s="2713">
        <f>0</f>
        <v>0</v>
      </c>
      <c r="AA131" s="2653">
        <f>-i_N_BIO</f>
        <v>-7.0000000000000007E-2</v>
      </c>
      <c r="AB131" s="2653">
        <f>0</f>
        <v>0</v>
      </c>
      <c r="AC131" s="2653">
        <f>0</f>
        <v>0</v>
      </c>
      <c r="AD131" s="2654">
        <f>0</f>
        <v>0</v>
      </c>
      <c r="AE131" s="2654">
        <f>0</f>
        <v>0</v>
      </c>
      <c r="AF131" s="2654">
        <f>0</f>
        <v>0</v>
      </c>
      <c r="AG131" s="2654">
        <f>0</f>
        <v>0</v>
      </c>
      <c r="AH131" s="2654">
        <f>0</f>
        <v>0</v>
      </c>
      <c r="AI131" s="2653">
        <f>-i_P_BIO</f>
        <v>-0.02</v>
      </c>
      <c r="AJ131" s="2654">
        <f>0</f>
        <v>0</v>
      </c>
      <c r="AK131" s="2654">
        <f>0</f>
        <v>0</v>
      </c>
      <c r="AL131" s="2654">
        <f>0</f>
        <v>0</v>
      </c>
      <c r="AM131" s="2654">
        <f>0</f>
        <v>0</v>
      </c>
      <c r="AN131" s="2654">
        <f>0</f>
        <v>0</v>
      </c>
      <c r="AO131" s="2653">
        <f>-(1-Y_OHO_SB_ox)/Y_OHO_SB_ox</f>
        <v>-0.49253731343283574</v>
      </c>
      <c r="AP131" s="2653">
        <f>0</f>
        <v>0</v>
      </c>
      <c r="AQ131" s="2653">
        <f>0</f>
        <v>0</v>
      </c>
      <c r="AR131" s="2653">
        <f>i_CIT_SB/Y_OHO_SB_ox-i_CIT_BIO</f>
        <v>7.4865671641791032E-2</v>
      </c>
      <c r="AS131" s="2740">
        <f>i_INORG</f>
        <v>0.11</v>
      </c>
      <c r="AT131" s="2740">
        <f>-i_INORG*(1-i_Ca_INORG*(A_MCa+2*A_MCl)/A_MCa-i_Mg_INORG*(A_MMg+2*A_MCl)/A_MMg)*f_Na</f>
        <v>-2.8804303582798466E-2</v>
      </c>
      <c r="AU131" s="2740">
        <f>-i_INORG*(i_Ca_INORG*(2*A_MCl)/A_MCa+i_Mg_INORG*(2*A_MCl)/A_MMg)-i_INORG*(1-i_Ca_INORG*(A_MCa+2*A_MCl)/A_MCa-i_Mg_INORG*(A_MMg+2*A_MCl)/A_MMg)*(1-f_Na)</f>
        <v>-7.0195696417201539E-2</v>
      </c>
      <c r="AV131" s="2740">
        <f>-i_INORG*i_Ca_INORG</f>
        <v>-5.5000000000000005E-3</v>
      </c>
      <c r="AW131" s="2740">
        <f>-i_INORG*i_Mg_INORG</f>
        <v>-5.5000000000000005E-3</v>
      </c>
      <c r="AX131" s="2653">
        <f>0</f>
        <v>0</v>
      </c>
      <c r="AY131" s="2653">
        <f>0</f>
        <v>0</v>
      </c>
      <c r="AZ131" s="2653">
        <f>0</f>
        <v>0</v>
      </c>
      <c r="BA131" s="2653">
        <f>0</f>
        <v>0</v>
      </c>
      <c r="BB131" s="2653">
        <f>0</f>
        <v>0</v>
      </c>
      <c r="BC131" s="2653">
        <f>0</f>
        <v>0</v>
      </c>
      <c r="BD131" s="2653">
        <f>0</f>
        <v>0</v>
      </c>
      <c r="BE131" s="2653">
        <f>0</f>
        <v>0</v>
      </c>
      <c r="BF131" s="2653">
        <f>0</f>
        <v>0</v>
      </c>
      <c r="BG131" s="2653">
        <f>0</f>
        <v>0</v>
      </c>
      <c r="BH131" s="2653">
        <f>0</f>
        <v>0</v>
      </c>
      <c r="BI131" s="2653">
        <f>0</f>
        <v>0</v>
      </c>
      <c r="BJ131" s="2653">
        <f>0</f>
        <v>0</v>
      </c>
      <c r="BK131" s="2653">
        <f>0</f>
        <v>0</v>
      </c>
      <c r="BL131" s="2653">
        <f>0</f>
        <v>0</v>
      </c>
      <c r="BM131" s="2653">
        <f>0</f>
        <v>0</v>
      </c>
      <c r="BN131" s="2653">
        <f>0</f>
        <v>0</v>
      </c>
      <c r="BO131" s="2653">
        <f>0</f>
        <v>0</v>
      </c>
      <c r="BP131" s="2756">
        <f>0</f>
        <v>0</v>
      </c>
      <c r="BQ131" s="2653">
        <f>0</f>
        <v>0</v>
      </c>
      <c r="BR131" s="2653">
        <f>0</f>
        <v>0</v>
      </c>
      <c r="BS131" s="2766">
        <f>0</f>
        <v>0</v>
      </c>
      <c r="BT131" s="2766">
        <f>0</f>
        <v>0</v>
      </c>
      <c r="BU131" s="2766">
        <f>0</f>
        <v>0</v>
      </c>
      <c r="BV131" s="2766">
        <f>0</f>
        <v>0</v>
      </c>
      <c r="BW131" s="2653">
        <f>0</f>
        <v>0</v>
      </c>
      <c r="BX131" s="2774">
        <f>0</f>
        <v>0</v>
      </c>
      <c r="BY131" s="2766">
        <f>0</f>
        <v>0</v>
      </c>
      <c r="BZ131" s="2653">
        <f>0</f>
        <v>0</v>
      </c>
      <c r="CA131" s="2653">
        <f>0</f>
        <v>0</v>
      </c>
      <c r="CB131" s="2653">
        <f>0</f>
        <v>0</v>
      </c>
      <c r="CC131" s="2653">
        <f>0</f>
        <v>0</v>
      </c>
      <c r="CD131" s="2653">
        <f>0</f>
        <v>0</v>
      </c>
      <c r="CE131" s="2653">
        <f>0</f>
        <v>0</v>
      </c>
      <c r="CF131" s="2653">
        <f>0</f>
        <v>0</v>
      </c>
      <c r="CG131" s="2653">
        <f>0</f>
        <v>0</v>
      </c>
      <c r="CH131" s="2653">
        <f>0</f>
        <v>0</v>
      </c>
      <c r="CI131" s="2653">
        <f>0</f>
        <v>0</v>
      </c>
      <c r="CJ131" s="2653">
        <f>0</f>
        <v>0</v>
      </c>
      <c r="CK131" s="2653">
        <f>0</f>
        <v>0</v>
      </c>
      <c r="CL131" s="2801">
        <f>µ_OHO_T*X_OHO*M_satSB_KSB*M_inhSVFA_KVFA*M_satSO2_KO2_OHO*M_satSNHx_KNHx_BIO*M_satSPO4_KPO4_BIO*M_satSCAT_KCAT*M_satSAN_KAN*M_satSCa_KCa*M_satSMg_KMg*B_ellinhpH</f>
        <v>300.21284646842776</v>
      </c>
      <c r="CN131" s="2295">
        <f>E236*E131+F236*F131+G236*G131+H236*H131+I236*I131+J236*J131+K236*K131+L236*L131+M236*M131+N236*N131+O236*O131+P236*P131+Q236*Q131+R236*R131+S236*S131+T236*T131+U236*U131+V236*V131+W236*W131+X236*X131+Y236*Y131+Z236*Z131+AA236*AA131+AB236*AB131+AC236*AC131+AD236*AD131+AE236*AE131+AF236*AF131+AG236*AG131+AH236*AH131+AI236*AI131+AJ236*AJ131+AK236*AK131+AL236*AL131+AM236*AM131+AN236*AN131+AO236*AO131+AP236*AP131+AQ236*AQ131+AR236*AR131+AS236*AS131+AT236*AT131+AU236*AU131+AV236*AV131+AW236*AW131+AX236*AX131+AY236*AY131+AZ236*AZ131+BA236*BA131+BB236*BB131+BC236*BC131+BD236*BD131+BE236*BE131+BF236*BF131+BG236*BG131+BH236*BH131+BI236*BI131+BJ236*BJ131+BK236*BK131+BL236*BL131+BM236*BM131+BN236*BN131+BO236*BO131+BP236*BP131+BQ236*BQ131+BR236*BR131+BS236*BS131+BT236*BT131+BU236*BU131+BV236*BV131+BW236*BW131+BX236*BX131+BY236*BY131+BZ236*BZ131+CA236*CA131+CB236*CB131+CC236*CC131+CD236*CD131+CE236*CE131+CF236*CF131+CG236*CG131+CH236*CH131+CI236*CI131+CJ236*CJ131+CK236*CK131</f>
        <v>5.5511151231257827E-17</v>
      </c>
      <c r="CO131" s="2295">
        <f>E237*E131+F237*F131+G237*G131+H237*H131+I237*I131+J237*J131+K237*K131+L237*L131+M237*M131+N237*N131+O237*O131+P237*P131+Q237*Q131+R237*R131+S237*S131+T237*T131+U237*U131+V237*V131+W237*W131+X237*X131+Y237*Y131+Z237*Z131+AA237*AA131+AB237*AB131+AC237*AC131+AD237*AD131+AE237*AE131+AF237*AF131+AG237*AG131+AH237*AH131+AI237*AI131+AJ237*AJ131+AK237*AK131+AL237*AL131+AM237*AM131+AN237*AN131+AO237*AO131+AP237*AP131+AQ237*AQ131+AR237*AR131+AS237*AS131+AT237*AT131+AU237*AU131+AV237*AV131+AW237*AW131+AX237*AX131+AY237*AY131+AZ237*AZ131+BA237*BA131+BB237*BB131+BC237*BC131+BD237*BD131+BE237*BE131+BF237*BF131+BG237*BG131+BH237*BH131+BI237*BI131+BJ237*BJ131+BK237*BK131+BL237*BL131+BM237*BM131+BN237*BN131+BO237*BO131+BP237*BP131+BQ237*BQ131+BR237*BR131+BS237*BS131+BT237*BT131+BU237*BU131+BV237*BV131+BW237*BW131+BX237*BX131+BY237*BY131+BZ237*BZ131+CA237*CA131+CB237*CB131+CC237*CC131+CD237*CD131+CE237*CE131+CF237*CF131+CG237*CG131+CH237*CH131+CI237*CI131+CJ237*CJ131+CK237*CK131</f>
        <v>5.5511151231257827E-17</v>
      </c>
      <c r="CP131" s="2296">
        <f>E238*E131+F238*F131+G238*G131+H238*H131+I238*I131+J238*J131+K238*K131+L238*L131+M238*M131+N238*N131+O238*O131+P238*P131+Q238*Q131+R238*R131+S238*S131+T238*T131+U238*U131+V238*V131+W238*W131+X238*X131+Y238*Y131+Z238*Z131+AA238*AA131+AB238*AB131+AC238*AC131+AD238*AD131+AE238*AE131+AF238*AF131+AG238*AG131+AH238*AH131+AI238*AI131+AJ238*AJ131+AK238*AK131+AL238*AL131+AM238*AM131+AN238*AN131+AO238*AO131+AP238*AP131+AQ238*AQ131+AR238*AR131+AS238*AS131+AT238*AT131+AU238*AU131+AV238*AV131+AW238*AW131+AX238*AX131+AY238*AY131+AZ238*AZ131+BA238*BA131+BB238*BB131+BC238*BC131+BD238*BD131+BE238*BE131+BF238*BF131+BG238*BG131+BH238*BH131+BI238*BI131+BJ238*BJ131+BK238*BK131+BL238*BL131+BM238*BM131+BN238*BN131+BO238*BO131+BP238*BP131+BQ238*BQ131+BR238*BR131+BS238*BS131+BT238*BT131+BU238*BU131+BV238*BV131+BW238*BW131+BX238*BX131+BY238*BY131+BZ238*BZ131+CA238*CA131+CB238*CB131+CC238*CC131+CD238*CD131+CE238*CE131+CF238*CF131+CG238*CG131+CH238*CH131+CI238*CI131+CJ238*CJ131+CK238*CK131</f>
        <v>0</v>
      </c>
      <c r="CQ131" s="2297">
        <f>E239*E131+F239*F131+G239*G131+H239*H131+I239*I131+J239*J131+K239*K131+L239*L131+M239*M131+N239*N131+O239*O131+P239*P131+Q239*Q131+R239*R131+S239*S131+T239*T131+U239*U131+V239*V131+W239*W131+X239*X131+Y239*Y131+Z239*Z131+AA239*AA131+AB239*AB131+AC239*AC131+AD239*AD131+AE239*AE131+AF239*AF131+AG239*AG131+AH239*AH131+AI239*AI131+AJ239*AJ131+AK239*AK131+AL239*AL131+AM239*AM131+AN239*AN131+AO239*AO131+AP239*AP131+AQ239*AQ131+AR239*AR131+AS239*AS131+AT239*AT131+AU239*AU131+AV239*AV131+AW239*AW131+AX239*AX131+AY239*AY131+AZ239*AZ131+BA239*BA131+BB239*BB131+BC239*BC131+BD239*BD131+BE239*BE131+BF239*BF131+BG239*BG131+BH239*BH131+BI239*BI131+BJ239*BJ131+BK239*BK131+BL239*BL131+BM239*BM131+BN239*BN131+BO239*BO131+BP239*BP131+BQ239*BQ131+BR239*BR131+BS239*BS131+BT239*BT131+BU239*BU131+BV239*BV131+BW239*BW131+BX239*BX131+BY239*BY131+BZ239*BZ131+CA239*CA131+CB239*CB131+CC239*CC131+CD239*CD131+CE239*CE131+CF239*CF131+CG239*CG131+CH239*CH131+CI239*CI131+CJ239*CJ131+CK239*CK131</f>
        <v>0</v>
      </c>
      <c r="CR131" s="2297">
        <f>E240*E131+F240*F131+G240*G131+H240*H131+I240*I131+J240*J131+K240*K131+L240*L131+M240*M131+N240*N131+O240*O131+P240*P131+Q240*Q131+R240*R131+S240*S131+T240*T131+U240*U131+V240*V131+W240*W131+X240*X131+Y240*Y131+Z240*Z131+AA240*AA131+AB240*AB131+AC240*AC131+AD240*AD131+AE240*AE131+AF240*AF131+AG240*AG131+AH240*AH131+AI240*AI131+AJ240*AJ131+AK240*AK131+AL240*AL131+AM240*AM131+AN240*AN131+AO240*AO131+AP240*AP131+AQ240*AQ131+AR240*AR131+AS240*AS131+AT240*AT131+AU240*AU131+AV240*AV131+AW240*AW131+AX240*AX131+AY240*AY131+AZ240*AZ131+BA240*BA131+BB240*BB131+BC240*BC131+BD240*BD131+BE240*BE131+BF240*BF131+BG240*BG131+BH240*BH131+BI240*BI131+BJ240*BJ131+BK240*BK131+BL240*BL131+BM240*BM131+BN240*BN131+BO240*BO131+BP240*BP131+BQ240*BQ131+BR240*BR131+BS240*BS131+BT240*BT131+BU240*BU131+BV240*BV131+BW240*BW131+BX240*BX131+BY240*BY131+BZ240*BZ131+CA240*CA131+CB240*CB131+CC240*CC131+CD240*CD131+CE240*CE131+CF240*CF131+CG240*CG131+CH240*CH131+CI240*CI131+CJ240*CJ131+CK240*CK131</f>
        <v>0</v>
      </c>
      <c r="CS131" s="2297">
        <f>E241*E131+F241*F131+G241*G131+H241*H131+I241*I131+J241*J131+K241*K131+L241*L131+M241*M131+N241*N131+O241*O131+P241*P131+Q241*Q131+R241*R131+S241*S131+T241*T131+U241*U131+V241*V131+W241*W131+X241*X131+Y241*Y131+Z241*Z131+AA241*AA131+AB241*AB131+AC241*AC131+AD241*AD131+AE241*AE131+AF241*AF131+AG241*AG131+AH241*AH131+AI241*AI131+AJ241*AJ131+AK241*AK131+AL241*AL131+AM241*AM131+AN241*AN131+AO241*AO131+AP241*AP131+AQ241*AQ131+AR241*AR131+AS241*AS131+AT241*AT131+AU241*AU131+AV241*AV131+AW241*AW131+AX241*AX131+AY241*AY131+AZ241*AZ131+BA241*BA131+BB241*BB131+BC241*BC131+BD241*BD131+BE241*BE131+BF241*BF131+BG241*BG131+BH241*BH131+BI241*BI131+BJ241*BJ131+BK241*BK131+BL241*BL131+BM241*BM131+BN241*BN131+BO241*BO131+BP241*BP131+BQ241*BQ131+BR241*BR131+BS241*BS131+BT241*BT131+BU241*BU131+BV241*BV131+BW241*BW131+BX241*BX131+BY241*BY131+BZ241*BZ131+CA241*CA131+CB241*CB131+CC241*CC131+CD241*CD131+CE241*CE131+CF241*CF131+CG241*CG131+CH241*CH131+CI241*CI131+CJ241*CJ131+CK241*CK131</f>
        <v>0</v>
      </c>
      <c r="CT131" s="2297">
        <f>E242*E131+F242*F131+G242*G131+H242*H131+I242*I131+J242*J131+K242*K131+L242*L131+M242*M131+N242*N131+O242*O131+P242*P131+Q242*Q131+R242*R131+S242*S131+T242*T131+U242*U131+V242*V131+W242*W131+X242*X131+Y242*Y131+Z242*Z131+AA242*AA131+AB242*AB131+AC242*AC131+AD242*AD131+AE242*AE131+AF242*AF131+AG242*AG131+AH242*AH131+AI242*AI131+AJ242*AJ131+AK242*AK131+AL242*AL131+AM242*AM131+AN242*AN131+AO242*AO131+AP242*AP131+AQ242*AQ131+AR242*AR131+AS242*AS131+AT242*AT131+AU242*AU131+AV242*AV131+AW242*AW131+AX242*AX131+AY242*AY131+AZ242*AZ131+BA242*BA131+BB242*BB131+BC242*BC131+BD242*BD131+BE242*BE131+BF242*BF131+BG242*BG131+BH242*BH131+BI242*BI131+BJ242*BJ131+BK242*BK131+BL242*BL131+BM242*BM131+BN242*BN131+BO242*BO131+BP242*BP131+BQ242*BQ131+BR242*BR131+BS242*BS131+BT242*BT131+BU242*BU131+BV242*BV131+BW242*BW131+BX242*BX131+BY242*BY131+BZ242*BZ131+CA242*CA131+CB242*CB131+CC242*CC131+CD242*CD131+CE242*CE131+CF242*CF131+CG242*CG131+CH242*CH131+CI242*CI131+CJ242*CJ131+CK242*CK131</f>
        <v>0</v>
      </c>
      <c r="CU131" s="2297">
        <f>E243*E131+F243*F131+G243*G131+H243*H131+I243*I131+J243*J131+K243*K131+L243*L131+M243*M131+N243*N131+O243*O131+P243*P131+Q243*Q131+R243*R131+S243*S131+T243*T131+U243*U131+V243*V131+W243*W131+X243*X131+Y243*Y131+Z243*Z131+AA243*AA131+AB243*AB131+AC243*AC131+AD243*AD131+AE243*AE131+AF243*AF131+AG243*AG131+AH243*AH131+AI243*AI131+AJ243*AJ131+AK243*AK131+AL243*AL131+AM243*AM131+AN243*AN131+AO243*AO131+AP243*AP131+AQ243*AQ131+AR243*AR131+AS243*AS131+AT243*AT131+AU243*AU131+AV243*AV131+AW243*AW131+AX243*AX131+AY243*AY131+AZ243*AZ131+BA243*BA131+BB243*BB131+BC243*BC131+BD243*BD131+BE243*BE131+BF243*BF131+BG243*BG131+BH243*BH131+BI243*BI131+BJ243*BJ131+BK243*BK131+BL243*BL131+BM243*BM131+BN243*BN131+BO243*BO131+BP243*BP131+BQ243*BQ131+BR243*BR131+BS243*BS131+BT243*BT131+BU243*BU131+BV243*BV131+BW243*BW131+BX243*BX131+BY243*BY131+BZ243*BZ131+CA243*CA131+CB243*CB131+CC243*CC131+CD243*CD131+CE243*CE131+CF243*CF131+CG243*CG131+CH243*CH131+CI243*CI131+CJ243*CJ131+CK243*CK131</f>
        <v>0</v>
      </c>
      <c r="CV131" s="2297">
        <f>E244*E131+F244*F131+G244*G131+H244*H131+I244*I131+J244*J131+K244*K131+L244*L131+M244*M131+N244*N131+O244*O131+P244*P131+Q244*Q131+R244*R131+S244*S131+T244*T131+U244*U131+V244*V131+W244*W131+X244*X131+Y244*Y131+Z244*Z131+AA244*AA131+AB244*AB131+AC244*AC131+AD244*AD131+AE244*AE131+AF244*AF131+AG244*AG131+AH244*AH131+AI244*AI131+AJ244*AJ131+AK244*AK131+AL244*AL131+AM244*AM131+AN244*AN131+AO244*AO131+AP244*AP131+AQ244*AQ131+AR244*AR131+AS244*AS131+AT244*AT131+AU244*AU131+AV244*AV131+AW244*AW131+AX244*AX131+AY244*AY131+AZ244*AZ131+BA244*BA131+BB244*BB131+BC244*BC131+BD244*BD131+BE244*BE131+BF244*BF131+BG244*BG131+BH244*BH131+BI244*BI131+BJ244*BJ131+BK244*BK131+BL244*BL131+BM244*BM131+BN244*BN131+BO244*BO131+BP244*BP131+BQ244*BQ131+BR244*BR131+BS244*BS131+BT244*BT131+BU244*BU131+BV244*BV131+BW244*BW131+BX244*BX131+BY244*BY131+BZ244*BZ131+CA244*CA131+CB244*CB131+CC244*CC131+CD244*CD131+CE244*CE131+CF244*CF131+CG244*CG131+CH244*CH131+CI244*CI131+CJ244*CJ131+CK244*CK131</f>
        <v>0</v>
      </c>
      <c r="CW131" s="2297">
        <f>E245*E131+F245*F131+G245*G131+H245*H131+I245*I131+J245*J131+K245*K131+L245*L131+M245*M131+N245*N131+O245*O131+P245*P131+Q245*Q131+R245*R131+S245*S131+T245*T131+U245*U131+V245*V131+W245*W131+X245*X131+Y245*Y131+Z245*Z131+AA245*AA131+AB245*AB131+AC245*AC131+AD245*AD131+AE245*AE131+AF245*AF131+AG245*AG131+AH245*AH131+AI245*AI131+AJ245*AJ131+AK245*AK131+AL245*AL131+AM245*AM131+AN245*AN131+AO245*AO131+AP245*AP131+AQ245*AQ131+AR245*AR131+AS245*AS131+AT245*AT131+AU245*AU131+AV245*AV131+AW245*AW131+AX245*AX131+AY245*AY131+AZ245*AZ131+BA245*BA131+BB245*BB131+BC245*BC131+BD245*BD131+BE245*BE131+BF245*BF131+BG245*BG131+BH245*BH131+BI245*BI131+BJ245*BJ131+BK245*BK131+BL245*BL131+BM245*BM131+BN245*BN131+BO245*BO131+BP245*BP131+BQ245*BQ131+BR245*BR131+BS245*BS131+BT245*BT131+BU245*BU131+BV245*BV131+BW245*BW131+BX245*BX131+BY245*BY131+BZ245*BZ131+CA245*CA131+CB245*CB131+CC245*CC131+CD245*CD131+CE245*CE131+CF245*CF131+CG245*CG131+CH245*CH131+CI245*CI131+CJ245*CJ131+CK245*CK131</f>
        <v>0</v>
      </c>
      <c r="CX131" s="2297">
        <f>E246*E131+F246*F131+G246*G131+H246*H131+I246*I131+J246*J131+K246*K131+L246*L131+M246*M131+N246*N131+O246*O131+P246*P131+Q246*Q131+R246*R131+S246*S131+T246*T131+U246*U131+V246*V131+W246*W131+X246*X131+Y246*Y131+Z246*Z131+AA246*AA131+AB246*AB131+AC246*AC131+AD246*AD131+AE246*AE131+AF246*AF131+AG246*AG131+AH246*AH131+AI246*AI131+AJ246*AJ131+AK246*AK131+AL246*AL131+AM246*AM131+AN246*AN131+AO246*AO131+AP246*AP131+AQ246*AQ131+AR246*AR131+AS246*AS131+AT246*AT131+AU246*AU131+AV246*AV131+AW246*AW131+AX246*AX131+AY246*AY131+AZ246*AZ131+BA246*BA131+BB246*BB131+BC246*BC131+BD246*BD131+BE246*BE131+BF246*BF131+BG246*BG131+BH246*BH131+BI246*BI131+BJ246*BJ131+BK246*BK131+BL246*BL131+BM246*BM131+BN246*BN131+BO246*BO131+BP246*BP131+BQ246*BQ131+BR246*BR131+BS246*BS131+BT246*BT131+BU246*BU131+BV246*BV131+BW246*BW131+BX246*BX131+BY246*BY131+BZ246*BZ131+CA246*CA131+CB246*CB131+CC246*CC131+CD246*CD131+CE246*CE131+CF246*CF131+CG246*CG131+CH246*CH131+CI246*CI131+CJ246*CJ131+CK246*CK131</f>
        <v>0</v>
      </c>
    </row>
    <row r="132" spans="2:102" ht="18" x14ac:dyDescent="0.25">
      <c r="B132" s="1243">
        <v>5</v>
      </c>
      <c r="C132" s="1191" t="s">
        <v>227</v>
      </c>
      <c r="D132" s="577" t="s">
        <v>2215</v>
      </c>
      <c r="E132" s="2654">
        <f>0</f>
        <v>0</v>
      </c>
      <c r="F132" s="2653">
        <f>-1/Y_OHO_SB_anox</f>
        <v>-1.8518518518518516</v>
      </c>
      <c r="G132" s="2654">
        <f>0</f>
        <v>0</v>
      </c>
      <c r="H132" s="2654">
        <f>0</f>
        <v>0</v>
      </c>
      <c r="I132" s="2654">
        <f>0</f>
        <v>0</v>
      </c>
      <c r="J132" s="2691">
        <f>0</f>
        <v>0</v>
      </c>
      <c r="K132" s="2654">
        <f>0</f>
        <v>0</v>
      </c>
      <c r="L132" s="2654">
        <f>0</f>
        <v>0</v>
      </c>
      <c r="M132" s="2654">
        <f>0</f>
        <v>0</v>
      </c>
      <c r="N132" s="2654">
        <f>0</f>
        <v>0</v>
      </c>
      <c r="O132" s="2654">
        <f>0</f>
        <v>0</v>
      </c>
      <c r="P132" s="2654">
        <f>0</f>
        <v>0</v>
      </c>
      <c r="Q132" s="2654">
        <f>0</f>
        <v>0</v>
      </c>
      <c r="R132" s="2654">
        <f>1</f>
        <v>1</v>
      </c>
      <c r="S132" s="2654">
        <f>0</f>
        <v>0</v>
      </c>
      <c r="T132" s="2654">
        <f>0</f>
        <v>0</v>
      </c>
      <c r="U132" s="2654">
        <f>0</f>
        <v>0</v>
      </c>
      <c r="V132" s="2654">
        <f>0</f>
        <v>0</v>
      </c>
      <c r="W132" s="2654">
        <f>0</f>
        <v>0</v>
      </c>
      <c r="X132" s="2654">
        <f>0</f>
        <v>0</v>
      </c>
      <c r="Y132" s="2654">
        <f>0</f>
        <v>0</v>
      </c>
      <c r="Z132" s="2686">
        <f>0</f>
        <v>0</v>
      </c>
      <c r="AA132" s="2652">
        <f>-i_N_BIO</f>
        <v>-7.0000000000000007E-2</v>
      </c>
      <c r="AB132" s="2653">
        <f>-(1-Y_OHO_SB_anox)/(E_EQN2_NO2*Y_OHO_SB_anox)</f>
        <v>-0.49717003276511756</v>
      </c>
      <c r="AC132" s="2653">
        <f>0</f>
        <v>0</v>
      </c>
      <c r="AD132" s="2653">
        <f>(1-Y_OHO_SB_anox)/(E_EQN2_NO2*Y_OHO_SB_anox)</f>
        <v>0.49717003276511756</v>
      </c>
      <c r="AE132" s="2654">
        <f>0</f>
        <v>0</v>
      </c>
      <c r="AF132" s="2654">
        <f>0</f>
        <v>0</v>
      </c>
      <c r="AG132" s="2654">
        <f>0</f>
        <v>0</v>
      </c>
      <c r="AH132" s="2654">
        <f>0</f>
        <v>0</v>
      </c>
      <c r="AI132" s="2653">
        <f>-i_P_BIO</f>
        <v>-0.02</v>
      </c>
      <c r="AJ132" s="2654">
        <f>0</f>
        <v>0</v>
      </c>
      <c r="AK132" s="2654">
        <f>0</f>
        <v>0</v>
      </c>
      <c r="AL132" s="2654">
        <f>0</f>
        <v>0</v>
      </c>
      <c r="AM132" s="2654">
        <f>0</f>
        <v>0</v>
      </c>
      <c r="AN132" s="2654">
        <f>0</f>
        <v>0</v>
      </c>
      <c r="AO132" s="2653">
        <f>0</f>
        <v>0</v>
      </c>
      <c r="AP132" s="2653">
        <f>0</f>
        <v>0</v>
      </c>
      <c r="AQ132" s="2653">
        <f>0</f>
        <v>0</v>
      </c>
      <c r="AR132" s="2653">
        <f>i_CIT_SB/Y_OHO_SB_anox-i_CIT_BIO</f>
        <v>0.17762962962962958</v>
      </c>
      <c r="AS132" s="2741">
        <f>i_INORG</f>
        <v>0.11</v>
      </c>
      <c r="AT132" s="2740">
        <f>-i_INORG*(1-i_Ca_INORG*(A_MCa+2*A_MCl)/A_MCa-i_Mg_INORG*(A_MMg+2*A_MCl)/A_MMg)*f_Na</f>
        <v>-2.8804303582798466E-2</v>
      </c>
      <c r="AU132" s="2740">
        <f>-i_INORG*(i_Ca_INORG*(2*A_MCl)/A_MCa+i_Mg_INORG*(2*A_MCl)/A_MMg)-i_INORG*(1-i_Ca_INORG*(A_MCa+2*A_MCl)/A_MCa-i_Mg_INORG*(A_MMg+2*A_MCl)/A_MMg)*(1-f_Na)</f>
        <v>-7.0195696417201539E-2</v>
      </c>
      <c r="AV132" s="2740">
        <f>-i_INORG*i_Ca_INORG</f>
        <v>-5.5000000000000005E-3</v>
      </c>
      <c r="AW132" s="2740">
        <f>-i_INORG*i_Mg_INORG</f>
        <v>-5.5000000000000005E-3</v>
      </c>
      <c r="AX132" s="2653">
        <f>0</f>
        <v>0</v>
      </c>
      <c r="AY132" s="2653">
        <f>0</f>
        <v>0</v>
      </c>
      <c r="AZ132" s="2653">
        <f>0</f>
        <v>0</v>
      </c>
      <c r="BA132" s="2653">
        <f>0</f>
        <v>0</v>
      </c>
      <c r="BB132" s="2653">
        <f>0</f>
        <v>0</v>
      </c>
      <c r="BC132" s="2653">
        <f>0</f>
        <v>0</v>
      </c>
      <c r="BD132" s="2653">
        <f>0</f>
        <v>0</v>
      </c>
      <c r="BE132" s="2653">
        <f>0</f>
        <v>0</v>
      </c>
      <c r="BF132" s="2653">
        <f>0</f>
        <v>0</v>
      </c>
      <c r="BG132" s="2653">
        <f>0</f>
        <v>0</v>
      </c>
      <c r="BH132" s="2653">
        <f>0</f>
        <v>0</v>
      </c>
      <c r="BI132" s="2653">
        <f>0</f>
        <v>0</v>
      </c>
      <c r="BJ132" s="2653">
        <f>0</f>
        <v>0</v>
      </c>
      <c r="BK132" s="2653">
        <f>0</f>
        <v>0</v>
      </c>
      <c r="BL132" s="2653">
        <f>0</f>
        <v>0</v>
      </c>
      <c r="BM132" s="2653">
        <f>0</f>
        <v>0</v>
      </c>
      <c r="BN132" s="2653">
        <f>0</f>
        <v>0</v>
      </c>
      <c r="BO132" s="2653">
        <f>0</f>
        <v>0</v>
      </c>
      <c r="BP132" s="2756">
        <f>0</f>
        <v>0</v>
      </c>
      <c r="BQ132" s="2653">
        <f>0</f>
        <v>0</v>
      </c>
      <c r="BR132" s="2653">
        <f>0</f>
        <v>0</v>
      </c>
      <c r="BS132" s="2766">
        <f>0</f>
        <v>0</v>
      </c>
      <c r="BT132" s="2766">
        <f>0</f>
        <v>0</v>
      </c>
      <c r="BU132" s="2766">
        <f>0</f>
        <v>0</v>
      </c>
      <c r="BV132" s="2766">
        <f>0</f>
        <v>0</v>
      </c>
      <c r="BW132" s="2653">
        <f>0</f>
        <v>0</v>
      </c>
      <c r="BX132" s="2774">
        <f>0</f>
        <v>0</v>
      </c>
      <c r="BY132" s="2766">
        <f>0</f>
        <v>0</v>
      </c>
      <c r="BZ132" s="2653">
        <f>0</f>
        <v>0</v>
      </c>
      <c r="CA132" s="2653">
        <f>0</f>
        <v>0</v>
      </c>
      <c r="CB132" s="2653">
        <f>0</f>
        <v>0</v>
      </c>
      <c r="CC132" s="2653">
        <f>0</f>
        <v>0</v>
      </c>
      <c r="CD132" s="2653">
        <f>0</f>
        <v>0</v>
      </c>
      <c r="CE132" s="2653">
        <f>0</f>
        <v>0</v>
      </c>
      <c r="CF132" s="2653">
        <f>0</f>
        <v>0</v>
      </c>
      <c r="CG132" s="2653">
        <f>0</f>
        <v>0</v>
      </c>
      <c r="CH132" s="2653">
        <f>0</f>
        <v>0</v>
      </c>
      <c r="CI132" s="2653">
        <f>0</f>
        <v>0</v>
      </c>
      <c r="CJ132" s="2653">
        <f>0</f>
        <v>0</v>
      </c>
      <c r="CK132" s="2653">
        <f>0</f>
        <v>0</v>
      </c>
      <c r="CL132" s="2801">
        <f>µ_OHO_T*X_OHO*η_OHO_anox*M_satSB_KSB*M_inhSVFA_KVFA*M_satSNO2_KNO2_OHO*M_inhSO2_KO2_OHO*M_satSNHx_KNHx_BIO*M_satSPO4_KPO4_BIO*M_satSCAT_KCAT*M_satSAN_KAN*M_satSCa_KCa*M_satSMg_KMg*B_ellinhpH</f>
        <v>9.0063853940528311</v>
      </c>
      <c r="CN132" s="2295">
        <f>E236*E132+F236*F132+G236*G132+H236*H132+I236*I132+J236*J132+K236*K132+L236*L132+M236*M132+N236*N132+O236*O132+P236*P132+Q236*Q132+R236*R132+S236*S132+T236*T132+U236*U132+V236*V132+W236*W132+X236*X132+Y236*Y132+Z236*Z132+AA236*AA132+AB236*AB132+AC236*AC132+AD236*AD132+AE236*AE132+AF236*AF132+AG236*AG132+AH236*AH132+AI236*AI132+AJ236*AJ132+AK236*AK132+AL236*AL132+AM236*AM132+AN236*AN132+AO236*AO132+AP236*AP132+AQ236*AQ132+AR236*AR132+AS236*AS132+AT236*AT132+AU236*AU132+AV236*AV132+AW236*AW132+AX236*AX132+AY236*AY132+AZ236*AZ132+BA236*BA132+BB236*BB132+BC236*BC132+BD236*BD132+BE236*BE132+BF236*BF132+BG236*BG132+BH236*BH132+BI236*BI132+BJ236*BJ132+BK236*BK132+BL236*BL132+BM236*BM132+BN236*BN132+BO236*BO132+BP236*BP132+BQ236*BQ132+BR236*BR132+BS236*BS132+BT236*BT132+BU236*BU132+BV236*BV132+BW236*BW132+BX236*BX132+BY236*BY132+BZ236*BZ132+CA236*CA132+CB236*CB132+CC236*CC132+CD236*CD132+CE236*CE132+CF236*CF132+CG236*CG132+CH236*CH132+CI236*CI132+CJ236*CJ132+CK236*CK132</f>
        <v>1.1102230246251565E-16</v>
      </c>
      <c r="CO132" s="2295">
        <f>E237*E132+F237*F132+G237*G132+H237*H132+I237*I132+J237*J132+K237*K132+L237*L132+M237*M132+N237*N132+O237*O132+P237*P132+Q237*Q132+R237*R132+S237*S132+T237*T132+U237*U132+V237*V132+W237*W132+X237*X132+Y237*Y132+Z237*Z132+AA237*AA132+AB237*AB132+AC237*AC132+AD237*AD132+AE237*AE132+AF237*AF132+AG237*AG132+AH237*AH132+AI237*AI132+AJ237*AJ132+AK237*AK132+AL237*AL132+AM237*AM132+AN237*AN132+AO237*AO132+AP237*AP132+AQ237*AQ132+AR237*AR132+AS237*AS132+AT237*AT132+AU237*AU132+AV237*AV132+AW237*AW132+AX237*AX132+AY237*AY132+AZ237*AZ132+BA237*BA132+BB237*BB132+BC237*BC132+BD237*BD132+BE237*BE132+BF237*BF132+BG237*BG132+BH237*BH132+BI237*BI132+BJ237*BJ132+BK237*BK132+BL237*BL132+BM237*BM132+BN237*BN132+BO237*BO132+BP237*BP132+BQ237*BQ132+BR237*BR132+BS237*BS132+BT237*BT132+BU237*BU132+BV237*BV132+BW237*BW132+BX237*BX132+BY237*BY132+BZ237*BZ132+CA237*CA132+CB237*CB132+CC237*CC132+CD237*CD132+CE237*CE132+CF237*CF132+CG237*CG132+CH237*CH132+CI237*CI132+CJ237*CJ132+CK237*CK132</f>
        <v>0</v>
      </c>
      <c r="CP132" s="2296">
        <f>E238*E132+F238*F132+G238*G132+H238*H132+I238*I132+J238*J132+K238*K132+L238*L132+M238*M132+N238*N132+O238*O132+P238*P132+Q238*Q132+R238*R132+S238*S132+T238*T132+U238*U132+V238*V132+W238*W132+X238*X132+Y238*Y132+Z238*Z132+AA238*AA132+AB238*AB132+AC238*AC132+AD238*AD132+AE238*AE132+AF238*AF132+AG238*AG132+AH238*AH132+AI238*AI132+AJ238*AJ132+AK238*AK132+AL238*AL132+AM238*AM132+AN238*AN132+AO238*AO132+AP238*AP132+AQ238*AQ132+AR238*AR132+AS238*AS132+AT238*AT132+AU238*AU132+AV238*AV132+AW238*AW132+AX238*AX132+AY238*AY132+AZ238*AZ132+BA238*BA132+BB238*BB132+BC238*BC132+BD238*BD132+BE238*BE132+BF238*BF132+BG238*BG132+BH238*BH132+BI238*BI132+BJ238*BJ132+BK238*BK132+BL238*BL132+BM238*BM132+BN238*BN132+BO238*BO132+BP238*BP132+BQ238*BQ132+BR238*BR132+BS238*BS132+BT238*BT132+BU238*BU132+BV238*BV132+BW238*BW132+BX238*BX132+BY238*BY132+BZ238*BZ132+CA238*CA132+CB238*CB132+CC238*CC132+CD238*CD132+CE238*CE132+CF238*CF132+CG238*CG132+CH238*CH132+CI238*CI132+CJ238*CJ132+CK238*CK132</f>
        <v>0</v>
      </c>
      <c r="CQ132" s="2297">
        <f>E239*E132+F239*F132+G239*G132+H239*H132+I239*I132+J239*J132+K239*K132+L239*L132+M239*M132+N239*N132+O239*O132+P239*P132+Q239*Q132+R239*R132+S239*S132+T239*T132+U239*U132+V239*V132+W239*W132+X239*X132+Y239*Y132+Z239*Z132+AA239*AA132+AB239*AB132+AC239*AC132+AD239*AD132+AE239*AE132+AF239*AF132+AG239*AG132+AH239*AH132+AI239*AI132+AJ239*AJ132+AK239*AK132+AL239*AL132+AM239*AM132+AN239*AN132+AO239*AO132+AP239*AP132+AQ239*AQ132+AR239*AR132+AS239*AS132+AT239*AT132+AU239*AU132+AV239*AV132+AW239*AW132+AX239*AX132+AY239*AY132+AZ239*AZ132+BA239*BA132+BB239*BB132+BC239*BC132+BD239*BD132+BE239*BE132+BF239*BF132+BG239*BG132+BH239*BH132+BI239*BI132+BJ239*BJ132+BK239*BK132+BL239*BL132+BM239*BM132+BN239*BN132+BO239*BO132+BP239*BP132+BQ239*BQ132+BR239*BR132+BS239*BS132+BT239*BT132+BU239*BU132+BV239*BV132+BW239*BW132+BX239*BX132+BY239*BY132+BZ239*BZ132+CA239*CA132+CB239*CB132+CC239*CC132+CD239*CD132+CE239*CE132+CF239*CF132+CG239*CG132+CH239*CH132+CI239*CI132+CJ239*CJ132+CK239*CK132</f>
        <v>0</v>
      </c>
      <c r="CR132" s="2297">
        <f>E240*E132+F240*F132+G240*G132+H240*H132+I240*I132+J240*J132+K240*K132+L240*L132+M240*M132+N240*N132+O240*O132+P240*P132+Q240*Q132+R240*R132+S240*S132+T240*T132+U240*U132+V240*V132+W240*W132+X240*X132+Y240*Y132+Z240*Z132+AA240*AA132+AB240*AB132+AC240*AC132+AD240*AD132+AE240*AE132+AF240*AF132+AG240*AG132+AH240*AH132+AI240*AI132+AJ240*AJ132+AK240*AK132+AL240*AL132+AM240*AM132+AN240*AN132+AO240*AO132+AP240*AP132+AQ240*AQ132+AR240*AR132+AS240*AS132+AT240*AT132+AU240*AU132+AV240*AV132+AW240*AW132+AX240*AX132+AY240*AY132+AZ240*AZ132+BA240*BA132+BB240*BB132+BC240*BC132+BD240*BD132+BE240*BE132+BF240*BF132+BG240*BG132+BH240*BH132+BI240*BI132+BJ240*BJ132+BK240*BK132+BL240*BL132+BM240*BM132+BN240*BN132+BO240*BO132+BP240*BP132+BQ240*BQ132+BR240*BR132+BS240*BS132+BT240*BT132+BU240*BU132+BV240*BV132+BW240*BW132+BX240*BX132+BY240*BY132+BZ240*BZ132+CA240*CA132+CB240*CB132+CC240*CC132+CD240*CD132+CE240*CE132+CF240*CF132+CG240*CG132+CH240*CH132+CI240*CI132+CJ240*CJ132+CK240*CK132</f>
        <v>0</v>
      </c>
      <c r="CS132" s="2297">
        <f>E241*E132+F241*F132+G241*G132+H241*H132+I241*I132+J241*J132+K241*K132+L241*L132+M241*M132+N241*N132+O241*O132+P241*P132+Q241*Q132+R241*R132+S241*S132+T241*T132+U241*U132+V241*V132+W241*W132+X241*X132+Y241*Y132+Z241*Z132+AA241*AA132+AB241*AB132+AC241*AC132+AD241*AD132+AE241*AE132+AF241*AF132+AG241*AG132+AH241*AH132+AI241*AI132+AJ241*AJ132+AK241*AK132+AL241*AL132+AM241*AM132+AN241*AN132+AO241*AO132+AP241*AP132+AQ241*AQ132+AR241*AR132+AS241*AS132+AT241*AT132+AU241*AU132+AV241*AV132+AW241*AW132+AX241*AX132+AY241*AY132+AZ241*AZ132+BA241*BA132+BB241*BB132+BC241*BC132+BD241*BD132+BE241*BE132+BF241*BF132+BG241*BG132+BH241*BH132+BI241*BI132+BJ241*BJ132+BK241*BK132+BL241*BL132+BM241*BM132+BN241*BN132+BO241*BO132+BP241*BP132+BQ241*BQ132+BR241*BR132+BS241*BS132+BT241*BT132+BU241*BU132+BV241*BV132+BW241*BW132+BX241*BX132+BY241*BY132+BZ241*BZ132+CA241*CA132+CB241*CB132+CC241*CC132+CD241*CD132+CE241*CE132+CF241*CF132+CG241*CG132+CH241*CH132+CI241*CI132+CJ241*CJ132+CK241*CK132</f>
        <v>0</v>
      </c>
      <c r="CT132" s="2297">
        <f>E242*E132+F242*F132+G242*G132+H242*H132+I242*I132+J242*J132+K242*K132+L242*L132+M242*M132+N242*N132+O242*O132+P242*P132+Q242*Q132+R242*R132+S242*S132+T242*T132+U242*U132+V242*V132+W242*W132+X242*X132+Y242*Y132+Z242*Z132+AA242*AA132+AB242*AB132+AC242*AC132+AD242*AD132+AE242*AE132+AF242*AF132+AG242*AG132+AH242*AH132+AI242*AI132+AJ242*AJ132+AK242*AK132+AL242*AL132+AM242*AM132+AN242*AN132+AO242*AO132+AP242*AP132+AQ242*AQ132+AR242*AR132+AS242*AS132+AT242*AT132+AU242*AU132+AV242*AV132+AW242*AW132+AX242*AX132+AY242*AY132+AZ242*AZ132+BA242*BA132+BB242*BB132+BC242*BC132+BD242*BD132+BE242*BE132+BF242*BF132+BG242*BG132+BH242*BH132+BI242*BI132+BJ242*BJ132+BK242*BK132+BL242*BL132+BM242*BM132+BN242*BN132+BO242*BO132+BP242*BP132+BQ242*BQ132+BR242*BR132+BS242*BS132+BT242*BT132+BU242*BU132+BV242*BV132+BW242*BW132+BX242*BX132+BY242*BY132+BZ242*BZ132+CA242*CA132+CB242*CB132+CC242*CC132+CD242*CD132+CE242*CE132+CF242*CF132+CG242*CG132+CH242*CH132+CI242*CI132+CJ242*CJ132+CK242*CK132</f>
        <v>0</v>
      </c>
      <c r="CU132" s="2297">
        <f>E243*E132+F243*F132+G243*G132+H243*H132+I243*I132+J243*J132+K243*K132+L243*L132+M243*M132+N243*N132+O243*O132+P243*P132+Q243*Q132+R243*R132+S243*S132+T243*T132+U243*U132+V243*V132+W243*W132+X243*X132+Y243*Y132+Z243*Z132+AA243*AA132+AB243*AB132+AC243*AC132+AD243*AD132+AE243*AE132+AF243*AF132+AG243*AG132+AH243*AH132+AI243*AI132+AJ243*AJ132+AK243*AK132+AL243*AL132+AM243*AM132+AN243*AN132+AO243*AO132+AP243*AP132+AQ243*AQ132+AR243*AR132+AS243*AS132+AT243*AT132+AU243*AU132+AV243*AV132+AW243*AW132+AX243*AX132+AY243*AY132+AZ243*AZ132+BA243*BA132+BB243*BB132+BC243*BC132+BD243*BD132+BE243*BE132+BF243*BF132+BG243*BG132+BH243*BH132+BI243*BI132+BJ243*BJ132+BK243*BK132+BL243*BL132+BM243*BM132+BN243*BN132+BO243*BO132+BP243*BP132+BQ243*BQ132+BR243*BR132+BS243*BS132+BT243*BT132+BU243*BU132+BV243*BV132+BW243*BW132+BX243*BX132+BY243*BY132+BZ243*BZ132+CA243*CA132+CB243*CB132+CC243*CC132+CD243*CD132+CE243*CE132+CF243*CF132+CG243*CG132+CH243*CH132+CI243*CI132+CJ243*CJ132+CK243*CK132</f>
        <v>0</v>
      </c>
      <c r="CV132" s="2297">
        <f>E244*E132+F244*F132+G244*G132+H244*H132+I244*I132+J244*J132+K244*K132+L244*L132+M244*M132+N244*N132+O244*O132+P244*P132+Q244*Q132+R244*R132+S244*S132+T244*T132+U244*U132+V244*V132+W244*W132+X244*X132+Y244*Y132+Z244*Z132+AA244*AA132+AB244*AB132+AC244*AC132+AD244*AD132+AE244*AE132+AF244*AF132+AG244*AG132+AH244*AH132+AI244*AI132+AJ244*AJ132+AK244*AK132+AL244*AL132+AM244*AM132+AN244*AN132+AO244*AO132+AP244*AP132+AQ244*AQ132+AR244*AR132+AS244*AS132+AT244*AT132+AU244*AU132+AV244*AV132+AW244*AW132+AX244*AX132+AY244*AY132+AZ244*AZ132+BA244*BA132+BB244*BB132+BC244*BC132+BD244*BD132+BE244*BE132+BF244*BF132+BG244*BG132+BH244*BH132+BI244*BI132+BJ244*BJ132+BK244*BK132+BL244*BL132+BM244*BM132+BN244*BN132+BO244*BO132+BP244*BP132+BQ244*BQ132+BR244*BR132+BS244*BS132+BT244*BT132+BU244*BU132+BV244*BV132+BW244*BW132+BX244*BX132+BY244*BY132+BZ244*BZ132+CA244*CA132+CB244*CB132+CC244*CC132+CD244*CD132+CE244*CE132+CF244*CF132+CG244*CG132+CH244*CH132+CI244*CI132+CJ244*CJ132+CK244*CK132</f>
        <v>0</v>
      </c>
      <c r="CW132" s="2297">
        <f>E245*E132+F245*F132+G245*G132+H245*H132+I245*I132+J245*J132+K245*K132+L245*L132+M245*M132+N245*N132+O245*O132+P245*P132+Q245*Q132+R245*R132+S245*S132+T245*T132+U245*U132+V245*V132+W245*W132+X245*X132+Y245*Y132+Z245*Z132+AA245*AA132+AB245*AB132+AC245*AC132+AD245*AD132+AE245*AE132+AF245*AF132+AG245*AG132+AH245*AH132+AI245*AI132+AJ245*AJ132+AK245*AK132+AL245*AL132+AM245*AM132+AN245*AN132+AO245*AO132+AP245*AP132+AQ245*AQ132+AR245*AR132+AS245*AS132+AT245*AT132+AU245*AU132+AV245*AV132+AW245*AW132+AX245*AX132+AY245*AY132+AZ245*AZ132+BA245*BA132+BB245*BB132+BC245*BC132+BD245*BD132+BE245*BE132+BF245*BF132+BG245*BG132+BH245*BH132+BI245*BI132+BJ245*BJ132+BK245*BK132+BL245*BL132+BM245*BM132+BN245*BN132+BO245*BO132+BP245*BP132+BQ245*BQ132+BR245*BR132+BS245*BS132+BT245*BT132+BU245*BU132+BV245*BV132+BW245*BW132+BX245*BX132+BY245*BY132+BZ245*BZ132+CA245*CA132+CB245*CB132+CC245*CC132+CD245*CD132+CE245*CE132+CF245*CF132+CG245*CG132+CH245*CH132+CI245*CI132+CJ245*CJ132+CK245*CK132</f>
        <v>0</v>
      </c>
      <c r="CX132" s="2297">
        <f>E246*E132+F246*F132+G246*G132+H246*H132+I246*I132+J246*J132+K246*K132+L246*L132+M246*M132+N246*N132+O246*O132+P246*P132+Q246*Q132+R246*R132+S246*S132+T246*T132+U246*U132+V246*V132+W246*W132+X246*X132+Y246*Y132+Z246*Z132+AA246*AA132+AB246*AB132+AC246*AC132+AD246*AD132+AE246*AE132+AF246*AF132+AG246*AG132+AH246*AH132+AI246*AI132+AJ246*AJ132+AK246*AK132+AL246*AL132+AM246*AM132+AN246*AN132+AO246*AO132+AP246*AP132+AQ246*AQ132+AR246*AR132+AS246*AS132+AT246*AT132+AU246*AU132+AV246*AV132+AW246*AW132+AX246*AX132+AY246*AY132+AZ246*AZ132+BA246*BA132+BB246*BB132+BC246*BC132+BD246*BD132+BE246*BE132+BF246*BF132+BG246*BG132+BH246*BH132+BI246*BI132+BJ246*BJ132+BK246*BK132+BL246*BL132+BM246*BM132+BN246*BN132+BO246*BO132+BP246*BP132+BQ246*BQ132+BR246*BR132+BS246*BS132+BT246*BT132+BU246*BU132+BV246*BV132+BW246*BW132+BX246*BX132+BY246*BY132+BZ246*BZ132+CA246*CA132+CB246*CB132+CC246*CC132+CD246*CD132+CE246*CE132+CF246*CF132+CG246*CG132+CH246*CH132+CI246*CI132+CJ246*CJ132+CK246*CK132</f>
        <v>0</v>
      </c>
    </row>
    <row r="133" spans="2:102" ht="18" x14ac:dyDescent="0.25">
      <c r="B133" s="1243">
        <v>6</v>
      </c>
      <c r="C133" s="1191" t="s">
        <v>228</v>
      </c>
      <c r="D133" s="577" t="s">
        <v>1651</v>
      </c>
      <c r="E133" s="2654">
        <f>0</f>
        <v>0</v>
      </c>
      <c r="F133" s="2653">
        <f>-1/Y_OHO_SB_anox</f>
        <v>-1.8518518518518516</v>
      </c>
      <c r="G133" s="2654">
        <f>0</f>
        <v>0</v>
      </c>
      <c r="H133" s="2654">
        <f>0</f>
        <v>0</v>
      </c>
      <c r="I133" s="2654">
        <f>0</f>
        <v>0</v>
      </c>
      <c r="J133" s="2691">
        <f>0</f>
        <v>0</v>
      </c>
      <c r="K133" s="2654">
        <f>0</f>
        <v>0</v>
      </c>
      <c r="L133" s="2654">
        <f>0</f>
        <v>0</v>
      </c>
      <c r="M133" s="2654">
        <f>0</f>
        <v>0</v>
      </c>
      <c r="N133" s="2654">
        <f>0</f>
        <v>0</v>
      </c>
      <c r="O133" s="2654">
        <f>0</f>
        <v>0</v>
      </c>
      <c r="P133" s="2654">
        <f>0</f>
        <v>0</v>
      </c>
      <c r="Q133" s="2654">
        <f>0</f>
        <v>0</v>
      </c>
      <c r="R133" s="2654">
        <f>1</f>
        <v>1</v>
      </c>
      <c r="S133" s="2654">
        <f>0</f>
        <v>0</v>
      </c>
      <c r="T133" s="2654">
        <f>0</f>
        <v>0</v>
      </c>
      <c r="U133" s="2654">
        <f>0</f>
        <v>0</v>
      </c>
      <c r="V133" s="2654">
        <f>0</f>
        <v>0</v>
      </c>
      <c r="W133" s="2654">
        <f>0</f>
        <v>0</v>
      </c>
      <c r="X133" s="2654">
        <f>0</f>
        <v>0</v>
      </c>
      <c r="Y133" s="2654">
        <f>0</f>
        <v>0</v>
      </c>
      <c r="Z133" s="2713">
        <f>0</f>
        <v>0</v>
      </c>
      <c r="AA133" s="2653">
        <f>-i_N_BIO</f>
        <v>-7.0000000000000007E-2</v>
      </c>
      <c r="AB133" s="2653">
        <f>(1-Y_OHO_SB_anox)/(E_EQNO2_NO3*Y_OHO_SB_anox)</f>
        <v>0.74575504914767643</v>
      </c>
      <c r="AC133" s="2653">
        <f>-(1-Y_OHO_SB_anox)/(E_EQNO2_NO3*Y_OHO_SB_anox)</f>
        <v>-0.74575504914767643</v>
      </c>
      <c r="AD133" s="2653">
        <f>0</f>
        <v>0</v>
      </c>
      <c r="AE133" s="2654">
        <f>0</f>
        <v>0</v>
      </c>
      <c r="AF133" s="2654">
        <f>0</f>
        <v>0</v>
      </c>
      <c r="AG133" s="2654">
        <f>0</f>
        <v>0</v>
      </c>
      <c r="AH133" s="2654">
        <f>0</f>
        <v>0</v>
      </c>
      <c r="AI133" s="2653">
        <f>-i_P_BIO</f>
        <v>-0.02</v>
      </c>
      <c r="AJ133" s="2654">
        <f>0</f>
        <v>0</v>
      </c>
      <c r="AK133" s="2654">
        <f>0</f>
        <v>0</v>
      </c>
      <c r="AL133" s="2654">
        <f>0</f>
        <v>0</v>
      </c>
      <c r="AM133" s="2654">
        <f>0</f>
        <v>0</v>
      </c>
      <c r="AN133" s="2654">
        <f>0</f>
        <v>0</v>
      </c>
      <c r="AO133" s="2654">
        <f>0</f>
        <v>0</v>
      </c>
      <c r="AP133" s="2654">
        <f>0</f>
        <v>0</v>
      </c>
      <c r="AQ133" s="2654">
        <f>0</f>
        <v>0</v>
      </c>
      <c r="AR133" s="2653">
        <f>i_CIT_SB/Y_OHO_SB_anox-i_CIT_BIO</f>
        <v>0.17762962962962958</v>
      </c>
      <c r="AS133" s="2740">
        <f>i_INORG</f>
        <v>0.11</v>
      </c>
      <c r="AT133" s="2740">
        <f>-i_INORG*(1-i_Ca_INORG*(A_MCa+2*A_MCl)/A_MCa-i_Mg_INORG*(A_MMg+2*A_MCl)/A_MMg)*f_Na</f>
        <v>-2.8804303582798466E-2</v>
      </c>
      <c r="AU133" s="2740">
        <f>-i_INORG*(i_Ca_INORG*(2*A_MCl)/A_MCa+i_Mg_INORG*(2*A_MCl)/A_MMg)-i_INORG*(1-i_Ca_INORG*(A_MCa+2*A_MCl)/A_MCa-i_Mg_INORG*(A_MMg+2*A_MCl)/A_MMg)*(1-f_Na)</f>
        <v>-7.0195696417201539E-2</v>
      </c>
      <c r="AV133" s="2740">
        <f>-i_INORG*i_Ca_INORG</f>
        <v>-5.5000000000000005E-3</v>
      </c>
      <c r="AW133" s="2740">
        <f>-i_INORG*i_Mg_INORG</f>
        <v>-5.5000000000000005E-3</v>
      </c>
      <c r="AX133" s="2653">
        <f>0</f>
        <v>0</v>
      </c>
      <c r="AY133" s="2653">
        <f>0</f>
        <v>0</v>
      </c>
      <c r="AZ133" s="2653">
        <f>0</f>
        <v>0</v>
      </c>
      <c r="BA133" s="2653">
        <f>0</f>
        <v>0</v>
      </c>
      <c r="BB133" s="2653">
        <f>0</f>
        <v>0</v>
      </c>
      <c r="BC133" s="2653">
        <f>0</f>
        <v>0</v>
      </c>
      <c r="BD133" s="2653">
        <f>0</f>
        <v>0</v>
      </c>
      <c r="BE133" s="2653">
        <f>0</f>
        <v>0</v>
      </c>
      <c r="BF133" s="2653">
        <f>0</f>
        <v>0</v>
      </c>
      <c r="BG133" s="2653">
        <f>0</f>
        <v>0</v>
      </c>
      <c r="BH133" s="2653">
        <f>0</f>
        <v>0</v>
      </c>
      <c r="BI133" s="2653">
        <f>0</f>
        <v>0</v>
      </c>
      <c r="BJ133" s="2653">
        <f>0</f>
        <v>0</v>
      </c>
      <c r="BK133" s="2653">
        <f>0</f>
        <v>0</v>
      </c>
      <c r="BL133" s="2653">
        <f>0</f>
        <v>0</v>
      </c>
      <c r="BM133" s="2653">
        <f>0</f>
        <v>0</v>
      </c>
      <c r="BN133" s="2653">
        <f>0</f>
        <v>0</v>
      </c>
      <c r="BO133" s="2653">
        <f>0</f>
        <v>0</v>
      </c>
      <c r="BP133" s="2756">
        <f>0</f>
        <v>0</v>
      </c>
      <c r="BQ133" s="2653">
        <f>0</f>
        <v>0</v>
      </c>
      <c r="BR133" s="2653">
        <f>0</f>
        <v>0</v>
      </c>
      <c r="BS133" s="2766">
        <f>0</f>
        <v>0</v>
      </c>
      <c r="BT133" s="2766">
        <f>0</f>
        <v>0</v>
      </c>
      <c r="BU133" s="2766">
        <f>0</f>
        <v>0</v>
      </c>
      <c r="BV133" s="2766">
        <f>0</f>
        <v>0</v>
      </c>
      <c r="BW133" s="2653">
        <f>0</f>
        <v>0</v>
      </c>
      <c r="BX133" s="2774">
        <f>0</f>
        <v>0</v>
      </c>
      <c r="BY133" s="2766">
        <f>0</f>
        <v>0</v>
      </c>
      <c r="BZ133" s="2653">
        <f>0</f>
        <v>0</v>
      </c>
      <c r="CA133" s="2653">
        <f>0</f>
        <v>0</v>
      </c>
      <c r="CB133" s="2653">
        <f>0</f>
        <v>0</v>
      </c>
      <c r="CC133" s="2653">
        <f>0</f>
        <v>0</v>
      </c>
      <c r="CD133" s="2653">
        <f>0</f>
        <v>0</v>
      </c>
      <c r="CE133" s="2653">
        <f>0</f>
        <v>0</v>
      </c>
      <c r="CF133" s="2653">
        <f>0</f>
        <v>0</v>
      </c>
      <c r="CG133" s="2653">
        <f>0</f>
        <v>0</v>
      </c>
      <c r="CH133" s="2653">
        <f>0</f>
        <v>0</v>
      </c>
      <c r="CI133" s="2653">
        <f>0</f>
        <v>0</v>
      </c>
      <c r="CJ133" s="2653">
        <f>0</f>
        <v>0</v>
      </c>
      <c r="CK133" s="2653">
        <f>0</f>
        <v>0</v>
      </c>
      <c r="CL133" s="2801">
        <f>µ_OHO_T*X_OHO*η_OHO_anox*M_satSB_KSB*M_inhSVFA_KVFA*M_satSNO3_KNO3_OHO*M_inhSO2_KO2_OHO*M_inhSNO2_KNO2_OHO*M_satSNHx_KNHx_BIO*M_satSPO4_KPO4_BIO*M_satSCAT_KCAT*M_satSAN_KAN*M_satSCa_KCa*M_satSMg_KMg*B_ellinhpH</f>
        <v>3.6025541576211335</v>
      </c>
      <c r="CN133" s="2295">
        <f>E236*E133+F236*F133+G236*G133+H236*H133+I236*I133+J236*J133+K236*K133+L236*L133+M236*M133+N236*N133+O236*O133+P236*P133+Q236*Q133+R236*R133+S236*S133+T236*T133+U236*U133+V236*V133+W236*W133+X236*X133+Y236*Y133+Z236*Z133+AA236*AA133+AB236*AB133+AC236*AC133+AD236*AD133+AE236*AE133+AF236*AF133+AG236*AG133+AH236*AH133+AI236*AI133+AJ236*AJ133+AK236*AK133+AL236*AL133+AM236*AM133+AN236*AN133+AO236*AO133+AP236*AP133+AQ236*AQ133+AR236*AR133+AS236*AS133+AT236*AT133+AU236*AU133+AV236*AV133+AW236*AW133+AX236*AX133+AY236*AY133+AZ236*AZ133+BA236*BA133+BB236*BB133+BC236*BC133+BD236*BD133+BE236*BE133+BF236*BF133+BG236*BG133+BH236*BH133+BI236*BI133+BJ236*BJ133+BK236*BK133+BL236*BL133+BM236*BM133+BN236*BN133+BO236*BO133+BP236*BP133+BQ236*BQ133+BR236*BR133+BS236*BS133+BT236*BT133+BU236*BU133+BV236*BV133+BW236*BW133+BX236*BX133+BY236*BY133+BZ236*BZ133+CA236*CA133+CB236*CB133+CC236*CC133+CD236*CD133+CE236*CE133+CF236*CF133+CG236*CG133+CH236*CH133+CI236*CI133+CJ236*CJ133+CK236*CK133</f>
        <v>0</v>
      </c>
      <c r="CO133" s="2295">
        <f>E237*E133+F237*F133+G237*G133+H237*H133+I237*I133+J237*J133+K237*K133+L237*L133+M237*M133+N237*N133+O237*O133+P237*P133+Q237*Q133+R237*R133+S237*S133+T237*T133+U237*U133+V237*V133+W237*W133+X237*X133+Y237*Y133+Z237*Z133+AA237*AA133+AB237*AB133+AC237*AC133+AD237*AD133+AE237*AE133+AF237*AF133+AG237*AG133+AH237*AH133+AI237*AI133+AJ237*AJ133+AK237*AK133+AL237*AL133+AM237*AM133+AN237*AN133+AO237*AO133+AP237*AP133+AQ237*AQ133+AR237*AR133+AS237*AS133+AT237*AT133+AU237*AU133+AV237*AV133+AW237*AW133+AX237*AX133+AY237*AY133+AZ237*AZ133+BA237*BA133+BB237*BB133+BC237*BC133+BD237*BD133+BE237*BE133+BF237*BF133+BG237*BG133+BH237*BH133+BI237*BI133+BJ237*BJ133+BK237*BK133+BL237*BL133+BM237*BM133+BN237*BN133+BO237*BO133+BP237*BP133+BQ237*BQ133+BR237*BR133+BS237*BS133+BT237*BT133+BU237*BU133+BV237*BV133+BW237*BW133+BX237*BX133+BY237*BY133+BZ237*BZ133+CA237*CA133+CB237*CB133+CC237*CC133+CD237*CD133+CE237*CE133+CF237*CF133+CG237*CG133+CH237*CH133+CI237*CI133+CJ237*CJ133+CK237*CK133</f>
        <v>0</v>
      </c>
      <c r="CP133" s="2296">
        <f>E238*E133+F238*F133+G238*G133+H238*H133+I238*I133+J238*J133+K238*K133+L238*L133+M238*M133+N238*N133+O238*O133+P238*P133+Q238*Q133+R238*R133+S238*S133+T238*T133+U238*U133+V238*V133+W238*W133+X238*X133+Y238*Y133+Z238*Z133+AA238*AA133+AB238*AB133+AC238*AC133+AD238*AD133+AE238*AE133+AF238*AF133+AG238*AG133+AH238*AH133+AI238*AI133+AJ238*AJ133+AK238*AK133+AL238*AL133+AM238*AM133+AN238*AN133+AO238*AO133+AP238*AP133+AQ238*AQ133+AR238*AR133+AS238*AS133+AT238*AT133+AU238*AU133+AV238*AV133+AW238*AW133+AX238*AX133+AY238*AY133+AZ238*AZ133+BA238*BA133+BB238*BB133+BC238*BC133+BD238*BD133+BE238*BE133+BF238*BF133+BG238*BG133+BH238*BH133+BI238*BI133+BJ238*BJ133+BK238*BK133+BL238*BL133+BM238*BM133+BN238*BN133+BO238*BO133+BP238*BP133+BQ238*BQ133+BR238*BR133+BS238*BS133+BT238*BT133+BU238*BU133+BV238*BV133+BW238*BW133+BX238*BX133+BY238*BY133+BZ238*BZ133+CA238*CA133+CB238*CB133+CC238*CC133+CD238*CD133+CE238*CE133+CF238*CF133+CG238*CG133+CH238*CH133+CI238*CI133+CJ238*CJ133+CK238*CK133</f>
        <v>0</v>
      </c>
      <c r="CQ133" s="2297">
        <f>E239*E133+F239*F133+G239*G133+H239*H133+I239*I133+J239*J133+K239*K133+L239*L133+M239*M133+N239*N133+O239*O133+P239*P133+Q239*Q133+R239*R133+S239*S133+T239*T133+U239*U133+V239*V133+W239*W133+X239*X133+Y239*Y133+Z239*Z133+AA239*AA133+AB239*AB133+AC239*AC133+AD239*AD133+AE239*AE133+AF239*AF133+AG239*AG133+AH239*AH133+AI239*AI133+AJ239*AJ133+AK239*AK133+AL239*AL133+AM239*AM133+AN239*AN133+AO239*AO133+AP239*AP133+AQ239*AQ133+AR239*AR133+AS239*AS133+AT239*AT133+AU239*AU133+AV239*AV133+AW239*AW133+AX239*AX133+AY239*AY133+AZ239*AZ133+BA239*BA133+BB239*BB133+BC239*BC133+BD239*BD133+BE239*BE133+BF239*BF133+BG239*BG133+BH239*BH133+BI239*BI133+BJ239*BJ133+BK239*BK133+BL239*BL133+BM239*BM133+BN239*BN133+BO239*BO133+BP239*BP133+BQ239*BQ133+BR239*BR133+BS239*BS133+BT239*BT133+BU239*BU133+BV239*BV133+BW239*BW133+BX239*BX133+BY239*BY133+BZ239*BZ133+CA239*CA133+CB239*CB133+CC239*CC133+CD239*CD133+CE239*CE133+CF239*CF133+CG239*CG133+CH239*CH133+CI239*CI133+CJ239*CJ133+CK239*CK133</f>
        <v>0</v>
      </c>
      <c r="CR133" s="2297">
        <f>E240*E133+F240*F133+G240*G133+H240*H133+I240*I133+J240*J133+K240*K133+L240*L133+M240*M133+N240*N133+O240*O133+P240*P133+Q240*Q133+R240*R133+S240*S133+T240*T133+U240*U133+V240*V133+W240*W133+X240*X133+Y240*Y133+Z240*Z133+AA240*AA133+AB240*AB133+AC240*AC133+AD240*AD133+AE240*AE133+AF240*AF133+AG240*AG133+AH240*AH133+AI240*AI133+AJ240*AJ133+AK240*AK133+AL240*AL133+AM240*AM133+AN240*AN133+AO240*AO133+AP240*AP133+AQ240*AQ133+AR240*AR133+AS240*AS133+AT240*AT133+AU240*AU133+AV240*AV133+AW240*AW133+AX240*AX133+AY240*AY133+AZ240*AZ133+BA240*BA133+BB240*BB133+BC240*BC133+BD240*BD133+BE240*BE133+BF240*BF133+BG240*BG133+BH240*BH133+BI240*BI133+BJ240*BJ133+BK240*BK133+BL240*BL133+BM240*BM133+BN240*BN133+BO240*BO133+BP240*BP133+BQ240*BQ133+BR240*BR133+BS240*BS133+BT240*BT133+BU240*BU133+BV240*BV133+BW240*BW133+BX240*BX133+BY240*BY133+BZ240*BZ133+CA240*CA133+CB240*CB133+CC240*CC133+CD240*CD133+CE240*CE133+CF240*CF133+CG240*CG133+CH240*CH133+CI240*CI133+CJ240*CJ133+CK240*CK133</f>
        <v>0</v>
      </c>
      <c r="CS133" s="2297">
        <f>E241*E133+F241*F133+G241*G133+H241*H133+I241*I133+J241*J133+K241*K133+L241*L133+M241*M133+N241*N133+O241*O133+P241*P133+Q241*Q133+R241*R133+S241*S133+T241*T133+U241*U133+V241*V133+W241*W133+X241*X133+Y241*Y133+Z241*Z133+AA241*AA133+AB241*AB133+AC241*AC133+AD241*AD133+AE241*AE133+AF241*AF133+AG241*AG133+AH241*AH133+AI241*AI133+AJ241*AJ133+AK241*AK133+AL241*AL133+AM241*AM133+AN241*AN133+AO241*AO133+AP241*AP133+AQ241*AQ133+AR241*AR133+AS241*AS133+AT241*AT133+AU241*AU133+AV241*AV133+AW241*AW133+AX241*AX133+AY241*AY133+AZ241*AZ133+BA241*BA133+BB241*BB133+BC241*BC133+BD241*BD133+BE241*BE133+BF241*BF133+BG241*BG133+BH241*BH133+BI241*BI133+BJ241*BJ133+BK241*BK133+BL241*BL133+BM241*BM133+BN241*BN133+BO241*BO133+BP241*BP133+BQ241*BQ133+BR241*BR133+BS241*BS133+BT241*BT133+BU241*BU133+BV241*BV133+BW241*BW133+BX241*BX133+BY241*BY133+BZ241*BZ133+CA241*CA133+CB241*CB133+CC241*CC133+CD241*CD133+CE241*CE133+CF241*CF133+CG241*CG133+CH241*CH133+CI241*CI133+CJ241*CJ133+CK241*CK133</f>
        <v>0</v>
      </c>
      <c r="CT133" s="2297">
        <f>E242*E133+F242*F133+G242*G133+H242*H133+I242*I133+J242*J133+K242*K133+L242*L133+M242*M133+N242*N133+O242*O133+P242*P133+Q242*Q133+R242*R133+S242*S133+T242*T133+U242*U133+V242*V133+W242*W133+X242*X133+Y242*Y133+Z242*Z133+AA242*AA133+AB242*AB133+AC242*AC133+AD242*AD133+AE242*AE133+AF242*AF133+AG242*AG133+AH242*AH133+AI242*AI133+AJ242*AJ133+AK242*AK133+AL242*AL133+AM242*AM133+AN242*AN133+AO242*AO133+AP242*AP133+AQ242*AQ133+AR242*AR133+AS242*AS133+AT242*AT133+AU242*AU133+AV242*AV133+AW242*AW133+AX242*AX133+AY242*AY133+AZ242*AZ133+BA242*BA133+BB242*BB133+BC242*BC133+BD242*BD133+BE242*BE133+BF242*BF133+BG242*BG133+BH242*BH133+BI242*BI133+BJ242*BJ133+BK242*BK133+BL242*BL133+BM242*BM133+BN242*BN133+BO242*BO133+BP242*BP133+BQ242*BQ133+BR242*BR133+BS242*BS133+BT242*BT133+BU242*BU133+BV242*BV133+BW242*BW133+BX242*BX133+BY242*BY133+BZ242*BZ133+CA242*CA133+CB242*CB133+CC242*CC133+CD242*CD133+CE242*CE133+CF242*CF133+CG242*CG133+CH242*CH133+CI242*CI133+CJ242*CJ133+CK242*CK133</f>
        <v>0</v>
      </c>
      <c r="CU133" s="2297">
        <f>E243*E133+F243*F133+G243*G133+H243*H133+I243*I133+J243*J133+K243*K133+L243*L133+M243*M133+N243*N133+O243*O133+P243*P133+Q243*Q133+R243*R133+S243*S133+T243*T133+U243*U133+V243*V133+W243*W133+X243*X133+Y243*Y133+Z243*Z133+AA243*AA133+AB243*AB133+AC243*AC133+AD243*AD133+AE243*AE133+AF243*AF133+AG243*AG133+AH243*AH133+AI243*AI133+AJ243*AJ133+AK243*AK133+AL243*AL133+AM243*AM133+AN243*AN133+AO243*AO133+AP243*AP133+AQ243*AQ133+AR243*AR133+AS243*AS133+AT243*AT133+AU243*AU133+AV243*AV133+AW243*AW133+AX243*AX133+AY243*AY133+AZ243*AZ133+BA243*BA133+BB243*BB133+BC243*BC133+BD243*BD133+BE243*BE133+BF243*BF133+BG243*BG133+BH243*BH133+BI243*BI133+BJ243*BJ133+BK243*BK133+BL243*BL133+BM243*BM133+BN243*BN133+BO243*BO133+BP243*BP133+BQ243*BQ133+BR243*BR133+BS243*BS133+BT243*BT133+BU243*BU133+BV243*BV133+BW243*BW133+BX243*BX133+BY243*BY133+BZ243*BZ133+CA243*CA133+CB243*CB133+CC243*CC133+CD243*CD133+CE243*CE133+CF243*CF133+CG243*CG133+CH243*CH133+CI243*CI133+CJ243*CJ133+CK243*CK133</f>
        <v>0</v>
      </c>
      <c r="CV133" s="2297">
        <f>E244*E133+F244*F133+G244*G133+H244*H133+I244*I133+J244*J133+K244*K133+L244*L133+M244*M133+N244*N133+O244*O133+P244*P133+Q244*Q133+R244*R133+S244*S133+T244*T133+U244*U133+V244*V133+W244*W133+X244*X133+Y244*Y133+Z244*Z133+AA244*AA133+AB244*AB133+AC244*AC133+AD244*AD133+AE244*AE133+AF244*AF133+AG244*AG133+AH244*AH133+AI244*AI133+AJ244*AJ133+AK244*AK133+AL244*AL133+AM244*AM133+AN244*AN133+AO244*AO133+AP244*AP133+AQ244*AQ133+AR244*AR133+AS244*AS133+AT244*AT133+AU244*AU133+AV244*AV133+AW244*AW133+AX244*AX133+AY244*AY133+AZ244*AZ133+BA244*BA133+BB244*BB133+BC244*BC133+BD244*BD133+BE244*BE133+BF244*BF133+BG244*BG133+BH244*BH133+BI244*BI133+BJ244*BJ133+BK244*BK133+BL244*BL133+BM244*BM133+BN244*BN133+BO244*BO133+BP244*BP133+BQ244*BQ133+BR244*BR133+BS244*BS133+BT244*BT133+BU244*BU133+BV244*BV133+BW244*BW133+BX244*BX133+BY244*BY133+BZ244*BZ133+CA244*CA133+CB244*CB133+CC244*CC133+CD244*CD133+CE244*CE133+CF244*CF133+CG244*CG133+CH244*CH133+CI244*CI133+CJ244*CJ133+CK244*CK133</f>
        <v>0</v>
      </c>
      <c r="CW133" s="2297">
        <f>E245*E133+F245*F133+G245*G133+H245*H133+I245*I133+J245*J133+K245*K133+L245*L133+M245*M133+N245*N133+O245*O133+P245*P133+Q245*Q133+R245*R133+S245*S133+T245*T133+U245*U133+V245*V133+W245*W133+X245*X133+Y245*Y133+Z245*Z133+AA245*AA133+AB245*AB133+AC245*AC133+AD245*AD133+AE245*AE133+AF245*AF133+AG245*AG133+AH245*AH133+AI245*AI133+AJ245*AJ133+AK245*AK133+AL245*AL133+AM245*AM133+AN245*AN133+AO245*AO133+AP245*AP133+AQ245*AQ133+AR245*AR133+AS245*AS133+AT245*AT133+AU245*AU133+AV245*AV133+AW245*AW133+AX245*AX133+AY245*AY133+AZ245*AZ133+BA245*BA133+BB245*BB133+BC245*BC133+BD245*BD133+BE245*BE133+BF245*BF133+BG245*BG133+BH245*BH133+BI245*BI133+BJ245*BJ133+BK245*BK133+BL245*BL133+BM245*BM133+BN245*BN133+BO245*BO133+BP245*BP133+BQ245*BQ133+BR245*BR133+BS245*BS133+BT245*BT133+BU245*BU133+BV245*BV133+BW245*BW133+BX245*BX133+BY245*BY133+BZ245*BZ133+CA245*CA133+CB245*CB133+CC245*CC133+CD245*CD133+CE245*CE133+CF245*CF133+CG245*CG133+CH245*CH133+CI245*CI133+CJ245*CJ133+CK245*CK133</f>
        <v>0</v>
      </c>
      <c r="CX133" s="2297">
        <f>E246*E133+F246*F133+G246*G133+H246*H133+I246*I133+J246*J133+K246*K133+L246*L133+M246*M133+N246*N133+O246*O133+P246*P133+Q246*Q133+R246*R133+S246*S133+T246*T133+U246*U133+V246*V133+W246*W133+X246*X133+Y246*Y133+Z246*Z133+AA246*AA133+AB246*AB133+AC246*AC133+AD246*AD133+AE246*AE133+AF246*AF133+AG246*AG133+AH246*AH133+AI246*AI133+AJ246*AJ133+AK246*AK133+AL246*AL133+AM246*AM133+AN246*AN133+AO246*AO133+AP246*AP133+AQ246*AQ133+AR246*AR133+AS246*AS133+AT246*AT133+AU246*AU133+AV246*AV133+AW246*AW133+AX246*AX133+AY246*AY133+AZ246*AZ133+BA246*BA133+BB246*BB133+BC246*BC133+BD246*BD133+BE246*BE133+BF246*BF133+BG246*BG133+BH246*BH133+BI246*BI133+BJ246*BJ133+BK246*BK133+BL246*BL133+BM246*BM133+BN246*BN133+BO246*BO133+BP246*BP133+BQ246*BQ133+BR246*BR133+BS246*BS133+BT246*BT133+BU246*BU133+BV246*BV133+BW246*BW133+BX246*BX133+BY246*BY133+BZ246*BZ133+CA246*CA133+CB246*CB133+CC246*CC133+CD246*CD133+CE246*CE133+CF246*CF133+CG246*CG133+CH246*CH133+CI246*CI133+CJ246*CJ133+CK246*CK133</f>
        <v>0</v>
      </c>
    </row>
    <row r="134" spans="2:102" ht="18" x14ac:dyDescent="0.25">
      <c r="B134" s="1243">
        <v>7</v>
      </c>
      <c r="C134" s="1191" t="s">
        <v>229</v>
      </c>
      <c r="D134" s="577" t="s">
        <v>2154</v>
      </c>
      <c r="E134" s="2654">
        <f>(1-Y_OHO_SB_ana-Y_OHO_H2_ana_high)/Y_OHO_SB_ana</f>
        <v>5.5</v>
      </c>
      <c r="F134" s="2653">
        <f>-1/Y_OHO_SB_ana</f>
        <v>-10</v>
      </c>
      <c r="G134" s="2654">
        <f>0</f>
        <v>0</v>
      </c>
      <c r="H134" s="2654">
        <f>0</f>
        <v>0</v>
      </c>
      <c r="I134" s="2654">
        <f>0</f>
        <v>0</v>
      </c>
      <c r="J134" s="2691">
        <f>0</f>
        <v>0</v>
      </c>
      <c r="K134" s="2654">
        <f>0</f>
        <v>0</v>
      </c>
      <c r="L134" s="2654">
        <f>0</f>
        <v>0</v>
      </c>
      <c r="M134" s="2654">
        <f>0</f>
        <v>0</v>
      </c>
      <c r="N134" s="2654">
        <f>0</f>
        <v>0</v>
      </c>
      <c r="O134" s="2654">
        <f>0</f>
        <v>0</v>
      </c>
      <c r="P134" s="2654">
        <f>0</f>
        <v>0</v>
      </c>
      <c r="Q134" s="2654">
        <f>0</f>
        <v>0</v>
      </c>
      <c r="R134" s="2654">
        <f>1</f>
        <v>1</v>
      </c>
      <c r="S134" s="2654">
        <f>0</f>
        <v>0</v>
      </c>
      <c r="T134" s="2654">
        <f>0</f>
        <v>0</v>
      </c>
      <c r="U134" s="2654">
        <f>0</f>
        <v>0</v>
      </c>
      <c r="V134" s="2654">
        <f>0</f>
        <v>0</v>
      </c>
      <c r="W134" s="2654">
        <f>0</f>
        <v>0</v>
      </c>
      <c r="X134" s="2654">
        <f>0</f>
        <v>0</v>
      </c>
      <c r="Y134" s="2654">
        <f>0</f>
        <v>0</v>
      </c>
      <c r="Z134" s="2713">
        <f>0</f>
        <v>0</v>
      </c>
      <c r="AA134" s="2653">
        <f>-i_N_BIO</f>
        <v>-7.0000000000000007E-2</v>
      </c>
      <c r="AB134" s="2654">
        <f>0</f>
        <v>0</v>
      </c>
      <c r="AC134" s="2654">
        <f>0</f>
        <v>0</v>
      </c>
      <c r="AD134" s="2654">
        <f>0</f>
        <v>0</v>
      </c>
      <c r="AE134" s="2654">
        <f>0</f>
        <v>0</v>
      </c>
      <c r="AF134" s="2654">
        <f>0</f>
        <v>0</v>
      </c>
      <c r="AG134" s="2654">
        <f>0</f>
        <v>0</v>
      </c>
      <c r="AH134" s="2654">
        <f>0</f>
        <v>0</v>
      </c>
      <c r="AI134" s="2653">
        <f>-i_P_BIO</f>
        <v>-0.02</v>
      </c>
      <c r="AJ134" s="2654">
        <f>0</f>
        <v>0</v>
      </c>
      <c r="AK134" s="2654">
        <f>0</f>
        <v>0</v>
      </c>
      <c r="AL134" s="2654">
        <f>0</f>
        <v>0</v>
      </c>
      <c r="AM134" s="2654">
        <f>0</f>
        <v>0</v>
      </c>
      <c r="AN134" s="2654">
        <f>0</f>
        <v>0</v>
      </c>
      <c r="AO134" s="2654">
        <f>0</f>
        <v>0</v>
      </c>
      <c r="AP134" s="2654">
        <f>0</f>
        <v>0</v>
      </c>
      <c r="AQ134" s="2654">
        <f>Y_OHO_H2_ana_high/Y_OHO_SB_ana</f>
        <v>3.4999999999999996</v>
      </c>
      <c r="AR134" s="2654">
        <f>(i_CIT_SB-i_CIT_VFA*(1-Y_OHO_SB_ana-Y_OHO_H2_ana_high)-i_CIT_BIO*Y_OHO_SB_ana)/Y_OHO_SB_ana</f>
        <v>0.44549999999999956</v>
      </c>
      <c r="AS134" s="2740">
        <f>i_INORG</f>
        <v>0.11</v>
      </c>
      <c r="AT134" s="2740">
        <f>-i_INORG*(1-i_Ca_INORG*(A_MCa+2*A_MCl)/A_MCa-i_Mg_INORG*(A_MMg+2*A_MCl)/A_MMg)*f_Na</f>
        <v>-2.8804303582798466E-2</v>
      </c>
      <c r="AU134" s="2740">
        <f>-i_INORG*(i_Ca_INORG*(2*A_MCl)/A_MCa+i_Mg_INORG*(2*A_MCl)/A_MMg)-i_INORG*(1-i_Ca_INORG*(A_MCa+2*A_MCl)/A_MCa-i_Mg_INORG*(A_MMg+2*A_MCl)/A_MMg)*(1-f_Na)</f>
        <v>-7.0195696417201539E-2</v>
      </c>
      <c r="AV134" s="2740">
        <f>-i_INORG*i_Ca_INORG</f>
        <v>-5.5000000000000005E-3</v>
      </c>
      <c r="AW134" s="2740">
        <f>-i_INORG*i_Mg_INORG</f>
        <v>-5.5000000000000005E-3</v>
      </c>
      <c r="AX134" s="2653">
        <f>0</f>
        <v>0</v>
      </c>
      <c r="AY134" s="2653">
        <f>0</f>
        <v>0</v>
      </c>
      <c r="AZ134" s="2653">
        <f>0</f>
        <v>0</v>
      </c>
      <c r="BA134" s="2653">
        <f>0</f>
        <v>0</v>
      </c>
      <c r="BB134" s="2653">
        <f>0</f>
        <v>0</v>
      </c>
      <c r="BC134" s="2653">
        <f>0</f>
        <v>0</v>
      </c>
      <c r="BD134" s="2653">
        <f>0</f>
        <v>0</v>
      </c>
      <c r="BE134" s="2653">
        <f>0</f>
        <v>0</v>
      </c>
      <c r="BF134" s="2653">
        <f>0</f>
        <v>0</v>
      </c>
      <c r="BG134" s="2653">
        <f>0</f>
        <v>0</v>
      </c>
      <c r="BH134" s="2653">
        <f>0</f>
        <v>0</v>
      </c>
      <c r="BI134" s="2653">
        <f>0</f>
        <v>0</v>
      </c>
      <c r="BJ134" s="2653">
        <f>0</f>
        <v>0</v>
      </c>
      <c r="BK134" s="2653">
        <f>0</f>
        <v>0</v>
      </c>
      <c r="BL134" s="2653">
        <f>0</f>
        <v>0</v>
      </c>
      <c r="BM134" s="2653">
        <f>0</f>
        <v>0</v>
      </c>
      <c r="BN134" s="2653">
        <f>0</f>
        <v>0</v>
      </c>
      <c r="BO134" s="2653">
        <f>0</f>
        <v>0</v>
      </c>
      <c r="BP134" s="2756">
        <f>0</f>
        <v>0</v>
      </c>
      <c r="BQ134" s="2653">
        <f>0</f>
        <v>0</v>
      </c>
      <c r="BR134" s="2653">
        <f>0</f>
        <v>0</v>
      </c>
      <c r="BS134" s="2766">
        <f>0</f>
        <v>0</v>
      </c>
      <c r="BT134" s="2766">
        <f>0</f>
        <v>0</v>
      </c>
      <c r="BU134" s="2766">
        <f>0</f>
        <v>0</v>
      </c>
      <c r="BV134" s="2766">
        <f>0</f>
        <v>0</v>
      </c>
      <c r="BW134" s="2653">
        <f>0</f>
        <v>0</v>
      </c>
      <c r="BX134" s="2774">
        <f>0</f>
        <v>0</v>
      </c>
      <c r="BY134" s="2766">
        <f>0</f>
        <v>0</v>
      </c>
      <c r="BZ134" s="2653">
        <f>0</f>
        <v>0</v>
      </c>
      <c r="CA134" s="2653">
        <f>0</f>
        <v>0</v>
      </c>
      <c r="CB134" s="2653">
        <f>0</f>
        <v>0</v>
      </c>
      <c r="CC134" s="2653">
        <f>0</f>
        <v>0</v>
      </c>
      <c r="CD134" s="2653">
        <f>0</f>
        <v>0</v>
      </c>
      <c r="CE134" s="2653">
        <f>0</f>
        <v>0</v>
      </c>
      <c r="CF134" s="2653">
        <f>0</f>
        <v>0</v>
      </c>
      <c r="CG134" s="2653">
        <f>0</f>
        <v>0</v>
      </c>
      <c r="CH134" s="2653">
        <f>0</f>
        <v>0</v>
      </c>
      <c r="CI134" s="2653">
        <f>0</f>
        <v>0</v>
      </c>
      <c r="CJ134" s="2653">
        <f>0</f>
        <v>0</v>
      </c>
      <c r="CK134" s="2653">
        <f>0</f>
        <v>0</v>
      </c>
      <c r="CL134" s="2801">
        <f>µ_FERM_OHO_T*X_OHO*L_ogsatSVFA_KVFA_FERM*M_satSB_KSB_ana*M_inhSO2_KO2_OHO*M_inhSNO2_KNO2_OHO*M_inhSNO3_KNO3_OHO*M_satSNHx_KNHx_BIO*M_satSPO4_KPO4_BIO*M_satSCAT_KCAT*M_satSAN_KAN*M_satSCa_KCa*M_satSMg_KMg*B_ellinhpH</f>
        <v>5.1407425636665735E-218</v>
      </c>
      <c r="CN134" s="2295">
        <f>E236*E134+F236*F134+G236*G134+H236*H134+I236*I134+J236*J134+K236*K134+L236*L134+M236*M134+N236*N134+O236*O134+P236*P134+Q236*Q134+R236*R134+S236*S134+T236*T134+U236*U134+V236*V134+W236*W134+X236*X134+Y236*Y134+Z236*Z134+AA236*AA134+AB236*AB134+AC236*AC134+AD236*AD134+AE236*AE134+AF236*AF134+AG236*AG134+AH236*AH134+AI236*AI134+AJ236*AJ134+AK236*AK134+AL236*AL134+AM236*AM134+AN236*AN134+AO236*AO134+AP236*AP134+AQ236*AQ134+AR236*AR134+AS236*AS134+AT236*AT134+AU236*AU134+AV236*AV134+AW236*AW134+AX236*AX134+AY236*AY134+AZ236*AZ134+BA236*BA134+BB236*BB134+BC236*BC134+BD236*BD134+BE236*BE134+BF236*BF134+BG236*BG134+BH236*BH134+BI236*BI134+BJ236*BJ134+BK236*BK134+BL236*BL134+BM236*BM134+BN236*BN134+BO236*BO134+BP236*BP134+BQ236*BQ134+BR236*BR134+BS236*BS134+BT236*BT134+BU236*BU134+BV236*BV134+BW236*BW134+BX236*BX134+BY236*BY134+BZ236*BZ134+CA236*CA134+CB236*CB134+CC236*CC134+CD236*CD134+CE236*CE134+CF236*CF134+CG236*CG134+CH236*CH134+CI236*CI134+CJ236*CJ134+CK236*CK134</f>
        <v>-4.4408920985006262E-16</v>
      </c>
      <c r="CO134" s="2295">
        <f>E237*E134+F237*F134+G237*G134+H237*H134+I237*I134+J237*J134+K237*K134+L237*L134+M237*M134+N237*N134+O237*O134+P237*P134+Q237*Q134+R237*R134+S237*S134+T237*T134+U237*U134+V237*V134+W237*W134+X237*X134+Y237*Y134+Z237*Z134+AA237*AA134+AB237*AB134+AC237*AC134+AD237*AD134+AE237*AE134+AF237*AF134+AG237*AG134+AH237*AH134+AI237*AI134+AJ237*AJ134+AK237*AK134+AL237*AL134+AM237*AM134+AN237*AN134+AO237*AO134+AP237*AP134+AQ237*AQ134+AR237*AR134+AS237*AS134+AT237*AT134+AU237*AU134+AV237*AV134+AW237*AW134+AX237*AX134+AY237*AY134+AZ237*AZ134+BA237*BA134+BB237*BB134+BC237*BC134+BD237*BD134+BE237*BE134+BF237*BF134+BG237*BG134+BH237*BH134+BI237*BI134+BJ237*BJ134+BK237*BK134+BL237*BL134+BM237*BM134+BN237*BN134+BO237*BO134+BP237*BP134+BQ237*BQ134+BR237*BR134+BS237*BS134+BT237*BT134+BU237*BU134+BV237*BV134+BW237*BW134+BX237*BX134+BY237*BY134+BZ237*BZ134+CA237*CA134+CB237*CB134+CC237*CC134+CD237*CD134+CE237*CE134+CF237*CF134+CG237*CG134+CH237*CH134+CI237*CI134+CJ237*CJ134+CK237*CK134</f>
        <v>-3.3306690738754696E-16</v>
      </c>
      <c r="CP134" s="2296">
        <f>E238*E134+F238*F134+G238*G134+H238*H134+I238*I134+J238*J134+K238*K134+L238*L134+M238*M134+N238*N134+O238*O134+P238*P134+Q238*Q134+R238*R134+S238*S134+T238*T134+U238*U134+V238*V134+W238*W134+X238*X134+Y238*Y134+Z238*Z134+AA238*AA134+AB238*AB134+AC238*AC134+AD238*AD134+AE238*AE134+AF238*AF134+AG238*AG134+AH238*AH134+AI238*AI134+AJ238*AJ134+AK238*AK134+AL238*AL134+AM238*AM134+AN238*AN134+AO238*AO134+AP238*AP134+AQ238*AQ134+AR238*AR134+AS238*AS134+AT238*AT134+AU238*AU134+AV238*AV134+AW238*AW134+AX238*AX134+AY238*AY134+AZ238*AZ134+BA238*BA134+BB238*BB134+BC238*BC134+BD238*BD134+BE238*BE134+BF238*BF134+BG238*BG134+BH238*BH134+BI238*BI134+BJ238*BJ134+BK238*BK134+BL238*BL134+BM238*BM134+BN238*BN134+BO238*BO134+BP238*BP134+BQ238*BQ134+BR238*BR134+BS238*BS134+BT238*BT134+BU238*BU134+BV238*BV134+BW238*BW134+BX238*BX134+BY238*BY134+BZ238*BZ134+CA238*CA134+CB238*CB134+CC238*CC134+CD238*CD134+CE238*CE134+CF238*CF134+CG238*CG134+CH238*CH134+CI238*CI134+CJ238*CJ134+CK238*CK134</f>
        <v>0</v>
      </c>
      <c r="CQ134" s="2297">
        <f>E239*E134+F239*F134+G239*G134+H239*H134+I239*I134+J239*J134+K239*K134+L239*L134+M239*M134+N239*N134+O239*O134+P239*P134+Q239*Q134+R239*R134+S239*S134+T239*T134+U239*U134+V239*V134+W239*W134+X239*X134+Y239*Y134+Z239*Z134+AA239*AA134+AB239*AB134+AC239*AC134+AD239*AD134+AE239*AE134+AF239*AF134+AG239*AG134+AH239*AH134+AI239*AI134+AJ239*AJ134+AK239*AK134+AL239*AL134+AM239*AM134+AN239*AN134+AO239*AO134+AP239*AP134+AQ239*AQ134+AR239*AR134+AS239*AS134+AT239*AT134+AU239*AU134+AV239*AV134+AW239*AW134+AX239*AX134+AY239*AY134+AZ239*AZ134+BA239*BA134+BB239*BB134+BC239*BC134+BD239*BD134+BE239*BE134+BF239*BF134+BG239*BG134+BH239*BH134+BI239*BI134+BJ239*BJ134+BK239*BK134+BL239*BL134+BM239*BM134+BN239*BN134+BO239*BO134+BP239*BP134+BQ239*BQ134+BR239*BR134+BS239*BS134+BT239*BT134+BU239*BU134+BV239*BV134+BW239*BW134+BX239*BX134+BY239*BY134+BZ239*BZ134+CA239*CA134+CB239*CB134+CC239*CC134+CD239*CD134+CE239*CE134+CF239*CF134+CG239*CG134+CH239*CH134+CI239*CI134+CJ239*CJ134+CK239*CK134</f>
        <v>0</v>
      </c>
      <c r="CR134" s="2297">
        <f>E240*E134+F240*F134+G240*G134+H240*H134+I240*I134+J240*J134+K240*K134+L240*L134+M240*M134+N240*N134+O240*O134+P240*P134+Q240*Q134+R240*R134+S240*S134+T240*T134+U240*U134+V240*V134+W240*W134+X240*X134+Y240*Y134+Z240*Z134+AA240*AA134+AB240*AB134+AC240*AC134+AD240*AD134+AE240*AE134+AF240*AF134+AG240*AG134+AH240*AH134+AI240*AI134+AJ240*AJ134+AK240*AK134+AL240*AL134+AM240*AM134+AN240*AN134+AO240*AO134+AP240*AP134+AQ240*AQ134+AR240*AR134+AS240*AS134+AT240*AT134+AU240*AU134+AV240*AV134+AW240*AW134+AX240*AX134+AY240*AY134+AZ240*AZ134+BA240*BA134+BB240*BB134+BC240*BC134+BD240*BD134+BE240*BE134+BF240*BF134+BG240*BG134+BH240*BH134+BI240*BI134+BJ240*BJ134+BK240*BK134+BL240*BL134+BM240*BM134+BN240*BN134+BO240*BO134+BP240*BP134+BQ240*BQ134+BR240*BR134+BS240*BS134+BT240*BT134+BU240*BU134+BV240*BV134+BW240*BW134+BX240*BX134+BY240*BY134+BZ240*BZ134+CA240*CA134+CB240*CB134+CC240*CC134+CD240*CD134+CE240*CE134+CF240*CF134+CG240*CG134+CH240*CH134+CI240*CI134+CJ240*CJ134+CK240*CK134</f>
        <v>0</v>
      </c>
      <c r="CS134" s="2297">
        <f>E241*E134+F241*F134+G241*G134+H241*H134+I241*I134+J241*J134+K241*K134+L241*L134+M241*M134+N241*N134+O241*O134+P241*P134+Q241*Q134+R241*R134+S241*S134+T241*T134+U241*U134+V241*V134+W241*W134+X241*X134+Y241*Y134+Z241*Z134+AA241*AA134+AB241*AB134+AC241*AC134+AD241*AD134+AE241*AE134+AF241*AF134+AG241*AG134+AH241*AH134+AI241*AI134+AJ241*AJ134+AK241*AK134+AL241*AL134+AM241*AM134+AN241*AN134+AO241*AO134+AP241*AP134+AQ241*AQ134+AR241*AR134+AS241*AS134+AT241*AT134+AU241*AU134+AV241*AV134+AW241*AW134+AX241*AX134+AY241*AY134+AZ241*AZ134+BA241*BA134+BB241*BB134+BC241*BC134+BD241*BD134+BE241*BE134+BF241*BF134+BG241*BG134+BH241*BH134+BI241*BI134+BJ241*BJ134+BK241*BK134+BL241*BL134+BM241*BM134+BN241*BN134+BO241*BO134+BP241*BP134+BQ241*BQ134+BR241*BR134+BS241*BS134+BT241*BT134+BU241*BU134+BV241*BV134+BW241*BW134+BX241*BX134+BY241*BY134+BZ241*BZ134+CA241*CA134+CB241*CB134+CC241*CC134+CD241*CD134+CE241*CE134+CF241*CF134+CG241*CG134+CH241*CH134+CI241*CI134+CJ241*CJ134+CK241*CK134</f>
        <v>0</v>
      </c>
      <c r="CT134" s="2297">
        <f>E242*E134+F242*F134+G242*G134+H242*H134+I242*I134+J242*J134+K242*K134+L242*L134+M242*M134+N242*N134+O242*O134+P242*P134+Q242*Q134+R242*R134+S242*S134+T242*T134+U242*U134+V242*V134+W242*W134+X242*X134+Y242*Y134+Z242*Z134+AA242*AA134+AB242*AB134+AC242*AC134+AD242*AD134+AE242*AE134+AF242*AF134+AG242*AG134+AH242*AH134+AI242*AI134+AJ242*AJ134+AK242*AK134+AL242*AL134+AM242*AM134+AN242*AN134+AO242*AO134+AP242*AP134+AQ242*AQ134+AR242*AR134+AS242*AS134+AT242*AT134+AU242*AU134+AV242*AV134+AW242*AW134+AX242*AX134+AY242*AY134+AZ242*AZ134+BA242*BA134+BB242*BB134+BC242*BC134+BD242*BD134+BE242*BE134+BF242*BF134+BG242*BG134+BH242*BH134+BI242*BI134+BJ242*BJ134+BK242*BK134+BL242*BL134+BM242*BM134+BN242*BN134+BO242*BO134+BP242*BP134+BQ242*BQ134+BR242*BR134+BS242*BS134+BT242*BT134+BU242*BU134+BV242*BV134+BW242*BW134+BX242*BX134+BY242*BY134+BZ242*BZ134+CA242*CA134+CB242*CB134+CC242*CC134+CD242*CD134+CE242*CE134+CF242*CF134+CG242*CG134+CH242*CH134+CI242*CI134+CJ242*CJ134+CK242*CK134</f>
        <v>0</v>
      </c>
      <c r="CU134" s="2297">
        <f>E243*E134+F243*F134+G243*G134+H243*H134+I243*I134+J243*J134+K243*K134+L243*L134+M243*M134+N243*N134+O243*O134+P243*P134+Q243*Q134+R243*R134+S243*S134+T243*T134+U243*U134+V243*V134+W243*W134+X243*X134+Y243*Y134+Z243*Z134+AA243*AA134+AB243*AB134+AC243*AC134+AD243*AD134+AE243*AE134+AF243*AF134+AG243*AG134+AH243*AH134+AI243*AI134+AJ243*AJ134+AK243*AK134+AL243*AL134+AM243*AM134+AN243*AN134+AO243*AO134+AP243*AP134+AQ243*AQ134+AR243*AR134+AS243*AS134+AT243*AT134+AU243*AU134+AV243*AV134+AW243*AW134+AX243*AX134+AY243*AY134+AZ243*AZ134+BA243*BA134+BB243*BB134+BC243*BC134+BD243*BD134+BE243*BE134+BF243*BF134+BG243*BG134+BH243*BH134+BI243*BI134+BJ243*BJ134+BK243*BK134+BL243*BL134+BM243*BM134+BN243*BN134+BO243*BO134+BP243*BP134+BQ243*BQ134+BR243*BR134+BS243*BS134+BT243*BT134+BU243*BU134+BV243*BV134+BW243*BW134+BX243*BX134+BY243*BY134+BZ243*BZ134+CA243*CA134+CB243*CB134+CC243*CC134+CD243*CD134+CE243*CE134+CF243*CF134+CG243*CG134+CH243*CH134+CI243*CI134+CJ243*CJ134+CK243*CK134</f>
        <v>0</v>
      </c>
      <c r="CV134" s="2297">
        <f>E244*E134+F244*F134+G244*G134+H244*H134+I244*I134+J244*J134+K244*K134+L244*L134+M244*M134+N244*N134+O244*O134+P244*P134+Q244*Q134+R244*R134+S244*S134+T244*T134+U244*U134+V244*V134+W244*W134+X244*X134+Y244*Y134+Z244*Z134+AA244*AA134+AB244*AB134+AC244*AC134+AD244*AD134+AE244*AE134+AF244*AF134+AG244*AG134+AH244*AH134+AI244*AI134+AJ244*AJ134+AK244*AK134+AL244*AL134+AM244*AM134+AN244*AN134+AO244*AO134+AP244*AP134+AQ244*AQ134+AR244*AR134+AS244*AS134+AT244*AT134+AU244*AU134+AV244*AV134+AW244*AW134+AX244*AX134+AY244*AY134+AZ244*AZ134+BA244*BA134+BB244*BB134+BC244*BC134+BD244*BD134+BE244*BE134+BF244*BF134+BG244*BG134+BH244*BH134+BI244*BI134+BJ244*BJ134+BK244*BK134+BL244*BL134+BM244*BM134+BN244*BN134+BO244*BO134+BP244*BP134+BQ244*BQ134+BR244*BR134+BS244*BS134+BT244*BT134+BU244*BU134+BV244*BV134+BW244*BW134+BX244*BX134+BY244*BY134+BZ244*BZ134+CA244*CA134+CB244*CB134+CC244*CC134+CD244*CD134+CE244*CE134+CF244*CF134+CG244*CG134+CH244*CH134+CI244*CI134+CJ244*CJ134+CK244*CK134</f>
        <v>0</v>
      </c>
      <c r="CW134" s="2297">
        <f>E245*E134+F245*F134+G245*G134+H245*H134+I245*I134+J245*J134+K245*K134+L245*L134+M245*M134+N245*N134+O245*O134+P245*P134+Q245*Q134+R245*R134+S245*S134+T245*T134+U245*U134+V245*V134+W245*W134+X245*X134+Y245*Y134+Z245*Z134+AA245*AA134+AB245*AB134+AC245*AC134+AD245*AD134+AE245*AE134+AF245*AF134+AG245*AG134+AH245*AH134+AI245*AI134+AJ245*AJ134+AK245*AK134+AL245*AL134+AM245*AM134+AN245*AN134+AO245*AO134+AP245*AP134+AQ245*AQ134+AR245*AR134+AS245*AS134+AT245*AT134+AU245*AU134+AV245*AV134+AW245*AW134+AX245*AX134+AY245*AY134+AZ245*AZ134+BA245*BA134+BB245*BB134+BC245*BC134+BD245*BD134+BE245*BE134+BF245*BF134+BG245*BG134+BH245*BH134+BI245*BI134+BJ245*BJ134+BK245*BK134+BL245*BL134+BM245*BM134+BN245*BN134+BO245*BO134+BP245*BP134+BQ245*BQ134+BR245*BR134+BS245*BS134+BT245*BT134+BU245*BU134+BV245*BV134+BW245*BW134+BX245*BX134+BY245*BY134+BZ245*BZ134+CA245*CA134+CB245*CB134+CC245*CC134+CD245*CD134+CE245*CE134+CF245*CF134+CG245*CG134+CH245*CH134+CI245*CI134+CJ245*CJ134+CK245*CK134</f>
        <v>0</v>
      </c>
      <c r="CX134" s="2297">
        <f>E246*E134+F246*F134+G246*G134+H246*H134+I246*I134+J246*J134+K246*K134+L246*L134+M246*M134+N246*N134+O246*O134+P246*P134+Q246*Q134+R246*R134+S246*S134+T246*T134+U246*U134+V246*V134+W246*W134+X246*X134+Y246*Y134+Z246*Z134+AA246*AA134+AB246*AB134+AC246*AC134+AD246*AD134+AE246*AE134+AF246*AF134+AG246*AG134+AH246*AH134+AI246*AI134+AJ246*AJ134+AK246*AK134+AL246*AL134+AM246*AM134+AN246*AN134+AO246*AO134+AP246*AP134+AQ246*AQ134+AR246*AR134+AS246*AS134+AT246*AT134+AU246*AU134+AV246*AV134+AW246*AW134+AX246*AX134+AY246*AY134+AZ246*AZ134+BA246*BA134+BB246*BB134+BC246*BC134+BD246*BD134+BE246*BE134+BF246*BF134+BG246*BG134+BH246*BH134+BI246*BI134+BJ246*BJ134+BK246*BK134+BL246*BL134+BM246*BM134+BN246*BN134+BO246*BO134+BP246*BP134+BQ246*BQ134+BR246*BR134+BS246*BS134+BT246*BT134+BU246*BU134+BV246*BV134+BW246*BW134+BX246*BX134+BY246*BY134+BZ246*BZ134+CA246*CA134+CB246*CB134+CC246*CC134+CD246*CD134+CE246*CE134+CF246*CF134+CG246*CG134+CH246*CH134+CI246*CI134+CJ246*CJ134+CK246*CK134</f>
        <v>0</v>
      </c>
    </row>
    <row r="135" spans="2:102" ht="18" x14ac:dyDescent="0.25">
      <c r="B135" s="1243">
        <v>8</v>
      </c>
      <c r="C135" s="1191" t="s">
        <v>230</v>
      </c>
      <c r="D135" s="577" t="s">
        <v>2865</v>
      </c>
      <c r="E135" s="2654">
        <f>(1-Y_OHO_SB_ana-Y_OHO_H2_ana_low)/Y_OHO_SB_ana</f>
        <v>8</v>
      </c>
      <c r="F135" s="2653">
        <f>-1/Y_OHO_SB_ana</f>
        <v>-10</v>
      </c>
      <c r="G135" s="2654">
        <f>0</f>
        <v>0</v>
      </c>
      <c r="H135" s="2654">
        <f>0</f>
        <v>0</v>
      </c>
      <c r="I135" s="2654">
        <f>0</f>
        <v>0</v>
      </c>
      <c r="J135" s="2691">
        <f>0</f>
        <v>0</v>
      </c>
      <c r="K135" s="2654">
        <f>0</f>
        <v>0</v>
      </c>
      <c r="L135" s="2654">
        <f>0</f>
        <v>0</v>
      </c>
      <c r="M135" s="2654">
        <f>0</f>
        <v>0</v>
      </c>
      <c r="N135" s="2654">
        <f>0</f>
        <v>0</v>
      </c>
      <c r="O135" s="2654">
        <f>0</f>
        <v>0</v>
      </c>
      <c r="P135" s="2654">
        <f>0</f>
        <v>0</v>
      </c>
      <c r="Q135" s="2654">
        <f>0</f>
        <v>0</v>
      </c>
      <c r="R135" s="2654">
        <f>1</f>
        <v>1</v>
      </c>
      <c r="S135" s="2654">
        <f>0</f>
        <v>0</v>
      </c>
      <c r="T135" s="2654">
        <f>0</f>
        <v>0</v>
      </c>
      <c r="U135" s="2654">
        <f>0</f>
        <v>0</v>
      </c>
      <c r="V135" s="2654">
        <f>0</f>
        <v>0</v>
      </c>
      <c r="W135" s="2654">
        <f>0</f>
        <v>0</v>
      </c>
      <c r="X135" s="2654">
        <f>0</f>
        <v>0</v>
      </c>
      <c r="Y135" s="2654">
        <f>0</f>
        <v>0</v>
      </c>
      <c r="Z135" s="2713">
        <f>0</f>
        <v>0</v>
      </c>
      <c r="AA135" s="2653">
        <f>-i_N_BIO</f>
        <v>-7.0000000000000007E-2</v>
      </c>
      <c r="AB135" s="2654">
        <f>0</f>
        <v>0</v>
      </c>
      <c r="AC135" s="2654">
        <f>0</f>
        <v>0</v>
      </c>
      <c r="AD135" s="2654">
        <f>0</f>
        <v>0</v>
      </c>
      <c r="AE135" s="2654">
        <f>0</f>
        <v>0</v>
      </c>
      <c r="AF135" s="2654">
        <f>0</f>
        <v>0</v>
      </c>
      <c r="AG135" s="2654">
        <f>0</f>
        <v>0</v>
      </c>
      <c r="AH135" s="2654">
        <f>0</f>
        <v>0</v>
      </c>
      <c r="AI135" s="2653">
        <f>-i_P_BIO</f>
        <v>-0.02</v>
      </c>
      <c r="AJ135" s="2654">
        <f>0</f>
        <v>0</v>
      </c>
      <c r="AK135" s="2654">
        <f>0</f>
        <v>0</v>
      </c>
      <c r="AL135" s="2654">
        <f>0</f>
        <v>0</v>
      </c>
      <c r="AM135" s="2654">
        <f>0</f>
        <v>0</v>
      </c>
      <c r="AN135" s="2654">
        <f>0</f>
        <v>0</v>
      </c>
      <c r="AO135" s="2654">
        <f>0</f>
        <v>0</v>
      </c>
      <c r="AP135" s="2654">
        <f>0</f>
        <v>0</v>
      </c>
      <c r="AQ135" s="2654">
        <f>Y_OHO_H2_ana_low/Y_OHO_SB_ana</f>
        <v>1</v>
      </c>
      <c r="AR135" s="2654">
        <f>(i_CIT_SB-i_CIT_VFA*(1-Y_OHO_SB_ana-Y_OHO_H2_ana_low)-i_CIT_BIO*Y_OHO_SB_ana)/Y_OHO_SB_ana</f>
        <v>-0.49200000000000066</v>
      </c>
      <c r="AS135" s="2740">
        <f>i_INORG</f>
        <v>0.11</v>
      </c>
      <c r="AT135" s="2740">
        <f>-i_INORG*(1-i_Ca_INORG*(A_MCa+2*A_MCl)/A_MCa-i_Mg_INORG*(A_MMg+2*A_MCl)/A_MMg)*f_Na</f>
        <v>-2.8804303582798466E-2</v>
      </c>
      <c r="AU135" s="2740">
        <f>-i_INORG*(i_Ca_INORG*(2*A_MCl)/A_MCa+i_Mg_INORG*(2*A_MCl)/A_MMg)-i_INORG*(1-i_Ca_INORG*(A_MCa+2*A_MCl)/A_MCa-i_Mg_INORG*(A_MMg+2*A_MCl)/A_MMg)*(1-f_Na)</f>
        <v>-7.0195696417201539E-2</v>
      </c>
      <c r="AV135" s="2740">
        <f>-i_INORG*i_Ca_INORG</f>
        <v>-5.5000000000000005E-3</v>
      </c>
      <c r="AW135" s="2740">
        <f>-i_INORG*i_Mg_INORG</f>
        <v>-5.5000000000000005E-3</v>
      </c>
      <c r="AX135" s="2653">
        <f>0</f>
        <v>0</v>
      </c>
      <c r="AY135" s="2653">
        <f>0</f>
        <v>0</v>
      </c>
      <c r="AZ135" s="2653">
        <f>0</f>
        <v>0</v>
      </c>
      <c r="BA135" s="2653">
        <f>0</f>
        <v>0</v>
      </c>
      <c r="BB135" s="2653">
        <f>0</f>
        <v>0</v>
      </c>
      <c r="BC135" s="2653">
        <f>0</f>
        <v>0</v>
      </c>
      <c r="BD135" s="2653">
        <f>0</f>
        <v>0</v>
      </c>
      <c r="BE135" s="2653">
        <f>0</f>
        <v>0</v>
      </c>
      <c r="BF135" s="2653">
        <f>0</f>
        <v>0</v>
      </c>
      <c r="BG135" s="2653">
        <f>0</f>
        <v>0</v>
      </c>
      <c r="BH135" s="2653">
        <f>0</f>
        <v>0</v>
      </c>
      <c r="BI135" s="2653">
        <f>0</f>
        <v>0</v>
      </c>
      <c r="BJ135" s="2653">
        <f>0</f>
        <v>0</v>
      </c>
      <c r="BK135" s="2653">
        <f>0</f>
        <v>0</v>
      </c>
      <c r="BL135" s="2653">
        <f>0</f>
        <v>0</v>
      </c>
      <c r="BM135" s="2653">
        <f>0</f>
        <v>0</v>
      </c>
      <c r="BN135" s="2653">
        <f>0</f>
        <v>0</v>
      </c>
      <c r="BO135" s="2653">
        <f>0</f>
        <v>0</v>
      </c>
      <c r="BP135" s="2756">
        <f>0</f>
        <v>0</v>
      </c>
      <c r="BQ135" s="2653">
        <f>0</f>
        <v>0</v>
      </c>
      <c r="BR135" s="2653">
        <f>0</f>
        <v>0</v>
      </c>
      <c r="BS135" s="2766">
        <f>0</f>
        <v>0</v>
      </c>
      <c r="BT135" s="2766">
        <f>0</f>
        <v>0</v>
      </c>
      <c r="BU135" s="2766">
        <f>0</f>
        <v>0</v>
      </c>
      <c r="BV135" s="2766">
        <f>0</f>
        <v>0</v>
      </c>
      <c r="BW135" s="2653">
        <f>0</f>
        <v>0</v>
      </c>
      <c r="BX135" s="2774">
        <f>0</f>
        <v>0</v>
      </c>
      <c r="BY135" s="2766">
        <f>0</f>
        <v>0</v>
      </c>
      <c r="BZ135" s="2653">
        <f>0</f>
        <v>0</v>
      </c>
      <c r="CA135" s="2653">
        <f>0</f>
        <v>0</v>
      </c>
      <c r="CB135" s="2653">
        <f>0</f>
        <v>0</v>
      </c>
      <c r="CC135" s="2653">
        <f>0</f>
        <v>0</v>
      </c>
      <c r="CD135" s="2653">
        <f>0</f>
        <v>0</v>
      </c>
      <c r="CE135" s="2653">
        <f>0</f>
        <v>0</v>
      </c>
      <c r="CF135" s="2653">
        <f>0</f>
        <v>0</v>
      </c>
      <c r="CG135" s="2653">
        <f>0</f>
        <v>0</v>
      </c>
      <c r="CH135" s="2653">
        <f>0</f>
        <v>0</v>
      </c>
      <c r="CI135" s="2653">
        <f>0</f>
        <v>0</v>
      </c>
      <c r="CJ135" s="2653">
        <f>0</f>
        <v>0</v>
      </c>
      <c r="CK135" s="2653">
        <f>0</f>
        <v>0</v>
      </c>
      <c r="CL135" s="2801">
        <f>µ_FERM_OHO_T*X_OHO*L_oginhSVFA_KVFA_FERM*M_satSB_KSB_ana*M_inhSO2_KO2_OHO*M_inhSNO2_KNO2_OHO*M_inhSNO3_KNO3_OHO*M_satSNHx_KNHx_BIO*M_satSPO4_KPO4_BIO*M_satSCAT_KCAT*M_satSAN_KAN*M_satSCa_KCa*M_satSMg_KMg*M_satSCO2_KCO2_BIO*B_ellinhpH</f>
        <v>0.11299899759692617</v>
      </c>
      <c r="CN135" s="2295">
        <f>E236*E135+F236*F135+G236*G135+H236*H135+I236*I135+J236*J135+K236*K135+L236*L135+M236*M135+N236*N135+O236*O135+P236*P135+Q236*Q135+R236*R135+S236*S135+T236*T135+U236*U135+V236*V135+W236*W135+X236*X135+Y236*Y135+Z236*Z135+AA236*AA135+AB236*AB135+AC236*AC135+AD236*AD135+AE236*AE135+AF236*AF135+AG236*AG135+AH236*AH135+AI236*AI135+AJ236*AJ135+AK236*AK135+AL236*AL135+AM236*AM135+AN236*AN135+AO236*AO135+AP236*AP135+AQ236*AQ135+AR236*AR135+AS236*AS135+AT236*AT135+AU236*AU135+AV236*AV135+AW236*AW135+AX236*AX135+AY236*AY135+AZ236*AZ135+BA236*BA135+BB236*BB135+BC236*BC135+BD236*BD135+BE236*BE135+BF236*BF135+BG236*BG135+BH236*BH135+BI236*BI135+BJ236*BJ135+BK236*BK135+BL236*BL135+BM236*BM135+BN236*BN135+BO236*BO135+BP236*BP135+BQ236*BQ135+BR236*BR135+BS236*BS135+BT236*BT135+BU236*BU135+BV236*BV135+BW236*BW135+BX236*BX135+BY236*BY135+BZ236*BZ135+CA236*CA135+CB236*CB135+CC236*CC135+CD236*CD135+CE236*CE135+CF236*CF135+CG236*CG135+CH236*CH135+CI236*CI135+CJ236*CJ135+CK236*CK135</f>
        <v>0</v>
      </c>
      <c r="CO135" s="2295">
        <f>E237*E135+F237*F135+G237*G135+H237*H135+I237*I135+J237*J135+K237*K135+L237*L135+M237*M135+N237*N135+O237*O135+P237*P135+Q237*Q135+R237*R135+S237*S135+T237*T135+U237*U135+V237*V135+W237*W135+X237*X135+Y237*Y135+Z237*Z135+AA237*AA135+AB237*AB135+AC237*AC135+AD237*AD135+AE237*AE135+AF237*AF135+AG237*AG135+AH237*AH135+AI237*AI135+AJ237*AJ135+AK237*AK135+AL237*AL135+AM237*AM135+AN237*AN135+AO237*AO135+AP237*AP135+AQ237*AQ135+AR237*AR135+AS237*AS135+AT237*AT135+AU237*AU135+AV237*AV135+AW237*AW135+AX237*AX135+AY237*AY135+AZ237*AZ135+BA237*BA135+BB237*BB135+BC237*BC135+BD237*BD135+BE237*BE135+BF237*BF135+BG237*BG135+BH237*BH135+BI237*BI135+BJ237*BJ135+BK237*BK135+BL237*BL135+BM237*BM135+BN237*BN135+BO237*BO135+BP237*BP135+BQ237*BQ135+BR237*BR135+BS237*BS135+BT237*BT135+BU237*BU135+BV237*BV135+BW237*BW135+BX237*BX135+BY237*BY135+BZ237*BZ135+CA237*CA135+CB237*CB135+CC237*CC135+CD237*CD135+CE237*CE135+CF237*CF135+CG237*CG135+CH237*CH135+CI237*CI135+CJ237*CJ135+CK237*CK135</f>
        <v>-5.5511151231257827E-16</v>
      </c>
      <c r="CP135" s="2296">
        <f>E238*E135+F238*F135+G238*G135+H238*H135+I238*I135+J238*J135+K238*K135+L238*L135+M238*M135+N238*N135+O238*O135+P238*P135+Q238*Q135+R238*R135+S238*S135+T238*T135+U238*U135+V238*V135+W238*W135+X238*X135+Y238*Y135+Z238*Z135+AA238*AA135+AB238*AB135+AC238*AC135+AD238*AD135+AE238*AE135+AF238*AF135+AG238*AG135+AH238*AH135+AI238*AI135+AJ238*AJ135+AK238*AK135+AL238*AL135+AM238*AM135+AN238*AN135+AO238*AO135+AP238*AP135+AQ238*AQ135+AR238*AR135+AS238*AS135+AT238*AT135+AU238*AU135+AV238*AV135+AW238*AW135+AX238*AX135+AY238*AY135+AZ238*AZ135+BA238*BA135+BB238*BB135+BC238*BC135+BD238*BD135+BE238*BE135+BF238*BF135+BG238*BG135+BH238*BH135+BI238*BI135+BJ238*BJ135+BK238*BK135+BL238*BL135+BM238*BM135+BN238*BN135+BO238*BO135+BP238*BP135+BQ238*BQ135+BR238*BR135+BS238*BS135+BT238*BT135+BU238*BU135+BV238*BV135+BW238*BW135+BX238*BX135+BY238*BY135+BZ238*BZ135+CA238*CA135+CB238*CB135+CC238*CC135+CD238*CD135+CE238*CE135+CF238*CF135+CG238*CG135+CH238*CH135+CI238*CI135+CJ238*CJ135+CK238*CK135</f>
        <v>0</v>
      </c>
      <c r="CQ135" s="2297">
        <f>E239*E135+F239*F135+G239*G135+H239*H135+I239*I135+J239*J135+K239*K135+L239*L135+M239*M135+N239*N135+O239*O135+P239*P135+Q239*Q135+R239*R135+S239*S135+T239*T135+U239*U135+V239*V135+W239*W135+X239*X135+Y239*Y135+Z239*Z135+AA239*AA135+AB239*AB135+AC239*AC135+AD239*AD135+AE239*AE135+AF239*AF135+AG239*AG135+AH239*AH135+AI239*AI135+AJ239*AJ135+AK239*AK135+AL239*AL135+AM239*AM135+AN239*AN135+AO239*AO135+AP239*AP135+AQ239*AQ135+AR239*AR135+AS239*AS135+AT239*AT135+AU239*AU135+AV239*AV135+AW239*AW135+AX239*AX135+AY239*AY135+AZ239*AZ135+BA239*BA135+BB239*BB135+BC239*BC135+BD239*BD135+BE239*BE135+BF239*BF135+BG239*BG135+BH239*BH135+BI239*BI135+BJ239*BJ135+BK239*BK135+BL239*BL135+BM239*BM135+BN239*BN135+BO239*BO135+BP239*BP135+BQ239*BQ135+BR239*BR135+BS239*BS135+BT239*BT135+BU239*BU135+BV239*BV135+BW239*BW135+BX239*BX135+BY239*BY135+BZ239*BZ135+CA239*CA135+CB239*CB135+CC239*CC135+CD239*CD135+CE239*CE135+CF239*CF135+CG239*CG135+CH239*CH135+CI239*CI135+CJ239*CJ135+CK239*CK135</f>
        <v>0</v>
      </c>
      <c r="CR135" s="2297">
        <f>E240*E135+F240*F135+G240*G135+H240*H135+I240*I135+J240*J135+K240*K135+L240*L135+M240*M135+N240*N135+O240*O135+P240*P135+Q240*Q135+R240*R135+S240*S135+T240*T135+U240*U135+V240*V135+W240*W135+X240*X135+Y240*Y135+Z240*Z135+AA240*AA135+AB240*AB135+AC240*AC135+AD240*AD135+AE240*AE135+AF240*AF135+AG240*AG135+AH240*AH135+AI240*AI135+AJ240*AJ135+AK240*AK135+AL240*AL135+AM240*AM135+AN240*AN135+AO240*AO135+AP240*AP135+AQ240*AQ135+AR240*AR135+AS240*AS135+AT240*AT135+AU240*AU135+AV240*AV135+AW240*AW135+AX240*AX135+AY240*AY135+AZ240*AZ135+BA240*BA135+BB240*BB135+BC240*BC135+BD240*BD135+BE240*BE135+BF240*BF135+BG240*BG135+BH240*BH135+BI240*BI135+BJ240*BJ135+BK240*BK135+BL240*BL135+BM240*BM135+BN240*BN135+BO240*BO135+BP240*BP135+BQ240*BQ135+BR240*BR135+BS240*BS135+BT240*BT135+BU240*BU135+BV240*BV135+BW240*BW135+BX240*BX135+BY240*BY135+BZ240*BZ135+CA240*CA135+CB240*CB135+CC240*CC135+CD240*CD135+CE240*CE135+CF240*CF135+CG240*CG135+CH240*CH135+CI240*CI135+CJ240*CJ135+CK240*CK135</f>
        <v>0</v>
      </c>
      <c r="CS135" s="2297">
        <f>E241*E135+F241*F135+G241*G135+H241*H135+I241*I135+J241*J135+K241*K135+L241*L135+M241*M135+N241*N135+O241*O135+P241*P135+Q241*Q135+R241*R135+S241*S135+T241*T135+U241*U135+V241*V135+W241*W135+X241*X135+Y241*Y135+Z241*Z135+AA241*AA135+AB241*AB135+AC241*AC135+AD241*AD135+AE241*AE135+AF241*AF135+AG241*AG135+AH241*AH135+AI241*AI135+AJ241*AJ135+AK241*AK135+AL241*AL135+AM241*AM135+AN241*AN135+AO241*AO135+AP241*AP135+AQ241*AQ135+AR241*AR135+AS241*AS135+AT241*AT135+AU241*AU135+AV241*AV135+AW241*AW135+AX241*AX135+AY241*AY135+AZ241*AZ135+BA241*BA135+BB241*BB135+BC241*BC135+BD241*BD135+BE241*BE135+BF241*BF135+BG241*BG135+BH241*BH135+BI241*BI135+BJ241*BJ135+BK241*BK135+BL241*BL135+BM241*BM135+BN241*BN135+BO241*BO135+BP241*BP135+BQ241*BQ135+BR241*BR135+BS241*BS135+BT241*BT135+BU241*BU135+BV241*BV135+BW241*BW135+BX241*BX135+BY241*BY135+BZ241*BZ135+CA241*CA135+CB241*CB135+CC241*CC135+CD241*CD135+CE241*CE135+CF241*CF135+CG241*CG135+CH241*CH135+CI241*CI135+CJ241*CJ135+CK241*CK135</f>
        <v>0</v>
      </c>
      <c r="CT135" s="2297">
        <f>E242*E135+F242*F135+G242*G135+H242*H135+I242*I135+J242*J135+K242*K135+L242*L135+M242*M135+N242*N135+O242*O135+P242*P135+Q242*Q135+R242*R135+S242*S135+T242*T135+U242*U135+V242*V135+W242*W135+X242*X135+Y242*Y135+Z242*Z135+AA242*AA135+AB242*AB135+AC242*AC135+AD242*AD135+AE242*AE135+AF242*AF135+AG242*AG135+AH242*AH135+AI242*AI135+AJ242*AJ135+AK242*AK135+AL242*AL135+AM242*AM135+AN242*AN135+AO242*AO135+AP242*AP135+AQ242*AQ135+AR242*AR135+AS242*AS135+AT242*AT135+AU242*AU135+AV242*AV135+AW242*AW135+AX242*AX135+AY242*AY135+AZ242*AZ135+BA242*BA135+BB242*BB135+BC242*BC135+BD242*BD135+BE242*BE135+BF242*BF135+BG242*BG135+BH242*BH135+BI242*BI135+BJ242*BJ135+BK242*BK135+BL242*BL135+BM242*BM135+BN242*BN135+BO242*BO135+BP242*BP135+BQ242*BQ135+BR242*BR135+BS242*BS135+BT242*BT135+BU242*BU135+BV242*BV135+BW242*BW135+BX242*BX135+BY242*BY135+BZ242*BZ135+CA242*CA135+CB242*CB135+CC242*CC135+CD242*CD135+CE242*CE135+CF242*CF135+CG242*CG135+CH242*CH135+CI242*CI135+CJ242*CJ135+CK242*CK135</f>
        <v>0</v>
      </c>
      <c r="CU135" s="2297">
        <f>E243*E135+F243*F135+G243*G135+H243*H135+I243*I135+J243*J135+K243*K135+L243*L135+M243*M135+N243*N135+O243*O135+P243*P135+Q243*Q135+R243*R135+S243*S135+T243*T135+U243*U135+V243*V135+W243*W135+X243*X135+Y243*Y135+Z243*Z135+AA243*AA135+AB243*AB135+AC243*AC135+AD243*AD135+AE243*AE135+AF243*AF135+AG243*AG135+AH243*AH135+AI243*AI135+AJ243*AJ135+AK243*AK135+AL243*AL135+AM243*AM135+AN243*AN135+AO243*AO135+AP243*AP135+AQ243*AQ135+AR243*AR135+AS243*AS135+AT243*AT135+AU243*AU135+AV243*AV135+AW243*AW135+AX243*AX135+AY243*AY135+AZ243*AZ135+BA243*BA135+BB243*BB135+BC243*BC135+BD243*BD135+BE243*BE135+BF243*BF135+BG243*BG135+BH243*BH135+BI243*BI135+BJ243*BJ135+BK243*BK135+BL243*BL135+BM243*BM135+BN243*BN135+BO243*BO135+BP243*BP135+BQ243*BQ135+BR243*BR135+BS243*BS135+BT243*BT135+BU243*BU135+BV243*BV135+BW243*BW135+BX243*BX135+BY243*BY135+BZ243*BZ135+CA243*CA135+CB243*CB135+CC243*CC135+CD243*CD135+CE243*CE135+CF243*CF135+CG243*CG135+CH243*CH135+CI243*CI135+CJ243*CJ135+CK243*CK135</f>
        <v>0</v>
      </c>
      <c r="CV135" s="2297">
        <f>E244*E135+F244*F135+G244*G135+H244*H135+I244*I135+J244*J135+K244*K135+L244*L135+M244*M135+N244*N135+O244*O135+P244*P135+Q244*Q135+R244*R135+S244*S135+T244*T135+U244*U135+V244*V135+W244*W135+X244*X135+Y244*Y135+Z244*Z135+AA244*AA135+AB244*AB135+AC244*AC135+AD244*AD135+AE244*AE135+AF244*AF135+AG244*AG135+AH244*AH135+AI244*AI135+AJ244*AJ135+AK244*AK135+AL244*AL135+AM244*AM135+AN244*AN135+AO244*AO135+AP244*AP135+AQ244*AQ135+AR244*AR135+AS244*AS135+AT244*AT135+AU244*AU135+AV244*AV135+AW244*AW135+AX244*AX135+AY244*AY135+AZ244*AZ135+BA244*BA135+BB244*BB135+BC244*BC135+BD244*BD135+BE244*BE135+BF244*BF135+BG244*BG135+BH244*BH135+BI244*BI135+BJ244*BJ135+BK244*BK135+BL244*BL135+BM244*BM135+BN244*BN135+BO244*BO135+BP244*BP135+BQ244*BQ135+BR244*BR135+BS244*BS135+BT244*BT135+BU244*BU135+BV244*BV135+BW244*BW135+BX244*BX135+BY244*BY135+BZ244*BZ135+CA244*CA135+CB244*CB135+CC244*CC135+CD244*CD135+CE244*CE135+CF244*CF135+CG244*CG135+CH244*CH135+CI244*CI135+CJ244*CJ135+CK244*CK135</f>
        <v>0</v>
      </c>
      <c r="CW135" s="2297">
        <f>E245*E135+F245*F135+G245*G135+H245*H135+I245*I135+J245*J135+K245*K135+L245*L135+M245*M135+N245*N135+O245*O135+P245*P135+Q245*Q135+R245*R135+S245*S135+T245*T135+U245*U135+V245*V135+W245*W135+X245*X135+Y245*Y135+Z245*Z135+AA245*AA135+AB245*AB135+AC245*AC135+AD245*AD135+AE245*AE135+AF245*AF135+AG245*AG135+AH245*AH135+AI245*AI135+AJ245*AJ135+AK245*AK135+AL245*AL135+AM245*AM135+AN245*AN135+AO245*AO135+AP245*AP135+AQ245*AQ135+AR245*AR135+AS245*AS135+AT245*AT135+AU245*AU135+AV245*AV135+AW245*AW135+AX245*AX135+AY245*AY135+AZ245*AZ135+BA245*BA135+BB245*BB135+BC245*BC135+BD245*BD135+BE245*BE135+BF245*BF135+BG245*BG135+BH245*BH135+BI245*BI135+BJ245*BJ135+BK245*BK135+BL245*BL135+BM245*BM135+BN245*BN135+BO245*BO135+BP245*BP135+BQ245*BQ135+BR245*BR135+BS245*BS135+BT245*BT135+BU245*BU135+BV245*BV135+BW245*BW135+BX245*BX135+BY245*BY135+BZ245*BZ135+CA245*CA135+CB245*CB135+CC245*CC135+CD245*CD135+CE245*CE135+CF245*CF135+CG245*CG135+CH245*CH135+CI245*CI135+CJ245*CJ135+CK245*CK135</f>
        <v>0</v>
      </c>
      <c r="CX135" s="2297">
        <f>E246*E135+F246*F135+G246*G135+H246*H135+I246*I135+J246*J135+K246*K135+L246*L135+M246*M135+N246*N135+O246*O135+P246*P135+Q246*Q135+R246*R135+S246*S135+T246*T135+U246*U135+V246*V135+W246*W135+X246*X135+Y246*Y135+Z246*Z135+AA246*AA135+AB246*AB135+AC246*AC135+AD246*AD135+AE246*AE135+AF246*AF135+AG246*AG135+AH246*AH135+AI246*AI135+AJ246*AJ135+AK246*AK135+AL246*AL135+AM246*AM135+AN246*AN135+AO246*AO135+AP246*AP135+AQ246*AQ135+AR246*AR135+AS246*AS135+AT246*AT135+AU246*AU135+AV246*AV135+AW246*AW135+AX246*AX135+AY246*AY135+AZ246*AZ135+BA246*BA135+BB246*BB135+BC246*BC135+BD246*BD135+BE246*BE135+BF246*BF135+BG246*BG135+BH246*BH135+BI246*BI135+BJ246*BJ135+BK246*BK135+BL246*BL135+BM246*BM135+BN246*BN135+BO246*BO135+BP246*BP135+BQ246*BQ135+BR246*BR135+BS246*BS135+BT246*BT135+BU246*BU135+BV246*BV135+BW246*BW135+BX246*BX135+BY246*BY135+BZ246*BZ135+CA246*CA135+CB246*CB135+CC246*CC135+CD246*CD135+CE246*CE135+CF246*CF135+CG246*CG135+CH246*CH135+CI246*CI135+CJ246*CJ135+CK246*CK135</f>
        <v>0</v>
      </c>
    </row>
    <row r="136" spans="2:102" ht="18" x14ac:dyDescent="0.25">
      <c r="B136" s="1243">
        <v>9</v>
      </c>
      <c r="C136" s="1191" t="s">
        <v>231</v>
      </c>
      <c r="D136" s="577" t="s">
        <v>1652</v>
      </c>
      <c r="E136" s="2654">
        <f>0</f>
        <v>0</v>
      </c>
      <c r="F136" s="2654">
        <f>0</f>
        <v>0</v>
      </c>
      <c r="G136" s="2653">
        <f>-1/Y_OHO_SMEOL_ox</f>
        <v>-2.5</v>
      </c>
      <c r="H136" s="2654">
        <f>0</f>
        <v>0</v>
      </c>
      <c r="I136" s="2654">
        <f>0</f>
        <v>0</v>
      </c>
      <c r="J136" s="2691">
        <f>0</f>
        <v>0</v>
      </c>
      <c r="K136" s="2654">
        <f>0</f>
        <v>0</v>
      </c>
      <c r="L136" s="2654">
        <f>0</f>
        <v>0</v>
      </c>
      <c r="M136" s="2654">
        <f>0</f>
        <v>0</v>
      </c>
      <c r="N136" s="2654">
        <f>0</f>
        <v>0</v>
      </c>
      <c r="O136" s="2654">
        <f>0</f>
        <v>0</v>
      </c>
      <c r="P136" s="2654">
        <f>0</f>
        <v>0</v>
      </c>
      <c r="Q136" s="2654">
        <f>0</f>
        <v>0</v>
      </c>
      <c r="R136" s="2654">
        <f>1</f>
        <v>1</v>
      </c>
      <c r="S136" s="2654">
        <f>0</f>
        <v>0</v>
      </c>
      <c r="T136" s="2654">
        <f>0</f>
        <v>0</v>
      </c>
      <c r="U136" s="2654">
        <f>0</f>
        <v>0</v>
      </c>
      <c r="V136" s="2654">
        <f>0</f>
        <v>0</v>
      </c>
      <c r="W136" s="2654">
        <f>0</f>
        <v>0</v>
      </c>
      <c r="X136" s="2654">
        <f>0</f>
        <v>0</v>
      </c>
      <c r="Y136" s="2654">
        <f>0</f>
        <v>0</v>
      </c>
      <c r="Z136" s="2713">
        <f>0</f>
        <v>0</v>
      </c>
      <c r="AA136" s="2653">
        <f>-i_N_BIO</f>
        <v>-7.0000000000000007E-2</v>
      </c>
      <c r="AB136" s="2654">
        <f>0</f>
        <v>0</v>
      </c>
      <c r="AC136" s="2654">
        <f>0</f>
        <v>0</v>
      </c>
      <c r="AD136" s="2654">
        <f>0</f>
        <v>0</v>
      </c>
      <c r="AE136" s="2654">
        <f>0</f>
        <v>0</v>
      </c>
      <c r="AF136" s="2654">
        <f>0</f>
        <v>0</v>
      </c>
      <c r="AG136" s="2654">
        <f>0</f>
        <v>0</v>
      </c>
      <c r="AH136" s="2654">
        <f>0</f>
        <v>0</v>
      </c>
      <c r="AI136" s="2653">
        <f>-i_P_BIO</f>
        <v>-0.02</v>
      </c>
      <c r="AJ136" s="2654">
        <f>0</f>
        <v>0</v>
      </c>
      <c r="AK136" s="2654">
        <f>0</f>
        <v>0</v>
      </c>
      <c r="AL136" s="2654">
        <f>0</f>
        <v>0</v>
      </c>
      <c r="AM136" s="2654">
        <f>0</f>
        <v>0</v>
      </c>
      <c r="AN136" s="2654">
        <f>0</f>
        <v>0</v>
      </c>
      <c r="AO136" s="2653">
        <f>-(1-Y_OHO_SMEOL_ox)/Y_OHO_SMEOL_ox</f>
        <v>-1.4999999999999998</v>
      </c>
      <c r="AP136" s="2653">
        <f>0</f>
        <v>0</v>
      </c>
      <c r="AQ136" s="2653">
        <f>0</f>
        <v>0</v>
      </c>
      <c r="AR136" s="2653">
        <f>i_CIT_MEOL/Y_OHO_SMEOL_ox-i_CIT_BIO</f>
        <v>0.27300000000000002</v>
      </c>
      <c r="AS136" s="2740">
        <f>i_INORG</f>
        <v>0.11</v>
      </c>
      <c r="AT136" s="2740">
        <f>-i_INORG*(1-i_Ca_INORG*(A_MCa+2*A_MCl)/A_MCa-i_Mg_INORG*(A_MMg+2*A_MCl)/A_MMg)*f_Na</f>
        <v>-2.8804303582798466E-2</v>
      </c>
      <c r="AU136" s="2740">
        <f>-i_INORG*(i_Ca_INORG*(2*A_MCl)/A_MCa+i_Mg_INORG*(2*A_MCl)/A_MMg)-i_INORG*(1-i_Ca_INORG*(A_MCa+2*A_MCl)/A_MCa-i_Mg_INORG*(A_MMg+2*A_MCl)/A_MMg)*(1-f_Na)</f>
        <v>-7.0195696417201539E-2</v>
      </c>
      <c r="AV136" s="2740">
        <f>-i_INORG*i_Ca_INORG</f>
        <v>-5.5000000000000005E-3</v>
      </c>
      <c r="AW136" s="2740">
        <f>-i_INORG*i_Mg_INORG</f>
        <v>-5.5000000000000005E-3</v>
      </c>
      <c r="AX136" s="2653">
        <f>0</f>
        <v>0</v>
      </c>
      <c r="AY136" s="2653">
        <f>0</f>
        <v>0</v>
      </c>
      <c r="AZ136" s="2653">
        <f>0</f>
        <v>0</v>
      </c>
      <c r="BA136" s="2653">
        <f>0</f>
        <v>0</v>
      </c>
      <c r="BB136" s="2653">
        <f>0</f>
        <v>0</v>
      </c>
      <c r="BC136" s="2653">
        <f>0</f>
        <v>0</v>
      </c>
      <c r="BD136" s="2653">
        <f>0</f>
        <v>0</v>
      </c>
      <c r="BE136" s="2653">
        <f>0</f>
        <v>0</v>
      </c>
      <c r="BF136" s="2653">
        <f>0</f>
        <v>0</v>
      </c>
      <c r="BG136" s="2653">
        <f>0</f>
        <v>0</v>
      </c>
      <c r="BH136" s="2653">
        <f>0</f>
        <v>0</v>
      </c>
      <c r="BI136" s="2653">
        <f>0</f>
        <v>0</v>
      </c>
      <c r="BJ136" s="2653">
        <f>0</f>
        <v>0</v>
      </c>
      <c r="BK136" s="2653">
        <f>0</f>
        <v>0</v>
      </c>
      <c r="BL136" s="2653">
        <f>0</f>
        <v>0</v>
      </c>
      <c r="BM136" s="2653">
        <f>0</f>
        <v>0</v>
      </c>
      <c r="BN136" s="2653">
        <f>0</f>
        <v>0</v>
      </c>
      <c r="BO136" s="2653">
        <f>0</f>
        <v>0</v>
      </c>
      <c r="BP136" s="2756">
        <f>0</f>
        <v>0</v>
      </c>
      <c r="BQ136" s="2653">
        <f>0</f>
        <v>0</v>
      </c>
      <c r="BR136" s="2653">
        <f>0</f>
        <v>0</v>
      </c>
      <c r="BS136" s="2766">
        <f>0</f>
        <v>0</v>
      </c>
      <c r="BT136" s="2766">
        <f>0</f>
        <v>0</v>
      </c>
      <c r="BU136" s="2766">
        <f>0</f>
        <v>0</v>
      </c>
      <c r="BV136" s="2766">
        <f>0</f>
        <v>0</v>
      </c>
      <c r="BW136" s="2653">
        <f>0</f>
        <v>0</v>
      </c>
      <c r="BX136" s="2774">
        <f>0</f>
        <v>0</v>
      </c>
      <c r="BY136" s="2766">
        <f>0</f>
        <v>0</v>
      </c>
      <c r="BZ136" s="2653">
        <f>0</f>
        <v>0</v>
      </c>
      <c r="CA136" s="2653">
        <f>0</f>
        <v>0</v>
      </c>
      <c r="CB136" s="2653">
        <f>0</f>
        <v>0</v>
      </c>
      <c r="CC136" s="2653">
        <f>0</f>
        <v>0</v>
      </c>
      <c r="CD136" s="2653">
        <f>0</f>
        <v>0</v>
      </c>
      <c r="CE136" s="2653">
        <f>0</f>
        <v>0</v>
      </c>
      <c r="CF136" s="2653">
        <f>0</f>
        <v>0</v>
      </c>
      <c r="CG136" s="2653">
        <f>0</f>
        <v>0</v>
      </c>
      <c r="CH136" s="2653">
        <f>0</f>
        <v>0</v>
      </c>
      <c r="CI136" s="2653">
        <f>0</f>
        <v>0</v>
      </c>
      <c r="CJ136" s="2653">
        <f>0</f>
        <v>0</v>
      </c>
      <c r="CK136" s="2653">
        <f>0</f>
        <v>0</v>
      </c>
      <c r="CL136" s="2801">
        <f>µ_OHO_T*X_OHO*M_satSMEOL_KMEOL_OHO*M_satSO2_KO2_OHO*M_satSNHx_KNHx_BIO*M_satSPO4_KPO4_BIO*M_satSCAT_KCAT*M_satSAN_KAN*M_satSCa_KCa*M_satSMg_KMg*B_ellinhpH</f>
        <v>0</v>
      </c>
      <c r="CN136" s="2295">
        <f>E236*E136+F236*F136+G236*G136+H236*H136+I236*I136+J236*J136+K236*K136+L236*L136+M236*M136+N236*N136+O236*O136+P236*P136+Q236*Q136+R236*R136+S236*S136+T236*T136+U236*U136+V236*V136+W236*W136+X236*X136+Y236*Y136+Z236*Z136+AA236*AA136+AB236*AB136+AC236*AC136+AD236*AD136+AE236*AE136+AF236*AF136+AG236*AG136+AH236*AH136+AI236*AI136+AJ236*AJ136+AK236*AK136+AL236*AL136+AM236*AM136+AN236*AN136+AO236*AO136+AP236*AP136+AQ236*AQ136+AR236*AR136+AS236*AS136+AT236*AT136+AU236*AU136+AV236*AV136+AW236*AW136+AX236*AX136+AY236*AY136+AZ236*AZ136+BA236*BA136+BB236*BB136+BC236*BC136+BD236*BD136+BE236*BE136+BF236*BF136+BG236*BG136+BH236*BH136+BI236*BI136+BJ236*BJ136+BK236*BK136+BL236*BL136+BM236*BM136+BN236*BN136+BO236*BO136+BP236*BP136+BQ236*BQ136+BR236*BR136+BS236*BS136+BT236*BT136+BU236*BU136+BV236*BV136+BW236*BW136+BX236*BX136+BY236*BY136+BZ236*BZ136+CA236*CA136+CB236*CB136+CC236*CC136+CD236*CD136+CE236*CE136+CF236*CF136+CG236*CG136+CH236*CH136+CI236*CI136+CJ236*CJ136+CK236*CK136</f>
        <v>-2.2204460492503131E-16</v>
      </c>
      <c r="CO136" s="2295">
        <f>E237*E136+F237*F136+G237*G136+H237*H136+I237*I136+J237*J136+K237*K136+L237*L136+M237*M136+N237*N136+O237*O136+P237*P136+Q237*Q136+R237*R136+S237*S136+T237*T136+U237*U136+V237*V136+W237*W136+X237*X136+Y237*Y136+Z237*Z136+AA237*AA136+AB237*AB136+AC237*AC136+AD237*AD136+AE237*AE136+AF237*AF136+AG237*AG136+AH237*AH136+AI237*AI136+AJ237*AJ136+AK237*AK136+AL237*AL136+AM237*AM136+AN237*AN136+AO237*AO136+AP237*AP136+AQ237*AQ136+AR237*AR136+AS237*AS136+AT237*AT136+AU237*AU136+AV237*AV136+AW237*AW136+AX237*AX136+AY237*AY136+AZ237*AZ136+BA237*BA136+BB237*BB136+BC237*BC136+BD237*BD136+BE237*BE136+BF237*BF136+BG237*BG136+BH237*BH136+BI237*BI136+BJ237*BJ136+BK237*BK136+BL237*BL136+BM237*BM136+BN237*BN136+BO237*BO136+BP237*BP136+BQ237*BQ136+BR237*BR136+BS237*BS136+BT237*BT136+BU237*BU136+BV237*BV136+BW237*BW136+BX237*BX136+BY237*BY136+BZ237*BZ136+CA237*CA136+CB237*CB136+CC237*CC136+CD237*CD136+CE237*CE136+CF237*CF136+CG237*CG136+CH237*CH136+CI237*CI136+CJ237*CJ136+CK237*CK136</f>
        <v>0</v>
      </c>
      <c r="CP136" s="2296">
        <f>E238*E136+F238*F136+G238*G136+H238*H136+I238*I136+J238*J136+K238*K136+L238*L136+M238*M136+N238*N136+O238*O136+P238*P136+Q238*Q136+R238*R136+S238*S136+T238*T136+U238*U136+V238*V136+W238*W136+X238*X136+Y238*Y136+Z238*Z136+AA238*AA136+AB238*AB136+AC238*AC136+AD238*AD136+AE238*AE136+AF238*AF136+AG238*AG136+AH238*AH136+AI238*AI136+AJ238*AJ136+AK238*AK136+AL238*AL136+AM238*AM136+AN238*AN136+AO238*AO136+AP238*AP136+AQ238*AQ136+AR238*AR136+AS238*AS136+AT238*AT136+AU238*AU136+AV238*AV136+AW238*AW136+AX238*AX136+AY238*AY136+AZ238*AZ136+BA238*BA136+BB238*BB136+BC238*BC136+BD238*BD136+BE238*BE136+BF238*BF136+BG238*BG136+BH238*BH136+BI238*BI136+BJ238*BJ136+BK238*BK136+BL238*BL136+BM238*BM136+BN238*BN136+BO238*BO136+BP238*BP136+BQ238*BQ136+BR238*BR136+BS238*BS136+BT238*BT136+BU238*BU136+BV238*BV136+BW238*BW136+BX238*BX136+BY238*BY136+BZ238*BZ136+CA238*CA136+CB238*CB136+CC238*CC136+CD238*CD136+CE238*CE136+CF238*CF136+CG238*CG136+CH238*CH136+CI238*CI136+CJ238*CJ136+CK238*CK136</f>
        <v>0</v>
      </c>
      <c r="CQ136" s="2297">
        <f>E239*E136+F239*F136+G239*G136+H239*H136+I239*I136+J239*J136+K239*K136+L239*L136+M239*M136+N239*N136+O239*O136+P239*P136+Q239*Q136+R239*R136+S239*S136+T239*T136+U239*U136+V239*V136+W239*W136+X239*X136+Y239*Y136+Z239*Z136+AA239*AA136+AB239*AB136+AC239*AC136+AD239*AD136+AE239*AE136+AF239*AF136+AG239*AG136+AH239*AH136+AI239*AI136+AJ239*AJ136+AK239*AK136+AL239*AL136+AM239*AM136+AN239*AN136+AO239*AO136+AP239*AP136+AQ239*AQ136+AR239*AR136+AS239*AS136+AT239*AT136+AU239*AU136+AV239*AV136+AW239*AW136+AX239*AX136+AY239*AY136+AZ239*AZ136+BA239*BA136+BB239*BB136+BC239*BC136+BD239*BD136+BE239*BE136+BF239*BF136+BG239*BG136+BH239*BH136+BI239*BI136+BJ239*BJ136+BK239*BK136+BL239*BL136+BM239*BM136+BN239*BN136+BO239*BO136+BP239*BP136+BQ239*BQ136+BR239*BR136+BS239*BS136+BT239*BT136+BU239*BU136+BV239*BV136+BW239*BW136+BX239*BX136+BY239*BY136+BZ239*BZ136+CA239*CA136+CB239*CB136+CC239*CC136+CD239*CD136+CE239*CE136+CF239*CF136+CG239*CG136+CH239*CH136+CI239*CI136+CJ239*CJ136+CK239*CK136</f>
        <v>0</v>
      </c>
      <c r="CR136" s="2297">
        <f>E240*E136+F240*F136+G240*G136+H240*H136+I240*I136+J240*J136+K240*K136+L240*L136+M240*M136+N240*N136+O240*O136+P240*P136+Q240*Q136+R240*R136+S240*S136+T240*T136+U240*U136+V240*V136+W240*W136+X240*X136+Y240*Y136+Z240*Z136+AA240*AA136+AB240*AB136+AC240*AC136+AD240*AD136+AE240*AE136+AF240*AF136+AG240*AG136+AH240*AH136+AI240*AI136+AJ240*AJ136+AK240*AK136+AL240*AL136+AM240*AM136+AN240*AN136+AO240*AO136+AP240*AP136+AQ240*AQ136+AR240*AR136+AS240*AS136+AT240*AT136+AU240*AU136+AV240*AV136+AW240*AW136+AX240*AX136+AY240*AY136+AZ240*AZ136+BA240*BA136+BB240*BB136+BC240*BC136+BD240*BD136+BE240*BE136+BF240*BF136+BG240*BG136+BH240*BH136+BI240*BI136+BJ240*BJ136+BK240*BK136+BL240*BL136+BM240*BM136+BN240*BN136+BO240*BO136+BP240*BP136+BQ240*BQ136+BR240*BR136+BS240*BS136+BT240*BT136+BU240*BU136+BV240*BV136+BW240*BW136+BX240*BX136+BY240*BY136+BZ240*BZ136+CA240*CA136+CB240*CB136+CC240*CC136+CD240*CD136+CE240*CE136+CF240*CF136+CG240*CG136+CH240*CH136+CI240*CI136+CJ240*CJ136+CK240*CK136</f>
        <v>0</v>
      </c>
      <c r="CS136" s="2297">
        <f>E241*E136+F241*F136+G241*G136+H241*H136+I241*I136+J241*J136+K241*K136+L241*L136+M241*M136+N241*N136+O241*O136+P241*P136+Q241*Q136+R241*R136+S241*S136+T241*T136+U241*U136+V241*V136+W241*W136+X241*X136+Y241*Y136+Z241*Z136+AA241*AA136+AB241*AB136+AC241*AC136+AD241*AD136+AE241*AE136+AF241*AF136+AG241*AG136+AH241*AH136+AI241*AI136+AJ241*AJ136+AK241*AK136+AL241*AL136+AM241*AM136+AN241*AN136+AO241*AO136+AP241*AP136+AQ241*AQ136+AR241*AR136+AS241*AS136+AT241*AT136+AU241*AU136+AV241*AV136+AW241*AW136+AX241*AX136+AY241*AY136+AZ241*AZ136+BA241*BA136+BB241*BB136+BC241*BC136+BD241*BD136+BE241*BE136+BF241*BF136+BG241*BG136+BH241*BH136+BI241*BI136+BJ241*BJ136+BK241*BK136+BL241*BL136+BM241*BM136+BN241*BN136+BO241*BO136+BP241*BP136+BQ241*BQ136+BR241*BR136+BS241*BS136+BT241*BT136+BU241*BU136+BV241*BV136+BW241*BW136+BX241*BX136+BY241*BY136+BZ241*BZ136+CA241*CA136+CB241*CB136+CC241*CC136+CD241*CD136+CE241*CE136+CF241*CF136+CG241*CG136+CH241*CH136+CI241*CI136+CJ241*CJ136+CK241*CK136</f>
        <v>0</v>
      </c>
      <c r="CT136" s="2297">
        <f>E242*E136+F242*F136+G242*G136+H242*H136+I242*I136+J242*J136+K242*K136+L242*L136+M242*M136+N242*N136+O242*O136+P242*P136+Q242*Q136+R242*R136+S242*S136+T242*T136+U242*U136+V242*V136+W242*W136+X242*X136+Y242*Y136+Z242*Z136+AA242*AA136+AB242*AB136+AC242*AC136+AD242*AD136+AE242*AE136+AF242*AF136+AG242*AG136+AH242*AH136+AI242*AI136+AJ242*AJ136+AK242*AK136+AL242*AL136+AM242*AM136+AN242*AN136+AO242*AO136+AP242*AP136+AQ242*AQ136+AR242*AR136+AS242*AS136+AT242*AT136+AU242*AU136+AV242*AV136+AW242*AW136+AX242*AX136+AY242*AY136+AZ242*AZ136+BA242*BA136+BB242*BB136+BC242*BC136+BD242*BD136+BE242*BE136+BF242*BF136+BG242*BG136+BH242*BH136+BI242*BI136+BJ242*BJ136+BK242*BK136+BL242*BL136+BM242*BM136+BN242*BN136+BO242*BO136+BP242*BP136+BQ242*BQ136+BR242*BR136+BS242*BS136+BT242*BT136+BU242*BU136+BV242*BV136+BW242*BW136+BX242*BX136+BY242*BY136+BZ242*BZ136+CA242*CA136+CB242*CB136+CC242*CC136+CD242*CD136+CE242*CE136+CF242*CF136+CG242*CG136+CH242*CH136+CI242*CI136+CJ242*CJ136+CK242*CK136</f>
        <v>0</v>
      </c>
      <c r="CU136" s="2297">
        <f>E243*E136+F243*F136+G243*G136+H243*H136+I243*I136+J243*J136+K243*K136+L243*L136+M243*M136+N243*N136+O243*O136+P243*P136+Q243*Q136+R243*R136+S243*S136+T243*T136+U243*U136+V243*V136+W243*W136+X243*X136+Y243*Y136+Z243*Z136+AA243*AA136+AB243*AB136+AC243*AC136+AD243*AD136+AE243*AE136+AF243*AF136+AG243*AG136+AH243*AH136+AI243*AI136+AJ243*AJ136+AK243*AK136+AL243*AL136+AM243*AM136+AN243*AN136+AO243*AO136+AP243*AP136+AQ243*AQ136+AR243*AR136+AS243*AS136+AT243*AT136+AU243*AU136+AV243*AV136+AW243*AW136+AX243*AX136+AY243*AY136+AZ243*AZ136+BA243*BA136+BB243*BB136+BC243*BC136+BD243*BD136+BE243*BE136+BF243*BF136+BG243*BG136+BH243*BH136+BI243*BI136+BJ243*BJ136+BK243*BK136+BL243*BL136+BM243*BM136+BN243*BN136+BO243*BO136+BP243*BP136+BQ243*BQ136+BR243*BR136+BS243*BS136+BT243*BT136+BU243*BU136+BV243*BV136+BW243*BW136+BX243*BX136+BY243*BY136+BZ243*BZ136+CA243*CA136+CB243*CB136+CC243*CC136+CD243*CD136+CE243*CE136+CF243*CF136+CG243*CG136+CH243*CH136+CI243*CI136+CJ243*CJ136+CK243*CK136</f>
        <v>0</v>
      </c>
      <c r="CV136" s="2297">
        <f>E244*E136+F244*F136+G244*G136+H244*H136+I244*I136+J244*J136+K244*K136+L244*L136+M244*M136+N244*N136+O244*O136+P244*P136+Q244*Q136+R244*R136+S244*S136+T244*T136+U244*U136+V244*V136+W244*W136+X244*X136+Y244*Y136+Z244*Z136+AA244*AA136+AB244*AB136+AC244*AC136+AD244*AD136+AE244*AE136+AF244*AF136+AG244*AG136+AH244*AH136+AI244*AI136+AJ244*AJ136+AK244*AK136+AL244*AL136+AM244*AM136+AN244*AN136+AO244*AO136+AP244*AP136+AQ244*AQ136+AR244*AR136+AS244*AS136+AT244*AT136+AU244*AU136+AV244*AV136+AW244*AW136+AX244*AX136+AY244*AY136+AZ244*AZ136+BA244*BA136+BB244*BB136+BC244*BC136+BD244*BD136+BE244*BE136+BF244*BF136+BG244*BG136+BH244*BH136+BI244*BI136+BJ244*BJ136+BK244*BK136+BL244*BL136+BM244*BM136+BN244*BN136+BO244*BO136+BP244*BP136+BQ244*BQ136+BR244*BR136+BS244*BS136+BT244*BT136+BU244*BU136+BV244*BV136+BW244*BW136+BX244*BX136+BY244*BY136+BZ244*BZ136+CA244*CA136+CB244*CB136+CC244*CC136+CD244*CD136+CE244*CE136+CF244*CF136+CG244*CG136+CH244*CH136+CI244*CI136+CJ244*CJ136+CK244*CK136</f>
        <v>0</v>
      </c>
      <c r="CW136" s="2297">
        <f>E245*E136+F245*F136+G245*G136+H245*H136+I245*I136+J245*J136+K245*K136+L245*L136+M245*M136+N245*N136+O245*O136+P245*P136+Q245*Q136+R245*R136+S245*S136+T245*T136+U245*U136+V245*V136+W245*W136+X245*X136+Y245*Y136+Z245*Z136+AA245*AA136+AB245*AB136+AC245*AC136+AD245*AD136+AE245*AE136+AF245*AF136+AG245*AG136+AH245*AH136+AI245*AI136+AJ245*AJ136+AK245*AK136+AL245*AL136+AM245*AM136+AN245*AN136+AO245*AO136+AP245*AP136+AQ245*AQ136+AR245*AR136+AS245*AS136+AT245*AT136+AU245*AU136+AV245*AV136+AW245*AW136+AX245*AX136+AY245*AY136+AZ245*AZ136+BA245*BA136+BB245*BB136+BC245*BC136+BD245*BD136+BE245*BE136+BF245*BF136+BG245*BG136+BH245*BH136+BI245*BI136+BJ245*BJ136+BK245*BK136+BL245*BL136+BM245*BM136+BN245*BN136+BO245*BO136+BP245*BP136+BQ245*BQ136+BR245*BR136+BS245*BS136+BT245*BT136+BU245*BU136+BV245*BV136+BW245*BW136+BX245*BX136+BY245*BY136+BZ245*BZ136+CA245*CA136+CB245*CB136+CC245*CC136+CD245*CD136+CE245*CE136+CF245*CF136+CG245*CG136+CH245*CH136+CI245*CI136+CJ245*CJ136+CK245*CK136</f>
        <v>0</v>
      </c>
      <c r="CX136" s="2297">
        <f>E246*E136+F246*F136+G246*G136+H246*H136+I246*I136+J246*J136+K246*K136+L246*L136+M246*M136+N246*N136+O246*O136+P246*P136+Q246*Q136+R246*R136+S246*S136+T246*T136+U246*U136+V246*V136+W246*W136+X246*X136+Y246*Y136+Z246*Z136+AA246*AA136+AB246*AB136+AC246*AC136+AD246*AD136+AE246*AE136+AF246*AF136+AG246*AG136+AH246*AH136+AI246*AI136+AJ246*AJ136+AK246*AK136+AL246*AL136+AM246*AM136+AN246*AN136+AO246*AO136+AP246*AP136+AQ246*AQ136+AR246*AR136+AS246*AS136+AT246*AT136+AU246*AU136+AV246*AV136+AW246*AW136+AX246*AX136+AY246*AY136+AZ246*AZ136+BA246*BA136+BB246*BB136+BC246*BC136+BD246*BD136+BE246*BE136+BF246*BF136+BG246*BG136+BH246*BH136+BI246*BI136+BJ246*BJ136+BK246*BK136+BL246*BL136+BM246*BM136+BN246*BN136+BO246*BO136+BP246*BP136+BQ246*BQ136+BR246*BR136+BS246*BS136+BT246*BT136+BU246*BU136+BV246*BV136+BW246*BW136+BX246*BX136+BY246*BY136+BZ246*BZ136+CA246*CA136+CB246*CB136+CC246*CC136+CD246*CD136+CE246*CE136+CF246*CF136+CG246*CG136+CH246*CH136+CI246*CI136+CJ246*CJ136+CK246*CK136</f>
        <v>0</v>
      </c>
    </row>
    <row r="137" spans="2:102" ht="18" x14ac:dyDescent="0.25">
      <c r="B137" s="1243">
        <v>10</v>
      </c>
      <c r="C137" s="1191" t="s">
        <v>232</v>
      </c>
      <c r="D137" s="577" t="s">
        <v>288</v>
      </c>
      <c r="E137" s="2654">
        <f>0</f>
        <v>0</v>
      </c>
      <c r="F137" s="2654">
        <f>0</f>
        <v>0</v>
      </c>
      <c r="G137" s="2654">
        <f>0</f>
        <v>0</v>
      </c>
      <c r="H137" s="2654">
        <f>0</f>
        <v>0</v>
      </c>
      <c r="I137" s="2654">
        <f>0</f>
        <v>0</v>
      </c>
      <c r="J137" s="2654">
        <f>1-f_E</f>
        <v>0.92</v>
      </c>
      <c r="K137" s="2654">
        <f>0</f>
        <v>0</v>
      </c>
      <c r="L137" s="2654">
        <f>0</f>
        <v>0</v>
      </c>
      <c r="M137" s="2654">
        <f>0</f>
        <v>0</v>
      </c>
      <c r="N137" s="2654">
        <f>0</f>
        <v>0</v>
      </c>
      <c r="O137" s="2654">
        <f>0</f>
        <v>0</v>
      </c>
      <c r="P137" s="2654">
        <f>f_E</f>
        <v>0.08</v>
      </c>
      <c r="Q137" s="2654">
        <f>0</f>
        <v>0</v>
      </c>
      <c r="R137" s="2654">
        <f>-1</f>
        <v>-1</v>
      </c>
      <c r="S137" s="2654">
        <f>0</f>
        <v>0</v>
      </c>
      <c r="T137" s="2654">
        <f>0</f>
        <v>0</v>
      </c>
      <c r="U137" s="2654">
        <f>0</f>
        <v>0</v>
      </c>
      <c r="V137" s="2654">
        <f>0</f>
        <v>0</v>
      </c>
      <c r="W137" s="2654">
        <f>0</f>
        <v>0</v>
      </c>
      <c r="X137" s="2654">
        <f>0</f>
        <v>0</v>
      </c>
      <c r="Y137" s="2654">
        <f>0</f>
        <v>0</v>
      </c>
      <c r="Z137" s="2713">
        <f>0</f>
        <v>0</v>
      </c>
      <c r="AA137" s="2653">
        <f>-f_E*(i_N_XE-i_N_BIO)</f>
        <v>8.0000000000000069E-4</v>
      </c>
      <c r="AB137" s="2654">
        <f>0</f>
        <v>0</v>
      </c>
      <c r="AC137" s="2654">
        <f>0</f>
        <v>0</v>
      </c>
      <c r="AD137" s="2654">
        <f>0</f>
        <v>0</v>
      </c>
      <c r="AE137" s="2654">
        <f>0</f>
        <v>0</v>
      </c>
      <c r="AF137" s="2654">
        <f>0</f>
        <v>0</v>
      </c>
      <c r="AG137" s="2654">
        <f>(1-f_E)*i_N_BIO</f>
        <v>6.4400000000000013E-2</v>
      </c>
      <c r="AH137" s="2654">
        <f>0</f>
        <v>0</v>
      </c>
      <c r="AI137" s="2654">
        <f>0</f>
        <v>0</v>
      </c>
      <c r="AJ137" s="2654">
        <f>0</f>
        <v>0</v>
      </c>
      <c r="AK137" s="2654">
        <f>0</f>
        <v>0</v>
      </c>
      <c r="AL137" s="2654">
        <f>0</f>
        <v>0</v>
      </c>
      <c r="AM137" s="2654">
        <f>(1-f_E)*i_P_BIO</f>
        <v>1.84E-2</v>
      </c>
      <c r="AN137" s="2654">
        <f>0</f>
        <v>0</v>
      </c>
      <c r="AO137" s="2654">
        <f>0</f>
        <v>0</v>
      </c>
      <c r="AP137" s="2654">
        <f>0</f>
        <v>0</v>
      </c>
      <c r="AQ137" s="2654">
        <f>0</f>
        <v>0</v>
      </c>
      <c r="AR137" s="2691">
        <f>(1-f_E)*(i_CIT_BIO-i_CIT_XBe)</f>
        <v>6.0720000000000003E-2</v>
      </c>
      <c r="AS137" s="2741">
        <f>0</f>
        <v>0</v>
      </c>
      <c r="AT137" s="2740">
        <f>0</f>
        <v>0</v>
      </c>
      <c r="AU137" s="2740">
        <f>0</f>
        <v>0</v>
      </c>
      <c r="AV137" s="2740">
        <f>0</f>
        <v>0</v>
      </c>
      <c r="AW137" s="2740">
        <f>0</f>
        <v>0</v>
      </c>
      <c r="AX137" s="2653">
        <f>0</f>
        <v>0</v>
      </c>
      <c r="AY137" s="2653">
        <f>0</f>
        <v>0</v>
      </c>
      <c r="AZ137" s="2653">
        <f>0</f>
        <v>0</v>
      </c>
      <c r="BA137" s="2653">
        <f>0</f>
        <v>0</v>
      </c>
      <c r="BB137" s="2653">
        <f>0</f>
        <v>0</v>
      </c>
      <c r="BC137" s="2653">
        <f>0</f>
        <v>0</v>
      </c>
      <c r="BD137" s="2653">
        <f>0</f>
        <v>0</v>
      </c>
      <c r="BE137" s="2653">
        <f>0</f>
        <v>0</v>
      </c>
      <c r="BF137" s="2653">
        <f>0</f>
        <v>0</v>
      </c>
      <c r="BG137" s="2653">
        <f>0</f>
        <v>0</v>
      </c>
      <c r="BH137" s="2653">
        <f>0</f>
        <v>0</v>
      </c>
      <c r="BI137" s="2653">
        <f>0</f>
        <v>0</v>
      </c>
      <c r="BJ137" s="2653">
        <f>0</f>
        <v>0</v>
      </c>
      <c r="BK137" s="2653">
        <f>0</f>
        <v>0</v>
      </c>
      <c r="BL137" s="2653">
        <f>0</f>
        <v>0</v>
      </c>
      <c r="BM137" s="2653">
        <f>0</f>
        <v>0</v>
      </c>
      <c r="BN137" s="2653">
        <f>0</f>
        <v>0</v>
      </c>
      <c r="BO137" s="2653">
        <f>0</f>
        <v>0</v>
      </c>
      <c r="BP137" s="2756">
        <f>0</f>
        <v>0</v>
      </c>
      <c r="BQ137" s="2653">
        <f>0</f>
        <v>0</v>
      </c>
      <c r="BR137" s="2653">
        <f>0</f>
        <v>0</v>
      </c>
      <c r="BS137" s="2766">
        <f>0</f>
        <v>0</v>
      </c>
      <c r="BT137" s="2766">
        <f>0</f>
        <v>0</v>
      </c>
      <c r="BU137" s="2766">
        <f>0</f>
        <v>0</v>
      </c>
      <c r="BV137" s="2766">
        <f>0</f>
        <v>0</v>
      </c>
      <c r="BW137" s="2653">
        <f>0</f>
        <v>0</v>
      </c>
      <c r="BX137" s="2774">
        <f>0</f>
        <v>0</v>
      </c>
      <c r="BY137" s="2766">
        <f>0</f>
        <v>0</v>
      </c>
      <c r="BZ137" s="2653">
        <f>0</f>
        <v>0</v>
      </c>
      <c r="CA137" s="2653">
        <f>0</f>
        <v>0</v>
      </c>
      <c r="CB137" s="2653">
        <f>0</f>
        <v>0</v>
      </c>
      <c r="CC137" s="2653">
        <f>0</f>
        <v>0</v>
      </c>
      <c r="CD137" s="2653">
        <f>0</f>
        <v>0</v>
      </c>
      <c r="CE137" s="2653">
        <f>0</f>
        <v>0</v>
      </c>
      <c r="CF137" s="2653">
        <f>0</f>
        <v>0</v>
      </c>
      <c r="CG137" s="2653">
        <f>0</f>
        <v>0</v>
      </c>
      <c r="CH137" s="2653">
        <f>0</f>
        <v>0</v>
      </c>
      <c r="CI137" s="2653">
        <f>0</f>
        <v>0</v>
      </c>
      <c r="CJ137" s="2653">
        <f>0</f>
        <v>0</v>
      </c>
      <c r="CK137" s="2653">
        <f>0</f>
        <v>0</v>
      </c>
      <c r="CL137" s="2801">
        <f>b_OHO_T*X_OHO*(M_satSO2_KO2_OHO+η_b_anox*M_satSNO2_KNO2_OHO*M_inhSO2_KO2_OHO+η_b_anox*M_satSNO3_KNO3_OHO*M_inhSNO2_KNO2_OHO*M_inhSO2_KO2_OHO)</f>
        <v>298.46511627906978</v>
      </c>
      <c r="CN137" s="2295">
        <f>E236*E137+F236*F137+G236*G137+H236*H137+I236*I137+J236*J137+K236*K137+L236*L137+M236*M137+N236*N137+O236*O137+P236*P137+Q236*Q137+R236*R137+S236*S137+T236*T137+U236*U137+V236*V137+W236*W137+X236*X137+Y236*Y137+Z236*Z137+AA236*AA137+AB236*AB137+AC236*AC137+AD236*AD137+AE236*AE137+AF236*AF137+AG236*AG137+AH236*AH137+AI236*AI137+AJ236*AJ137+AK236*AK137+AL236*AL137+AM236*AM137+AN236*AN137+AO236*AO137+AP236*AP137+AQ236*AQ137+AR236*AR137+AS236*AS137+AT236*AT137+AU236*AU137+AV236*AV137+AW236*AW137+AX236*AX137+AY236*AY137+AZ236*AZ137+BA236*BA137+BB236*BB137+BC236*BC137+BD236*BD137+BE236*BE137+BF236*BF137+BG236*BG137+BH236*BH137+BI236*BI137+BJ236*BJ137+BK236*BK137+BL236*BL137+BM236*BM137+BN236*BN137+BO236*BO137+BP236*BP137+BQ236*BQ137+BR236*BR137+BS236*BS137+BT236*BT137+BU236*BU137+BV236*BV137+BW236*BW137+BX236*BX137+BY236*BY137+BZ236*BZ137+CA236*CA137+CB236*CB137+CC236*CC137+CD236*CD137+CE236*CE137+CF236*CF137+CG236*CG137+CH236*CH137+CI236*CI137+CJ236*CJ137+CK236*CK137</f>
        <v>0</v>
      </c>
      <c r="CO137" s="2295">
        <f>E237*E137+F237*F137+G237*G137+H237*H137+I237*I137+J237*J137+K237*K137+L237*L137+M237*M137+N237*N137+O237*O137+P237*P137+Q237*Q137+R237*R137+S237*S137+T237*T137+U237*U137+V237*V137+W237*W137+X237*X137+Y237*Y137+Z237*Z137+AA237*AA137+AB237*AB137+AC237*AC137+AD237*AD137+AE237*AE137+AF237*AF137+AG237*AG137+AH237*AH137+AI237*AI137+AJ237*AJ137+AK237*AK137+AL237*AL137+AM237*AM137+AN237*AN137+AO237*AO137+AP237*AP137+AQ237*AQ137+AR237*AR137+AS237*AS137+AT237*AT137+AU237*AU137+AV237*AV137+AW237*AW137+AX237*AX137+AY237*AY137+AZ237*AZ137+BA237*BA137+BB237*BB137+BC237*BC137+BD237*BD137+BE237*BE137+BF237*BF137+BG237*BG137+BH237*BH137+BI237*BI137+BJ237*BJ137+BK237*BK137+BL237*BL137+BM237*BM137+BN237*BN137+BO237*BO137+BP237*BP137+BQ237*BQ137+BR237*BR137+BS237*BS137+BT237*BT137+BU237*BU137+BV237*BV137+BW237*BW137+BX237*BX137+BY237*BY137+BZ237*BZ137+CA237*CA137+CB237*CB137+CC237*CC137+CD237*CD137+CE237*CE137+CF237*CF137+CG237*CG137+CH237*CH137+CI237*CI137+CJ237*CJ137+CK237*CK137</f>
        <v>6.9388939039072284E-18</v>
      </c>
      <c r="CP137" s="2296">
        <f>E238*E137+F238*F137+G238*G137+H238*H137+I238*I137+J238*J137+K238*K137+L238*L137+M238*M137+N238*N137+O238*O137+P238*P137+Q238*Q137+R238*R137+S238*S137+T238*T137+U238*U137+V238*V137+W238*W137+X238*X137+Y238*Y137+Z238*Z137+AA238*AA137+AB238*AB137+AC238*AC137+AD238*AD137+AE238*AE137+AF238*AF137+AG238*AG137+AH238*AH137+AI238*AI137+AJ238*AJ137+AK238*AK137+AL238*AL137+AM238*AM137+AN238*AN137+AO238*AO137+AP238*AP137+AQ238*AQ137+AR238*AR137+AS238*AS137+AT238*AT137+AU238*AU137+AV238*AV137+AW238*AW137+AX238*AX137+AY238*AY137+AZ238*AZ137+BA238*BA137+BB238*BB137+BC238*BC137+BD238*BD137+BE238*BE137+BF238*BF137+BG238*BG137+BH238*BH137+BI238*BI137+BJ238*BJ137+BK238*BK137+BL238*BL137+BM238*BM137+BN238*BN137+BO238*BO137+BP238*BP137+BQ238*BQ137+BR238*BR137+BS238*BS137+BT238*BT137+BU238*BU137+BV238*BV137+BW238*BW137+BX238*BX137+BY238*BY137+BZ238*BZ137+CA238*CA137+CB238*CB137+CC238*CC137+CD238*CD137+CE238*CE137+CF238*CF137+CG238*CG137+CH238*CH137+CI238*CI137+CJ238*CJ137+CK238*CK137</f>
        <v>0</v>
      </c>
      <c r="CQ137" s="2297">
        <f>E239*E137+F239*F137+G239*G137+H239*H137+I239*I137+J239*J137+K239*K137+L239*L137+M239*M137+N239*N137+O239*O137+P239*P137+Q239*Q137+R239*R137+S239*S137+T239*T137+U239*U137+V239*V137+W239*W137+X239*X137+Y239*Y137+Z239*Z137+AA239*AA137+AB239*AB137+AC239*AC137+AD239*AD137+AE239*AE137+AF239*AF137+AG239*AG137+AH239*AH137+AI239*AI137+AJ239*AJ137+AK239*AK137+AL239*AL137+AM239*AM137+AN239*AN137+AO239*AO137+AP239*AP137+AQ239*AQ137+AR239*AR137+AS239*AS137+AT239*AT137+AU239*AU137+AV239*AV137+AW239*AW137+AX239*AX137+AY239*AY137+AZ239*AZ137+BA239*BA137+BB239*BB137+BC239*BC137+BD239*BD137+BE239*BE137+BF239*BF137+BG239*BG137+BH239*BH137+BI239*BI137+BJ239*BJ137+BK239*BK137+BL239*BL137+BM239*BM137+BN239*BN137+BO239*BO137+BP239*BP137+BQ239*BQ137+BR239*BR137+BS239*BS137+BT239*BT137+BU239*BU137+BV239*BV137+BW239*BW137+BX239*BX137+BY239*BY137+BZ239*BZ137+CA239*CA137+CB239*CB137+CC239*CC137+CD239*CD137+CE239*CE137+CF239*CF137+CG239*CG137+CH239*CH137+CI239*CI137+CJ239*CJ137+CK239*CK137</f>
        <v>0</v>
      </c>
      <c r="CR137" s="2297">
        <f>E240*E137+F240*F137+G240*G137+H240*H137+I240*I137+J240*J137+K240*K137+L240*L137+M240*M137+N240*N137+O240*O137+P240*P137+Q240*Q137+R240*R137+S240*S137+T240*T137+U240*U137+V240*V137+W240*W137+X240*X137+Y240*Y137+Z240*Z137+AA240*AA137+AB240*AB137+AC240*AC137+AD240*AD137+AE240*AE137+AF240*AF137+AG240*AG137+AH240*AH137+AI240*AI137+AJ240*AJ137+AK240*AK137+AL240*AL137+AM240*AM137+AN240*AN137+AO240*AO137+AP240*AP137+AQ240*AQ137+AR240*AR137+AS240*AS137+AT240*AT137+AU240*AU137+AV240*AV137+AW240*AW137+AX240*AX137+AY240*AY137+AZ240*AZ137+BA240*BA137+BB240*BB137+BC240*BC137+BD240*BD137+BE240*BE137+BF240*BF137+BG240*BG137+BH240*BH137+BI240*BI137+BJ240*BJ137+BK240*BK137+BL240*BL137+BM240*BM137+BN240*BN137+BO240*BO137+BP240*BP137+BQ240*BQ137+BR240*BR137+BS240*BS137+BT240*BT137+BU240*BU137+BV240*BV137+BW240*BW137+BX240*BX137+BY240*BY137+BZ240*BZ137+CA240*CA137+CB240*CB137+CC240*CC137+CD240*CD137+CE240*CE137+CF240*CF137+CG240*CG137+CH240*CH137+CI240*CI137+CJ240*CJ137+CK240*CK137</f>
        <v>0</v>
      </c>
      <c r="CS137" s="2297">
        <f>E241*E137+F241*F137+G241*G137+H241*H137+I241*I137+J241*J137+K241*K137+L241*L137+M241*M137+N241*N137+O241*O137+P241*P137+Q241*Q137+R241*R137+S241*S137+T241*T137+U241*U137+V241*V137+W241*W137+X241*X137+Y241*Y137+Z241*Z137+AA241*AA137+AB241*AB137+AC241*AC137+AD241*AD137+AE241*AE137+AF241*AF137+AG241*AG137+AH241*AH137+AI241*AI137+AJ241*AJ137+AK241*AK137+AL241*AL137+AM241*AM137+AN241*AN137+AO241*AO137+AP241*AP137+AQ241*AQ137+AR241*AR137+AS241*AS137+AT241*AT137+AU241*AU137+AV241*AV137+AW241*AW137+AX241*AX137+AY241*AY137+AZ241*AZ137+BA241*BA137+BB241*BB137+BC241*BC137+BD241*BD137+BE241*BE137+BF241*BF137+BG241*BG137+BH241*BH137+BI241*BI137+BJ241*BJ137+BK241*BK137+BL241*BL137+BM241*BM137+BN241*BN137+BO241*BO137+BP241*BP137+BQ241*BQ137+BR241*BR137+BS241*BS137+BT241*BT137+BU241*BU137+BV241*BV137+BW241*BW137+BX241*BX137+BY241*BY137+BZ241*BZ137+CA241*CA137+CB241*CB137+CC241*CC137+CD241*CD137+CE241*CE137+CF241*CF137+CG241*CG137+CH241*CH137+CI241*CI137+CJ241*CJ137+CK241*CK137</f>
        <v>0</v>
      </c>
      <c r="CT137" s="2297">
        <f>E242*E137+F242*F137+G242*G137+H242*H137+I242*I137+J242*J137+K242*K137+L242*L137+M242*M137+N242*N137+O242*O137+P242*P137+Q242*Q137+R242*R137+S242*S137+T242*T137+U242*U137+V242*V137+W242*W137+X242*X137+Y242*Y137+Z242*Z137+AA242*AA137+AB242*AB137+AC242*AC137+AD242*AD137+AE242*AE137+AF242*AF137+AG242*AG137+AH242*AH137+AI242*AI137+AJ242*AJ137+AK242*AK137+AL242*AL137+AM242*AM137+AN242*AN137+AO242*AO137+AP242*AP137+AQ242*AQ137+AR242*AR137+AS242*AS137+AT242*AT137+AU242*AU137+AV242*AV137+AW242*AW137+AX242*AX137+AY242*AY137+AZ242*AZ137+BA242*BA137+BB242*BB137+BC242*BC137+BD242*BD137+BE242*BE137+BF242*BF137+BG242*BG137+BH242*BH137+BI242*BI137+BJ242*BJ137+BK242*BK137+BL242*BL137+BM242*BM137+BN242*BN137+BO242*BO137+BP242*BP137+BQ242*BQ137+BR242*BR137+BS242*BS137+BT242*BT137+BU242*BU137+BV242*BV137+BW242*BW137+BX242*BX137+BY242*BY137+BZ242*BZ137+CA242*CA137+CB242*CB137+CC242*CC137+CD242*CD137+CE242*CE137+CF242*CF137+CG242*CG137+CH242*CH137+CI242*CI137+CJ242*CJ137+CK242*CK137</f>
        <v>0</v>
      </c>
      <c r="CU137" s="2297">
        <f>E243*E137+F243*F137+G243*G137+H243*H137+I243*I137+J243*J137+K243*K137+L243*L137+M243*M137+N243*N137+O243*O137+P243*P137+Q243*Q137+R243*R137+S243*S137+T243*T137+U243*U137+V243*V137+W243*W137+X243*X137+Y243*Y137+Z243*Z137+AA243*AA137+AB243*AB137+AC243*AC137+AD243*AD137+AE243*AE137+AF243*AF137+AG243*AG137+AH243*AH137+AI243*AI137+AJ243*AJ137+AK243*AK137+AL243*AL137+AM243*AM137+AN243*AN137+AO243*AO137+AP243*AP137+AQ243*AQ137+AR243*AR137+AS243*AS137+AT243*AT137+AU243*AU137+AV243*AV137+AW243*AW137+AX243*AX137+AY243*AY137+AZ243*AZ137+BA243*BA137+BB243*BB137+BC243*BC137+BD243*BD137+BE243*BE137+BF243*BF137+BG243*BG137+BH243*BH137+BI243*BI137+BJ243*BJ137+BK243*BK137+BL243*BL137+BM243*BM137+BN243*BN137+BO243*BO137+BP243*BP137+BQ243*BQ137+BR243*BR137+BS243*BS137+BT243*BT137+BU243*BU137+BV243*BV137+BW243*BW137+BX243*BX137+BY243*BY137+BZ243*BZ137+CA243*CA137+CB243*CB137+CC243*CC137+CD243*CD137+CE243*CE137+CF243*CF137+CG243*CG137+CH243*CH137+CI243*CI137+CJ243*CJ137+CK243*CK137</f>
        <v>0</v>
      </c>
      <c r="CV137" s="2297">
        <f>E244*E137+F244*F137+G244*G137+H244*H137+I244*I137+J244*J137+K244*K137+L244*L137+M244*M137+N244*N137+O244*O137+P244*P137+Q244*Q137+R244*R137+S244*S137+T244*T137+U244*U137+V244*V137+W244*W137+X244*X137+Y244*Y137+Z244*Z137+AA244*AA137+AB244*AB137+AC244*AC137+AD244*AD137+AE244*AE137+AF244*AF137+AG244*AG137+AH244*AH137+AI244*AI137+AJ244*AJ137+AK244*AK137+AL244*AL137+AM244*AM137+AN244*AN137+AO244*AO137+AP244*AP137+AQ244*AQ137+AR244*AR137+AS244*AS137+AT244*AT137+AU244*AU137+AV244*AV137+AW244*AW137+AX244*AX137+AY244*AY137+AZ244*AZ137+BA244*BA137+BB244*BB137+BC244*BC137+BD244*BD137+BE244*BE137+BF244*BF137+BG244*BG137+BH244*BH137+BI244*BI137+BJ244*BJ137+BK244*BK137+BL244*BL137+BM244*BM137+BN244*BN137+BO244*BO137+BP244*BP137+BQ244*BQ137+BR244*BR137+BS244*BS137+BT244*BT137+BU244*BU137+BV244*BV137+BW244*BW137+BX244*BX137+BY244*BY137+BZ244*BZ137+CA244*CA137+CB244*CB137+CC244*CC137+CD244*CD137+CE244*CE137+CF244*CF137+CG244*CG137+CH244*CH137+CI244*CI137+CJ244*CJ137+CK244*CK137</f>
        <v>0</v>
      </c>
      <c r="CW137" s="2297">
        <f>E245*E137+F245*F137+G245*G137+H245*H137+I245*I137+J245*J137+K245*K137+L245*L137+M245*M137+N245*N137+O245*O137+P245*P137+Q245*Q137+R245*R137+S245*S137+T245*T137+U245*U137+V245*V137+W245*W137+X245*X137+Y245*Y137+Z245*Z137+AA245*AA137+AB245*AB137+AC245*AC137+AD245*AD137+AE245*AE137+AF245*AF137+AG245*AG137+AH245*AH137+AI245*AI137+AJ245*AJ137+AK245*AK137+AL245*AL137+AM245*AM137+AN245*AN137+AO245*AO137+AP245*AP137+AQ245*AQ137+AR245*AR137+AS245*AS137+AT245*AT137+AU245*AU137+AV245*AV137+AW245*AW137+AX245*AX137+AY245*AY137+AZ245*AZ137+BA245*BA137+BB245*BB137+BC245*BC137+BD245*BD137+BE245*BE137+BF245*BF137+BG245*BG137+BH245*BH137+BI245*BI137+BJ245*BJ137+BK245*BK137+BL245*BL137+BM245*BM137+BN245*BN137+BO245*BO137+BP245*BP137+BQ245*BQ137+BR245*BR137+BS245*BS137+BT245*BT137+BU245*BU137+BV245*BV137+BW245*BW137+BX245*BX137+BY245*BY137+BZ245*BZ137+CA245*CA137+CB245*CB137+CC245*CC137+CD245*CD137+CE245*CE137+CF245*CF137+CG245*CG137+CH245*CH137+CI245*CI137+CJ245*CJ137+CK245*CK137</f>
        <v>0</v>
      </c>
      <c r="CX137" s="2297">
        <f>E246*E137+F246*F137+G246*G137+H246*H137+I246*I137+J246*J137+K246*K137+L246*L137+M246*M137+N246*N137+O246*O137+P246*P137+Q246*Q137+R246*R137+S246*S137+T246*T137+U246*U137+V246*V137+W246*W137+X246*X137+Y246*Y137+Z246*Z137+AA246*AA137+AB246*AB137+AC246*AC137+AD246*AD137+AE246*AE137+AF246*AF137+AG246*AG137+AH246*AH137+AI246*AI137+AJ246*AJ137+AK246*AK137+AL246*AL137+AM246*AM137+AN246*AN137+AO246*AO137+AP246*AP137+AQ246*AQ137+AR246*AR137+AS246*AS137+AT246*AT137+AU246*AU137+AV246*AV137+AW246*AW137+AX246*AX137+AY246*AY137+AZ246*AZ137+BA246*BA137+BB246*BB137+BC246*BC137+BD246*BD137+BE246*BE137+BF246*BF137+BG246*BG137+BH246*BH137+BI246*BI137+BJ246*BJ137+BK246*BK137+BL246*BL137+BM246*BM137+BN246*BN137+BO246*BO137+BP246*BP137+BQ246*BQ137+BR246*BR137+BS246*BS137+BT246*BT137+BU246*BU137+BV246*BV137+BW246*BW137+BX246*BX137+BY246*BY137+BZ246*BZ137+CA246*CA137+CB246*CB137+CC246*CC137+CD246*CD137+CE246*CE137+CF246*CF137+CG246*CG137+CH246*CH137+CI246*CI137+CJ246*CJ137+CK246*CK137</f>
        <v>0</v>
      </c>
    </row>
    <row r="138" spans="2:102" ht="18" x14ac:dyDescent="0.25">
      <c r="B138" s="1243">
        <v>11</v>
      </c>
      <c r="C138" s="1191" t="s">
        <v>233</v>
      </c>
      <c r="D138" s="577" t="s">
        <v>2975</v>
      </c>
      <c r="E138" s="2654">
        <f>0</f>
        <v>0</v>
      </c>
      <c r="F138" s="2654">
        <f>0</f>
        <v>0</v>
      </c>
      <c r="G138" s="2654">
        <f>0</f>
        <v>0</v>
      </c>
      <c r="H138" s="2654">
        <f>0</f>
        <v>0</v>
      </c>
      <c r="I138" s="2654">
        <f>0</f>
        <v>0</v>
      </c>
      <c r="J138" s="2654">
        <f>1-f_E</f>
        <v>0.92</v>
      </c>
      <c r="K138" s="2654">
        <f>0</f>
        <v>0</v>
      </c>
      <c r="L138" s="2654">
        <f>0</f>
        <v>0</v>
      </c>
      <c r="M138" s="2654">
        <f>0</f>
        <v>0</v>
      </c>
      <c r="N138" s="2654">
        <f>0</f>
        <v>0</v>
      </c>
      <c r="O138" s="2654">
        <f>0</f>
        <v>0</v>
      </c>
      <c r="P138" s="2654">
        <f>0</f>
        <v>0</v>
      </c>
      <c r="Q138" s="2654">
        <f>f_E</f>
        <v>0.08</v>
      </c>
      <c r="R138" s="2654">
        <f>-1</f>
        <v>-1</v>
      </c>
      <c r="S138" s="2654">
        <f>0</f>
        <v>0</v>
      </c>
      <c r="T138" s="2654">
        <f>0</f>
        <v>0</v>
      </c>
      <c r="U138" s="2654">
        <f>0</f>
        <v>0</v>
      </c>
      <c r="V138" s="2654">
        <f>0</f>
        <v>0</v>
      </c>
      <c r="W138" s="2654">
        <f>0</f>
        <v>0</v>
      </c>
      <c r="X138" s="2654">
        <f>0</f>
        <v>0</v>
      </c>
      <c r="Y138" s="2654">
        <f>0</f>
        <v>0</v>
      </c>
      <c r="Z138" s="2713">
        <f>0</f>
        <v>0</v>
      </c>
      <c r="AA138" s="2653">
        <f>-f_E*(i_N_XE-i_N_BIO)</f>
        <v>8.0000000000000069E-4</v>
      </c>
      <c r="AB138" s="2654">
        <f>0</f>
        <v>0</v>
      </c>
      <c r="AC138" s="2654">
        <f>0</f>
        <v>0</v>
      </c>
      <c r="AD138" s="2654">
        <f>0</f>
        <v>0</v>
      </c>
      <c r="AE138" s="2654">
        <f>0</f>
        <v>0</v>
      </c>
      <c r="AF138" s="2654">
        <f>0</f>
        <v>0</v>
      </c>
      <c r="AG138" s="2654">
        <f>(1-f_E)*i_N_BIO</f>
        <v>6.4400000000000013E-2</v>
      </c>
      <c r="AH138" s="2654">
        <f>0</f>
        <v>0</v>
      </c>
      <c r="AI138" s="2654">
        <f>0</f>
        <v>0</v>
      </c>
      <c r="AJ138" s="2654">
        <f>0</f>
        <v>0</v>
      </c>
      <c r="AK138" s="2654">
        <f>0</f>
        <v>0</v>
      </c>
      <c r="AL138" s="2654">
        <f>0</f>
        <v>0</v>
      </c>
      <c r="AM138" s="2654">
        <f>(1-f_E)*i_P_BIO</f>
        <v>1.84E-2</v>
      </c>
      <c r="AN138" s="2654">
        <f>0</f>
        <v>0</v>
      </c>
      <c r="AO138" s="2654">
        <f>0</f>
        <v>0</v>
      </c>
      <c r="AP138" s="2654">
        <f>0</f>
        <v>0</v>
      </c>
      <c r="AQ138" s="2654">
        <f>0</f>
        <v>0</v>
      </c>
      <c r="AR138" s="2691">
        <f>(1-f_E)*(i_CIT_BIO-i_CIT_XBe)</f>
        <v>6.0720000000000003E-2</v>
      </c>
      <c r="AS138" s="2741">
        <f>0</f>
        <v>0</v>
      </c>
      <c r="AT138" s="2740">
        <f>0</f>
        <v>0</v>
      </c>
      <c r="AU138" s="2740">
        <f>0</f>
        <v>0</v>
      </c>
      <c r="AV138" s="2740">
        <f>0</f>
        <v>0</v>
      </c>
      <c r="AW138" s="2740">
        <f>0</f>
        <v>0</v>
      </c>
      <c r="AX138" s="2653">
        <f>0</f>
        <v>0</v>
      </c>
      <c r="AY138" s="2653">
        <f>0</f>
        <v>0</v>
      </c>
      <c r="AZ138" s="2653">
        <f>0</f>
        <v>0</v>
      </c>
      <c r="BA138" s="2653">
        <f>0</f>
        <v>0</v>
      </c>
      <c r="BB138" s="2653">
        <f>0</f>
        <v>0</v>
      </c>
      <c r="BC138" s="2653">
        <f>0</f>
        <v>0</v>
      </c>
      <c r="BD138" s="2653">
        <f>0</f>
        <v>0</v>
      </c>
      <c r="BE138" s="2653">
        <f>0</f>
        <v>0</v>
      </c>
      <c r="BF138" s="2653">
        <f>0</f>
        <v>0</v>
      </c>
      <c r="BG138" s="2653">
        <f>0</f>
        <v>0</v>
      </c>
      <c r="BH138" s="2653">
        <f>0</f>
        <v>0</v>
      </c>
      <c r="BI138" s="2653">
        <f>0</f>
        <v>0</v>
      </c>
      <c r="BJ138" s="2653">
        <f>0</f>
        <v>0</v>
      </c>
      <c r="BK138" s="2653">
        <f>0</f>
        <v>0</v>
      </c>
      <c r="BL138" s="2653">
        <f>0</f>
        <v>0</v>
      </c>
      <c r="BM138" s="2653">
        <f>0</f>
        <v>0</v>
      </c>
      <c r="BN138" s="2653">
        <f>0</f>
        <v>0</v>
      </c>
      <c r="BO138" s="2653">
        <f>0</f>
        <v>0</v>
      </c>
      <c r="BP138" s="2756">
        <f>0</f>
        <v>0</v>
      </c>
      <c r="BQ138" s="2653">
        <f>0</f>
        <v>0</v>
      </c>
      <c r="BR138" s="2653">
        <f>0</f>
        <v>0</v>
      </c>
      <c r="BS138" s="2766">
        <f>0</f>
        <v>0</v>
      </c>
      <c r="BT138" s="2766">
        <f>0</f>
        <v>0</v>
      </c>
      <c r="BU138" s="2766">
        <f>0</f>
        <v>0</v>
      </c>
      <c r="BV138" s="2766">
        <f>0</f>
        <v>0</v>
      </c>
      <c r="BW138" s="2653">
        <f>0</f>
        <v>0</v>
      </c>
      <c r="BX138" s="2774">
        <f>0</f>
        <v>0</v>
      </c>
      <c r="BY138" s="2766">
        <f>0</f>
        <v>0</v>
      </c>
      <c r="BZ138" s="2653">
        <f>0</f>
        <v>0</v>
      </c>
      <c r="CA138" s="2653">
        <f>0</f>
        <v>0</v>
      </c>
      <c r="CB138" s="2653">
        <f>0</f>
        <v>0</v>
      </c>
      <c r="CC138" s="2653">
        <f>0</f>
        <v>0</v>
      </c>
      <c r="CD138" s="2653">
        <f>0</f>
        <v>0</v>
      </c>
      <c r="CE138" s="2653">
        <f>0</f>
        <v>0</v>
      </c>
      <c r="CF138" s="2653">
        <f>0</f>
        <v>0</v>
      </c>
      <c r="CG138" s="2653">
        <f>0</f>
        <v>0</v>
      </c>
      <c r="CH138" s="2653">
        <f>0</f>
        <v>0</v>
      </c>
      <c r="CI138" s="2653">
        <f>0</f>
        <v>0</v>
      </c>
      <c r="CJ138" s="2653">
        <f>0</f>
        <v>0</v>
      </c>
      <c r="CK138" s="2653">
        <f>0</f>
        <v>0</v>
      </c>
      <c r="CL138" s="2801">
        <f>b_OHO_T*X_OHO*η_b_ana*M_inhSNO2_KNO2_OHO*M_inhSNO3_KNO3_OHO*M_inhSO2_KO2_OHO</f>
        <v>0.3604651162790698</v>
      </c>
      <c r="CN138" s="2295">
        <f>E236*E138+F236*F138+G236*G138+H236*H138+I236*I138+J236*J138+K236*K138+L236*L138+M236*M138+N236*N138+O236*O138+P236*P138+Q236*Q138+R236*R138+S236*S138+T236*T138+U236*U138+V236*V138+W236*W138+X236*X138+Y236*Y138+Z236*Z138+AA236*AA138+AB236*AB138+AC236*AC138+AD236*AD138+AE236*AE138+AF236*AF138+AG236*AG138+AH236*AH138+AI236*AI138+AJ236*AJ138+AK236*AK138+AL236*AL138+AM236*AM138+AN236*AN138+AO236*AO138+AP236*AP138+AQ236*AQ138+AR236*AR138+AS236*AS138+AT236*AT138+AU236*AU138+AV236*AV138+AW236*AW138+AX236*AX138+AY236*AY138+AZ236*AZ138+BA236*BA138+BB236*BB138+BC236*BC138+BD236*BD138+BE236*BE138+BF236*BF138+BG236*BG138+BH236*BH138+BI236*BI138+BJ236*BJ138+BK236*BK138+BL236*BL138+BM236*BM138+BN236*BN138+BO236*BO138+BP236*BP138+BQ236*BQ138+BR236*BR138+BS236*BS138+BT236*BT138+BU236*BU138+BV236*BV138+BW236*BW138+BX236*BX138+BY236*BY138+BZ236*BZ138+CA236*CA138+CB236*CB138+CC236*CC138+CD236*CD138+CE236*CE138+CF236*CF138+CG236*CG138+CH236*CH138+CI236*CI138+CJ236*CJ138+CK236*CK138</f>
        <v>0</v>
      </c>
      <c r="CO138" s="2295">
        <f>E237*E138+F237*F138+G237*G138+H237*H138+I237*I138+J237*J138+K237*K138+L237*L138+M237*M138+N237*N138+O237*O138+P237*P138+Q237*Q138+R237*R138+S237*S138+T237*T138+U237*U138+V237*V138+W237*W138+X237*X138+Y237*Y138+Z237*Z138+AA237*AA138+AB237*AB138+AC237*AC138+AD237*AD138+AE237*AE138+AF237*AF138+AG237*AG138+AH237*AH138+AI237*AI138+AJ237*AJ138+AK237*AK138+AL237*AL138+AM237*AM138+AN237*AN138+AO237*AO138+AP237*AP138+AQ237*AQ138+AR237*AR138+AS237*AS138+AT237*AT138+AU237*AU138+AV237*AV138+AW237*AW138+AX237*AX138+AY237*AY138+AZ237*AZ138+BA237*BA138+BB237*BB138+BC237*BC138+BD237*BD138+BE237*BE138+BF237*BF138+BG237*BG138+BH237*BH138+BI237*BI138+BJ237*BJ138+BK237*BK138+BL237*BL138+BM237*BM138+BN237*BN138+BO237*BO138+BP237*BP138+BQ237*BQ138+BR237*BR138+BS237*BS138+BT237*BT138+BU237*BU138+BV237*BV138+BW237*BW138+BX237*BX138+BY237*BY138+BZ237*BZ138+CA237*CA138+CB237*CB138+CC237*CC138+CD237*CD138+CE237*CE138+CF237*CF138+CG237*CG138+CH237*CH138+CI237*CI138+CJ237*CJ138+CK237*CK138</f>
        <v>6.9388939039072284E-18</v>
      </c>
      <c r="CP138" s="2296">
        <f>E238*E138+F238*F138+G238*G138+H238*H138+I238*I138+J238*J138+K238*K138+L238*L138+M238*M138+N238*N138+O238*O138+P238*P138+Q238*Q138+R238*R138+S238*S138+T238*T138+U238*U138+V238*V138+W238*W138+X238*X138+Y238*Y138+Z238*Z138+AA238*AA138+AB238*AB138+AC238*AC138+AD238*AD138+AE238*AE138+AF238*AF138+AG238*AG138+AH238*AH138+AI238*AI138+AJ238*AJ138+AK238*AK138+AL238*AL138+AM238*AM138+AN238*AN138+AO238*AO138+AP238*AP138+AQ238*AQ138+AR238*AR138+AS238*AS138+AT238*AT138+AU238*AU138+AV238*AV138+AW238*AW138+AX238*AX138+AY238*AY138+AZ238*AZ138+BA238*BA138+BB238*BB138+BC238*BC138+BD238*BD138+BE238*BE138+BF238*BF138+BG238*BG138+BH238*BH138+BI238*BI138+BJ238*BJ138+BK238*BK138+BL238*BL138+BM238*BM138+BN238*BN138+BO238*BO138+BP238*BP138+BQ238*BQ138+BR238*BR138+BS238*BS138+BT238*BT138+BU238*BU138+BV238*BV138+BW238*BW138+BX238*BX138+BY238*BY138+BZ238*BZ138+CA238*CA138+CB238*CB138+CC238*CC138+CD238*CD138+CE238*CE138+CF238*CF138+CG238*CG138+CH238*CH138+CI238*CI138+CJ238*CJ138+CK238*CK138</f>
        <v>0</v>
      </c>
      <c r="CQ138" s="2297">
        <f>E239*E138+F239*F138+G239*G138+H239*H138+I239*I138+J239*J138+K239*K138+L239*L138+M239*M138+N239*N138+O239*O138+P239*P138+Q239*Q138+R239*R138+S239*S138+T239*T138+U239*U138+V239*V138+W239*W138+X239*X138+Y239*Y138+Z239*Z138+AA239*AA138+AB239*AB138+AC239*AC138+AD239*AD138+AE239*AE138+AF239*AF138+AG239*AG138+AH239*AH138+AI239*AI138+AJ239*AJ138+AK239*AK138+AL239*AL138+AM239*AM138+AN239*AN138+AO239*AO138+AP239*AP138+AQ239*AQ138+AR239*AR138+AS239*AS138+AT239*AT138+AU239*AU138+AV239*AV138+AW239*AW138+AX239*AX138+AY239*AY138+AZ239*AZ138+BA239*BA138+BB239*BB138+BC239*BC138+BD239*BD138+BE239*BE138+BF239*BF138+BG239*BG138+BH239*BH138+BI239*BI138+BJ239*BJ138+BK239*BK138+BL239*BL138+BM239*BM138+BN239*BN138+BO239*BO138+BP239*BP138+BQ239*BQ138+BR239*BR138+BS239*BS138+BT239*BT138+BU239*BU138+BV239*BV138+BW239*BW138+BX239*BX138+BY239*BY138+BZ239*BZ138+CA239*CA138+CB239*CB138+CC239*CC138+CD239*CD138+CE239*CE138+CF239*CF138+CG239*CG138+CH239*CH138+CI239*CI138+CJ239*CJ138+CK239*CK138</f>
        <v>0</v>
      </c>
      <c r="CR138" s="2297">
        <f>E240*E138+F240*F138+G240*G138+H240*H138+I240*I138+J240*J138+K240*K138+L240*L138+M240*M138+N240*N138+O240*O138+P240*P138+Q240*Q138+R240*R138+S240*S138+T240*T138+U240*U138+V240*V138+W240*W138+X240*X138+Y240*Y138+Z240*Z138+AA240*AA138+AB240*AB138+AC240*AC138+AD240*AD138+AE240*AE138+AF240*AF138+AG240*AG138+AH240*AH138+AI240*AI138+AJ240*AJ138+AK240*AK138+AL240*AL138+AM240*AM138+AN240*AN138+AO240*AO138+AP240*AP138+AQ240*AQ138+AR240*AR138+AS240*AS138+AT240*AT138+AU240*AU138+AV240*AV138+AW240*AW138+AX240*AX138+AY240*AY138+AZ240*AZ138+BA240*BA138+BB240*BB138+BC240*BC138+BD240*BD138+BE240*BE138+BF240*BF138+BG240*BG138+BH240*BH138+BI240*BI138+BJ240*BJ138+BK240*BK138+BL240*BL138+BM240*BM138+BN240*BN138+BO240*BO138+BP240*BP138+BQ240*BQ138+BR240*BR138+BS240*BS138+BT240*BT138+BU240*BU138+BV240*BV138+BW240*BW138+BX240*BX138+BY240*BY138+BZ240*BZ138+CA240*CA138+CB240*CB138+CC240*CC138+CD240*CD138+CE240*CE138+CF240*CF138+CG240*CG138+CH240*CH138+CI240*CI138+CJ240*CJ138+CK240*CK138</f>
        <v>0</v>
      </c>
      <c r="CS138" s="2297">
        <f>E241*E138+F241*F138+G241*G138+H241*H138+I241*I138+J241*J138+K241*K138+L241*L138+M241*M138+N241*N138+O241*O138+P241*P138+Q241*Q138+R241*R138+S241*S138+T241*T138+U241*U138+V241*V138+W241*W138+X241*X138+Y241*Y138+Z241*Z138+AA241*AA138+AB241*AB138+AC241*AC138+AD241*AD138+AE241*AE138+AF241*AF138+AG241*AG138+AH241*AH138+AI241*AI138+AJ241*AJ138+AK241*AK138+AL241*AL138+AM241*AM138+AN241*AN138+AO241*AO138+AP241*AP138+AQ241*AQ138+AR241*AR138+AS241*AS138+AT241*AT138+AU241*AU138+AV241*AV138+AW241*AW138+AX241*AX138+AY241*AY138+AZ241*AZ138+BA241*BA138+BB241*BB138+BC241*BC138+BD241*BD138+BE241*BE138+BF241*BF138+BG241*BG138+BH241*BH138+BI241*BI138+BJ241*BJ138+BK241*BK138+BL241*BL138+BM241*BM138+BN241*BN138+BO241*BO138+BP241*BP138+BQ241*BQ138+BR241*BR138+BS241*BS138+BT241*BT138+BU241*BU138+BV241*BV138+BW241*BW138+BX241*BX138+BY241*BY138+BZ241*BZ138+CA241*CA138+CB241*CB138+CC241*CC138+CD241*CD138+CE241*CE138+CF241*CF138+CG241*CG138+CH241*CH138+CI241*CI138+CJ241*CJ138+CK241*CK138</f>
        <v>0</v>
      </c>
      <c r="CT138" s="2297">
        <f>E242*E138+F242*F138+G242*G138+H242*H138+I242*I138+J242*J138+K242*K138+L242*L138+M242*M138+N242*N138+O242*O138+P242*P138+Q242*Q138+R242*R138+S242*S138+T242*T138+U242*U138+V242*V138+W242*W138+X242*X138+Y242*Y138+Z242*Z138+AA242*AA138+AB242*AB138+AC242*AC138+AD242*AD138+AE242*AE138+AF242*AF138+AG242*AG138+AH242*AH138+AI242*AI138+AJ242*AJ138+AK242*AK138+AL242*AL138+AM242*AM138+AN242*AN138+AO242*AO138+AP242*AP138+AQ242*AQ138+AR242*AR138+AS242*AS138+AT242*AT138+AU242*AU138+AV242*AV138+AW242*AW138+AX242*AX138+AY242*AY138+AZ242*AZ138+BA242*BA138+BB242*BB138+BC242*BC138+BD242*BD138+BE242*BE138+BF242*BF138+BG242*BG138+BH242*BH138+BI242*BI138+BJ242*BJ138+BK242*BK138+BL242*BL138+BM242*BM138+BN242*BN138+BO242*BO138+BP242*BP138+BQ242*BQ138+BR242*BR138+BS242*BS138+BT242*BT138+BU242*BU138+BV242*BV138+BW242*BW138+BX242*BX138+BY242*BY138+BZ242*BZ138+CA242*CA138+CB242*CB138+CC242*CC138+CD242*CD138+CE242*CE138+CF242*CF138+CG242*CG138+CH242*CH138+CI242*CI138+CJ242*CJ138+CK242*CK138</f>
        <v>0</v>
      </c>
      <c r="CU138" s="2297">
        <f>E243*E138+F243*F138+G243*G138+H243*H138+I243*I138+J243*J138+K243*K138+L243*L138+M243*M138+N243*N138+O243*O138+P243*P138+Q243*Q138+R243*R138+S243*S138+T243*T138+U243*U138+V243*V138+W243*W138+X243*X138+Y243*Y138+Z243*Z138+AA243*AA138+AB243*AB138+AC243*AC138+AD243*AD138+AE243*AE138+AF243*AF138+AG243*AG138+AH243*AH138+AI243*AI138+AJ243*AJ138+AK243*AK138+AL243*AL138+AM243*AM138+AN243*AN138+AO243*AO138+AP243*AP138+AQ243*AQ138+AR243*AR138+AS243*AS138+AT243*AT138+AU243*AU138+AV243*AV138+AW243*AW138+AX243*AX138+AY243*AY138+AZ243*AZ138+BA243*BA138+BB243*BB138+BC243*BC138+BD243*BD138+BE243*BE138+BF243*BF138+BG243*BG138+BH243*BH138+BI243*BI138+BJ243*BJ138+BK243*BK138+BL243*BL138+BM243*BM138+BN243*BN138+BO243*BO138+BP243*BP138+BQ243*BQ138+BR243*BR138+BS243*BS138+BT243*BT138+BU243*BU138+BV243*BV138+BW243*BW138+BX243*BX138+BY243*BY138+BZ243*BZ138+CA243*CA138+CB243*CB138+CC243*CC138+CD243*CD138+CE243*CE138+CF243*CF138+CG243*CG138+CH243*CH138+CI243*CI138+CJ243*CJ138+CK243*CK138</f>
        <v>0</v>
      </c>
      <c r="CV138" s="2297">
        <f>E244*E138+F244*F138+G244*G138+H244*H138+I244*I138+J244*J138+K244*K138+L244*L138+M244*M138+N244*N138+O244*O138+P244*P138+Q244*Q138+R244*R138+S244*S138+T244*T138+U244*U138+V244*V138+W244*W138+X244*X138+Y244*Y138+Z244*Z138+AA244*AA138+AB244*AB138+AC244*AC138+AD244*AD138+AE244*AE138+AF244*AF138+AG244*AG138+AH244*AH138+AI244*AI138+AJ244*AJ138+AK244*AK138+AL244*AL138+AM244*AM138+AN244*AN138+AO244*AO138+AP244*AP138+AQ244*AQ138+AR244*AR138+AS244*AS138+AT244*AT138+AU244*AU138+AV244*AV138+AW244*AW138+AX244*AX138+AY244*AY138+AZ244*AZ138+BA244*BA138+BB244*BB138+BC244*BC138+BD244*BD138+BE244*BE138+BF244*BF138+BG244*BG138+BH244*BH138+BI244*BI138+BJ244*BJ138+BK244*BK138+BL244*BL138+BM244*BM138+BN244*BN138+BO244*BO138+BP244*BP138+BQ244*BQ138+BR244*BR138+BS244*BS138+BT244*BT138+BU244*BU138+BV244*BV138+BW244*BW138+BX244*BX138+BY244*BY138+BZ244*BZ138+CA244*CA138+CB244*CB138+CC244*CC138+CD244*CD138+CE244*CE138+CF244*CF138+CG244*CG138+CH244*CH138+CI244*CI138+CJ244*CJ138+CK244*CK138</f>
        <v>0</v>
      </c>
      <c r="CW138" s="2297">
        <f>E245*E138+F245*F138+G245*G138+H245*H138+I245*I138+J245*J138+K245*K138+L245*L138+M245*M138+N245*N138+O245*O138+P245*P138+Q245*Q138+R245*R138+S245*S138+T245*T138+U245*U138+V245*V138+W245*W138+X245*X138+Y245*Y138+Z245*Z138+AA245*AA138+AB245*AB138+AC245*AC138+AD245*AD138+AE245*AE138+AF245*AF138+AG245*AG138+AH245*AH138+AI245*AI138+AJ245*AJ138+AK245*AK138+AL245*AL138+AM245*AM138+AN245*AN138+AO245*AO138+AP245*AP138+AQ245*AQ138+AR245*AR138+AS245*AS138+AT245*AT138+AU245*AU138+AV245*AV138+AW245*AW138+AX245*AX138+AY245*AY138+AZ245*AZ138+BA245*BA138+BB245*BB138+BC245*BC138+BD245*BD138+BE245*BE138+BF245*BF138+BG245*BG138+BH245*BH138+BI245*BI138+BJ245*BJ138+BK245*BK138+BL245*BL138+BM245*BM138+BN245*BN138+BO245*BO138+BP245*BP138+BQ245*BQ138+BR245*BR138+BS245*BS138+BT245*BT138+BU245*BU138+BV245*BV138+BW245*BW138+BX245*BX138+BY245*BY138+BZ245*BZ138+CA245*CA138+CB245*CB138+CC245*CC138+CD245*CD138+CE245*CE138+CF245*CF138+CG245*CG138+CH245*CH138+CI245*CI138+CJ245*CJ138+CK245*CK138</f>
        <v>0</v>
      </c>
      <c r="CX138" s="2297">
        <f>E246*E138+F246*F138+G246*G138+H246*H138+I246*I138+J246*J138+K246*K138+L246*L138+M246*M138+N246*N138+O246*O138+P246*P138+Q246*Q138+R246*R138+S246*S138+T246*T138+U246*U138+V246*V138+W246*W138+X246*X138+Y246*Y138+Z246*Z138+AA246*AA138+AB246*AB138+AC246*AC138+AD246*AD138+AE246*AE138+AF246*AF138+AG246*AG138+AH246*AH138+AI246*AI138+AJ246*AJ138+AK246*AK138+AL246*AL138+AM246*AM138+AN246*AN138+AO246*AO138+AP246*AP138+AQ246*AQ138+AR246*AR138+AS246*AS138+AT246*AT138+AU246*AU138+AV246*AV138+AW246*AW138+AX246*AX138+AY246*AY138+AZ246*AZ138+BA246*BA138+BB246*BB138+BC246*BC138+BD246*BD138+BE246*BE138+BF246*BF138+BG246*BG138+BH246*BH138+BI246*BI138+BJ246*BJ138+BK246*BK138+BL246*BL138+BM246*BM138+BN246*BN138+BO246*BO138+BP246*BP138+BQ246*BQ138+BR246*BR138+BS246*BS138+BT246*BT138+BU246*BU138+BV246*BV138+BW246*BW138+BX246*BX138+BY246*BY138+BZ246*BZ138+CA246*CA138+CB246*CB138+CC246*CC138+CD246*CD138+CE246*CE138+CF246*CF138+CG246*CG138+CH246*CH138+CI246*CI138+CJ246*CJ138+CK246*CK138</f>
        <v>0</v>
      </c>
    </row>
    <row r="139" spans="2:102" ht="18" x14ac:dyDescent="0.25">
      <c r="B139" s="1244">
        <v>12</v>
      </c>
      <c r="C139" s="1192" t="s">
        <v>234</v>
      </c>
      <c r="D139" s="584" t="s">
        <v>2216</v>
      </c>
      <c r="E139" s="2655">
        <f>0</f>
        <v>0</v>
      </c>
      <c r="F139" s="2655">
        <f>0</f>
        <v>0</v>
      </c>
      <c r="G139" s="2689">
        <f>-1/Y_MEOLO</f>
        <v>-2.5</v>
      </c>
      <c r="H139" s="2655">
        <f>0</f>
        <v>0</v>
      </c>
      <c r="I139" s="2655">
        <f>0</f>
        <v>0</v>
      </c>
      <c r="J139" s="2655">
        <f>0</f>
        <v>0</v>
      </c>
      <c r="K139" s="2655">
        <f>0</f>
        <v>0</v>
      </c>
      <c r="L139" s="2655">
        <f>0</f>
        <v>0</v>
      </c>
      <c r="M139" s="2655">
        <f>0</f>
        <v>0</v>
      </c>
      <c r="N139" s="2655">
        <f>0</f>
        <v>0</v>
      </c>
      <c r="O139" s="2655">
        <f>0</f>
        <v>0</v>
      </c>
      <c r="P139" s="2655">
        <f>0</f>
        <v>0</v>
      </c>
      <c r="Q139" s="2655">
        <f>0</f>
        <v>0</v>
      </c>
      <c r="R139" s="2655">
        <f>0</f>
        <v>0</v>
      </c>
      <c r="S139" s="2655">
        <f>0</f>
        <v>0</v>
      </c>
      <c r="T139" s="2655">
        <f>1</f>
        <v>1</v>
      </c>
      <c r="U139" s="2655">
        <f>0</f>
        <v>0</v>
      </c>
      <c r="V139" s="2655">
        <f>0</f>
        <v>0</v>
      </c>
      <c r="W139" s="2655">
        <f>0</f>
        <v>0</v>
      </c>
      <c r="X139" s="2655">
        <f>0</f>
        <v>0</v>
      </c>
      <c r="Y139" s="2655">
        <f>0</f>
        <v>0</v>
      </c>
      <c r="Z139" s="2714">
        <f>0</f>
        <v>0</v>
      </c>
      <c r="AA139" s="2655">
        <f>-i_N_BIO</f>
        <v>-7.0000000000000007E-2</v>
      </c>
      <c r="AB139" s="2689">
        <f>-(1-Y_MEOLO)/(E_EQN2_NO2*Y_MEOLO)</f>
        <v>-0.87545157943422891</v>
      </c>
      <c r="AC139" s="2689">
        <f>0</f>
        <v>0</v>
      </c>
      <c r="AD139" s="2689">
        <f>(1-Y_MEOLO)/(E_EQN2_NO2*Y_MEOLO)</f>
        <v>0.87545157943422891</v>
      </c>
      <c r="AE139" s="2655">
        <f>0</f>
        <v>0</v>
      </c>
      <c r="AF139" s="2655">
        <f>0</f>
        <v>0</v>
      </c>
      <c r="AG139" s="2655">
        <f>0</f>
        <v>0</v>
      </c>
      <c r="AH139" s="2655">
        <f>0</f>
        <v>0</v>
      </c>
      <c r="AI139" s="2689">
        <f>-i_P_BIO</f>
        <v>-0.02</v>
      </c>
      <c r="AJ139" s="2655">
        <f>0</f>
        <v>0</v>
      </c>
      <c r="AK139" s="2655">
        <f>0</f>
        <v>0</v>
      </c>
      <c r="AL139" s="2655">
        <f>0</f>
        <v>0</v>
      </c>
      <c r="AM139" s="2655">
        <f>0</f>
        <v>0</v>
      </c>
      <c r="AN139" s="2655">
        <f>0</f>
        <v>0</v>
      </c>
      <c r="AO139" s="2655">
        <f>0</f>
        <v>0</v>
      </c>
      <c r="AP139" s="2655">
        <f>0</f>
        <v>0</v>
      </c>
      <c r="AQ139" s="2655">
        <f>0</f>
        <v>0</v>
      </c>
      <c r="AR139" s="2689">
        <f>i_CIT_MEOL/Y_MEOLO-i_CIT_BIO</f>
        <v>0.27300000000000002</v>
      </c>
      <c r="AS139" s="2742">
        <f>i_INORG</f>
        <v>0.11</v>
      </c>
      <c r="AT139" s="2742">
        <f>-i_INORG*(1-i_Ca_INORG*(A_MCa+2*A_MCl)/A_MCa-i_Mg_INORG*(A_MMg+2*A_MCl)/A_MMg)*f_Na</f>
        <v>-2.8804303582798466E-2</v>
      </c>
      <c r="AU139" s="2742">
        <f>-i_INORG*(i_Ca_INORG*(2*A_MCl)/A_MCa+i_Mg_INORG*(2*A_MCl)/A_MMg)-i_INORG*(1-i_Ca_INORG*(A_MCa+2*A_MCl)/A_MCa-i_Mg_INORG*(A_MMg+2*A_MCl)/A_MMg)*(1-f_Na)</f>
        <v>-7.0195696417201539E-2</v>
      </c>
      <c r="AV139" s="2742">
        <f>-i_INORG*i_Ca_INORG</f>
        <v>-5.5000000000000005E-3</v>
      </c>
      <c r="AW139" s="2742">
        <f>-i_INORG*i_Mg_INORG</f>
        <v>-5.5000000000000005E-3</v>
      </c>
      <c r="AX139" s="2689">
        <f>0</f>
        <v>0</v>
      </c>
      <c r="AY139" s="2689">
        <f>0</f>
        <v>0</v>
      </c>
      <c r="AZ139" s="2689">
        <f>0</f>
        <v>0</v>
      </c>
      <c r="BA139" s="2689">
        <f>0</f>
        <v>0</v>
      </c>
      <c r="BB139" s="2689">
        <f>0</f>
        <v>0</v>
      </c>
      <c r="BC139" s="2689">
        <f>0</f>
        <v>0</v>
      </c>
      <c r="BD139" s="2689">
        <f>0</f>
        <v>0</v>
      </c>
      <c r="BE139" s="2689">
        <f>0</f>
        <v>0</v>
      </c>
      <c r="BF139" s="2689">
        <f>0</f>
        <v>0</v>
      </c>
      <c r="BG139" s="2689">
        <f>0</f>
        <v>0</v>
      </c>
      <c r="BH139" s="2689">
        <f>0</f>
        <v>0</v>
      </c>
      <c r="BI139" s="2689">
        <f>0</f>
        <v>0</v>
      </c>
      <c r="BJ139" s="2689">
        <f>0</f>
        <v>0</v>
      </c>
      <c r="BK139" s="2689">
        <f>0</f>
        <v>0</v>
      </c>
      <c r="BL139" s="2689">
        <f>0</f>
        <v>0</v>
      </c>
      <c r="BM139" s="2689">
        <f>0</f>
        <v>0</v>
      </c>
      <c r="BN139" s="2689">
        <f>0</f>
        <v>0</v>
      </c>
      <c r="BO139" s="2689">
        <f>0</f>
        <v>0</v>
      </c>
      <c r="BP139" s="2757">
        <f>0</f>
        <v>0</v>
      </c>
      <c r="BQ139" s="2689">
        <f>0</f>
        <v>0</v>
      </c>
      <c r="BR139" s="2689">
        <f>0</f>
        <v>0</v>
      </c>
      <c r="BS139" s="2767">
        <f>0</f>
        <v>0</v>
      </c>
      <c r="BT139" s="2767">
        <f>0</f>
        <v>0</v>
      </c>
      <c r="BU139" s="2767">
        <f>0</f>
        <v>0</v>
      </c>
      <c r="BV139" s="2767">
        <f>0</f>
        <v>0</v>
      </c>
      <c r="BW139" s="2689">
        <f>0</f>
        <v>0</v>
      </c>
      <c r="BX139" s="2775">
        <f>0</f>
        <v>0</v>
      </c>
      <c r="BY139" s="2767">
        <f>0</f>
        <v>0</v>
      </c>
      <c r="BZ139" s="2689">
        <f>0</f>
        <v>0</v>
      </c>
      <c r="CA139" s="2689">
        <f>0</f>
        <v>0</v>
      </c>
      <c r="CB139" s="2689">
        <f>0</f>
        <v>0</v>
      </c>
      <c r="CC139" s="2689">
        <f>0</f>
        <v>0</v>
      </c>
      <c r="CD139" s="2689">
        <f>0</f>
        <v>0</v>
      </c>
      <c r="CE139" s="2689">
        <f>0</f>
        <v>0</v>
      </c>
      <c r="CF139" s="2689">
        <f>0</f>
        <v>0</v>
      </c>
      <c r="CG139" s="2689">
        <f>0</f>
        <v>0</v>
      </c>
      <c r="CH139" s="2689">
        <f>0</f>
        <v>0</v>
      </c>
      <c r="CI139" s="2689">
        <f>0</f>
        <v>0</v>
      </c>
      <c r="CJ139" s="2689">
        <f>0</f>
        <v>0</v>
      </c>
      <c r="CK139" s="2689">
        <f>0</f>
        <v>0</v>
      </c>
      <c r="CL139" s="2802">
        <f>µ_MEOLO_T*X_MEOLO*M_satSMEOL_KMEOL*M_satSNO2_KNO2_MEOLO*(L_oginhSNO3_KNO3_MEOLO*L_oginhSMEOL_KMEOL_SNO2+L_ogsatSMEOL_KMEOL_SNO2)*M_inhSO2_KiO2_MEOLO*M_satSNHx_KNHx_BIO*M_satSPO4_KPO4_BIO*M_satSCAT_KCAT*M_satSAN_KAN*M_satSCa_KCa*M_satSMg_KMg*B_ellinhpH</f>
        <v>0</v>
      </c>
      <c r="CN139" s="2295">
        <f>E236*E139+F236*F139+G236*G139+H236*H139+I236*I139+J236*J139+K236*K139+L236*L139+M236*M139+N236*N139+O236*O139+P236*P139+Q236*Q139+R236*R139+S236*S139+T236*T139+U236*U139+V236*V139+W236*W139+X236*X139+Y236*Y139+Z236*Z139+AA236*AA139+AB236*AB139+AC236*AC139+AD236*AD139+AE236*AE139+AF236*AF139+AG236*AG139+AH236*AH139+AI236*AI139+AJ236*AJ139+AK236*AK139+AL236*AL139+AM236*AM139+AN236*AN139+AO236*AO139+AP236*AP139+AQ236*AQ139+AR236*AR139+AS236*AS139+AT236*AT139+AU236*AU139+AV236*AV139+AW236*AW139+AX236*AX139+AY236*AY139+AZ236*AZ139+BA236*BA139+BB236*BB139+BC236*BC139+BD236*BD139+BE236*BE139+BF236*BF139+BG236*BG139+BH236*BH139+BI236*BI139+BJ236*BJ139+BK236*BK139+BL236*BL139+BM236*BM139+BN236*BN139+BO236*BO139+BP236*BP139+BQ236*BQ139+BR236*BR139+BS236*BS139+BT236*BT139+BU236*BU139+BV236*BV139+BW236*BW139+BX236*BX139+BY236*BY139+BZ236*BZ139+CA236*CA139+CB236*CB139+CC236*CC139+CD236*CD139+CE236*CE139+CF236*CF139+CG236*CG139+CH236*CH139+CI236*CI139+CJ236*CJ139+CK236*CK139</f>
        <v>0</v>
      </c>
      <c r="CO139" s="2295">
        <f>E237*E139+F237*F139+G237*G139+H237*H139+I237*I139+J237*J139+K237*K139+L237*L139+M237*M139+N237*N139+O237*O139+P237*P139+Q237*Q139+R237*R139+S237*S139+T237*T139+U237*U139+V237*V139+W237*W139+X237*X139+Y237*Y139+Z237*Z139+AA237*AA139+AB237*AB139+AC237*AC139+AD237*AD139+AE237*AE139+AF237*AF139+AG237*AG139+AH237*AH139+AI237*AI139+AJ237*AJ139+AK237*AK139+AL237*AL139+AM237*AM139+AN237*AN139+AO237*AO139+AP237*AP139+AQ237*AQ139+AR237*AR139+AS237*AS139+AT237*AT139+AU237*AU139+AV237*AV139+AW237*AW139+AX237*AX139+AY237*AY139+AZ237*AZ139+BA237*BA139+BB237*BB139+BC237*BC139+BD237*BD139+BE237*BE139+BF237*BF139+BG237*BG139+BH237*BH139+BI237*BI139+BJ237*BJ139+BK237*BK139+BL237*BL139+BM237*BM139+BN237*BN139+BO237*BO139+BP237*BP139+BQ237*BQ139+BR237*BR139+BS237*BS139+BT237*BT139+BU237*BU139+BV237*BV139+BW237*BW139+BX237*BX139+BY237*BY139+BZ237*BZ139+CA237*CA139+CB237*CB139+CC237*CC139+CD237*CD139+CE237*CE139+CF237*CF139+CG237*CG139+CH237*CH139+CI237*CI139+CJ237*CJ139+CK237*CK139</f>
        <v>0</v>
      </c>
      <c r="CP139" s="2296">
        <f>E238*E139+F238*F139+G238*G139+H238*H139+I238*I139+J238*J139+K238*K139+L238*L139+M238*M139+N238*N139+O238*O139+P238*P139+Q238*Q139+R238*R139+S238*S139+T238*T139+U238*U139+V238*V139+W238*W139+X238*X139+Y238*Y139+Z238*Z139+AA238*AA139+AB238*AB139+AC238*AC139+AD238*AD139+AE238*AE139+AF238*AF139+AG238*AG139+AH238*AH139+AI238*AI139+AJ238*AJ139+AK238*AK139+AL238*AL139+AM238*AM139+AN238*AN139+AO238*AO139+AP238*AP139+AQ238*AQ139+AR238*AR139+AS238*AS139+AT238*AT139+AU238*AU139+AV238*AV139+AW238*AW139+AX238*AX139+AY238*AY139+AZ238*AZ139+BA238*BA139+BB238*BB139+BC238*BC139+BD238*BD139+BE238*BE139+BF238*BF139+BG238*BG139+BH238*BH139+BI238*BI139+BJ238*BJ139+BK238*BK139+BL238*BL139+BM238*BM139+BN238*BN139+BO238*BO139+BP238*BP139+BQ238*BQ139+BR238*BR139+BS238*BS139+BT238*BT139+BU238*BU139+BV238*BV139+BW238*BW139+BX238*BX139+BY238*BY139+BZ238*BZ139+CA238*CA139+CB238*CB139+CC238*CC139+CD238*CD139+CE238*CE139+CF238*CF139+CG238*CG139+CH238*CH139+CI238*CI139+CJ238*CJ139+CK238*CK139</f>
        <v>0</v>
      </c>
      <c r="CQ139" s="2297">
        <f>E239*E139+F239*F139+G239*G139+H239*H139+I239*I139+J239*J139+K239*K139+L239*L139+M239*M139+N239*N139+O239*O139+P239*P139+Q239*Q139+R239*R139+S239*S139+T239*T139+U239*U139+V239*V139+W239*W139+X239*X139+Y239*Y139+Z239*Z139+AA239*AA139+AB239*AB139+AC239*AC139+AD239*AD139+AE239*AE139+AF239*AF139+AG239*AG139+AH239*AH139+AI239*AI139+AJ239*AJ139+AK239*AK139+AL239*AL139+AM239*AM139+AN239*AN139+AO239*AO139+AP239*AP139+AQ239*AQ139+AR239*AR139+AS239*AS139+AT239*AT139+AU239*AU139+AV239*AV139+AW239*AW139+AX239*AX139+AY239*AY139+AZ239*AZ139+BA239*BA139+BB239*BB139+BC239*BC139+BD239*BD139+BE239*BE139+BF239*BF139+BG239*BG139+BH239*BH139+BI239*BI139+BJ239*BJ139+BK239*BK139+BL239*BL139+BM239*BM139+BN239*BN139+BO239*BO139+BP239*BP139+BQ239*BQ139+BR239*BR139+BS239*BS139+BT239*BT139+BU239*BU139+BV239*BV139+BW239*BW139+BX239*BX139+BY239*BY139+BZ239*BZ139+CA239*CA139+CB239*CB139+CC239*CC139+CD239*CD139+CE239*CE139+CF239*CF139+CG239*CG139+CH239*CH139+CI239*CI139+CJ239*CJ139+CK239*CK139</f>
        <v>0</v>
      </c>
      <c r="CR139" s="2297">
        <f>E240*E139+F240*F139+G240*G139+H240*H139+I240*I139+J240*J139+K240*K139+L240*L139+M240*M139+N240*N139+O240*O139+P240*P139+Q240*Q139+R240*R139+S240*S139+T240*T139+U240*U139+V240*V139+W240*W139+X240*X139+Y240*Y139+Z240*Z139+AA240*AA139+AB240*AB139+AC240*AC139+AD240*AD139+AE240*AE139+AF240*AF139+AG240*AG139+AH240*AH139+AI240*AI139+AJ240*AJ139+AK240*AK139+AL240*AL139+AM240*AM139+AN240*AN139+AO240*AO139+AP240*AP139+AQ240*AQ139+AR240*AR139+AS240*AS139+AT240*AT139+AU240*AU139+AV240*AV139+AW240*AW139+AX240*AX139+AY240*AY139+AZ240*AZ139+BA240*BA139+BB240*BB139+BC240*BC139+BD240*BD139+BE240*BE139+BF240*BF139+BG240*BG139+BH240*BH139+BI240*BI139+BJ240*BJ139+BK240*BK139+BL240*BL139+BM240*BM139+BN240*BN139+BO240*BO139+BP240*BP139+BQ240*BQ139+BR240*BR139+BS240*BS139+BT240*BT139+BU240*BU139+BV240*BV139+BW240*BW139+BX240*BX139+BY240*BY139+BZ240*BZ139+CA240*CA139+CB240*CB139+CC240*CC139+CD240*CD139+CE240*CE139+CF240*CF139+CG240*CG139+CH240*CH139+CI240*CI139+CJ240*CJ139+CK240*CK139</f>
        <v>0</v>
      </c>
      <c r="CS139" s="2297">
        <f>E241*E139+F241*F139+G241*G139+H241*H139+I241*I139+J241*J139+K241*K139+L241*L139+M241*M139+N241*N139+O241*O139+P241*P139+Q241*Q139+R241*R139+S241*S139+T241*T139+U241*U139+V241*V139+W241*W139+X241*X139+Y241*Y139+Z241*Z139+AA241*AA139+AB241*AB139+AC241*AC139+AD241*AD139+AE241*AE139+AF241*AF139+AG241*AG139+AH241*AH139+AI241*AI139+AJ241*AJ139+AK241*AK139+AL241*AL139+AM241*AM139+AN241*AN139+AO241*AO139+AP241*AP139+AQ241*AQ139+AR241*AR139+AS241*AS139+AT241*AT139+AU241*AU139+AV241*AV139+AW241*AW139+AX241*AX139+AY241*AY139+AZ241*AZ139+BA241*BA139+BB241*BB139+BC241*BC139+BD241*BD139+BE241*BE139+BF241*BF139+BG241*BG139+BH241*BH139+BI241*BI139+BJ241*BJ139+BK241*BK139+BL241*BL139+BM241*BM139+BN241*BN139+BO241*BO139+BP241*BP139+BQ241*BQ139+BR241*BR139+BS241*BS139+BT241*BT139+BU241*BU139+BV241*BV139+BW241*BW139+BX241*BX139+BY241*BY139+BZ241*BZ139+CA241*CA139+CB241*CB139+CC241*CC139+CD241*CD139+CE241*CE139+CF241*CF139+CG241*CG139+CH241*CH139+CI241*CI139+CJ241*CJ139+CK241*CK139</f>
        <v>0</v>
      </c>
      <c r="CT139" s="2297">
        <f>E242*E139+F242*F139+G242*G139+H242*H139+I242*I139+J242*J139+K242*K139+L242*L139+M242*M139+N242*N139+O242*O139+P242*P139+Q242*Q139+R242*R139+S242*S139+T242*T139+U242*U139+V242*V139+W242*W139+X242*X139+Y242*Y139+Z242*Z139+AA242*AA139+AB242*AB139+AC242*AC139+AD242*AD139+AE242*AE139+AF242*AF139+AG242*AG139+AH242*AH139+AI242*AI139+AJ242*AJ139+AK242*AK139+AL242*AL139+AM242*AM139+AN242*AN139+AO242*AO139+AP242*AP139+AQ242*AQ139+AR242*AR139+AS242*AS139+AT242*AT139+AU242*AU139+AV242*AV139+AW242*AW139+AX242*AX139+AY242*AY139+AZ242*AZ139+BA242*BA139+BB242*BB139+BC242*BC139+BD242*BD139+BE242*BE139+BF242*BF139+BG242*BG139+BH242*BH139+BI242*BI139+BJ242*BJ139+BK242*BK139+BL242*BL139+BM242*BM139+BN242*BN139+BO242*BO139+BP242*BP139+BQ242*BQ139+BR242*BR139+BS242*BS139+BT242*BT139+BU242*BU139+BV242*BV139+BW242*BW139+BX242*BX139+BY242*BY139+BZ242*BZ139+CA242*CA139+CB242*CB139+CC242*CC139+CD242*CD139+CE242*CE139+CF242*CF139+CG242*CG139+CH242*CH139+CI242*CI139+CJ242*CJ139+CK242*CK139</f>
        <v>0</v>
      </c>
      <c r="CU139" s="2297">
        <f>E243*E139+F243*F139+G243*G139+H243*H139+I243*I139+J243*J139+K243*K139+L243*L139+M243*M139+N243*N139+O243*O139+P243*P139+Q243*Q139+R243*R139+S243*S139+T243*T139+U243*U139+V243*V139+W243*W139+X243*X139+Y243*Y139+Z243*Z139+AA243*AA139+AB243*AB139+AC243*AC139+AD243*AD139+AE243*AE139+AF243*AF139+AG243*AG139+AH243*AH139+AI243*AI139+AJ243*AJ139+AK243*AK139+AL243*AL139+AM243*AM139+AN243*AN139+AO243*AO139+AP243*AP139+AQ243*AQ139+AR243*AR139+AS243*AS139+AT243*AT139+AU243*AU139+AV243*AV139+AW243*AW139+AX243*AX139+AY243*AY139+AZ243*AZ139+BA243*BA139+BB243*BB139+BC243*BC139+BD243*BD139+BE243*BE139+BF243*BF139+BG243*BG139+BH243*BH139+BI243*BI139+BJ243*BJ139+BK243*BK139+BL243*BL139+BM243*BM139+BN243*BN139+BO243*BO139+BP243*BP139+BQ243*BQ139+BR243*BR139+BS243*BS139+BT243*BT139+BU243*BU139+BV243*BV139+BW243*BW139+BX243*BX139+BY243*BY139+BZ243*BZ139+CA243*CA139+CB243*CB139+CC243*CC139+CD243*CD139+CE243*CE139+CF243*CF139+CG243*CG139+CH243*CH139+CI243*CI139+CJ243*CJ139+CK243*CK139</f>
        <v>0</v>
      </c>
      <c r="CV139" s="2297">
        <f>E244*E139+F244*F139+G244*G139+H244*H139+I244*I139+J244*J139+K244*K139+L244*L139+M244*M139+N244*N139+O244*O139+P244*P139+Q244*Q139+R244*R139+S244*S139+T244*T139+U244*U139+V244*V139+W244*W139+X244*X139+Y244*Y139+Z244*Z139+AA244*AA139+AB244*AB139+AC244*AC139+AD244*AD139+AE244*AE139+AF244*AF139+AG244*AG139+AH244*AH139+AI244*AI139+AJ244*AJ139+AK244*AK139+AL244*AL139+AM244*AM139+AN244*AN139+AO244*AO139+AP244*AP139+AQ244*AQ139+AR244*AR139+AS244*AS139+AT244*AT139+AU244*AU139+AV244*AV139+AW244*AW139+AX244*AX139+AY244*AY139+AZ244*AZ139+BA244*BA139+BB244*BB139+BC244*BC139+BD244*BD139+BE244*BE139+BF244*BF139+BG244*BG139+BH244*BH139+BI244*BI139+BJ244*BJ139+BK244*BK139+BL244*BL139+BM244*BM139+BN244*BN139+BO244*BO139+BP244*BP139+BQ244*BQ139+BR244*BR139+BS244*BS139+BT244*BT139+BU244*BU139+BV244*BV139+BW244*BW139+BX244*BX139+BY244*BY139+BZ244*BZ139+CA244*CA139+CB244*CB139+CC244*CC139+CD244*CD139+CE244*CE139+CF244*CF139+CG244*CG139+CH244*CH139+CI244*CI139+CJ244*CJ139+CK244*CK139</f>
        <v>0</v>
      </c>
      <c r="CW139" s="2297">
        <f>E245*E139+F245*F139+G245*G139+H245*H139+I245*I139+J245*J139+K245*K139+L245*L139+M245*M139+N245*N139+O245*O139+P245*P139+Q245*Q139+R245*R139+S245*S139+T245*T139+U245*U139+V245*V139+W245*W139+X245*X139+Y245*Y139+Z245*Z139+AA245*AA139+AB245*AB139+AC245*AC139+AD245*AD139+AE245*AE139+AF245*AF139+AG245*AG139+AH245*AH139+AI245*AI139+AJ245*AJ139+AK245*AK139+AL245*AL139+AM245*AM139+AN245*AN139+AO245*AO139+AP245*AP139+AQ245*AQ139+AR245*AR139+AS245*AS139+AT245*AT139+AU245*AU139+AV245*AV139+AW245*AW139+AX245*AX139+AY245*AY139+AZ245*AZ139+BA245*BA139+BB245*BB139+BC245*BC139+BD245*BD139+BE245*BE139+BF245*BF139+BG245*BG139+BH245*BH139+BI245*BI139+BJ245*BJ139+BK245*BK139+BL245*BL139+BM245*BM139+BN245*BN139+BO245*BO139+BP245*BP139+BQ245*BQ139+BR245*BR139+BS245*BS139+BT245*BT139+BU245*BU139+BV245*BV139+BW245*BW139+BX245*BX139+BY245*BY139+BZ245*BZ139+CA245*CA139+CB245*CB139+CC245*CC139+CD245*CD139+CE245*CE139+CF245*CF139+CG245*CG139+CH245*CH139+CI245*CI139+CJ245*CJ139+CK245*CK139</f>
        <v>0</v>
      </c>
      <c r="CX139" s="2297">
        <f>E246*E139+F246*F139+G246*G139+H246*H139+I246*I139+J246*J139+K246*K139+L246*L139+M246*M139+N246*N139+O246*O139+P246*P139+Q246*Q139+R246*R139+S246*S139+T246*T139+U246*U139+V246*V139+W246*W139+X246*X139+Y246*Y139+Z246*Z139+AA246*AA139+AB246*AB139+AC246*AC139+AD246*AD139+AE246*AE139+AF246*AF139+AG246*AG139+AH246*AH139+AI246*AI139+AJ246*AJ139+AK246*AK139+AL246*AL139+AM246*AM139+AN246*AN139+AO246*AO139+AP246*AP139+AQ246*AQ139+AR246*AR139+AS246*AS139+AT246*AT139+AU246*AU139+AV246*AV139+AW246*AW139+AX246*AX139+AY246*AY139+AZ246*AZ139+BA246*BA139+BB246*BB139+BC246*BC139+BD246*BD139+BE246*BE139+BF246*BF139+BG246*BG139+BH246*BH139+BI246*BI139+BJ246*BJ139+BK246*BK139+BL246*BL139+BM246*BM139+BN246*BN139+BO246*BO139+BP246*BP139+BQ246*BQ139+BR246*BR139+BS246*BS139+BT246*BT139+BU246*BU139+BV246*BV139+BW246*BW139+BX246*BX139+BY246*BY139+BZ246*BZ139+CA246*CA139+CB246*CB139+CC246*CC139+CD246*CD139+CE246*CE139+CF246*CF139+CG246*CG139+CH246*CH139+CI246*CI139+CJ246*CJ139+CK246*CK139</f>
        <v>0</v>
      </c>
    </row>
    <row r="140" spans="2:102" ht="18" x14ac:dyDescent="0.25">
      <c r="B140" s="1244">
        <v>13</v>
      </c>
      <c r="C140" s="1192" t="s">
        <v>235</v>
      </c>
      <c r="D140" s="584" t="s">
        <v>1657</v>
      </c>
      <c r="E140" s="2655">
        <f>0</f>
        <v>0</v>
      </c>
      <c r="F140" s="2655">
        <f>0</f>
        <v>0</v>
      </c>
      <c r="G140" s="2689">
        <f>-1/Y_MEOLO</f>
        <v>-2.5</v>
      </c>
      <c r="H140" s="2655">
        <f>0</f>
        <v>0</v>
      </c>
      <c r="I140" s="2655">
        <f>0</f>
        <v>0</v>
      </c>
      <c r="J140" s="2655">
        <f>0</f>
        <v>0</v>
      </c>
      <c r="K140" s="2655">
        <f>0</f>
        <v>0</v>
      </c>
      <c r="L140" s="2655">
        <f>0</f>
        <v>0</v>
      </c>
      <c r="M140" s="2655">
        <f>0</f>
        <v>0</v>
      </c>
      <c r="N140" s="2655">
        <f>0</f>
        <v>0</v>
      </c>
      <c r="O140" s="2655">
        <f>0</f>
        <v>0</v>
      </c>
      <c r="P140" s="2655">
        <f>0</f>
        <v>0</v>
      </c>
      <c r="Q140" s="2655">
        <f>0</f>
        <v>0</v>
      </c>
      <c r="R140" s="2655">
        <f>0</f>
        <v>0</v>
      </c>
      <c r="S140" s="2655">
        <f>0</f>
        <v>0</v>
      </c>
      <c r="T140" s="2655">
        <f>1</f>
        <v>1</v>
      </c>
      <c r="U140" s="2655">
        <f>0</f>
        <v>0</v>
      </c>
      <c r="V140" s="2655">
        <f>0</f>
        <v>0</v>
      </c>
      <c r="W140" s="2655">
        <f>0</f>
        <v>0</v>
      </c>
      <c r="X140" s="2655">
        <f>0</f>
        <v>0</v>
      </c>
      <c r="Y140" s="2655">
        <f>0</f>
        <v>0</v>
      </c>
      <c r="Z140" s="2714">
        <f>0</f>
        <v>0</v>
      </c>
      <c r="AA140" s="2655">
        <f>-i_N_BIO</f>
        <v>-7.0000000000000007E-2</v>
      </c>
      <c r="AB140" s="2689">
        <f>(1-Y_MEOLO)/(E_EQNO2_NO3*Y_MEOLO)</f>
        <v>1.3131773691513433</v>
      </c>
      <c r="AC140" s="2689">
        <f>-(1-Y_MEOLO)/(E_EQNO2_NO3*Y_MEOLO)</f>
        <v>-1.3131773691513433</v>
      </c>
      <c r="AD140" s="2689">
        <f>0</f>
        <v>0</v>
      </c>
      <c r="AE140" s="2655">
        <f>0</f>
        <v>0</v>
      </c>
      <c r="AF140" s="2655">
        <f>0</f>
        <v>0</v>
      </c>
      <c r="AG140" s="2655">
        <f>0</f>
        <v>0</v>
      </c>
      <c r="AH140" s="2655">
        <f>0</f>
        <v>0</v>
      </c>
      <c r="AI140" s="2689">
        <f>-i_P_BIO</f>
        <v>-0.02</v>
      </c>
      <c r="AJ140" s="2655">
        <f>0</f>
        <v>0</v>
      </c>
      <c r="AK140" s="2655">
        <f>0</f>
        <v>0</v>
      </c>
      <c r="AL140" s="2655">
        <f>0</f>
        <v>0</v>
      </c>
      <c r="AM140" s="2655">
        <f>0</f>
        <v>0</v>
      </c>
      <c r="AN140" s="2655">
        <f>0</f>
        <v>0</v>
      </c>
      <c r="AO140" s="2655">
        <f>0</f>
        <v>0</v>
      </c>
      <c r="AP140" s="2655">
        <f>0</f>
        <v>0</v>
      </c>
      <c r="AQ140" s="2655">
        <f>0</f>
        <v>0</v>
      </c>
      <c r="AR140" s="2689">
        <f>i_CIT_MEOL/Y_MEOLO-i_CIT_BIO</f>
        <v>0.27300000000000002</v>
      </c>
      <c r="AS140" s="2742">
        <f>i_INORG</f>
        <v>0.11</v>
      </c>
      <c r="AT140" s="2742">
        <f>-i_INORG*(1-i_Ca_INORG*(A_MCa+2*A_MCl)/A_MCa-i_Mg_INORG*(A_MMg+2*A_MCl)/A_MMg)*f_Na</f>
        <v>-2.8804303582798466E-2</v>
      </c>
      <c r="AU140" s="2742">
        <f>-i_INORG*(i_Ca_INORG*(2*A_MCl)/A_MCa+i_Mg_INORG*(2*A_MCl)/A_MMg)-i_INORG*(1-i_Ca_INORG*(A_MCa+2*A_MCl)/A_MCa-i_Mg_INORG*(A_MMg+2*A_MCl)/A_MMg)*(1-f_Na)</f>
        <v>-7.0195696417201539E-2</v>
      </c>
      <c r="AV140" s="2742">
        <f>-i_INORG*i_Ca_INORG</f>
        <v>-5.5000000000000005E-3</v>
      </c>
      <c r="AW140" s="2742">
        <f>-i_INORG*i_Mg_INORG</f>
        <v>-5.5000000000000005E-3</v>
      </c>
      <c r="AX140" s="2689">
        <f>0</f>
        <v>0</v>
      </c>
      <c r="AY140" s="2689">
        <f>0</f>
        <v>0</v>
      </c>
      <c r="AZ140" s="2689">
        <f>0</f>
        <v>0</v>
      </c>
      <c r="BA140" s="2689">
        <f>0</f>
        <v>0</v>
      </c>
      <c r="BB140" s="2689">
        <f>0</f>
        <v>0</v>
      </c>
      <c r="BC140" s="2689">
        <f>0</f>
        <v>0</v>
      </c>
      <c r="BD140" s="2689">
        <f>0</f>
        <v>0</v>
      </c>
      <c r="BE140" s="2689">
        <f>0</f>
        <v>0</v>
      </c>
      <c r="BF140" s="2689">
        <f>0</f>
        <v>0</v>
      </c>
      <c r="BG140" s="2689">
        <f>0</f>
        <v>0</v>
      </c>
      <c r="BH140" s="2689">
        <f>0</f>
        <v>0</v>
      </c>
      <c r="BI140" s="2689">
        <f>0</f>
        <v>0</v>
      </c>
      <c r="BJ140" s="2689">
        <f>0</f>
        <v>0</v>
      </c>
      <c r="BK140" s="2689">
        <f>0</f>
        <v>0</v>
      </c>
      <c r="BL140" s="2689">
        <f>0</f>
        <v>0</v>
      </c>
      <c r="BM140" s="2689">
        <f>0</f>
        <v>0</v>
      </c>
      <c r="BN140" s="2689">
        <f>0</f>
        <v>0</v>
      </c>
      <c r="BO140" s="2689">
        <f>0</f>
        <v>0</v>
      </c>
      <c r="BP140" s="2757">
        <f>0</f>
        <v>0</v>
      </c>
      <c r="BQ140" s="2689">
        <f>0</f>
        <v>0</v>
      </c>
      <c r="BR140" s="2689">
        <f>0</f>
        <v>0</v>
      </c>
      <c r="BS140" s="2767">
        <f>0</f>
        <v>0</v>
      </c>
      <c r="BT140" s="2767">
        <f>0</f>
        <v>0</v>
      </c>
      <c r="BU140" s="2767">
        <f>0</f>
        <v>0</v>
      </c>
      <c r="BV140" s="2767">
        <f>0</f>
        <v>0</v>
      </c>
      <c r="BW140" s="2689">
        <f>0</f>
        <v>0</v>
      </c>
      <c r="BX140" s="2775">
        <f>0</f>
        <v>0</v>
      </c>
      <c r="BY140" s="2767">
        <f>0</f>
        <v>0</v>
      </c>
      <c r="BZ140" s="2689">
        <f>0</f>
        <v>0</v>
      </c>
      <c r="CA140" s="2689">
        <f>0</f>
        <v>0</v>
      </c>
      <c r="CB140" s="2689">
        <f>0</f>
        <v>0</v>
      </c>
      <c r="CC140" s="2689">
        <f>0</f>
        <v>0</v>
      </c>
      <c r="CD140" s="2689">
        <f>0</f>
        <v>0</v>
      </c>
      <c r="CE140" s="2689">
        <f>0</f>
        <v>0</v>
      </c>
      <c r="CF140" s="2689">
        <f>0</f>
        <v>0</v>
      </c>
      <c r="CG140" s="2689">
        <f>0</f>
        <v>0</v>
      </c>
      <c r="CH140" s="2689">
        <f>0</f>
        <v>0</v>
      </c>
      <c r="CI140" s="2689">
        <f>0</f>
        <v>0</v>
      </c>
      <c r="CJ140" s="2689">
        <f>0</f>
        <v>0</v>
      </c>
      <c r="CK140" s="2689">
        <f>0</f>
        <v>0</v>
      </c>
      <c r="CL140" s="2802">
        <f>µ_MEOLO_T*X_MEOLO*M_satSMEOL_KMEOL*M_satSNO3_KNO3_MEOLO*L_ogsatSNO3_KNO3_MEOLO*(L_oginhSMEOL_KMEOL_SNO2+M_inhSNO2_KNO2_MEOLO*L_ogsatSMEOL_KMEOL_SNO2)*M_inhSO2_KiO2_MEOLO*M_satSNHx_KNHx_BIO*M_satSPO4_KPO4_BIO*M_satSCAT_KCAT*M_satSAN_KAN*M_satSCa_KCa*M_satSMg_KMg*B_ellinhpH</f>
        <v>0</v>
      </c>
      <c r="CN140" s="2295">
        <f>E236*E140+F236*F140+G236*G140+H236*H140+I236*I140+J236*J140+K236*K140+L236*L140+M236*M140+N236*N140+O236*O140+P236*P140+Q236*Q140+R236*R140+S236*S140+T236*T140+U236*U140+V236*V140+W236*W140+X236*X140+Y236*Y140+Z236*Z140+AA236*AA140+AB236*AB140+AC236*AC140+AD236*AD140+AE236*AE140+AF236*AF140+AG236*AG140+AH236*AH140+AI236*AI140+AJ236*AJ140+AK236*AK140+AL236*AL140+AM236*AM140+AN236*AN140+AO236*AO140+AP236*AP140+AQ236*AQ140+AR236*AR140+AS236*AS140+AT236*AT140+AU236*AU140+AV236*AV140+AW236*AW140+AX236*AX140+AY236*AY140+AZ236*AZ140+BA236*BA140+BB236*BB140+BC236*BC140+BD236*BD140+BE236*BE140+BF236*BF140+BG236*BG140+BH236*BH140+BI236*BI140+BJ236*BJ140+BK236*BK140+BL236*BL140+BM236*BM140+BN236*BN140+BO236*BO140+BP236*BP140+BQ236*BQ140+BR236*BR140+BS236*BS140+BT236*BT140+BU236*BU140+BV236*BV140+BW236*BW140+BX236*BX140+BY236*BY140+BZ236*BZ140+CA236*CA140+CB236*CB140+CC236*CC140+CD236*CD140+CE236*CE140+CF236*CF140+CG236*CG140+CH236*CH140+CI236*CI140+CJ236*CJ140+CK236*CK140</f>
        <v>0</v>
      </c>
      <c r="CO140" s="2295">
        <f>E237*E140+F237*F140+G237*G140+H237*H140+I237*I140+J237*J140+K237*K140+L237*L140+M237*M140+N237*N140+O237*O140+P237*P140+Q237*Q140+R237*R140+S237*S140+T237*T140+U237*U140+V237*V140+W237*W140+X237*X140+Y237*Y140+Z237*Z140+AA237*AA140+AB237*AB140+AC237*AC140+AD237*AD140+AE237*AE140+AF237*AF140+AG237*AG140+AH237*AH140+AI237*AI140+AJ237*AJ140+AK237*AK140+AL237*AL140+AM237*AM140+AN237*AN140+AO237*AO140+AP237*AP140+AQ237*AQ140+AR237*AR140+AS237*AS140+AT237*AT140+AU237*AU140+AV237*AV140+AW237*AW140+AX237*AX140+AY237*AY140+AZ237*AZ140+BA237*BA140+BB237*BB140+BC237*BC140+BD237*BD140+BE237*BE140+BF237*BF140+BG237*BG140+BH237*BH140+BI237*BI140+BJ237*BJ140+BK237*BK140+BL237*BL140+BM237*BM140+BN237*BN140+BO237*BO140+BP237*BP140+BQ237*BQ140+BR237*BR140+BS237*BS140+BT237*BT140+BU237*BU140+BV237*BV140+BW237*BW140+BX237*BX140+BY237*BY140+BZ237*BZ140+CA237*CA140+CB237*CB140+CC237*CC140+CD237*CD140+CE237*CE140+CF237*CF140+CG237*CG140+CH237*CH140+CI237*CI140+CJ237*CJ140+CK237*CK140</f>
        <v>0</v>
      </c>
      <c r="CP140" s="2296">
        <f>E238*E140+F238*F140+G238*G140+H238*H140+I238*I140+J238*J140+K238*K140+L238*L140+M238*M140+N238*N140+O238*O140+P238*P140+Q238*Q140+R238*R140+S238*S140+T238*T140+U238*U140+V238*V140+W238*W140+X238*X140+Y238*Y140+Z238*Z140+AA238*AA140+AB238*AB140+AC238*AC140+AD238*AD140+AE238*AE140+AF238*AF140+AG238*AG140+AH238*AH140+AI238*AI140+AJ238*AJ140+AK238*AK140+AL238*AL140+AM238*AM140+AN238*AN140+AO238*AO140+AP238*AP140+AQ238*AQ140+AR238*AR140+AS238*AS140+AT238*AT140+AU238*AU140+AV238*AV140+AW238*AW140+AX238*AX140+AY238*AY140+AZ238*AZ140+BA238*BA140+BB238*BB140+BC238*BC140+BD238*BD140+BE238*BE140+BF238*BF140+BG238*BG140+BH238*BH140+BI238*BI140+BJ238*BJ140+BK238*BK140+BL238*BL140+BM238*BM140+BN238*BN140+BO238*BO140+BP238*BP140+BQ238*BQ140+BR238*BR140+BS238*BS140+BT238*BT140+BU238*BU140+BV238*BV140+BW238*BW140+BX238*BX140+BY238*BY140+BZ238*BZ140+CA238*CA140+CB238*CB140+CC238*CC140+CD238*CD140+CE238*CE140+CF238*CF140+CG238*CG140+CH238*CH140+CI238*CI140+CJ238*CJ140+CK238*CK140</f>
        <v>0</v>
      </c>
      <c r="CQ140" s="2297">
        <f>E239*E140+F239*F140+G239*G140+H239*H140+I239*I140+J239*J140+K239*K140+L239*L140+M239*M140+N239*N140+O239*O140+P239*P140+Q239*Q140+R239*R140+S239*S140+T239*T140+U239*U140+V239*V140+W239*W140+X239*X140+Y239*Y140+Z239*Z140+AA239*AA140+AB239*AB140+AC239*AC140+AD239*AD140+AE239*AE140+AF239*AF140+AG239*AG140+AH239*AH140+AI239*AI140+AJ239*AJ140+AK239*AK140+AL239*AL140+AM239*AM140+AN239*AN140+AO239*AO140+AP239*AP140+AQ239*AQ140+AR239*AR140+AS239*AS140+AT239*AT140+AU239*AU140+AV239*AV140+AW239*AW140+AX239*AX140+AY239*AY140+AZ239*AZ140+BA239*BA140+BB239*BB140+BC239*BC140+BD239*BD140+BE239*BE140+BF239*BF140+BG239*BG140+BH239*BH140+BI239*BI140+BJ239*BJ140+BK239*BK140+BL239*BL140+BM239*BM140+BN239*BN140+BO239*BO140+BP239*BP140+BQ239*BQ140+BR239*BR140+BS239*BS140+BT239*BT140+BU239*BU140+BV239*BV140+BW239*BW140+BX239*BX140+BY239*BY140+BZ239*BZ140+CA239*CA140+CB239*CB140+CC239*CC140+CD239*CD140+CE239*CE140+CF239*CF140+CG239*CG140+CH239*CH140+CI239*CI140+CJ239*CJ140+CK239*CK140</f>
        <v>0</v>
      </c>
      <c r="CR140" s="2297">
        <f>E240*E140+F240*F140+G240*G140+H240*H140+I240*I140+J240*J140+K240*K140+L240*L140+M240*M140+N240*N140+O240*O140+P240*P140+Q240*Q140+R240*R140+S240*S140+T240*T140+U240*U140+V240*V140+W240*W140+X240*X140+Y240*Y140+Z240*Z140+AA240*AA140+AB240*AB140+AC240*AC140+AD240*AD140+AE240*AE140+AF240*AF140+AG240*AG140+AH240*AH140+AI240*AI140+AJ240*AJ140+AK240*AK140+AL240*AL140+AM240*AM140+AN240*AN140+AO240*AO140+AP240*AP140+AQ240*AQ140+AR240*AR140+AS240*AS140+AT240*AT140+AU240*AU140+AV240*AV140+AW240*AW140+AX240*AX140+AY240*AY140+AZ240*AZ140+BA240*BA140+BB240*BB140+BC240*BC140+BD240*BD140+BE240*BE140+BF240*BF140+BG240*BG140+BH240*BH140+BI240*BI140+BJ240*BJ140+BK240*BK140+BL240*BL140+BM240*BM140+BN240*BN140+BO240*BO140+BP240*BP140+BQ240*BQ140+BR240*BR140+BS240*BS140+BT240*BT140+BU240*BU140+BV240*BV140+BW240*BW140+BX240*BX140+BY240*BY140+BZ240*BZ140+CA240*CA140+CB240*CB140+CC240*CC140+CD240*CD140+CE240*CE140+CF240*CF140+CG240*CG140+CH240*CH140+CI240*CI140+CJ240*CJ140+CK240*CK140</f>
        <v>0</v>
      </c>
      <c r="CS140" s="2297">
        <f>E241*E140+F241*F140+G241*G140+H241*H140+I241*I140+J241*J140+K241*K140+L241*L140+M241*M140+N241*N140+O241*O140+P241*P140+Q241*Q140+R241*R140+S241*S140+T241*T140+U241*U140+V241*V140+W241*W140+X241*X140+Y241*Y140+Z241*Z140+AA241*AA140+AB241*AB140+AC241*AC140+AD241*AD140+AE241*AE140+AF241*AF140+AG241*AG140+AH241*AH140+AI241*AI140+AJ241*AJ140+AK241*AK140+AL241*AL140+AM241*AM140+AN241*AN140+AO241*AO140+AP241*AP140+AQ241*AQ140+AR241*AR140+AS241*AS140+AT241*AT140+AU241*AU140+AV241*AV140+AW241*AW140+AX241*AX140+AY241*AY140+AZ241*AZ140+BA241*BA140+BB241*BB140+BC241*BC140+BD241*BD140+BE241*BE140+BF241*BF140+BG241*BG140+BH241*BH140+BI241*BI140+BJ241*BJ140+BK241*BK140+BL241*BL140+BM241*BM140+BN241*BN140+BO241*BO140+BP241*BP140+BQ241*BQ140+BR241*BR140+BS241*BS140+BT241*BT140+BU241*BU140+BV241*BV140+BW241*BW140+BX241*BX140+BY241*BY140+BZ241*BZ140+CA241*CA140+CB241*CB140+CC241*CC140+CD241*CD140+CE241*CE140+CF241*CF140+CG241*CG140+CH241*CH140+CI241*CI140+CJ241*CJ140+CK241*CK140</f>
        <v>0</v>
      </c>
      <c r="CT140" s="2297">
        <f>E242*E140+F242*F140+G242*G140+H242*H140+I242*I140+J242*J140+K242*K140+L242*L140+M242*M140+N242*N140+O242*O140+P242*P140+Q242*Q140+R242*R140+S242*S140+T242*T140+U242*U140+V242*V140+W242*W140+X242*X140+Y242*Y140+Z242*Z140+AA242*AA140+AB242*AB140+AC242*AC140+AD242*AD140+AE242*AE140+AF242*AF140+AG242*AG140+AH242*AH140+AI242*AI140+AJ242*AJ140+AK242*AK140+AL242*AL140+AM242*AM140+AN242*AN140+AO242*AO140+AP242*AP140+AQ242*AQ140+AR242*AR140+AS242*AS140+AT242*AT140+AU242*AU140+AV242*AV140+AW242*AW140+AX242*AX140+AY242*AY140+AZ242*AZ140+BA242*BA140+BB242*BB140+BC242*BC140+BD242*BD140+BE242*BE140+BF242*BF140+BG242*BG140+BH242*BH140+BI242*BI140+BJ242*BJ140+BK242*BK140+BL242*BL140+BM242*BM140+BN242*BN140+BO242*BO140+BP242*BP140+BQ242*BQ140+BR242*BR140+BS242*BS140+BT242*BT140+BU242*BU140+BV242*BV140+BW242*BW140+BX242*BX140+BY242*BY140+BZ242*BZ140+CA242*CA140+CB242*CB140+CC242*CC140+CD242*CD140+CE242*CE140+CF242*CF140+CG242*CG140+CH242*CH140+CI242*CI140+CJ242*CJ140+CK242*CK140</f>
        <v>0</v>
      </c>
      <c r="CU140" s="2297">
        <f>E243*E140+F243*F140+G243*G140+H243*H140+I243*I140+J243*J140+K243*K140+L243*L140+M243*M140+N243*N140+O243*O140+P243*P140+Q243*Q140+R243*R140+S243*S140+T243*T140+U243*U140+V243*V140+W243*W140+X243*X140+Y243*Y140+Z243*Z140+AA243*AA140+AB243*AB140+AC243*AC140+AD243*AD140+AE243*AE140+AF243*AF140+AG243*AG140+AH243*AH140+AI243*AI140+AJ243*AJ140+AK243*AK140+AL243*AL140+AM243*AM140+AN243*AN140+AO243*AO140+AP243*AP140+AQ243*AQ140+AR243*AR140+AS243*AS140+AT243*AT140+AU243*AU140+AV243*AV140+AW243*AW140+AX243*AX140+AY243*AY140+AZ243*AZ140+BA243*BA140+BB243*BB140+BC243*BC140+BD243*BD140+BE243*BE140+BF243*BF140+BG243*BG140+BH243*BH140+BI243*BI140+BJ243*BJ140+BK243*BK140+BL243*BL140+BM243*BM140+BN243*BN140+BO243*BO140+BP243*BP140+BQ243*BQ140+BR243*BR140+BS243*BS140+BT243*BT140+BU243*BU140+BV243*BV140+BW243*BW140+BX243*BX140+BY243*BY140+BZ243*BZ140+CA243*CA140+CB243*CB140+CC243*CC140+CD243*CD140+CE243*CE140+CF243*CF140+CG243*CG140+CH243*CH140+CI243*CI140+CJ243*CJ140+CK243*CK140</f>
        <v>0</v>
      </c>
      <c r="CV140" s="2297">
        <f>E244*E140+F244*F140+G244*G140+H244*H140+I244*I140+J244*J140+K244*K140+L244*L140+M244*M140+N244*N140+O244*O140+P244*P140+Q244*Q140+R244*R140+S244*S140+T244*T140+U244*U140+V244*V140+W244*W140+X244*X140+Y244*Y140+Z244*Z140+AA244*AA140+AB244*AB140+AC244*AC140+AD244*AD140+AE244*AE140+AF244*AF140+AG244*AG140+AH244*AH140+AI244*AI140+AJ244*AJ140+AK244*AK140+AL244*AL140+AM244*AM140+AN244*AN140+AO244*AO140+AP244*AP140+AQ244*AQ140+AR244*AR140+AS244*AS140+AT244*AT140+AU244*AU140+AV244*AV140+AW244*AW140+AX244*AX140+AY244*AY140+AZ244*AZ140+BA244*BA140+BB244*BB140+BC244*BC140+BD244*BD140+BE244*BE140+BF244*BF140+BG244*BG140+BH244*BH140+BI244*BI140+BJ244*BJ140+BK244*BK140+BL244*BL140+BM244*BM140+BN244*BN140+BO244*BO140+BP244*BP140+BQ244*BQ140+BR244*BR140+BS244*BS140+BT244*BT140+BU244*BU140+BV244*BV140+BW244*BW140+BX244*BX140+BY244*BY140+BZ244*BZ140+CA244*CA140+CB244*CB140+CC244*CC140+CD244*CD140+CE244*CE140+CF244*CF140+CG244*CG140+CH244*CH140+CI244*CI140+CJ244*CJ140+CK244*CK140</f>
        <v>0</v>
      </c>
      <c r="CW140" s="2297">
        <f>E245*E140+F245*F140+G245*G140+H245*H140+I245*I140+J245*J140+K245*K140+L245*L140+M245*M140+N245*N140+O245*O140+P245*P140+Q245*Q140+R245*R140+S245*S140+T245*T140+U245*U140+V245*V140+W245*W140+X245*X140+Y245*Y140+Z245*Z140+AA245*AA140+AB245*AB140+AC245*AC140+AD245*AD140+AE245*AE140+AF245*AF140+AG245*AG140+AH245*AH140+AI245*AI140+AJ245*AJ140+AK245*AK140+AL245*AL140+AM245*AM140+AN245*AN140+AO245*AO140+AP245*AP140+AQ245*AQ140+AR245*AR140+AS245*AS140+AT245*AT140+AU245*AU140+AV245*AV140+AW245*AW140+AX245*AX140+AY245*AY140+AZ245*AZ140+BA245*BA140+BB245*BB140+BC245*BC140+BD245*BD140+BE245*BE140+BF245*BF140+BG245*BG140+BH245*BH140+BI245*BI140+BJ245*BJ140+BK245*BK140+BL245*BL140+BM245*BM140+BN245*BN140+BO245*BO140+BP245*BP140+BQ245*BQ140+BR245*BR140+BS245*BS140+BT245*BT140+BU245*BU140+BV245*BV140+BW245*BW140+BX245*BX140+BY245*BY140+BZ245*BZ140+CA245*CA140+CB245*CB140+CC245*CC140+CD245*CD140+CE245*CE140+CF245*CF140+CG245*CG140+CH245*CH140+CI245*CI140+CJ245*CJ140+CK245*CK140</f>
        <v>0</v>
      </c>
      <c r="CX140" s="2297">
        <f>E246*E140+F246*F140+G246*G140+H246*H140+I246*I140+J246*J140+K246*K140+L246*L140+M246*M140+N246*N140+O246*O140+P246*P140+Q246*Q140+R246*R140+S246*S140+T246*T140+U246*U140+V246*V140+W246*W140+X246*X140+Y246*Y140+Z246*Z140+AA246*AA140+AB246*AB140+AC246*AC140+AD246*AD140+AE246*AE140+AF246*AF140+AG246*AG140+AH246*AH140+AI246*AI140+AJ246*AJ140+AK246*AK140+AL246*AL140+AM246*AM140+AN246*AN140+AO246*AO140+AP246*AP140+AQ246*AQ140+AR246*AR140+AS246*AS140+AT246*AT140+AU246*AU140+AV246*AV140+AW246*AW140+AX246*AX140+AY246*AY140+AZ246*AZ140+BA246*BA140+BB246*BB140+BC246*BC140+BD246*BD140+BE246*BE140+BF246*BF140+BG246*BG140+BH246*BH140+BI246*BI140+BJ246*BJ140+BK246*BK140+BL246*BL140+BM246*BM140+BN246*BN140+BO246*BO140+BP246*BP140+BQ246*BQ140+BR246*BR140+BS246*BS140+BT246*BT140+BU246*BU140+BV246*BV140+BW246*BW140+BX246*BX140+BY246*BY140+BZ246*BZ140+CA246*CA140+CB246*CB140+CC246*CC140+CD246*CD140+CE246*CE140+CF246*CF140+CG246*CG140+CH246*CH140+CI246*CI140+CJ246*CJ140+CK246*CK140</f>
        <v>0</v>
      </c>
    </row>
    <row r="141" spans="2:102" ht="18" x14ac:dyDescent="0.25">
      <c r="B141" s="1244">
        <v>14</v>
      </c>
      <c r="C141" s="1192" t="s">
        <v>236</v>
      </c>
      <c r="D141" s="584" t="s">
        <v>289</v>
      </c>
      <c r="E141" s="2655">
        <f>0</f>
        <v>0</v>
      </c>
      <c r="F141" s="2655">
        <f>0</f>
        <v>0</v>
      </c>
      <c r="G141" s="2655">
        <f>0</f>
        <v>0</v>
      </c>
      <c r="H141" s="2655">
        <f>0</f>
        <v>0</v>
      </c>
      <c r="I141" s="2655">
        <f>0</f>
        <v>0</v>
      </c>
      <c r="J141" s="2655">
        <f>1-f_E</f>
        <v>0.92</v>
      </c>
      <c r="K141" s="2655">
        <f>0</f>
        <v>0</v>
      </c>
      <c r="L141" s="2655">
        <f>0</f>
        <v>0</v>
      </c>
      <c r="M141" s="2655">
        <f>0</f>
        <v>0</v>
      </c>
      <c r="N141" s="2655">
        <f>0</f>
        <v>0</v>
      </c>
      <c r="O141" s="2655">
        <f>0</f>
        <v>0</v>
      </c>
      <c r="P141" s="2655">
        <f>f_E</f>
        <v>0.08</v>
      </c>
      <c r="Q141" s="2655">
        <f>0</f>
        <v>0</v>
      </c>
      <c r="R141" s="2655">
        <f>0</f>
        <v>0</v>
      </c>
      <c r="S141" s="2655">
        <f>0</f>
        <v>0</v>
      </c>
      <c r="T141" s="2655">
        <f>-1</f>
        <v>-1</v>
      </c>
      <c r="U141" s="2655">
        <f>0</f>
        <v>0</v>
      </c>
      <c r="V141" s="2655">
        <f>0</f>
        <v>0</v>
      </c>
      <c r="W141" s="2655">
        <f>0</f>
        <v>0</v>
      </c>
      <c r="X141" s="2655">
        <f>0</f>
        <v>0</v>
      </c>
      <c r="Y141" s="2655">
        <f>0</f>
        <v>0</v>
      </c>
      <c r="Z141" s="2714">
        <f>0</f>
        <v>0</v>
      </c>
      <c r="AA141" s="2655">
        <f>-f_E*(i_N_XE-i_N_BIO)</f>
        <v>8.0000000000000069E-4</v>
      </c>
      <c r="AB141" s="2655">
        <f>0</f>
        <v>0</v>
      </c>
      <c r="AC141" s="2655">
        <f>0</f>
        <v>0</v>
      </c>
      <c r="AD141" s="2655">
        <f>0</f>
        <v>0</v>
      </c>
      <c r="AE141" s="2655">
        <f>0</f>
        <v>0</v>
      </c>
      <c r="AF141" s="2655">
        <f>0</f>
        <v>0</v>
      </c>
      <c r="AG141" s="2655">
        <f>(1-f_E)*i_N_BIO</f>
        <v>6.4400000000000013E-2</v>
      </c>
      <c r="AH141" s="2655">
        <f>0</f>
        <v>0</v>
      </c>
      <c r="AI141" s="2655">
        <f>0</f>
        <v>0</v>
      </c>
      <c r="AJ141" s="2655">
        <f>0</f>
        <v>0</v>
      </c>
      <c r="AK141" s="2655">
        <f>0</f>
        <v>0</v>
      </c>
      <c r="AL141" s="2655">
        <f>0</f>
        <v>0</v>
      </c>
      <c r="AM141" s="2655">
        <f>(1-f_E)*i_P_BIO</f>
        <v>1.84E-2</v>
      </c>
      <c r="AN141" s="2655">
        <f>0</f>
        <v>0</v>
      </c>
      <c r="AO141" s="2655">
        <f>0</f>
        <v>0</v>
      </c>
      <c r="AP141" s="2655">
        <f>0</f>
        <v>0</v>
      </c>
      <c r="AQ141" s="2655">
        <f>0</f>
        <v>0</v>
      </c>
      <c r="AR141" s="2734">
        <f>(1-f_E)*(i_CIT_BIO-i_CIT_XBe)</f>
        <v>6.0720000000000003E-2</v>
      </c>
      <c r="AS141" s="2734">
        <f>0</f>
        <v>0</v>
      </c>
      <c r="AT141" s="2745">
        <f>0</f>
        <v>0</v>
      </c>
      <c r="AU141" s="2745">
        <f>0</f>
        <v>0</v>
      </c>
      <c r="AV141" s="2745">
        <f>0</f>
        <v>0</v>
      </c>
      <c r="AW141" s="2745">
        <f>0</f>
        <v>0</v>
      </c>
      <c r="AX141" s="2689">
        <f>0</f>
        <v>0</v>
      </c>
      <c r="AY141" s="2689">
        <f>0</f>
        <v>0</v>
      </c>
      <c r="AZ141" s="2689">
        <f>0</f>
        <v>0</v>
      </c>
      <c r="BA141" s="2689">
        <f>0</f>
        <v>0</v>
      </c>
      <c r="BB141" s="2689">
        <f>0</f>
        <v>0</v>
      </c>
      <c r="BC141" s="2689">
        <f>0</f>
        <v>0</v>
      </c>
      <c r="BD141" s="2689">
        <f>0</f>
        <v>0</v>
      </c>
      <c r="BE141" s="2689">
        <f>0</f>
        <v>0</v>
      </c>
      <c r="BF141" s="2689">
        <f>0</f>
        <v>0</v>
      </c>
      <c r="BG141" s="2689">
        <f>0</f>
        <v>0</v>
      </c>
      <c r="BH141" s="2689">
        <f>0</f>
        <v>0</v>
      </c>
      <c r="BI141" s="2689">
        <f>0</f>
        <v>0</v>
      </c>
      <c r="BJ141" s="2689">
        <f>0</f>
        <v>0</v>
      </c>
      <c r="BK141" s="2689">
        <f>0</f>
        <v>0</v>
      </c>
      <c r="BL141" s="2689">
        <f>0</f>
        <v>0</v>
      </c>
      <c r="BM141" s="2689">
        <f>0</f>
        <v>0</v>
      </c>
      <c r="BN141" s="2689">
        <f>0</f>
        <v>0</v>
      </c>
      <c r="BO141" s="2689">
        <f>0</f>
        <v>0</v>
      </c>
      <c r="BP141" s="2757">
        <f>0</f>
        <v>0</v>
      </c>
      <c r="BQ141" s="2689">
        <f>0</f>
        <v>0</v>
      </c>
      <c r="BR141" s="2689">
        <f>0</f>
        <v>0</v>
      </c>
      <c r="BS141" s="2767">
        <f>0</f>
        <v>0</v>
      </c>
      <c r="BT141" s="2767">
        <f>0</f>
        <v>0</v>
      </c>
      <c r="BU141" s="2767">
        <f>0</f>
        <v>0</v>
      </c>
      <c r="BV141" s="2767">
        <f>0</f>
        <v>0</v>
      </c>
      <c r="BW141" s="2689">
        <f>0</f>
        <v>0</v>
      </c>
      <c r="BX141" s="2775">
        <f>0</f>
        <v>0</v>
      </c>
      <c r="BY141" s="2767">
        <f>0</f>
        <v>0</v>
      </c>
      <c r="BZ141" s="2689">
        <f>0</f>
        <v>0</v>
      </c>
      <c r="CA141" s="2689">
        <f>0</f>
        <v>0</v>
      </c>
      <c r="CB141" s="2689">
        <f>0</f>
        <v>0</v>
      </c>
      <c r="CC141" s="2689">
        <f>0</f>
        <v>0</v>
      </c>
      <c r="CD141" s="2689">
        <f>0</f>
        <v>0</v>
      </c>
      <c r="CE141" s="2689">
        <f>0</f>
        <v>0</v>
      </c>
      <c r="CF141" s="2689">
        <f>0</f>
        <v>0</v>
      </c>
      <c r="CG141" s="2689">
        <f>0</f>
        <v>0</v>
      </c>
      <c r="CH141" s="2689">
        <f>0</f>
        <v>0</v>
      </c>
      <c r="CI141" s="2689">
        <f>0</f>
        <v>0</v>
      </c>
      <c r="CJ141" s="2689">
        <f>0</f>
        <v>0</v>
      </c>
      <c r="CK141" s="2689">
        <f>0</f>
        <v>0</v>
      </c>
      <c r="CL141" s="2802">
        <f>b_MEOLO_T*X_MEOLO*(M_satSO2_KiO2_MEOLO+η_b_anox*M_satSNO2_KNO2_MEOLO*M_inhSO2_KiO2_MEOLO+m_tox_anox*M_satSNO3_KNO3_MEOLO*M_inhSNO2_KNO2_MEOLO*M_inhSO2_KiO2_MEOLO)</f>
        <v>5.0294816066972559E-2</v>
      </c>
      <c r="CN141" s="2295">
        <f>E236*E141+F236*F141+G236*G141+H236*H141+I236*I141+J236*J141+K236*K141+L236*L141+M236*M141+N236*N141+O236*O141+P236*P141+Q236*Q141+R236*R141+S236*S141+T236*T141+U236*U141+V236*V141+W236*W141+X236*X141+Y236*Y141+Z236*Z141+AA236*AA141+AB236*AB141+AC236*AC141+AD236*AD141+AE236*AE141+AF236*AF141+AG236*AG141+AH236*AH141+AI236*AI141+AJ236*AJ141+AK236*AK141+AL236*AL141+AM236*AM141+AN236*AN141+AO236*AO141+AP236*AP141+AQ236*AQ141+AR236*AR141+AS236*AS141+AT236*AT141+AU236*AU141+AV236*AV141+AW236*AW141+AX236*AX141+AY236*AY141+AZ236*AZ141+BA236*BA141+BB236*BB141+BC236*BC141+BD236*BD141+BE236*BE141+BF236*BF141+BG236*BG141+BH236*BH141+BI236*BI141+BJ236*BJ141+BK236*BK141+BL236*BL141+BM236*BM141+BN236*BN141+BO236*BO141+BP236*BP141+BQ236*BQ141+BR236*BR141+BS236*BS141+BT236*BT141+BU236*BU141+BV236*BV141+BW236*BW141+BX236*BX141+BY236*BY141+BZ236*BZ141+CA236*CA141+CB236*CB141+CC236*CC141+CD236*CD141+CE236*CE141+CF236*CF141+CG236*CG141+CH236*CH141+CI236*CI141+CJ236*CJ141+CK236*CK141</f>
        <v>0</v>
      </c>
      <c r="CO141" s="2295">
        <f>E237*E141+F237*F141+G237*G141+H237*H141+I237*I141+J237*J141+K237*K141+L237*L141+M237*M141+N237*N141+O237*O141+P237*P141+Q237*Q141+R237*R141+S237*S141+T237*T141+U237*U141+V237*V141+W237*W141+X237*X141+Y237*Y141+Z237*Z141+AA237*AA141+AB237*AB141+AC237*AC141+AD237*AD141+AE237*AE141+AF237*AF141+AG237*AG141+AH237*AH141+AI237*AI141+AJ237*AJ141+AK237*AK141+AL237*AL141+AM237*AM141+AN237*AN141+AO237*AO141+AP237*AP141+AQ237*AQ141+AR237*AR141+AS237*AS141+AT237*AT141+AU237*AU141+AV237*AV141+AW237*AW141+AX237*AX141+AY237*AY141+AZ237*AZ141+BA237*BA141+BB237*BB141+BC237*BC141+BD237*BD141+BE237*BE141+BF237*BF141+BG237*BG141+BH237*BH141+BI237*BI141+BJ237*BJ141+BK237*BK141+BL237*BL141+BM237*BM141+BN237*BN141+BO237*BO141+BP237*BP141+BQ237*BQ141+BR237*BR141+BS237*BS141+BT237*BT141+BU237*BU141+BV237*BV141+BW237*BW141+BX237*BX141+BY237*BY141+BZ237*BZ141+CA237*CA141+CB237*CB141+CC237*CC141+CD237*CD141+CE237*CE141+CF237*CF141+CG237*CG141+CH237*CH141+CI237*CI141+CJ237*CJ141+CK237*CK141</f>
        <v>6.9388939039072284E-18</v>
      </c>
      <c r="CP141" s="2296">
        <f>E238*E141+F238*F141+G238*G141+H238*H141+I238*I141+J238*J141+K238*K141+L238*L141+M238*M141+N238*N141+O238*O141+P238*P141+Q238*Q141+R238*R141+S238*S141+T238*T141+U238*U141+V238*V141+W238*W141+X238*X141+Y238*Y141+Z238*Z141+AA238*AA141+AB238*AB141+AC238*AC141+AD238*AD141+AE238*AE141+AF238*AF141+AG238*AG141+AH238*AH141+AI238*AI141+AJ238*AJ141+AK238*AK141+AL238*AL141+AM238*AM141+AN238*AN141+AO238*AO141+AP238*AP141+AQ238*AQ141+AR238*AR141+AS238*AS141+AT238*AT141+AU238*AU141+AV238*AV141+AW238*AW141+AX238*AX141+AY238*AY141+AZ238*AZ141+BA238*BA141+BB238*BB141+BC238*BC141+BD238*BD141+BE238*BE141+BF238*BF141+BG238*BG141+BH238*BH141+BI238*BI141+BJ238*BJ141+BK238*BK141+BL238*BL141+BM238*BM141+BN238*BN141+BO238*BO141+BP238*BP141+BQ238*BQ141+BR238*BR141+BS238*BS141+BT238*BT141+BU238*BU141+BV238*BV141+BW238*BW141+BX238*BX141+BY238*BY141+BZ238*BZ141+CA238*CA141+CB238*CB141+CC238*CC141+CD238*CD141+CE238*CE141+CF238*CF141+CG238*CG141+CH238*CH141+CI238*CI141+CJ238*CJ141+CK238*CK141</f>
        <v>0</v>
      </c>
      <c r="CQ141" s="2297">
        <f>E239*E141+F239*F141+G239*G141+H239*H141+I239*I141+J239*J141+K239*K141+L239*L141+M239*M141+N239*N141+O239*O141+P239*P141+Q239*Q141+R239*R141+S239*S141+T239*T141+U239*U141+V239*V141+W239*W141+X239*X141+Y239*Y141+Z239*Z141+AA239*AA141+AB239*AB141+AC239*AC141+AD239*AD141+AE239*AE141+AF239*AF141+AG239*AG141+AH239*AH141+AI239*AI141+AJ239*AJ141+AK239*AK141+AL239*AL141+AM239*AM141+AN239*AN141+AO239*AO141+AP239*AP141+AQ239*AQ141+AR239*AR141+AS239*AS141+AT239*AT141+AU239*AU141+AV239*AV141+AW239*AW141+AX239*AX141+AY239*AY141+AZ239*AZ141+BA239*BA141+BB239*BB141+BC239*BC141+BD239*BD141+BE239*BE141+BF239*BF141+BG239*BG141+BH239*BH141+BI239*BI141+BJ239*BJ141+BK239*BK141+BL239*BL141+BM239*BM141+BN239*BN141+BO239*BO141+BP239*BP141+BQ239*BQ141+BR239*BR141+BS239*BS141+BT239*BT141+BU239*BU141+BV239*BV141+BW239*BW141+BX239*BX141+BY239*BY141+BZ239*BZ141+CA239*CA141+CB239*CB141+CC239*CC141+CD239*CD141+CE239*CE141+CF239*CF141+CG239*CG141+CH239*CH141+CI239*CI141+CJ239*CJ141+CK239*CK141</f>
        <v>0</v>
      </c>
      <c r="CR141" s="2297">
        <f>E240*E141+F240*F141+G240*G141+H240*H141+I240*I141+J240*J141+K240*K141+L240*L141+M240*M141+N240*N141+O240*O141+P240*P141+Q240*Q141+R240*R141+S240*S141+T240*T141+U240*U141+V240*V141+W240*W141+X240*X141+Y240*Y141+Z240*Z141+AA240*AA141+AB240*AB141+AC240*AC141+AD240*AD141+AE240*AE141+AF240*AF141+AG240*AG141+AH240*AH141+AI240*AI141+AJ240*AJ141+AK240*AK141+AL240*AL141+AM240*AM141+AN240*AN141+AO240*AO141+AP240*AP141+AQ240*AQ141+AR240*AR141+AS240*AS141+AT240*AT141+AU240*AU141+AV240*AV141+AW240*AW141+AX240*AX141+AY240*AY141+AZ240*AZ141+BA240*BA141+BB240*BB141+BC240*BC141+BD240*BD141+BE240*BE141+BF240*BF141+BG240*BG141+BH240*BH141+BI240*BI141+BJ240*BJ141+BK240*BK141+BL240*BL141+BM240*BM141+BN240*BN141+BO240*BO141+BP240*BP141+BQ240*BQ141+BR240*BR141+BS240*BS141+BT240*BT141+BU240*BU141+BV240*BV141+BW240*BW141+BX240*BX141+BY240*BY141+BZ240*BZ141+CA240*CA141+CB240*CB141+CC240*CC141+CD240*CD141+CE240*CE141+CF240*CF141+CG240*CG141+CH240*CH141+CI240*CI141+CJ240*CJ141+CK240*CK141</f>
        <v>0</v>
      </c>
      <c r="CS141" s="2297">
        <f>E241*E141+F241*F141+G241*G141+H241*H141+I241*I141+J241*J141+K241*K141+L241*L141+M241*M141+N241*N141+O241*O141+P241*P141+Q241*Q141+R241*R141+S241*S141+T241*T141+U241*U141+V241*V141+W241*W141+X241*X141+Y241*Y141+Z241*Z141+AA241*AA141+AB241*AB141+AC241*AC141+AD241*AD141+AE241*AE141+AF241*AF141+AG241*AG141+AH241*AH141+AI241*AI141+AJ241*AJ141+AK241*AK141+AL241*AL141+AM241*AM141+AN241*AN141+AO241*AO141+AP241*AP141+AQ241*AQ141+AR241*AR141+AS241*AS141+AT241*AT141+AU241*AU141+AV241*AV141+AW241*AW141+AX241*AX141+AY241*AY141+AZ241*AZ141+BA241*BA141+BB241*BB141+BC241*BC141+BD241*BD141+BE241*BE141+BF241*BF141+BG241*BG141+BH241*BH141+BI241*BI141+BJ241*BJ141+BK241*BK141+BL241*BL141+BM241*BM141+BN241*BN141+BO241*BO141+BP241*BP141+BQ241*BQ141+BR241*BR141+BS241*BS141+BT241*BT141+BU241*BU141+BV241*BV141+BW241*BW141+BX241*BX141+BY241*BY141+BZ241*BZ141+CA241*CA141+CB241*CB141+CC241*CC141+CD241*CD141+CE241*CE141+CF241*CF141+CG241*CG141+CH241*CH141+CI241*CI141+CJ241*CJ141+CK241*CK141</f>
        <v>0</v>
      </c>
      <c r="CT141" s="2297">
        <f>E242*E141+F242*F141+G242*G141+H242*H141+I242*I141+J242*J141+K242*K141+L242*L141+M242*M141+N242*N141+O242*O141+P242*P141+Q242*Q141+R242*R141+S242*S141+T242*T141+U242*U141+V242*V141+W242*W141+X242*X141+Y242*Y141+Z242*Z141+AA242*AA141+AB242*AB141+AC242*AC141+AD242*AD141+AE242*AE141+AF242*AF141+AG242*AG141+AH242*AH141+AI242*AI141+AJ242*AJ141+AK242*AK141+AL242*AL141+AM242*AM141+AN242*AN141+AO242*AO141+AP242*AP141+AQ242*AQ141+AR242*AR141+AS242*AS141+AT242*AT141+AU242*AU141+AV242*AV141+AW242*AW141+AX242*AX141+AY242*AY141+AZ242*AZ141+BA242*BA141+BB242*BB141+BC242*BC141+BD242*BD141+BE242*BE141+BF242*BF141+BG242*BG141+BH242*BH141+BI242*BI141+BJ242*BJ141+BK242*BK141+BL242*BL141+BM242*BM141+BN242*BN141+BO242*BO141+BP242*BP141+BQ242*BQ141+BR242*BR141+BS242*BS141+BT242*BT141+BU242*BU141+BV242*BV141+BW242*BW141+BX242*BX141+BY242*BY141+BZ242*BZ141+CA242*CA141+CB242*CB141+CC242*CC141+CD242*CD141+CE242*CE141+CF242*CF141+CG242*CG141+CH242*CH141+CI242*CI141+CJ242*CJ141+CK242*CK141</f>
        <v>0</v>
      </c>
      <c r="CU141" s="2297">
        <f>E243*E141+F243*F141+G243*G141+H243*H141+I243*I141+J243*J141+K243*K141+L243*L141+M243*M141+N243*N141+O243*O141+P243*P141+Q243*Q141+R243*R141+S243*S141+T243*T141+U243*U141+V243*V141+W243*W141+X243*X141+Y243*Y141+Z243*Z141+AA243*AA141+AB243*AB141+AC243*AC141+AD243*AD141+AE243*AE141+AF243*AF141+AG243*AG141+AH243*AH141+AI243*AI141+AJ243*AJ141+AK243*AK141+AL243*AL141+AM243*AM141+AN243*AN141+AO243*AO141+AP243*AP141+AQ243*AQ141+AR243*AR141+AS243*AS141+AT243*AT141+AU243*AU141+AV243*AV141+AW243*AW141+AX243*AX141+AY243*AY141+AZ243*AZ141+BA243*BA141+BB243*BB141+BC243*BC141+BD243*BD141+BE243*BE141+BF243*BF141+BG243*BG141+BH243*BH141+BI243*BI141+BJ243*BJ141+BK243*BK141+BL243*BL141+BM243*BM141+BN243*BN141+BO243*BO141+BP243*BP141+BQ243*BQ141+BR243*BR141+BS243*BS141+BT243*BT141+BU243*BU141+BV243*BV141+BW243*BW141+BX243*BX141+BY243*BY141+BZ243*BZ141+CA243*CA141+CB243*CB141+CC243*CC141+CD243*CD141+CE243*CE141+CF243*CF141+CG243*CG141+CH243*CH141+CI243*CI141+CJ243*CJ141+CK243*CK141</f>
        <v>0</v>
      </c>
      <c r="CV141" s="2297">
        <f>E244*E141+F244*F141+G244*G141+H244*H141+I244*I141+J244*J141+K244*K141+L244*L141+M244*M141+N244*N141+O244*O141+P244*P141+Q244*Q141+R244*R141+S244*S141+T244*T141+U244*U141+V244*V141+W244*W141+X244*X141+Y244*Y141+Z244*Z141+AA244*AA141+AB244*AB141+AC244*AC141+AD244*AD141+AE244*AE141+AF244*AF141+AG244*AG141+AH244*AH141+AI244*AI141+AJ244*AJ141+AK244*AK141+AL244*AL141+AM244*AM141+AN244*AN141+AO244*AO141+AP244*AP141+AQ244*AQ141+AR244*AR141+AS244*AS141+AT244*AT141+AU244*AU141+AV244*AV141+AW244*AW141+AX244*AX141+AY244*AY141+AZ244*AZ141+BA244*BA141+BB244*BB141+BC244*BC141+BD244*BD141+BE244*BE141+BF244*BF141+BG244*BG141+BH244*BH141+BI244*BI141+BJ244*BJ141+BK244*BK141+BL244*BL141+BM244*BM141+BN244*BN141+BO244*BO141+BP244*BP141+BQ244*BQ141+BR244*BR141+BS244*BS141+BT244*BT141+BU244*BU141+BV244*BV141+BW244*BW141+BX244*BX141+BY244*BY141+BZ244*BZ141+CA244*CA141+CB244*CB141+CC244*CC141+CD244*CD141+CE244*CE141+CF244*CF141+CG244*CG141+CH244*CH141+CI244*CI141+CJ244*CJ141+CK244*CK141</f>
        <v>0</v>
      </c>
      <c r="CW141" s="2297">
        <f>E245*E141+F245*F141+G245*G141+H245*H141+I245*I141+J245*J141+K245*K141+L245*L141+M245*M141+N245*N141+O245*O141+P245*P141+Q245*Q141+R245*R141+S245*S141+T245*T141+U245*U141+V245*V141+W245*W141+X245*X141+Y245*Y141+Z245*Z141+AA245*AA141+AB245*AB141+AC245*AC141+AD245*AD141+AE245*AE141+AF245*AF141+AG245*AG141+AH245*AH141+AI245*AI141+AJ245*AJ141+AK245*AK141+AL245*AL141+AM245*AM141+AN245*AN141+AO245*AO141+AP245*AP141+AQ245*AQ141+AR245*AR141+AS245*AS141+AT245*AT141+AU245*AU141+AV245*AV141+AW245*AW141+AX245*AX141+AY245*AY141+AZ245*AZ141+BA245*BA141+BB245*BB141+BC245*BC141+BD245*BD141+BE245*BE141+BF245*BF141+BG245*BG141+BH245*BH141+BI245*BI141+BJ245*BJ141+BK245*BK141+BL245*BL141+BM245*BM141+BN245*BN141+BO245*BO141+BP245*BP141+BQ245*BQ141+BR245*BR141+BS245*BS141+BT245*BT141+BU245*BU141+BV245*BV141+BW245*BW141+BX245*BX141+BY245*BY141+BZ245*BZ141+CA245*CA141+CB245*CB141+CC245*CC141+CD245*CD141+CE245*CE141+CF245*CF141+CG245*CG141+CH245*CH141+CI245*CI141+CJ245*CJ141+CK245*CK141</f>
        <v>0</v>
      </c>
      <c r="CX141" s="2297">
        <f>E246*E141+F246*F141+G246*G141+H246*H141+I246*I141+J246*J141+K246*K141+L246*L141+M246*M141+N246*N141+O246*O141+P246*P141+Q246*Q141+R246*R141+S246*S141+T246*T141+U246*U141+V246*V141+W246*W141+X246*X141+Y246*Y141+Z246*Z141+AA246*AA141+AB246*AB141+AC246*AC141+AD246*AD141+AE246*AE141+AF246*AF141+AG246*AG141+AH246*AH141+AI246*AI141+AJ246*AJ141+AK246*AK141+AL246*AL141+AM246*AM141+AN246*AN141+AO246*AO141+AP246*AP141+AQ246*AQ141+AR246*AR141+AS246*AS141+AT246*AT141+AU246*AU141+AV246*AV141+AW246*AW141+AX246*AX141+AY246*AY141+AZ246*AZ141+BA246*BA141+BB246*BB141+BC246*BC141+BD246*BD141+BE246*BE141+BF246*BF141+BG246*BG141+BH246*BH141+BI246*BI141+BJ246*BJ141+BK246*BK141+BL246*BL141+BM246*BM141+BN246*BN141+BO246*BO141+BP246*BP141+BQ246*BQ141+BR246*BR141+BS246*BS141+BT246*BT141+BU246*BU141+BV246*BV141+BW246*BW141+BX246*BX141+BY246*BY141+BZ246*BZ141+CA246*CA141+CB246*CB141+CC246*CC141+CD246*CD141+CE246*CE141+CF246*CF141+CG246*CG141+CH246*CH141+CI246*CI141+CJ246*CJ141+CK246*CK141</f>
        <v>0</v>
      </c>
    </row>
    <row r="142" spans="2:102" ht="18" x14ac:dyDescent="0.25">
      <c r="B142" s="1244">
        <v>15</v>
      </c>
      <c r="C142" s="1192" t="s">
        <v>237</v>
      </c>
      <c r="D142" s="584" t="s">
        <v>2976</v>
      </c>
      <c r="E142" s="2655">
        <f>0</f>
        <v>0</v>
      </c>
      <c r="F142" s="2655">
        <f>0</f>
        <v>0</v>
      </c>
      <c r="G142" s="2655">
        <f>0</f>
        <v>0</v>
      </c>
      <c r="H142" s="2655">
        <f>0</f>
        <v>0</v>
      </c>
      <c r="I142" s="2655">
        <f>0</f>
        <v>0</v>
      </c>
      <c r="J142" s="2655">
        <f>1-f_E</f>
        <v>0.92</v>
      </c>
      <c r="K142" s="2655">
        <f>0</f>
        <v>0</v>
      </c>
      <c r="L142" s="2655">
        <f>0</f>
        <v>0</v>
      </c>
      <c r="M142" s="2655">
        <f>0</f>
        <v>0</v>
      </c>
      <c r="N142" s="2655">
        <f>0</f>
        <v>0</v>
      </c>
      <c r="O142" s="2655">
        <f>0</f>
        <v>0</v>
      </c>
      <c r="P142" s="2655">
        <f>0</f>
        <v>0</v>
      </c>
      <c r="Q142" s="2655">
        <f>f_E</f>
        <v>0.08</v>
      </c>
      <c r="R142" s="2655">
        <f>0</f>
        <v>0</v>
      </c>
      <c r="S142" s="2655">
        <f>0</f>
        <v>0</v>
      </c>
      <c r="T142" s="2655">
        <f>-1</f>
        <v>-1</v>
      </c>
      <c r="U142" s="2655">
        <f>0</f>
        <v>0</v>
      </c>
      <c r="V142" s="2655">
        <f>0</f>
        <v>0</v>
      </c>
      <c r="W142" s="2655">
        <f>0</f>
        <v>0</v>
      </c>
      <c r="X142" s="2655">
        <f>0</f>
        <v>0</v>
      </c>
      <c r="Y142" s="2655">
        <f>0</f>
        <v>0</v>
      </c>
      <c r="Z142" s="2714">
        <f>0</f>
        <v>0</v>
      </c>
      <c r="AA142" s="2655">
        <f>-f_E*(i_N_XE-i_N_BIO)</f>
        <v>8.0000000000000069E-4</v>
      </c>
      <c r="AB142" s="2655">
        <f>0</f>
        <v>0</v>
      </c>
      <c r="AC142" s="2655">
        <f>0</f>
        <v>0</v>
      </c>
      <c r="AD142" s="2655">
        <f>0</f>
        <v>0</v>
      </c>
      <c r="AE142" s="2655">
        <f>0</f>
        <v>0</v>
      </c>
      <c r="AF142" s="2655">
        <f>0</f>
        <v>0</v>
      </c>
      <c r="AG142" s="2655">
        <f>(1-f_E)*i_N_BIO</f>
        <v>6.4400000000000013E-2</v>
      </c>
      <c r="AH142" s="2655">
        <f>0</f>
        <v>0</v>
      </c>
      <c r="AI142" s="2655">
        <f>0</f>
        <v>0</v>
      </c>
      <c r="AJ142" s="2655">
        <f>0</f>
        <v>0</v>
      </c>
      <c r="AK142" s="2655">
        <f>0</f>
        <v>0</v>
      </c>
      <c r="AL142" s="2655">
        <f>0</f>
        <v>0</v>
      </c>
      <c r="AM142" s="2655">
        <f>(1-f_E)*i_P_BIO</f>
        <v>1.84E-2</v>
      </c>
      <c r="AN142" s="2655">
        <f>0</f>
        <v>0</v>
      </c>
      <c r="AO142" s="2655">
        <f>0</f>
        <v>0</v>
      </c>
      <c r="AP142" s="2655">
        <f>0</f>
        <v>0</v>
      </c>
      <c r="AQ142" s="2655">
        <f>0</f>
        <v>0</v>
      </c>
      <c r="AR142" s="2734">
        <f>(1-f_E)*(i_CIT_BIO-i_CIT_XBe)</f>
        <v>6.0720000000000003E-2</v>
      </c>
      <c r="AS142" s="2734">
        <f>0</f>
        <v>0</v>
      </c>
      <c r="AT142" s="2745">
        <f>0</f>
        <v>0</v>
      </c>
      <c r="AU142" s="2745">
        <f>0</f>
        <v>0</v>
      </c>
      <c r="AV142" s="2745">
        <f>0</f>
        <v>0</v>
      </c>
      <c r="AW142" s="2745">
        <f>0</f>
        <v>0</v>
      </c>
      <c r="AX142" s="2689">
        <f>0</f>
        <v>0</v>
      </c>
      <c r="AY142" s="2689">
        <f>0</f>
        <v>0</v>
      </c>
      <c r="AZ142" s="2689">
        <f>0</f>
        <v>0</v>
      </c>
      <c r="BA142" s="2689">
        <f>0</f>
        <v>0</v>
      </c>
      <c r="BB142" s="2689">
        <f>0</f>
        <v>0</v>
      </c>
      <c r="BC142" s="2689">
        <f>0</f>
        <v>0</v>
      </c>
      <c r="BD142" s="2689">
        <f>0</f>
        <v>0</v>
      </c>
      <c r="BE142" s="2689">
        <f>0</f>
        <v>0</v>
      </c>
      <c r="BF142" s="2689">
        <f>0</f>
        <v>0</v>
      </c>
      <c r="BG142" s="2689">
        <f>0</f>
        <v>0</v>
      </c>
      <c r="BH142" s="2689">
        <f>0</f>
        <v>0</v>
      </c>
      <c r="BI142" s="2689">
        <f>0</f>
        <v>0</v>
      </c>
      <c r="BJ142" s="2689">
        <f>0</f>
        <v>0</v>
      </c>
      <c r="BK142" s="2689">
        <f>0</f>
        <v>0</v>
      </c>
      <c r="BL142" s="2689">
        <f>0</f>
        <v>0</v>
      </c>
      <c r="BM142" s="2689">
        <f>0</f>
        <v>0</v>
      </c>
      <c r="BN142" s="2689">
        <f>0</f>
        <v>0</v>
      </c>
      <c r="BO142" s="2689">
        <f>0</f>
        <v>0</v>
      </c>
      <c r="BP142" s="2757">
        <f>0</f>
        <v>0</v>
      </c>
      <c r="BQ142" s="2689">
        <f>0</f>
        <v>0</v>
      </c>
      <c r="BR142" s="2689">
        <f>0</f>
        <v>0</v>
      </c>
      <c r="BS142" s="2767">
        <f>0</f>
        <v>0</v>
      </c>
      <c r="BT142" s="2767">
        <f>0</f>
        <v>0</v>
      </c>
      <c r="BU142" s="2767">
        <f>0</f>
        <v>0</v>
      </c>
      <c r="BV142" s="2767">
        <f>0</f>
        <v>0</v>
      </c>
      <c r="BW142" s="2689">
        <f>0</f>
        <v>0</v>
      </c>
      <c r="BX142" s="2775">
        <f>0</f>
        <v>0</v>
      </c>
      <c r="BY142" s="2767">
        <f>0</f>
        <v>0</v>
      </c>
      <c r="BZ142" s="2689">
        <f>0</f>
        <v>0</v>
      </c>
      <c r="CA142" s="2689">
        <f>0</f>
        <v>0</v>
      </c>
      <c r="CB142" s="2689">
        <f>0</f>
        <v>0</v>
      </c>
      <c r="CC142" s="2689">
        <f>0</f>
        <v>0</v>
      </c>
      <c r="CD142" s="2689">
        <f>0</f>
        <v>0</v>
      </c>
      <c r="CE142" s="2689">
        <f>0</f>
        <v>0</v>
      </c>
      <c r="CF142" s="2689">
        <f>0</f>
        <v>0</v>
      </c>
      <c r="CG142" s="2689">
        <f>0</f>
        <v>0</v>
      </c>
      <c r="CH142" s="2689">
        <f>0</f>
        <v>0</v>
      </c>
      <c r="CI142" s="2689">
        <f>0</f>
        <v>0</v>
      </c>
      <c r="CJ142" s="2689">
        <f>0</f>
        <v>0</v>
      </c>
      <c r="CK142" s="2689">
        <f>0</f>
        <v>0</v>
      </c>
      <c r="CL142" s="2802">
        <f>b_MEOLO_T*X_MEOLO*(η_b_ana*M_inhSNO2_KNO2_MEOLO*M_inhSNO3_KNO3_MEOLO*M_inhSO2_KiO2_MEOLO+m_tox_ana)</f>
        <v>5.0309909039684476E-7</v>
      </c>
      <c r="CN142" s="2295">
        <f>E236*E142+F236*F142+G236*G142+H236*H142+I236*I142+J236*J142+K236*K142+L236*L142+M236*M142+N236*N142+O236*O142+P236*P142+Q236*Q142+R236*R142+S236*S142+T236*T142+U236*U142+V236*V142+W236*W142+X236*X142+Y236*Y142+Z236*Z142+AA236*AA142+AB236*AB142+AC236*AC142+AD236*AD142+AE236*AE142+AF236*AF142+AG236*AG142+AH236*AH142+AI236*AI142+AJ236*AJ142+AK236*AK142+AL236*AL142+AM236*AM142+AN236*AN142+AO236*AO142+AP236*AP142+AQ236*AQ142+AR236*AR142+AS236*AS142+AT236*AT142+AU236*AU142+AV236*AV142+AW236*AW142+AX236*AX142+AY236*AY142+AZ236*AZ142+BA236*BA142+BB236*BB142+BC236*BC142+BD236*BD142+BE236*BE142+BF236*BF142+BG236*BG142+BH236*BH142+BI236*BI142+BJ236*BJ142+BK236*BK142+BL236*BL142+BM236*BM142+BN236*BN142+BO236*BO142+BP236*BP142+BQ236*BQ142+BR236*BR142+BS236*BS142+BT236*BT142+BU236*BU142+BV236*BV142+BW236*BW142+BX236*BX142+BY236*BY142+BZ236*BZ142+CA236*CA142+CB236*CB142+CC236*CC142+CD236*CD142+CE236*CE142+CF236*CF142+CG236*CG142+CH236*CH142+CI236*CI142+CJ236*CJ142+CK236*CK142</f>
        <v>0</v>
      </c>
      <c r="CO142" s="2295">
        <f>E237*E142+F237*F142+G237*G142+H237*H142+I237*I142+J237*J142+K237*K142+L237*L142+M237*M142+N237*N142+O237*O142+P237*P142+Q237*Q142+R237*R142+S237*S142+T237*T142+U237*U142+V237*V142+W237*W142+X237*X142+Y237*Y142+Z237*Z142+AA237*AA142+AB237*AB142+AC237*AC142+AD237*AD142+AE237*AE142+AF237*AF142+AG237*AG142+AH237*AH142+AI237*AI142+AJ237*AJ142+AK237*AK142+AL237*AL142+AM237*AM142+AN237*AN142+AO237*AO142+AP237*AP142+AQ237*AQ142+AR237*AR142+AS237*AS142+AT237*AT142+AU237*AU142+AV237*AV142+AW237*AW142+AX237*AX142+AY237*AY142+AZ237*AZ142+BA237*BA142+BB237*BB142+BC237*BC142+BD237*BD142+BE237*BE142+BF237*BF142+BG237*BG142+BH237*BH142+BI237*BI142+BJ237*BJ142+BK237*BK142+BL237*BL142+BM237*BM142+BN237*BN142+BO237*BO142+BP237*BP142+BQ237*BQ142+BR237*BR142+BS237*BS142+BT237*BT142+BU237*BU142+BV237*BV142+BW237*BW142+BX237*BX142+BY237*BY142+BZ237*BZ142+CA237*CA142+CB237*CB142+CC237*CC142+CD237*CD142+CE237*CE142+CF237*CF142+CG237*CG142+CH237*CH142+CI237*CI142+CJ237*CJ142+CK237*CK142</f>
        <v>6.9388939039072284E-18</v>
      </c>
      <c r="CP142" s="2296">
        <f>E238*E142+F238*F142+G238*G142+H238*H142+I238*I142+J238*J142+K238*K142+L238*L142+M238*M142+N238*N142+O238*O142+P238*P142+Q238*Q142+R238*R142+S238*S142+T238*T142+U238*U142+V238*V142+W238*W142+X238*X142+Y238*Y142+Z238*Z142+AA238*AA142+AB238*AB142+AC238*AC142+AD238*AD142+AE238*AE142+AF238*AF142+AG238*AG142+AH238*AH142+AI238*AI142+AJ238*AJ142+AK238*AK142+AL238*AL142+AM238*AM142+AN238*AN142+AO238*AO142+AP238*AP142+AQ238*AQ142+AR238*AR142+AS238*AS142+AT238*AT142+AU238*AU142+AV238*AV142+AW238*AW142+AX238*AX142+AY238*AY142+AZ238*AZ142+BA238*BA142+BB238*BB142+BC238*BC142+BD238*BD142+BE238*BE142+BF238*BF142+BG238*BG142+BH238*BH142+BI238*BI142+BJ238*BJ142+BK238*BK142+BL238*BL142+BM238*BM142+BN238*BN142+BO238*BO142+BP238*BP142+BQ238*BQ142+BR238*BR142+BS238*BS142+BT238*BT142+BU238*BU142+BV238*BV142+BW238*BW142+BX238*BX142+BY238*BY142+BZ238*BZ142+CA238*CA142+CB238*CB142+CC238*CC142+CD238*CD142+CE238*CE142+CF238*CF142+CG238*CG142+CH238*CH142+CI238*CI142+CJ238*CJ142+CK238*CK142</f>
        <v>0</v>
      </c>
      <c r="CQ142" s="2297">
        <f>E239*E142+F239*F142+G239*G142+H239*H142+I239*I142+J239*J142+K239*K142+L239*L142+M239*M142+N239*N142+O239*O142+P239*P142+Q239*Q142+R239*R142+S239*S142+T239*T142+U239*U142+V239*V142+W239*W142+X239*X142+Y239*Y142+Z239*Z142+AA239*AA142+AB239*AB142+AC239*AC142+AD239*AD142+AE239*AE142+AF239*AF142+AG239*AG142+AH239*AH142+AI239*AI142+AJ239*AJ142+AK239*AK142+AL239*AL142+AM239*AM142+AN239*AN142+AO239*AO142+AP239*AP142+AQ239*AQ142+AR239*AR142+AS239*AS142+AT239*AT142+AU239*AU142+AV239*AV142+AW239*AW142+AX239*AX142+AY239*AY142+AZ239*AZ142+BA239*BA142+BB239*BB142+BC239*BC142+BD239*BD142+BE239*BE142+BF239*BF142+BG239*BG142+BH239*BH142+BI239*BI142+BJ239*BJ142+BK239*BK142+BL239*BL142+BM239*BM142+BN239*BN142+BO239*BO142+BP239*BP142+BQ239*BQ142+BR239*BR142+BS239*BS142+BT239*BT142+BU239*BU142+BV239*BV142+BW239*BW142+BX239*BX142+BY239*BY142+BZ239*BZ142+CA239*CA142+CB239*CB142+CC239*CC142+CD239*CD142+CE239*CE142+CF239*CF142+CG239*CG142+CH239*CH142+CI239*CI142+CJ239*CJ142+CK239*CK142</f>
        <v>0</v>
      </c>
      <c r="CR142" s="2297">
        <f>E240*E142+F240*F142+G240*G142+H240*H142+I240*I142+J240*J142+K240*K142+L240*L142+M240*M142+N240*N142+O240*O142+P240*P142+Q240*Q142+R240*R142+S240*S142+T240*T142+U240*U142+V240*V142+W240*W142+X240*X142+Y240*Y142+Z240*Z142+AA240*AA142+AB240*AB142+AC240*AC142+AD240*AD142+AE240*AE142+AF240*AF142+AG240*AG142+AH240*AH142+AI240*AI142+AJ240*AJ142+AK240*AK142+AL240*AL142+AM240*AM142+AN240*AN142+AO240*AO142+AP240*AP142+AQ240*AQ142+AR240*AR142+AS240*AS142+AT240*AT142+AU240*AU142+AV240*AV142+AW240*AW142+AX240*AX142+AY240*AY142+AZ240*AZ142+BA240*BA142+BB240*BB142+BC240*BC142+BD240*BD142+BE240*BE142+BF240*BF142+BG240*BG142+BH240*BH142+BI240*BI142+BJ240*BJ142+BK240*BK142+BL240*BL142+BM240*BM142+BN240*BN142+BO240*BO142+BP240*BP142+BQ240*BQ142+BR240*BR142+BS240*BS142+BT240*BT142+BU240*BU142+BV240*BV142+BW240*BW142+BX240*BX142+BY240*BY142+BZ240*BZ142+CA240*CA142+CB240*CB142+CC240*CC142+CD240*CD142+CE240*CE142+CF240*CF142+CG240*CG142+CH240*CH142+CI240*CI142+CJ240*CJ142+CK240*CK142</f>
        <v>0</v>
      </c>
      <c r="CS142" s="2297">
        <f>E241*E142+F241*F142+G241*G142+H241*H142+I241*I142+J241*J142+K241*K142+L241*L142+M241*M142+N241*N142+O241*O142+P241*P142+Q241*Q142+R241*R142+S241*S142+T241*T142+U241*U142+V241*V142+W241*W142+X241*X142+Y241*Y142+Z241*Z142+AA241*AA142+AB241*AB142+AC241*AC142+AD241*AD142+AE241*AE142+AF241*AF142+AG241*AG142+AH241*AH142+AI241*AI142+AJ241*AJ142+AK241*AK142+AL241*AL142+AM241*AM142+AN241*AN142+AO241*AO142+AP241*AP142+AQ241*AQ142+AR241*AR142+AS241*AS142+AT241*AT142+AU241*AU142+AV241*AV142+AW241*AW142+AX241*AX142+AY241*AY142+AZ241*AZ142+BA241*BA142+BB241*BB142+BC241*BC142+BD241*BD142+BE241*BE142+BF241*BF142+BG241*BG142+BH241*BH142+BI241*BI142+BJ241*BJ142+BK241*BK142+BL241*BL142+BM241*BM142+BN241*BN142+BO241*BO142+BP241*BP142+BQ241*BQ142+BR241*BR142+BS241*BS142+BT241*BT142+BU241*BU142+BV241*BV142+BW241*BW142+BX241*BX142+BY241*BY142+BZ241*BZ142+CA241*CA142+CB241*CB142+CC241*CC142+CD241*CD142+CE241*CE142+CF241*CF142+CG241*CG142+CH241*CH142+CI241*CI142+CJ241*CJ142+CK241*CK142</f>
        <v>0</v>
      </c>
      <c r="CT142" s="2297">
        <f>E242*E142+F242*F142+G242*G142+H242*H142+I242*I142+J242*J142+K242*K142+L242*L142+M242*M142+N242*N142+O242*O142+P242*P142+Q242*Q142+R242*R142+S242*S142+T242*T142+U242*U142+V242*V142+W242*W142+X242*X142+Y242*Y142+Z242*Z142+AA242*AA142+AB242*AB142+AC242*AC142+AD242*AD142+AE242*AE142+AF242*AF142+AG242*AG142+AH242*AH142+AI242*AI142+AJ242*AJ142+AK242*AK142+AL242*AL142+AM242*AM142+AN242*AN142+AO242*AO142+AP242*AP142+AQ242*AQ142+AR242*AR142+AS242*AS142+AT242*AT142+AU242*AU142+AV242*AV142+AW242*AW142+AX242*AX142+AY242*AY142+AZ242*AZ142+BA242*BA142+BB242*BB142+BC242*BC142+BD242*BD142+BE242*BE142+BF242*BF142+BG242*BG142+BH242*BH142+BI242*BI142+BJ242*BJ142+BK242*BK142+BL242*BL142+BM242*BM142+BN242*BN142+BO242*BO142+BP242*BP142+BQ242*BQ142+BR242*BR142+BS242*BS142+BT242*BT142+BU242*BU142+BV242*BV142+BW242*BW142+BX242*BX142+BY242*BY142+BZ242*BZ142+CA242*CA142+CB242*CB142+CC242*CC142+CD242*CD142+CE242*CE142+CF242*CF142+CG242*CG142+CH242*CH142+CI242*CI142+CJ242*CJ142+CK242*CK142</f>
        <v>0</v>
      </c>
      <c r="CU142" s="2297">
        <f>E243*E142+F243*F142+G243*G142+H243*H142+I243*I142+J243*J142+K243*K142+L243*L142+M243*M142+N243*N142+O243*O142+P243*P142+Q243*Q142+R243*R142+S243*S142+T243*T142+U243*U142+V243*V142+W243*W142+X243*X142+Y243*Y142+Z243*Z142+AA243*AA142+AB243*AB142+AC243*AC142+AD243*AD142+AE243*AE142+AF243*AF142+AG243*AG142+AH243*AH142+AI243*AI142+AJ243*AJ142+AK243*AK142+AL243*AL142+AM243*AM142+AN243*AN142+AO243*AO142+AP243*AP142+AQ243*AQ142+AR243*AR142+AS243*AS142+AT243*AT142+AU243*AU142+AV243*AV142+AW243*AW142+AX243*AX142+AY243*AY142+AZ243*AZ142+BA243*BA142+BB243*BB142+BC243*BC142+BD243*BD142+BE243*BE142+BF243*BF142+BG243*BG142+BH243*BH142+BI243*BI142+BJ243*BJ142+BK243*BK142+BL243*BL142+BM243*BM142+BN243*BN142+BO243*BO142+BP243*BP142+BQ243*BQ142+BR243*BR142+BS243*BS142+BT243*BT142+BU243*BU142+BV243*BV142+BW243*BW142+BX243*BX142+BY243*BY142+BZ243*BZ142+CA243*CA142+CB243*CB142+CC243*CC142+CD243*CD142+CE243*CE142+CF243*CF142+CG243*CG142+CH243*CH142+CI243*CI142+CJ243*CJ142+CK243*CK142</f>
        <v>0</v>
      </c>
      <c r="CV142" s="2297">
        <f>E244*E142+F244*F142+G244*G142+H244*H142+I244*I142+J244*J142+K244*K142+L244*L142+M244*M142+N244*N142+O244*O142+P244*P142+Q244*Q142+R244*R142+S244*S142+T244*T142+U244*U142+V244*V142+W244*W142+X244*X142+Y244*Y142+Z244*Z142+AA244*AA142+AB244*AB142+AC244*AC142+AD244*AD142+AE244*AE142+AF244*AF142+AG244*AG142+AH244*AH142+AI244*AI142+AJ244*AJ142+AK244*AK142+AL244*AL142+AM244*AM142+AN244*AN142+AO244*AO142+AP244*AP142+AQ244*AQ142+AR244*AR142+AS244*AS142+AT244*AT142+AU244*AU142+AV244*AV142+AW244*AW142+AX244*AX142+AY244*AY142+AZ244*AZ142+BA244*BA142+BB244*BB142+BC244*BC142+BD244*BD142+BE244*BE142+BF244*BF142+BG244*BG142+BH244*BH142+BI244*BI142+BJ244*BJ142+BK244*BK142+BL244*BL142+BM244*BM142+BN244*BN142+BO244*BO142+BP244*BP142+BQ244*BQ142+BR244*BR142+BS244*BS142+BT244*BT142+BU244*BU142+BV244*BV142+BW244*BW142+BX244*BX142+BY244*BY142+BZ244*BZ142+CA244*CA142+CB244*CB142+CC244*CC142+CD244*CD142+CE244*CE142+CF244*CF142+CG244*CG142+CH244*CH142+CI244*CI142+CJ244*CJ142+CK244*CK142</f>
        <v>0</v>
      </c>
      <c r="CW142" s="2297">
        <f>E245*E142+F245*F142+G245*G142+H245*H142+I245*I142+J245*J142+K245*K142+L245*L142+M245*M142+N245*N142+O245*O142+P245*P142+Q245*Q142+R245*R142+S245*S142+T245*T142+U245*U142+V245*V142+W245*W142+X245*X142+Y245*Y142+Z245*Z142+AA245*AA142+AB245*AB142+AC245*AC142+AD245*AD142+AE245*AE142+AF245*AF142+AG245*AG142+AH245*AH142+AI245*AI142+AJ245*AJ142+AK245*AK142+AL245*AL142+AM245*AM142+AN245*AN142+AO245*AO142+AP245*AP142+AQ245*AQ142+AR245*AR142+AS245*AS142+AT245*AT142+AU245*AU142+AV245*AV142+AW245*AW142+AX245*AX142+AY245*AY142+AZ245*AZ142+BA245*BA142+BB245*BB142+BC245*BC142+BD245*BD142+BE245*BE142+BF245*BF142+BG245*BG142+BH245*BH142+BI245*BI142+BJ245*BJ142+BK245*BK142+BL245*BL142+BM245*BM142+BN245*BN142+BO245*BO142+BP245*BP142+BQ245*BQ142+BR245*BR142+BS245*BS142+BT245*BT142+BU245*BU142+BV245*BV142+BW245*BW142+BX245*BX142+BY245*BY142+BZ245*BZ142+CA245*CA142+CB245*CB142+CC245*CC142+CD245*CD142+CE245*CE142+CF245*CF142+CG245*CG142+CH245*CH142+CI245*CI142+CJ245*CJ142+CK245*CK142</f>
        <v>0</v>
      </c>
      <c r="CX142" s="2297">
        <f>E246*E142+F246*F142+G246*G142+H246*H142+I246*I142+J246*J142+K246*K142+L246*L142+M246*M142+N246*N142+O246*O142+P246*P142+Q246*Q142+R246*R142+S246*S142+T246*T142+U246*U142+V246*V142+W246*W142+X246*X142+Y246*Y142+Z246*Z142+AA246*AA142+AB246*AB142+AC246*AC142+AD246*AD142+AE246*AE142+AF246*AF142+AG246*AG142+AH246*AH142+AI246*AI142+AJ246*AJ142+AK246*AK142+AL246*AL142+AM246*AM142+AN246*AN142+AO246*AO142+AP246*AP142+AQ246*AQ142+AR246*AR142+AS246*AS142+AT246*AT142+AU246*AU142+AV246*AV142+AW246*AW142+AX246*AX142+AY246*AY142+AZ246*AZ142+BA246*BA142+BB246*BB142+BC246*BC142+BD246*BD142+BE246*BE142+BF246*BF142+BG246*BG142+BH246*BH142+BI246*BI142+BJ246*BJ142+BK246*BK142+BL246*BL142+BM246*BM142+BN246*BN142+BO246*BO142+BP246*BP142+BQ246*BQ142+BR246*BR142+BS246*BS142+BT246*BT142+BU246*BU142+BV246*BV142+BW246*BW142+BX246*BX142+BY246*BY142+BZ246*BZ142+CA246*CA142+CB246*CB142+CC246*CC142+CD246*CD142+CE246*CE142+CF246*CF142+CG246*CG142+CH246*CH142+CI246*CI142+CJ246*CJ142+CK246*CK142</f>
        <v>0</v>
      </c>
    </row>
    <row r="143" spans="2:102" ht="18" x14ac:dyDescent="0.25">
      <c r="B143" s="1245">
        <v>16</v>
      </c>
      <c r="C143" s="586" t="s">
        <v>238</v>
      </c>
      <c r="D143" s="587" t="s">
        <v>5213</v>
      </c>
      <c r="E143" s="2656">
        <f>0</f>
        <v>0</v>
      </c>
      <c r="F143" s="2656">
        <f>0</f>
        <v>0</v>
      </c>
      <c r="G143" s="2656">
        <f>0</f>
        <v>0</v>
      </c>
      <c r="H143" s="2656">
        <f>0</f>
        <v>0</v>
      </c>
      <c r="I143" s="2656">
        <f>0</f>
        <v>0</v>
      </c>
      <c r="J143" s="2692">
        <f>0</f>
        <v>0</v>
      </c>
      <c r="K143" s="2656">
        <f>0</f>
        <v>0</v>
      </c>
      <c r="L143" s="2656">
        <f>0</f>
        <v>0</v>
      </c>
      <c r="M143" s="2656">
        <f>0</f>
        <v>0</v>
      </c>
      <c r="N143" s="2659">
        <f>-(X_PHA_PAO/X_STC)/Y_CASTO_STC_ox</f>
        <v>-1.371742112482853</v>
      </c>
      <c r="O143" s="2659">
        <f>-(X_PHA_GAO/X_STC)/Y_CASTO_STC_ox</f>
        <v>-0.20576131687242796</v>
      </c>
      <c r="P143" s="2656">
        <f>0</f>
        <v>0</v>
      </c>
      <c r="Q143" s="2656">
        <f>0</f>
        <v>0</v>
      </c>
      <c r="R143" s="2656">
        <f>0</f>
        <v>0</v>
      </c>
      <c r="S143" s="2656">
        <f>1</f>
        <v>1</v>
      </c>
      <c r="T143" s="2656">
        <f>0</f>
        <v>0</v>
      </c>
      <c r="U143" s="2656">
        <f>0</f>
        <v>0</v>
      </c>
      <c r="V143" s="2656">
        <f>0</f>
        <v>0</v>
      </c>
      <c r="W143" s="2656">
        <f>0</f>
        <v>0</v>
      </c>
      <c r="X143" s="2656">
        <f>0</f>
        <v>0</v>
      </c>
      <c r="Y143" s="2656">
        <f>0</f>
        <v>0</v>
      </c>
      <c r="Z143" s="2660">
        <f>0</f>
        <v>0</v>
      </c>
      <c r="AA143" s="2656">
        <f>-i_N_BIO</f>
        <v>-7.0000000000000007E-2</v>
      </c>
      <c r="AB143" s="2656">
        <f>0</f>
        <v>0</v>
      </c>
      <c r="AC143" s="2656">
        <f>0</f>
        <v>0</v>
      </c>
      <c r="AD143" s="2656">
        <f>0</f>
        <v>0</v>
      </c>
      <c r="AE143" s="2656">
        <f>0</f>
        <v>0</v>
      </c>
      <c r="AF143" s="2656">
        <f>0</f>
        <v>0</v>
      </c>
      <c r="AG143" s="2656">
        <f>0</f>
        <v>0</v>
      </c>
      <c r="AH143" s="2656">
        <f>0</f>
        <v>0</v>
      </c>
      <c r="AI143" s="2703">
        <f>-i_P_BIO</f>
        <v>-0.02</v>
      </c>
      <c r="AJ143" s="2656">
        <f>0</f>
        <v>0</v>
      </c>
      <c r="AK143" s="2656">
        <f>0</f>
        <v>0</v>
      </c>
      <c r="AL143" s="2656">
        <f>0</f>
        <v>0</v>
      </c>
      <c r="AM143" s="2656">
        <f>0</f>
        <v>0</v>
      </c>
      <c r="AN143" s="2656">
        <f>0</f>
        <v>0</v>
      </c>
      <c r="AO143" s="2659">
        <f>-(1-Y_CASTO_STC_ox)/Y_CASTO_STC_ox</f>
        <v>-0.57750342935528098</v>
      </c>
      <c r="AP143" s="2704">
        <f>0</f>
        <v>0</v>
      </c>
      <c r="AQ143" s="2704">
        <f>0</f>
        <v>0</v>
      </c>
      <c r="AR143" s="2659">
        <f>(i_CIT_STC/Y_CASTO_STC_ox)-i_CIT_BIO</f>
        <v>0.1733086419753086</v>
      </c>
      <c r="AS143" s="2743">
        <f>i_INORG</f>
        <v>0.11</v>
      </c>
      <c r="AT143" s="2659">
        <f>-i_INORG*(1-i_Ca_INORG*(A_MCa+2*A_MCl)/A_MCa-i_Mg_INORG*(A_MMg+2*A_MCl)/A_MMg)*f_Na</f>
        <v>-2.8804303582798466E-2</v>
      </c>
      <c r="AU143" s="2659">
        <f>-i_INORG*(i_Ca_INORG*(2*A_MCl)/A_MCa+i_Mg_INORG*(2*A_MCl)/A_MMg)-i_INORG*(1-i_Ca_INORG*(A_MCa+2*A_MCl)/A_MCa-i_Mg_INORG*(A_MMg+2*A_MCl)/A_MMg)*(1-f_Na)</f>
        <v>-7.0195696417201539E-2</v>
      </c>
      <c r="AV143" s="2659">
        <f>-i_INORG*i_Ca_INORG</f>
        <v>-5.5000000000000005E-3</v>
      </c>
      <c r="AW143" s="2659">
        <f>-i_INORG*i_Mg_INORG</f>
        <v>-5.5000000000000005E-3</v>
      </c>
      <c r="AX143" s="2659">
        <f>0</f>
        <v>0</v>
      </c>
      <c r="AY143" s="2704">
        <f>0</f>
        <v>0</v>
      </c>
      <c r="AZ143" s="2704">
        <f>0</f>
        <v>0</v>
      </c>
      <c r="BA143" s="2704">
        <f>0</f>
        <v>0</v>
      </c>
      <c r="BB143" s="2704">
        <f>0</f>
        <v>0</v>
      </c>
      <c r="BC143" s="2704">
        <f>0</f>
        <v>0</v>
      </c>
      <c r="BD143" s="2704">
        <f>0</f>
        <v>0</v>
      </c>
      <c r="BE143" s="2704">
        <f>0</f>
        <v>0</v>
      </c>
      <c r="BF143" s="2704">
        <f>0</f>
        <v>0</v>
      </c>
      <c r="BG143" s="2704">
        <f>0</f>
        <v>0</v>
      </c>
      <c r="BH143" s="2704">
        <f>0</f>
        <v>0</v>
      </c>
      <c r="BI143" s="2704">
        <f>0</f>
        <v>0</v>
      </c>
      <c r="BJ143" s="2704">
        <f>0</f>
        <v>0</v>
      </c>
      <c r="BK143" s="2704">
        <f>0</f>
        <v>0</v>
      </c>
      <c r="BL143" s="2704">
        <f>0</f>
        <v>0</v>
      </c>
      <c r="BM143" s="2704">
        <f>0</f>
        <v>0</v>
      </c>
      <c r="BN143" s="2704">
        <f>0</f>
        <v>0</v>
      </c>
      <c r="BO143" s="2704">
        <f>0</f>
        <v>0</v>
      </c>
      <c r="BP143" s="2703">
        <f>0</f>
        <v>0</v>
      </c>
      <c r="BQ143" s="2704">
        <f>0</f>
        <v>0</v>
      </c>
      <c r="BR143" s="2704">
        <f>0</f>
        <v>0</v>
      </c>
      <c r="BS143" s="2705">
        <f>0</f>
        <v>0</v>
      </c>
      <c r="BT143" s="2705">
        <f>0</f>
        <v>0</v>
      </c>
      <c r="BU143" s="2705">
        <f>0</f>
        <v>0</v>
      </c>
      <c r="BV143" s="2705">
        <f>0</f>
        <v>0</v>
      </c>
      <c r="BW143" s="2704">
        <f>0</f>
        <v>0</v>
      </c>
      <c r="BX143" s="2659">
        <f>0</f>
        <v>0</v>
      </c>
      <c r="BY143" s="2705">
        <f>0</f>
        <v>0</v>
      </c>
      <c r="BZ143" s="2704">
        <f>0</f>
        <v>0</v>
      </c>
      <c r="CA143" s="2704">
        <f>0</f>
        <v>0</v>
      </c>
      <c r="CB143" s="2704">
        <f>0</f>
        <v>0</v>
      </c>
      <c r="CC143" s="2704">
        <f>0</f>
        <v>0</v>
      </c>
      <c r="CD143" s="2704">
        <f>0</f>
        <v>0</v>
      </c>
      <c r="CE143" s="2704">
        <f>0</f>
        <v>0</v>
      </c>
      <c r="CF143" s="2704">
        <f>0</f>
        <v>0</v>
      </c>
      <c r="CG143" s="2704">
        <f>0</f>
        <v>0</v>
      </c>
      <c r="CH143" s="2704">
        <f>0</f>
        <v>0</v>
      </c>
      <c r="CI143" s="2704">
        <f>0</f>
        <v>0</v>
      </c>
      <c r="CJ143" s="2704">
        <f>0</f>
        <v>0</v>
      </c>
      <c r="CK143" s="2704">
        <f>0</f>
        <v>0</v>
      </c>
      <c r="CL143" s="2803">
        <f>µ_CASTO_T*X_CASTO*M_RsatXSTC_XCASTO_KSTC*M_satSO2_KO2_CASTO*M_satSNHx_KNHx_BIO*M_satSPO4_KPO4_BIO*M_satSCAT_KCAT*M_satSAN_KAN*M_satSCa_KCa_PAO*M_satSMg_KMg_PAO*B_ellinhpH</f>
        <v>151.76849076728641</v>
      </c>
      <c r="CN143" s="2295">
        <f>E236*E143+F236*F143+G236*G143+H236*H143+I236*I143+J236*J143+K236*K143+L236*L143+M236*M143+N236*N143+O236*O143+P236*P143+Q236*Q143+R236*R143+S236*S143+T236*T143+U236*U143+V236*V143+W236*W143+X236*X143+Y236*Y143+Z236*Z143+AA236*AA143+AB236*AB143+AC236*AC143+AD236*AD143+AE236*AE143+AF236*AF143+AG236*AG143+AH236*AH143+AI236*AI143+AJ236*AJ143+AK236*AK143+AL236*AL143+AM236*AM143+AN236*AN143+AO236*AO143+AP236*AP143+AQ236*AQ143+AR236*AR143+AS236*AS143+AT236*AT143+AU236*AU143+AV236*AV143+AW236*AW143+AX236*AX143+AY236*AY143+AZ236*AZ143+BA236*BA143+BB236*BB143+BC236*BC143+BD236*BD143+BE236*BE143+BF236*BF143+BG236*BG143+BH236*BH143+BI236*BI143+BJ236*BJ143+BK236*BK143+BL236*BL143+BM236*BM143+BN236*BN143+BO236*BO143+BP236*BP143+BQ236*BQ143+BR236*BR143+BS236*BS143+BT236*BT143+BU236*BU143+BV236*BV143+BW236*BW143+BX236*BX143+BY236*BY143+BZ236*BZ143+CA236*CA143+CB236*CB143+CC236*CC143+CD236*CD143+CE236*CE143+CF236*CF143+CG236*CG143+CH236*CH143+CI236*CI143+CJ236*CJ143+CK236*CK143</f>
        <v>0</v>
      </c>
      <c r="CO143" s="2295">
        <f>E237*E143+F237*F143+G237*G143+H237*H143+I237*I143+J237*J143+K237*K143+L237*L143+M237*M143+N237*N143+O237*O143+P237*P143+Q237*Q143+R237*R143+S237*S143+T237*T143+U237*U143+V237*V143+W237*W143+X237*X143+Y237*Y143+Z237*Z143+AA237*AA143+AB237*AB143+AC237*AC143+AD237*AD143+AE237*AE143+AF237*AF143+AG237*AG143+AH237*AH143+AI237*AI143+AJ237*AJ143+AK237*AK143+AL237*AL143+AM237*AM143+AN237*AN143+AO237*AO143+AP237*AP143+AQ237*AQ143+AR237*AR143+AS237*AS143+AT237*AT143+AU237*AU143+AV237*AV143+AW237*AW143+AX237*AX143+AY237*AY143+AZ237*AZ143+BA237*BA143+BB237*BB143+BC237*BC143+BD237*BD143+BE237*BE143+BF237*BF143+BG237*BG143+BH237*BH143+BI237*BI143+BJ237*BJ143+BK237*BK143+BL237*BL143+BM237*BM143+BN237*BN143+BO237*BO143+BP237*BP143+BQ237*BQ143+BR237*BR143+BS237*BS143+BT237*BT143+BU237*BU143+BV237*BV143+BW237*BW143+BX237*BX143+BY237*BY143+BZ237*BZ143+CA237*CA143+CB237*CB143+CC237*CC143+CD237*CD143+CE237*CE143+CF237*CF143+CG237*CG143+CH237*CH143+CI237*CI143+CJ237*CJ143+CK237*CK143</f>
        <v>0</v>
      </c>
      <c r="CP143" s="2296">
        <f>E238*E143+F238*F143+G238*G143+H238*H143+I238*I143+J238*J143+K238*K143+L238*L143+M238*M143+N238*N143+O238*O143+P238*P143+Q238*Q143+R238*R143+S238*S143+T238*T143+U238*U143+V238*V143+W238*W143+X238*X143+Y238*Y143+Z238*Z143+AA238*AA143+AB238*AB143+AC238*AC143+AD238*AD143+AE238*AE143+AF238*AF143+AG238*AG143+AH238*AH143+AI238*AI143+AJ238*AJ143+AK238*AK143+AL238*AL143+AM238*AM143+AN238*AN143+AO238*AO143+AP238*AP143+AQ238*AQ143+AR238*AR143+AS238*AS143+AT238*AT143+AU238*AU143+AV238*AV143+AW238*AW143+AX238*AX143+AY238*AY143+AZ238*AZ143+BA238*BA143+BB238*BB143+BC238*BC143+BD238*BD143+BE238*BE143+BF238*BF143+BG238*BG143+BH238*BH143+BI238*BI143+BJ238*BJ143+BK238*BK143+BL238*BL143+BM238*BM143+BN238*BN143+BO238*BO143+BP238*BP143+BQ238*BQ143+BR238*BR143+BS238*BS143+BT238*BT143+BU238*BU143+BV238*BV143+BW238*BW143+BX238*BX143+BY238*BY143+BZ238*BZ143+CA238*CA143+CB238*CB143+CC238*CC143+CD238*CD143+CE238*CE143+CF238*CF143+CG238*CG143+CH238*CH143+CI238*CI143+CJ238*CJ143+CK238*CK143</f>
        <v>0</v>
      </c>
      <c r="CQ143" s="2297">
        <f>E239*E143+F239*F143+G239*G143+H239*H143+I239*I143+J239*J143+K239*K143+L239*L143+M239*M143+N239*N143+O239*O143+P239*P143+Q239*Q143+R239*R143+S239*S143+T239*T143+U239*U143+V239*V143+W239*W143+X239*X143+Y239*Y143+Z239*Z143+AA239*AA143+AB239*AB143+AC239*AC143+AD239*AD143+AE239*AE143+AF239*AF143+AG239*AG143+AH239*AH143+AI239*AI143+AJ239*AJ143+AK239*AK143+AL239*AL143+AM239*AM143+AN239*AN143+AO239*AO143+AP239*AP143+AQ239*AQ143+AR239*AR143+AS239*AS143+AT239*AT143+AU239*AU143+AV239*AV143+AW239*AW143+AX239*AX143+AY239*AY143+AZ239*AZ143+BA239*BA143+BB239*BB143+BC239*BC143+BD239*BD143+BE239*BE143+BF239*BF143+BG239*BG143+BH239*BH143+BI239*BI143+BJ239*BJ143+BK239*BK143+BL239*BL143+BM239*BM143+BN239*BN143+BO239*BO143+BP239*BP143+BQ239*BQ143+BR239*BR143+BS239*BS143+BT239*BT143+BU239*BU143+BV239*BV143+BW239*BW143+BX239*BX143+BY239*BY143+BZ239*BZ143+CA239*CA143+CB239*CB143+CC239*CC143+CD239*CD143+CE239*CE143+CF239*CF143+CG239*CG143+CH239*CH143+CI239*CI143+CJ239*CJ143+CK239*CK143</f>
        <v>0</v>
      </c>
      <c r="CR143" s="2297">
        <f>E240*E143+F240*F143+G240*G143+H240*H143+I240*I143+J240*J143+K240*K143+L240*L143+M240*M143+N240*N143+O240*O143+P240*P143+Q240*Q143+R240*R143+S240*S143+T240*T143+U240*U143+V240*V143+W240*W143+X240*X143+Y240*Y143+Z240*Z143+AA240*AA143+AB240*AB143+AC240*AC143+AD240*AD143+AE240*AE143+AF240*AF143+AG240*AG143+AH240*AH143+AI240*AI143+AJ240*AJ143+AK240*AK143+AL240*AL143+AM240*AM143+AN240*AN143+AO240*AO143+AP240*AP143+AQ240*AQ143+AR240*AR143+AS240*AS143+AT240*AT143+AU240*AU143+AV240*AV143+AW240*AW143+AX240*AX143+AY240*AY143+AZ240*AZ143+BA240*BA143+BB240*BB143+BC240*BC143+BD240*BD143+BE240*BE143+BF240*BF143+BG240*BG143+BH240*BH143+BI240*BI143+BJ240*BJ143+BK240*BK143+BL240*BL143+BM240*BM143+BN240*BN143+BO240*BO143+BP240*BP143+BQ240*BQ143+BR240*BR143+BS240*BS143+BT240*BT143+BU240*BU143+BV240*BV143+BW240*BW143+BX240*BX143+BY240*BY143+BZ240*BZ143+CA240*CA143+CB240*CB143+CC240*CC143+CD240*CD143+CE240*CE143+CF240*CF143+CG240*CG143+CH240*CH143+CI240*CI143+CJ240*CJ143+CK240*CK143</f>
        <v>0</v>
      </c>
      <c r="CS143" s="2297">
        <f>E241*E143+F241*F143+G241*G143+H241*H143+I241*I143+J241*J143+K241*K143+L241*L143+M241*M143+N241*N143+O241*O143+P241*P143+Q241*Q143+R241*R143+S241*S143+T241*T143+U241*U143+V241*V143+W241*W143+X241*X143+Y241*Y143+Z241*Z143+AA241*AA143+AB241*AB143+AC241*AC143+AD241*AD143+AE241*AE143+AF241*AF143+AG241*AG143+AH241*AH143+AI241*AI143+AJ241*AJ143+AK241*AK143+AL241*AL143+AM241*AM143+AN241*AN143+AO241*AO143+AP241*AP143+AQ241*AQ143+AR241*AR143+AS241*AS143+AT241*AT143+AU241*AU143+AV241*AV143+AW241*AW143+AX241*AX143+AY241*AY143+AZ241*AZ143+BA241*BA143+BB241*BB143+BC241*BC143+BD241*BD143+BE241*BE143+BF241*BF143+BG241*BG143+BH241*BH143+BI241*BI143+BJ241*BJ143+BK241*BK143+BL241*BL143+BM241*BM143+BN241*BN143+BO241*BO143+BP241*BP143+BQ241*BQ143+BR241*BR143+BS241*BS143+BT241*BT143+BU241*BU143+BV241*BV143+BW241*BW143+BX241*BX143+BY241*BY143+BZ241*BZ143+CA241*CA143+CB241*CB143+CC241*CC143+CD241*CD143+CE241*CE143+CF241*CF143+CG241*CG143+CH241*CH143+CI241*CI143+CJ241*CJ143+CK241*CK143</f>
        <v>0</v>
      </c>
      <c r="CT143" s="2297">
        <f>E242*E143+F242*F143+G242*G143+H242*H143+I242*I143+J242*J143+K242*K143+L242*L143+M242*M143+N242*N143+O242*O143+P242*P143+Q242*Q143+R242*R143+S242*S143+T242*T143+U242*U143+V242*V143+W242*W143+X242*X143+Y242*Y143+Z242*Z143+AA242*AA143+AB242*AB143+AC242*AC143+AD242*AD143+AE242*AE143+AF242*AF143+AG242*AG143+AH242*AH143+AI242*AI143+AJ242*AJ143+AK242*AK143+AL242*AL143+AM242*AM143+AN242*AN143+AO242*AO143+AP242*AP143+AQ242*AQ143+AR242*AR143+AS242*AS143+AT242*AT143+AU242*AU143+AV242*AV143+AW242*AW143+AX242*AX143+AY242*AY143+AZ242*AZ143+BA242*BA143+BB242*BB143+BC242*BC143+BD242*BD143+BE242*BE143+BF242*BF143+BG242*BG143+BH242*BH143+BI242*BI143+BJ242*BJ143+BK242*BK143+BL242*BL143+BM242*BM143+BN242*BN143+BO242*BO143+BP242*BP143+BQ242*BQ143+BR242*BR143+BS242*BS143+BT242*BT143+BU242*BU143+BV242*BV143+BW242*BW143+BX242*BX143+BY242*BY143+BZ242*BZ143+CA242*CA143+CB242*CB143+CC242*CC143+CD242*CD143+CE242*CE143+CF242*CF143+CG242*CG143+CH242*CH143+CI242*CI143+CJ242*CJ143+CK242*CK143</f>
        <v>0</v>
      </c>
      <c r="CU143" s="2297">
        <f>E243*E143+F243*F143+G243*G143+H243*H143+I243*I143+J243*J143+K243*K143+L243*L143+M243*M143+N243*N143+O243*O143+P243*P143+Q243*Q143+R243*R143+S243*S143+T243*T143+U243*U143+V243*V143+W243*W143+X243*X143+Y243*Y143+Z243*Z143+AA243*AA143+AB243*AB143+AC243*AC143+AD243*AD143+AE243*AE143+AF243*AF143+AG243*AG143+AH243*AH143+AI243*AI143+AJ243*AJ143+AK243*AK143+AL243*AL143+AM243*AM143+AN243*AN143+AO243*AO143+AP243*AP143+AQ243*AQ143+AR243*AR143+AS243*AS143+AT243*AT143+AU243*AU143+AV243*AV143+AW243*AW143+AX243*AX143+AY243*AY143+AZ243*AZ143+BA243*BA143+BB243*BB143+BC243*BC143+BD243*BD143+BE243*BE143+BF243*BF143+BG243*BG143+BH243*BH143+BI243*BI143+BJ243*BJ143+BK243*BK143+BL243*BL143+BM243*BM143+BN243*BN143+BO243*BO143+BP243*BP143+BQ243*BQ143+BR243*BR143+BS243*BS143+BT243*BT143+BU243*BU143+BV243*BV143+BW243*BW143+BX243*BX143+BY243*BY143+BZ243*BZ143+CA243*CA143+CB243*CB143+CC243*CC143+CD243*CD143+CE243*CE143+CF243*CF143+CG243*CG143+CH243*CH143+CI243*CI143+CJ243*CJ143+CK243*CK143</f>
        <v>0</v>
      </c>
      <c r="CV143" s="2297">
        <f>E244*E143+F244*F143+G244*G143+H244*H143+I244*I143+J244*J143+K244*K143+L244*L143+M244*M143+N244*N143+O244*O143+P244*P143+Q244*Q143+R244*R143+S244*S143+T244*T143+U244*U143+V244*V143+W244*W143+X244*X143+Y244*Y143+Z244*Z143+AA244*AA143+AB244*AB143+AC244*AC143+AD244*AD143+AE244*AE143+AF244*AF143+AG244*AG143+AH244*AH143+AI244*AI143+AJ244*AJ143+AK244*AK143+AL244*AL143+AM244*AM143+AN244*AN143+AO244*AO143+AP244*AP143+AQ244*AQ143+AR244*AR143+AS244*AS143+AT244*AT143+AU244*AU143+AV244*AV143+AW244*AW143+AX244*AX143+AY244*AY143+AZ244*AZ143+BA244*BA143+BB244*BB143+BC244*BC143+BD244*BD143+BE244*BE143+BF244*BF143+BG244*BG143+BH244*BH143+BI244*BI143+BJ244*BJ143+BK244*BK143+BL244*BL143+BM244*BM143+BN244*BN143+BO244*BO143+BP244*BP143+BQ244*BQ143+BR244*BR143+BS244*BS143+BT244*BT143+BU244*BU143+BV244*BV143+BW244*BW143+BX244*BX143+BY244*BY143+BZ244*BZ143+CA244*CA143+CB244*CB143+CC244*CC143+CD244*CD143+CE244*CE143+CF244*CF143+CG244*CG143+CH244*CH143+CI244*CI143+CJ244*CJ143+CK244*CK143</f>
        <v>0</v>
      </c>
      <c r="CW143" s="2297">
        <f>E245*E143+F245*F143+G245*G143+H245*H143+I245*I143+J245*J143+K245*K143+L245*L143+M245*M143+N245*N143+O245*O143+P245*P143+Q245*Q143+R245*R143+S245*S143+T245*T143+U245*U143+V245*V143+W245*W143+X245*X143+Y245*Y143+Z245*Z143+AA245*AA143+AB245*AB143+AC245*AC143+AD245*AD143+AE245*AE143+AF245*AF143+AG245*AG143+AH245*AH143+AI245*AI143+AJ245*AJ143+AK245*AK143+AL245*AL143+AM245*AM143+AN245*AN143+AO245*AO143+AP245*AP143+AQ245*AQ143+AR245*AR143+AS245*AS143+AT245*AT143+AU245*AU143+AV245*AV143+AW245*AW143+AX245*AX143+AY245*AY143+AZ245*AZ143+BA245*BA143+BB245*BB143+BC245*BC143+BD245*BD143+BE245*BE143+BF245*BF143+BG245*BG143+BH245*BH143+BI245*BI143+BJ245*BJ143+BK245*BK143+BL245*BL143+BM245*BM143+BN245*BN143+BO245*BO143+BP245*BP143+BQ245*BQ143+BR245*BR143+BS245*BS143+BT245*BT143+BU245*BU143+BV245*BV143+BW245*BW143+BX245*BX143+BY245*BY143+BZ245*BZ143+CA245*CA143+CB245*CB143+CC245*CC143+CD245*CD143+CE245*CE143+CF245*CF143+CG245*CG143+CH245*CH143+CI245*CI143+CJ245*CJ143+CK245*CK143</f>
        <v>0</v>
      </c>
      <c r="CX143" s="2297">
        <f>E246*E143+F246*F143+G246*G143+H246*H143+I246*I143+J246*J143+K246*K143+L246*L143+M246*M143+N246*N143+O246*O143+P246*P143+Q246*Q143+R246*R143+S246*S143+T246*T143+U246*U143+V246*V143+W246*W143+X246*X143+Y246*Y143+Z246*Z143+AA246*AA143+AB246*AB143+AC246*AC143+AD246*AD143+AE246*AE143+AF246*AF143+AG246*AG143+AH246*AH143+AI246*AI143+AJ246*AJ143+AK246*AK143+AL246*AL143+AM246*AM143+AN246*AN143+AO246*AO143+AP246*AP143+AQ246*AQ143+AR246*AR143+AS246*AS143+AT246*AT143+AU246*AU143+AV246*AV143+AW246*AW143+AX246*AX143+AY246*AY143+AZ246*AZ143+BA246*BA143+BB246*BB143+BC246*BC143+BD246*BD143+BE246*BE143+BF246*BF143+BG246*BG143+BH246*BH143+BI246*BI143+BJ246*BJ143+BK246*BK143+BL246*BL143+BM246*BM143+BN246*BN143+BO246*BO143+BP246*BP143+BQ246*BQ143+BR246*BR143+BS246*BS143+BT246*BT143+BU246*BU143+BV246*BV143+BW246*BW143+BX246*BX143+BY246*BY143+BZ246*BZ143+CA246*CA143+CB246*CB143+CC246*CC143+CD246*CD143+CE246*CE143+CF246*CF143+CG246*CG143+CH246*CH143+CI246*CI143+CJ246*CJ143+CK246*CK143</f>
        <v>0</v>
      </c>
    </row>
    <row r="144" spans="2:102" ht="18" x14ac:dyDescent="0.25">
      <c r="B144" s="1245">
        <v>17</v>
      </c>
      <c r="C144" s="586" t="s">
        <v>239</v>
      </c>
      <c r="D144" s="587" t="s">
        <v>5214</v>
      </c>
      <c r="E144" s="2656">
        <f>0</f>
        <v>0</v>
      </c>
      <c r="F144" s="2656">
        <f>0</f>
        <v>0</v>
      </c>
      <c r="G144" s="2656">
        <f>0</f>
        <v>0</v>
      </c>
      <c r="H144" s="2656">
        <f>0</f>
        <v>0</v>
      </c>
      <c r="I144" s="2656">
        <f>0</f>
        <v>0</v>
      </c>
      <c r="J144" s="2692">
        <f>0</f>
        <v>0</v>
      </c>
      <c r="K144" s="2656">
        <f>0</f>
        <v>0</v>
      </c>
      <c r="L144" s="2656">
        <f>0</f>
        <v>0</v>
      </c>
      <c r="M144" s="2656">
        <f>0</f>
        <v>0</v>
      </c>
      <c r="N144" s="2659">
        <f>-(X_PHA_PAO/X_STC)/Y_CASTO_STC_anox</f>
        <v>-1.680672268907563</v>
      </c>
      <c r="O144" s="2659">
        <f>-(X_PHA_GAO/X_STC)/Y_CASTO_STC_anox</f>
        <v>-0.25210084033613445</v>
      </c>
      <c r="P144" s="2656">
        <f>0</f>
        <v>0</v>
      </c>
      <c r="Q144" s="2656">
        <f>0</f>
        <v>0</v>
      </c>
      <c r="R144" s="2656">
        <f>0</f>
        <v>0</v>
      </c>
      <c r="S144" s="2656">
        <f>1</f>
        <v>1</v>
      </c>
      <c r="T144" s="2656">
        <f>0</f>
        <v>0</v>
      </c>
      <c r="U144" s="2656">
        <f>0</f>
        <v>0</v>
      </c>
      <c r="V144" s="2656">
        <f>0</f>
        <v>0</v>
      </c>
      <c r="W144" s="2656">
        <f>0</f>
        <v>0</v>
      </c>
      <c r="X144" s="2656">
        <f>0</f>
        <v>0</v>
      </c>
      <c r="Y144" s="2656">
        <f>0</f>
        <v>0</v>
      </c>
      <c r="Z144" s="2660">
        <f>0</f>
        <v>0</v>
      </c>
      <c r="AA144" s="2656">
        <f>-i_N_BIO</f>
        <v>-7.0000000000000007E-2</v>
      </c>
      <c r="AB144" s="2704">
        <f>-(1-Y_CASTO_STC_anox)/(E_EQN2_NO2*Y_CASTO_STC_anox)</f>
        <v>-0.54439846116078094</v>
      </c>
      <c r="AC144" s="2704">
        <f>0</f>
        <v>0</v>
      </c>
      <c r="AD144" s="2704">
        <f>(1-Y_CASTO_STC_anox)/(E_EQN2_NO2*Y_CASTO_STC_anox)</f>
        <v>0.54439846116078094</v>
      </c>
      <c r="AE144" s="2656">
        <f>0</f>
        <v>0</v>
      </c>
      <c r="AF144" s="2656">
        <f>0</f>
        <v>0</v>
      </c>
      <c r="AG144" s="2656">
        <f>0</f>
        <v>0</v>
      </c>
      <c r="AH144" s="2656">
        <f>0</f>
        <v>0</v>
      </c>
      <c r="AI144" s="2703">
        <f>-i_P_BIO</f>
        <v>-0.02</v>
      </c>
      <c r="AJ144" s="2656">
        <f>0</f>
        <v>0</v>
      </c>
      <c r="AK144" s="2656">
        <f>0</f>
        <v>0</v>
      </c>
      <c r="AL144" s="2656">
        <f>0</f>
        <v>0</v>
      </c>
      <c r="AM144" s="2656">
        <f>0</f>
        <v>0</v>
      </c>
      <c r="AN144" s="2656">
        <f>0</f>
        <v>0</v>
      </c>
      <c r="AO144" s="2704">
        <f>0</f>
        <v>0</v>
      </c>
      <c r="AP144" s="2704">
        <f>0</f>
        <v>0</v>
      </c>
      <c r="AQ144" s="2704">
        <f>0</f>
        <v>0</v>
      </c>
      <c r="AR144" s="2659">
        <f>(i_CIT_STC/Y_CASTO_STC_anox)-i_CIT_BIO</f>
        <v>0.29161344537815126</v>
      </c>
      <c r="AS144" s="2743">
        <f>i_INORG</f>
        <v>0.11</v>
      </c>
      <c r="AT144" s="2659">
        <f>-i_INORG*(1-i_Ca_INORG*(A_MCa+2*A_MCl)/A_MCa-i_Mg_INORG*(A_MMg+2*A_MCl)/A_MMg)*f_Na</f>
        <v>-2.8804303582798466E-2</v>
      </c>
      <c r="AU144" s="2659">
        <f>-i_INORG*(i_Ca_INORG*(2*A_MCl)/A_MCa+i_Mg_INORG*(2*A_MCl)/A_MMg)-i_INORG*(1-i_Ca_INORG*(A_MCa+2*A_MCl)/A_MCa-i_Mg_INORG*(A_MMg+2*A_MCl)/A_MMg)*(1-f_Na)</f>
        <v>-7.0195696417201539E-2</v>
      </c>
      <c r="AV144" s="2659">
        <f>-i_INORG*i_Ca_INORG</f>
        <v>-5.5000000000000005E-3</v>
      </c>
      <c r="AW144" s="2659">
        <f>-i_INORG*i_Mg_INORG</f>
        <v>-5.5000000000000005E-3</v>
      </c>
      <c r="AX144" s="2659">
        <f>0</f>
        <v>0</v>
      </c>
      <c r="AY144" s="2704">
        <f>0</f>
        <v>0</v>
      </c>
      <c r="AZ144" s="2704">
        <f>0</f>
        <v>0</v>
      </c>
      <c r="BA144" s="2704">
        <f>0</f>
        <v>0</v>
      </c>
      <c r="BB144" s="2704">
        <f>0</f>
        <v>0</v>
      </c>
      <c r="BC144" s="2704">
        <f>0</f>
        <v>0</v>
      </c>
      <c r="BD144" s="2704">
        <f>0</f>
        <v>0</v>
      </c>
      <c r="BE144" s="2704">
        <f>0</f>
        <v>0</v>
      </c>
      <c r="BF144" s="2704">
        <f>0</f>
        <v>0</v>
      </c>
      <c r="BG144" s="2704">
        <f>0</f>
        <v>0</v>
      </c>
      <c r="BH144" s="2704">
        <f>0</f>
        <v>0</v>
      </c>
      <c r="BI144" s="2704">
        <f>0</f>
        <v>0</v>
      </c>
      <c r="BJ144" s="2704">
        <f>0</f>
        <v>0</v>
      </c>
      <c r="BK144" s="2704">
        <f>0</f>
        <v>0</v>
      </c>
      <c r="BL144" s="2704">
        <f>0</f>
        <v>0</v>
      </c>
      <c r="BM144" s="2704">
        <f>0</f>
        <v>0</v>
      </c>
      <c r="BN144" s="2704">
        <f>0</f>
        <v>0</v>
      </c>
      <c r="BO144" s="2704">
        <f>0</f>
        <v>0</v>
      </c>
      <c r="BP144" s="2703">
        <f>0</f>
        <v>0</v>
      </c>
      <c r="BQ144" s="2704">
        <f>0</f>
        <v>0</v>
      </c>
      <c r="BR144" s="2704">
        <f>0</f>
        <v>0</v>
      </c>
      <c r="BS144" s="2705">
        <f>0</f>
        <v>0</v>
      </c>
      <c r="BT144" s="2705">
        <f>0</f>
        <v>0</v>
      </c>
      <c r="BU144" s="2705">
        <f>0</f>
        <v>0</v>
      </c>
      <c r="BV144" s="2705">
        <f>0</f>
        <v>0</v>
      </c>
      <c r="BW144" s="2704">
        <f>0</f>
        <v>0</v>
      </c>
      <c r="BX144" s="2659">
        <f>0</f>
        <v>0</v>
      </c>
      <c r="BY144" s="2705">
        <f>0</f>
        <v>0</v>
      </c>
      <c r="BZ144" s="2704">
        <f>0</f>
        <v>0</v>
      </c>
      <c r="CA144" s="2704">
        <f>0</f>
        <v>0</v>
      </c>
      <c r="CB144" s="2704">
        <f>0</f>
        <v>0</v>
      </c>
      <c r="CC144" s="2704">
        <f>0</f>
        <v>0</v>
      </c>
      <c r="CD144" s="2704">
        <f>0</f>
        <v>0</v>
      </c>
      <c r="CE144" s="2704">
        <f>0</f>
        <v>0</v>
      </c>
      <c r="CF144" s="2704">
        <f>0</f>
        <v>0</v>
      </c>
      <c r="CG144" s="2704">
        <f>0</f>
        <v>0</v>
      </c>
      <c r="CH144" s="2704">
        <f>0</f>
        <v>0</v>
      </c>
      <c r="CI144" s="2704">
        <f>0</f>
        <v>0</v>
      </c>
      <c r="CJ144" s="2704">
        <f>0</f>
        <v>0</v>
      </c>
      <c r="CK144" s="2704">
        <f>0</f>
        <v>0</v>
      </c>
      <c r="CL144" s="2803">
        <f>µ_CASTO_T*X_CASTO*η_CASTO_anox*M_RsatXSTC_XCASTO_KSTC*M_satSNO2_KNO2_CASTO*M_inhSO2_KO2_CASTO*M_satSNHx_KNHx_BIO*M_satSPO4_KPO4_BIO*M_satSCAT_KCAT*M_satSAN_KAN*M_satSCa_KCa_PAO*M_satSMg_KMg_PAO*B_ellinhpH</f>
        <v>1.6694533984401503</v>
      </c>
      <c r="CN144" s="2295">
        <f>E236*E144+F236*F144+G236*G144+H236*H144+I236*I144+J236*J144+K236*K144+L236*L144+M236*M144+N236*N144+O236*O144+P236*P144+Q236*Q144+R236*R144+S236*S144+T236*T144+U236*U144+V236*V144+W236*W144+X236*X144+Y236*Y144+Z236*Z144+AA236*AA144+AB236*AB144+AC236*AC144+AD236*AD144+AE236*AE144+AF236*AF144+AG236*AG144+AH236*AH144+AI236*AI144+AJ236*AJ144+AK236*AK144+AL236*AL144+AM236*AM144+AN236*AN144+AO236*AO144+AP236*AP144+AQ236*AQ144+AR236*AR144+AS236*AS144+AT236*AT144+AU236*AU144+AV236*AV144+AW236*AW144+AX236*AX144+AY236*AY144+AZ236*AZ144+BA236*BA144+BB236*BB144+BC236*BC144+BD236*BD144+BE236*BE144+BF236*BF144+BG236*BG144+BH236*BH144+BI236*BI144+BJ236*BJ144+BK236*BK144+BL236*BL144+BM236*BM144+BN236*BN144+BO236*BO144+BP236*BP144+BQ236*BQ144+BR236*BR144+BS236*BS144+BT236*BT144+BU236*BU144+BV236*BV144+BW236*BW144+BX236*BX144+BY236*BY144+BZ236*BZ144+CA236*CA144+CB236*CB144+CC236*CC144+CD236*CD144+CE236*CE144+CF236*CF144+CG236*CG144+CH236*CH144+CI236*CI144+CJ236*CJ144+CK236*CK144</f>
        <v>-1.1102230246251565E-16</v>
      </c>
      <c r="CO144" s="2295">
        <f>E237*E144+F237*F144+G237*G144+H237*H144+I237*I144+J237*J144+K237*K144+L237*L144+M237*M144+N237*N144+O237*O144+P237*P144+Q237*Q144+R237*R144+S237*S144+T237*T144+U237*U144+V237*V144+W237*W144+X237*X144+Y237*Y144+Z237*Z144+AA237*AA144+AB237*AB144+AC237*AC144+AD237*AD144+AE237*AE144+AF237*AF144+AG237*AG144+AH237*AH144+AI237*AI144+AJ237*AJ144+AK237*AK144+AL237*AL144+AM237*AM144+AN237*AN144+AO237*AO144+AP237*AP144+AQ237*AQ144+AR237*AR144+AS237*AS144+AT237*AT144+AU237*AU144+AV237*AV144+AW237*AW144+AX237*AX144+AY237*AY144+AZ237*AZ144+BA237*BA144+BB237*BB144+BC237*BC144+BD237*BD144+BE237*BE144+BF237*BF144+BG237*BG144+BH237*BH144+BI237*BI144+BJ237*BJ144+BK237*BK144+BL237*BL144+BM237*BM144+BN237*BN144+BO237*BO144+BP237*BP144+BQ237*BQ144+BR237*BR144+BS237*BS144+BT237*BT144+BU237*BU144+BV237*BV144+BW237*BW144+BX237*BX144+BY237*BY144+BZ237*BZ144+CA237*CA144+CB237*CB144+CC237*CC144+CD237*CD144+CE237*CE144+CF237*CF144+CG237*CG144+CH237*CH144+CI237*CI144+CJ237*CJ144+CK237*CK144</f>
        <v>0</v>
      </c>
      <c r="CP144" s="2296">
        <f>E238*E144+F238*F144+G238*G144+H238*H144+I238*I144+J238*J144+K238*K144+L238*L144+M238*M144+N238*N144+O238*O144+P238*P144+Q238*Q144+R238*R144+S238*S144+T238*T144+U238*U144+V238*V144+W238*W144+X238*X144+Y238*Y144+Z238*Z144+AA238*AA144+AB238*AB144+AC238*AC144+AD238*AD144+AE238*AE144+AF238*AF144+AG238*AG144+AH238*AH144+AI238*AI144+AJ238*AJ144+AK238*AK144+AL238*AL144+AM238*AM144+AN238*AN144+AO238*AO144+AP238*AP144+AQ238*AQ144+AR238*AR144+AS238*AS144+AT238*AT144+AU238*AU144+AV238*AV144+AW238*AW144+AX238*AX144+AY238*AY144+AZ238*AZ144+BA238*BA144+BB238*BB144+BC238*BC144+BD238*BD144+BE238*BE144+BF238*BF144+BG238*BG144+BH238*BH144+BI238*BI144+BJ238*BJ144+BK238*BK144+BL238*BL144+BM238*BM144+BN238*BN144+BO238*BO144+BP238*BP144+BQ238*BQ144+BR238*BR144+BS238*BS144+BT238*BT144+BU238*BU144+BV238*BV144+BW238*BW144+BX238*BX144+BY238*BY144+BZ238*BZ144+CA238*CA144+CB238*CB144+CC238*CC144+CD238*CD144+CE238*CE144+CF238*CF144+CG238*CG144+CH238*CH144+CI238*CI144+CJ238*CJ144+CK238*CK144</f>
        <v>0</v>
      </c>
      <c r="CQ144" s="2297">
        <f>E239*E144+F239*F144+G239*G144+H239*H144+I239*I144+J239*J144+K239*K144+L239*L144+M239*M144+N239*N144+O239*O144+P239*P144+Q239*Q144+R239*R144+S239*S144+T239*T144+U239*U144+V239*V144+W239*W144+X239*X144+Y239*Y144+Z239*Z144+AA239*AA144+AB239*AB144+AC239*AC144+AD239*AD144+AE239*AE144+AF239*AF144+AG239*AG144+AH239*AH144+AI239*AI144+AJ239*AJ144+AK239*AK144+AL239*AL144+AM239*AM144+AN239*AN144+AO239*AO144+AP239*AP144+AQ239*AQ144+AR239*AR144+AS239*AS144+AT239*AT144+AU239*AU144+AV239*AV144+AW239*AW144+AX239*AX144+AY239*AY144+AZ239*AZ144+BA239*BA144+BB239*BB144+BC239*BC144+BD239*BD144+BE239*BE144+BF239*BF144+BG239*BG144+BH239*BH144+BI239*BI144+BJ239*BJ144+BK239*BK144+BL239*BL144+BM239*BM144+BN239*BN144+BO239*BO144+BP239*BP144+BQ239*BQ144+BR239*BR144+BS239*BS144+BT239*BT144+BU239*BU144+BV239*BV144+BW239*BW144+BX239*BX144+BY239*BY144+BZ239*BZ144+CA239*CA144+CB239*CB144+CC239*CC144+CD239*CD144+CE239*CE144+CF239*CF144+CG239*CG144+CH239*CH144+CI239*CI144+CJ239*CJ144+CK239*CK144</f>
        <v>0</v>
      </c>
      <c r="CR144" s="2297">
        <f>E240*E144+F240*F144+G240*G144+H240*H144+I240*I144+J240*J144+K240*K144+L240*L144+M240*M144+N240*N144+O240*O144+P240*P144+Q240*Q144+R240*R144+S240*S144+T240*T144+U240*U144+V240*V144+W240*W144+X240*X144+Y240*Y144+Z240*Z144+AA240*AA144+AB240*AB144+AC240*AC144+AD240*AD144+AE240*AE144+AF240*AF144+AG240*AG144+AH240*AH144+AI240*AI144+AJ240*AJ144+AK240*AK144+AL240*AL144+AM240*AM144+AN240*AN144+AO240*AO144+AP240*AP144+AQ240*AQ144+AR240*AR144+AS240*AS144+AT240*AT144+AU240*AU144+AV240*AV144+AW240*AW144+AX240*AX144+AY240*AY144+AZ240*AZ144+BA240*BA144+BB240*BB144+BC240*BC144+BD240*BD144+BE240*BE144+BF240*BF144+BG240*BG144+BH240*BH144+BI240*BI144+BJ240*BJ144+BK240*BK144+BL240*BL144+BM240*BM144+BN240*BN144+BO240*BO144+BP240*BP144+BQ240*BQ144+BR240*BR144+BS240*BS144+BT240*BT144+BU240*BU144+BV240*BV144+BW240*BW144+BX240*BX144+BY240*BY144+BZ240*BZ144+CA240*CA144+CB240*CB144+CC240*CC144+CD240*CD144+CE240*CE144+CF240*CF144+CG240*CG144+CH240*CH144+CI240*CI144+CJ240*CJ144+CK240*CK144</f>
        <v>0</v>
      </c>
      <c r="CS144" s="2297">
        <f>E241*E144+F241*F144+G241*G144+H241*H144+I241*I144+J241*J144+K241*K144+L241*L144+M241*M144+N241*N144+O241*O144+P241*P144+Q241*Q144+R241*R144+S241*S144+T241*T144+U241*U144+V241*V144+W241*W144+X241*X144+Y241*Y144+Z241*Z144+AA241*AA144+AB241*AB144+AC241*AC144+AD241*AD144+AE241*AE144+AF241*AF144+AG241*AG144+AH241*AH144+AI241*AI144+AJ241*AJ144+AK241*AK144+AL241*AL144+AM241*AM144+AN241*AN144+AO241*AO144+AP241*AP144+AQ241*AQ144+AR241*AR144+AS241*AS144+AT241*AT144+AU241*AU144+AV241*AV144+AW241*AW144+AX241*AX144+AY241*AY144+AZ241*AZ144+BA241*BA144+BB241*BB144+BC241*BC144+BD241*BD144+BE241*BE144+BF241*BF144+BG241*BG144+BH241*BH144+BI241*BI144+BJ241*BJ144+BK241*BK144+BL241*BL144+BM241*BM144+BN241*BN144+BO241*BO144+BP241*BP144+BQ241*BQ144+BR241*BR144+BS241*BS144+BT241*BT144+BU241*BU144+BV241*BV144+BW241*BW144+BX241*BX144+BY241*BY144+BZ241*BZ144+CA241*CA144+CB241*CB144+CC241*CC144+CD241*CD144+CE241*CE144+CF241*CF144+CG241*CG144+CH241*CH144+CI241*CI144+CJ241*CJ144+CK241*CK144</f>
        <v>0</v>
      </c>
      <c r="CT144" s="2297">
        <f>E242*E144+F242*F144+G242*G144+H242*H144+I242*I144+J242*J144+K242*K144+L242*L144+M242*M144+N242*N144+O242*O144+P242*P144+Q242*Q144+R242*R144+S242*S144+T242*T144+U242*U144+V242*V144+W242*W144+X242*X144+Y242*Y144+Z242*Z144+AA242*AA144+AB242*AB144+AC242*AC144+AD242*AD144+AE242*AE144+AF242*AF144+AG242*AG144+AH242*AH144+AI242*AI144+AJ242*AJ144+AK242*AK144+AL242*AL144+AM242*AM144+AN242*AN144+AO242*AO144+AP242*AP144+AQ242*AQ144+AR242*AR144+AS242*AS144+AT242*AT144+AU242*AU144+AV242*AV144+AW242*AW144+AX242*AX144+AY242*AY144+AZ242*AZ144+BA242*BA144+BB242*BB144+BC242*BC144+BD242*BD144+BE242*BE144+BF242*BF144+BG242*BG144+BH242*BH144+BI242*BI144+BJ242*BJ144+BK242*BK144+BL242*BL144+BM242*BM144+BN242*BN144+BO242*BO144+BP242*BP144+BQ242*BQ144+BR242*BR144+BS242*BS144+BT242*BT144+BU242*BU144+BV242*BV144+BW242*BW144+BX242*BX144+BY242*BY144+BZ242*BZ144+CA242*CA144+CB242*CB144+CC242*CC144+CD242*CD144+CE242*CE144+CF242*CF144+CG242*CG144+CH242*CH144+CI242*CI144+CJ242*CJ144+CK242*CK144</f>
        <v>0</v>
      </c>
      <c r="CU144" s="2297">
        <f>E243*E144+F243*F144+G243*G144+H243*H144+I243*I144+J243*J144+K243*K144+L243*L144+M243*M144+N243*N144+O243*O144+P243*P144+Q243*Q144+R243*R144+S243*S144+T243*T144+U243*U144+V243*V144+W243*W144+X243*X144+Y243*Y144+Z243*Z144+AA243*AA144+AB243*AB144+AC243*AC144+AD243*AD144+AE243*AE144+AF243*AF144+AG243*AG144+AH243*AH144+AI243*AI144+AJ243*AJ144+AK243*AK144+AL243*AL144+AM243*AM144+AN243*AN144+AO243*AO144+AP243*AP144+AQ243*AQ144+AR243*AR144+AS243*AS144+AT243*AT144+AU243*AU144+AV243*AV144+AW243*AW144+AX243*AX144+AY243*AY144+AZ243*AZ144+BA243*BA144+BB243*BB144+BC243*BC144+BD243*BD144+BE243*BE144+BF243*BF144+BG243*BG144+BH243*BH144+BI243*BI144+BJ243*BJ144+BK243*BK144+BL243*BL144+BM243*BM144+BN243*BN144+BO243*BO144+BP243*BP144+BQ243*BQ144+BR243*BR144+BS243*BS144+BT243*BT144+BU243*BU144+BV243*BV144+BW243*BW144+BX243*BX144+BY243*BY144+BZ243*BZ144+CA243*CA144+CB243*CB144+CC243*CC144+CD243*CD144+CE243*CE144+CF243*CF144+CG243*CG144+CH243*CH144+CI243*CI144+CJ243*CJ144+CK243*CK144</f>
        <v>0</v>
      </c>
      <c r="CV144" s="2297">
        <f>E244*E144+F244*F144+G244*G144+H244*H144+I244*I144+J244*J144+K244*K144+L244*L144+M244*M144+N244*N144+O244*O144+P244*P144+Q244*Q144+R244*R144+S244*S144+T244*T144+U244*U144+V244*V144+W244*W144+X244*X144+Y244*Y144+Z244*Z144+AA244*AA144+AB244*AB144+AC244*AC144+AD244*AD144+AE244*AE144+AF244*AF144+AG244*AG144+AH244*AH144+AI244*AI144+AJ244*AJ144+AK244*AK144+AL244*AL144+AM244*AM144+AN244*AN144+AO244*AO144+AP244*AP144+AQ244*AQ144+AR244*AR144+AS244*AS144+AT244*AT144+AU244*AU144+AV244*AV144+AW244*AW144+AX244*AX144+AY244*AY144+AZ244*AZ144+BA244*BA144+BB244*BB144+BC244*BC144+BD244*BD144+BE244*BE144+BF244*BF144+BG244*BG144+BH244*BH144+BI244*BI144+BJ244*BJ144+BK244*BK144+BL244*BL144+BM244*BM144+BN244*BN144+BO244*BO144+BP244*BP144+BQ244*BQ144+BR244*BR144+BS244*BS144+BT244*BT144+BU244*BU144+BV244*BV144+BW244*BW144+BX244*BX144+BY244*BY144+BZ244*BZ144+CA244*CA144+CB244*CB144+CC244*CC144+CD244*CD144+CE244*CE144+CF244*CF144+CG244*CG144+CH244*CH144+CI244*CI144+CJ244*CJ144+CK244*CK144</f>
        <v>0</v>
      </c>
      <c r="CW144" s="2297">
        <f>E245*E144+F245*F144+G245*G144+H245*H144+I245*I144+J245*J144+K245*K144+L245*L144+M245*M144+N245*N144+O245*O144+P245*P144+Q245*Q144+R245*R144+S245*S144+T245*T144+U245*U144+V245*V144+W245*W144+X245*X144+Y245*Y144+Z245*Z144+AA245*AA144+AB245*AB144+AC245*AC144+AD245*AD144+AE245*AE144+AF245*AF144+AG245*AG144+AH245*AH144+AI245*AI144+AJ245*AJ144+AK245*AK144+AL245*AL144+AM245*AM144+AN245*AN144+AO245*AO144+AP245*AP144+AQ245*AQ144+AR245*AR144+AS245*AS144+AT245*AT144+AU245*AU144+AV245*AV144+AW245*AW144+AX245*AX144+AY245*AY144+AZ245*AZ144+BA245*BA144+BB245*BB144+BC245*BC144+BD245*BD144+BE245*BE144+BF245*BF144+BG245*BG144+BH245*BH144+BI245*BI144+BJ245*BJ144+BK245*BK144+BL245*BL144+BM245*BM144+BN245*BN144+BO245*BO144+BP245*BP144+BQ245*BQ144+BR245*BR144+BS245*BS144+BT245*BT144+BU245*BU144+BV245*BV144+BW245*BW144+BX245*BX144+BY245*BY144+BZ245*BZ144+CA245*CA144+CB245*CB144+CC245*CC144+CD245*CD144+CE245*CE144+CF245*CF144+CG245*CG144+CH245*CH144+CI245*CI144+CJ245*CJ144+CK245*CK144</f>
        <v>0</v>
      </c>
      <c r="CX144" s="2297">
        <f>E246*E144+F246*F144+G246*G144+H246*H144+I246*I144+J246*J144+K246*K144+L246*L144+M246*M144+N246*N144+O246*O144+P246*P144+Q246*Q144+R246*R144+S246*S144+T246*T144+U246*U144+V246*V144+W246*W144+X246*X144+Y246*Y144+Z246*Z144+AA246*AA144+AB246*AB144+AC246*AC144+AD246*AD144+AE246*AE144+AF246*AF144+AG246*AG144+AH246*AH144+AI246*AI144+AJ246*AJ144+AK246*AK144+AL246*AL144+AM246*AM144+AN246*AN144+AO246*AO144+AP246*AP144+AQ246*AQ144+AR246*AR144+AS246*AS144+AT246*AT144+AU246*AU144+AV246*AV144+AW246*AW144+AX246*AX144+AY246*AY144+AZ246*AZ144+BA246*BA144+BB246*BB144+BC246*BC144+BD246*BD144+BE246*BE144+BF246*BF144+BG246*BG144+BH246*BH144+BI246*BI144+BJ246*BJ144+BK246*BK144+BL246*BL144+BM246*BM144+BN246*BN144+BO246*BO144+BP246*BP144+BQ246*BQ144+BR246*BR144+BS246*BS144+BT246*BT144+BU246*BU144+BV246*BV144+BW246*BW144+BX246*BX144+BY246*BY144+BZ246*BZ144+CA246*CA144+CB246*CB144+CC246*CC144+CD246*CD144+CE246*CE144+CF246*CF144+CG246*CG144+CH246*CH144+CI246*CI144+CJ246*CJ144+CK246*CK144</f>
        <v>0</v>
      </c>
    </row>
    <row r="145" spans="2:102" ht="18" x14ac:dyDescent="0.25">
      <c r="B145" s="1245">
        <v>18</v>
      </c>
      <c r="C145" s="586" t="s">
        <v>240</v>
      </c>
      <c r="D145" s="587" t="s">
        <v>5215</v>
      </c>
      <c r="E145" s="2656">
        <f>0</f>
        <v>0</v>
      </c>
      <c r="F145" s="2656">
        <f>0</f>
        <v>0</v>
      </c>
      <c r="G145" s="2656">
        <f>0</f>
        <v>0</v>
      </c>
      <c r="H145" s="2656">
        <f>0</f>
        <v>0</v>
      </c>
      <c r="I145" s="2656">
        <f>0</f>
        <v>0</v>
      </c>
      <c r="J145" s="2692">
        <f>0</f>
        <v>0</v>
      </c>
      <c r="K145" s="2656">
        <f>0</f>
        <v>0</v>
      </c>
      <c r="L145" s="2656">
        <f>0</f>
        <v>0</v>
      </c>
      <c r="M145" s="2656">
        <f>0</f>
        <v>0</v>
      </c>
      <c r="N145" s="2659">
        <f>-(X_PHA_PAO/X_STC)/Y_CASTO_STC_anox</f>
        <v>-1.680672268907563</v>
      </c>
      <c r="O145" s="2659">
        <f>-(X_PHA_GAO/X_STC)/Y_CASTO_STC_anox</f>
        <v>-0.25210084033613445</v>
      </c>
      <c r="P145" s="2656">
        <f>0</f>
        <v>0</v>
      </c>
      <c r="Q145" s="2656">
        <f>0</f>
        <v>0</v>
      </c>
      <c r="R145" s="2656">
        <f>0</f>
        <v>0</v>
      </c>
      <c r="S145" s="2656">
        <f>1</f>
        <v>1</v>
      </c>
      <c r="T145" s="2656">
        <f>0</f>
        <v>0</v>
      </c>
      <c r="U145" s="2656">
        <f>0</f>
        <v>0</v>
      </c>
      <c r="V145" s="2656">
        <f>0</f>
        <v>0</v>
      </c>
      <c r="W145" s="2656">
        <f>0</f>
        <v>0</v>
      </c>
      <c r="X145" s="2656">
        <f>0</f>
        <v>0</v>
      </c>
      <c r="Y145" s="2656">
        <f>0</f>
        <v>0</v>
      </c>
      <c r="Z145" s="2660">
        <f>0</f>
        <v>0</v>
      </c>
      <c r="AA145" s="2656">
        <f>-i_N_BIO</f>
        <v>-7.0000000000000007E-2</v>
      </c>
      <c r="AB145" s="2704">
        <f>(1-Y_CASTO_STC_anox)/(E_EQNO2_NO3*Y_CASTO_STC_anox)</f>
        <v>0.81659769174117147</v>
      </c>
      <c r="AC145" s="2704">
        <f>-(1-Y_CASTO_STC_anox)/(E_EQNO2_NO3*Y_CASTO_STC_anox)</f>
        <v>-0.81659769174117147</v>
      </c>
      <c r="AD145" s="2704">
        <f>0</f>
        <v>0</v>
      </c>
      <c r="AE145" s="2656">
        <f>0</f>
        <v>0</v>
      </c>
      <c r="AF145" s="2656">
        <f>0</f>
        <v>0</v>
      </c>
      <c r="AG145" s="2656">
        <f>0</f>
        <v>0</v>
      </c>
      <c r="AH145" s="2656">
        <f>0</f>
        <v>0</v>
      </c>
      <c r="AI145" s="2703">
        <f>-i_P_BIO</f>
        <v>-0.02</v>
      </c>
      <c r="AJ145" s="2656">
        <f>0</f>
        <v>0</v>
      </c>
      <c r="AK145" s="2656">
        <f>0</f>
        <v>0</v>
      </c>
      <c r="AL145" s="2656">
        <f>0</f>
        <v>0</v>
      </c>
      <c r="AM145" s="2656">
        <f>0</f>
        <v>0</v>
      </c>
      <c r="AN145" s="2656">
        <f>0</f>
        <v>0</v>
      </c>
      <c r="AO145" s="2656">
        <f>0</f>
        <v>0</v>
      </c>
      <c r="AP145" s="2656">
        <f>0</f>
        <v>0</v>
      </c>
      <c r="AQ145" s="2656">
        <f>0</f>
        <v>0</v>
      </c>
      <c r="AR145" s="2659">
        <f>(i_CIT_STC/Y_CASTO_STC_anox)-i_CIT_BIO</f>
        <v>0.29161344537815126</v>
      </c>
      <c r="AS145" s="2743">
        <f>i_INORG</f>
        <v>0.11</v>
      </c>
      <c r="AT145" s="2659">
        <f>-i_INORG*(1-i_Ca_INORG*(A_MCa+2*A_MCl)/A_MCa-i_Mg_INORG*(A_MMg+2*A_MCl)/A_MMg)*f_Na</f>
        <v>-2.8804303582798466E-2</v>
      </c>
      <c r="AU145" s="2659">
        <f>-i_INORG*(i_Ca_INORG*(2*A_MCl)/A_MCa+i_Mg_INORG*(2*A_MCl)/A_MMg)-i_INORG*(1-i_Ca_INORG*(A_MCa+2*A_MCl)/A_MCa-i_Mg_INORG*(A_MMg+2*A_MCl)/A_MMg)*(1-f_Na)</f>
        <v>-7.0195696417201539E-2</v>
      </c>
      <c r="AV145" s="2659">
        <f>-i_INORG*i_Ca_INORG</f>
        <v>-5.5000000000000005E-3</v>
      </c>
      <c r="AW145" s="2659">
        <f>-i_INORG*i_Mg_INORG</f>
        <v>-5.5000000000000005E-3</v>
      </c>
      <c r="AX145" s="2659">
        <f>0</f>
        <v>0</v>
      </c>
      <c r="AY145" s="2704">
        <f>0</f>
        <v>0</v>
      </c>
      <c r="AZ145" s="2704">
        <f>0</f>
        <v>0</v>
      </c>
      <c r="BA145" s="2704">
        <f>0</f>
        <v>0</v>
      </c>
      <c r="BB145" s="2704">
        <f>0</f>
        <v>0</v>
      </c>
      <c r="BC145" s="2704">
        <f>0</f>
        <v>0</v>
      </c>
      <c r="BD145" s="2704">
        <f>0</f>
        <v>0</v>
      </c>
      <c r="BE145" s="2704">
        <f>0</f>
        <v>0</v>
      </c>
      <c r="BF145" s="2704">
        <f>0</f>
        <v>0</v>
      </c>
      <c r="BG145" s="2704">
        <f>0</f>
        <v>0</v>
      </c>
      <c r="BH145" s="2704">
        <f>0</f>
        <v>0</v>
      </c>
      <c r="BI145" s="2704">
        <f>0</f>
        <v>0</v>
      </c>
      <c r="BJ145" s="2704">
        <f>0</f>
        <v>0</v>
      </c>
      <c r="BK145" s="2704">
        <f>0</f>
        <v>0</v>
      </c>
      <c r="BL145" s="2704">
        <f>0</f>
        <v>0</v>
      </c>
      <c r="BM145" s="2704">
        <f>0</f>
        <v>0</v>
      </c>
      <c r="BN145" s="2704">
        <f>0</f>
        <v>0</v>
      </c>
      <c r="BO145" s="2704">
        <f>0</f>
        <v>0</v>
      </c>
      <c r="BP145" s="2703">
        <f>0</f>
        <v>0</v>
      </c>
      <c r="BQ145" s="2704">
        <f>0</f>
        <v>0</v>
      </c>
      <c r="BR145" s="2704">
        <f>0</f>
        <v>0</v>
      </c>
      <c r="BS145" s="2705">
        <f>0</f>
        <v>0</v>
      </c>
      <c r="BT145" s="2705">
        <f>0</f>
        <v>0</v>
      </c>
      <c r="BU145" s="2705">
        <f>0</f>
        <v>0</v>
      </c>
      <c r="BV145" s="2705">
        <f>0</f>
        <v>0</v>
      </c>
      <c r="BW145" s="2704">
        <f>0</f>
        <v>0</v>
      </c>
      <c r="BX145" s="2659">
        <f>0</f>
        <v>0</v>
      </c>
      <c r="BY145" s="2705">
        <f>0</f>
        <v>0</v>
      </c>
      <c r="BZ145" s="2704">
        <f>0</f>
        <v>0</v>
      </c>
      <c r="CA145" s="2704">
        <f>0</f>
        <v>0</v>
      </c>
      <c r="CB145" s="2704">
        <f>0</f>
        <v>0</v>
      </c>
      <c r="CC145" s="2704">
        <f>0</f>
        <v>0</v>
      </c>
      <c r="CD145" s="2704">
        <f>0</f>
        <v>0</v>
      </c>
      <c r="CE145" s="2704">
        <f>0</f>
        <v>0</v>
      </c>
      <c r="CF145" s="2704">
        <f>0</f>
        <v>0</v>
      </c>
      <c r="CG145" s="2704">
        <f>0</f>
        <v>0</v>
      </c>
      <c r="CH145" s="2704">
        <f>0</f>
        <v>0</v>
      </c>
      <c r="CI145" s="2704">
        <f>0</f>
        <v>0</v>
      </c>
      <c r="CJ145" s="2704">
        <f>0</f>
        <v>0</v>
      </c>
      <c r="CK145" s="2704">
        <f>0</f>
        <v>0</v>
      </c>
      <c r="CL145" s="2803">
        <f>µ_CASTO_T*X_CASTO*η_CASTO_anox*M_RsatXSTC_XCASTO_KSTC*M_satSNO3_KNO3_CASTO*M_inhSO2_KO2_CASTO*M_inhSNO2_KNO2_CASTO*M_satSNHx_KNHx_BIO*M_satSPO4_KPO4_BIO*M_satSCAT_KCAT*M_satSAN_KAN*M_satSCa_KCa_PAO*M_satSMg_KMg_PAO*B_ellinhpH</f>
        <v>0.81835950903928945</v>
      </c>
      <c r="CN145" s="2295">
        <f>E236*E145+F236*F145+G236*G145+H236*H145+I236*I145+J236*J145+K236*K145+L236*L145+M236*M145+N236*N145+O236*O145+P236*P145+Q236*Q145+R236*R145+S236*S145+T236*T145+U236*U145+V236*V145+W236*W145+X236*X145+Y236*Y145+Z236*Z145+AA236*AA145+AB236*AB145+AC236*AC145+AD236*AD145+AE236*AE145+AF236*AF145+AG236*AG145+AH236*AH145+AI236*AI145+AJ236*AJ145+AK236*AK145+AL236*AL145+AM236*AM145+AN236*AN145+AO236*AO145+AP236*AP145+AQ236*AQ145+AR236*AR145+AS236*AS145+AT236*AT145+AU236*AU145+AV236*AV145+AW236*AW145+AX236*AX145+AY236*AY145+AZ236*AZ145+BA236*BA145+BB236*BB145+BC236*BC145+BD236*BD145+BE236*BE145+BF236*BF145+BG236*BG145+BH236*BH145+BI236*BI145+BJ236*BJ145+BK236*BK145+BL236*BL145+BM236*BM145+BN236*BN145+BO236*BO145+BP236*BP145+BQ236*BQ145+BR236*BR145+BS236*BS145+BT236*BT145+BU236*BU145+BV236*BV145+BW236*BW145+BX236*BX145+BY236*BY145+BZ236*BZ145+CA236*CA145+CB236*CB145+CC236*CC145+CD236*CD145+CE236*CE145+CF236*CF145+CG236*CG145+CH236*CH145+CI236*CI145+CJ236*CJ145+CK236*CK145</f>
        <v>0</v>
      </c>
      <c r="CO145" s="2295">
        <f>E237*E145+F237*F145+G237*G145+H237*H145+I237*I145+J237*J145+K237*K145+L237*L145+M237*M145+N237*N145+O237*O145+P237*P145+Q237*Q145+R237*R145+S237*S145+T237*T145+U237*U145+V237*V145+W237*W145+X237*X145+Y237*Y145+Z237*Z145+AA237*AA145+AB237*AB145+AC237*AC145+AD237*AD145+AE237*AE145+AF237*AF145+AG237*AG145+AH237*AH145+AI237*AI145+AJ237*AJ145+AK237*AK145+AL237*AL145+AM237*AM145+AN237*AN145+AO237*AO145+AP237*AP145+AQ237*AQ145+AR237*AR145+AS237*AS145+AT237*AT145+AU237*AU145+AV237*AV145+AW237*AW145+AX237*AX145+AY237*AY145+AZ237*AZ145+BA237*BA145+BB237*BB145+BC237*BC145+BD237*BD145+BE237*BE145+BF237*BF145+BG237*BG145+BH237*BH145+BI237*BI145+BJ237*BJ145+BK237*BK145+BL237*BL145+BM237*BM145+BN237*BN145+BO237*BO145+BP237*BP145+BQ237*BQ145+BR237*BR145+BS237*BS145+BT237*BT145+BU237*BU145+BV237*BV145+BW237*BW145+BX237*BX145+BY237*BY145+BZ237*BZ145+CA237*CA145+CB237*CB145+CC237*CC145+CD237*CD145+CE237*CE145+CF237*CF145+CG237*CG145+CH237*CH145+CI237*CI145+CJ237*CJ145+CK237*CK145</f>
        <v>0</v>
      </c>
      <c r="CP145" s="2296">
        <f>E238*E145+F238*F145+G238*G145+H238*H145+I238*I145+J238*J145+K238*K145+L238*L145+M238*M145+N238*N145+O238*O145+P238*P145+Q238*Q145+R238*R145+S238*S145+T238*T145+U238*U145+V238*V145+W238*W145+X238*X145+Y238*Y145+Z238*Z145+AA238*AA145+AB238*AB145+AC238*AC145+AD238*AD145+AE238*AE145+AF238*AF145+AG238*AG145+AH238*AH145+AI238*AI145+AJ238*AJ145+AK238*AK145+AL238*AL145+AM238*AM145+AN238*AN145+AO238*AO145+AP238*AP145+AQ238*AQ145+AR238*AR145+AS238*AS145+AT238*AT145+AU238*AU145+AV238*AV145+AW238*AW145+AX238*AX145+AY238*AY145+AZ238*AZ145+BA238*BA145+BB238*BB145+BC238*BC145+BD238*BD145+BE238*BE145+BF238*BF145+BG238*BG145+BH238*BH145+BI238*BI145+BJ238*BJ145+BK238*BK145+BL238*BL145+BM238*BM145+BN238*BN145+BO238*BO145+BP238*BP145+BQ238*BQ145+BR238*BR145+BS238*BS145+BT238*BT145+BU238*BU145+BV238*BV145+BW238*BW145+BX238*BX145+BY238*BY145+BZ238*BZ145+CA238*CA145+CB238*CB145+CC238*CC145+CD238*CD145+CE238*CE145+CF238*CF145+CG238*CG145+CH238*CH145+CI238*CI145+CJ238*CJ145+CK238*CK145</f>
        <v>0</v>
      </c>
      <c r="CQ145" s="2297">
        <f>E239*E145+F239*F145+G239*G145+H239*H145+I239*I145+J239*J145+K239*K145+L239*L145+M239*M145+N239*N145+O239*O145+P239*P145+Q239*Q145+R239*R145+S239*S145+T239*T145+U239*U145+V239*V145+W239*W145+X239*X145+Y239*Y145+Z239*Z145+AA239*AA145+AB239*AB145+AC239*AC145+AD239*AD145+AE239*AE145+AF239*AF145+AG239*AG145+AH239*AH145+AI239*AI145+AJ239*AJ145+AK239*AK145+AL239*AL145+AM239*AM145+AN239*AN145+AO239*AO145+AP239*AP145+AQ239*AQ145+AR239*AR145+AS239*AS145+AT239*AT145+AU239*AU145+AV239*AV145+AW239*AW145+AX239*AX145+AY239*AY145+AZ239*AZ145+BA239*BA145+BB239*BB145+BC239*BC145+BD239*BD145+BE239*BE145+BF239*BF145+BG239*BG145+BH239*BH145+BI239*BI145+BJ239*BJ145+BK239*BK145+BL239*BL145+BM239*BM145+BN239*BN145+BO239*BO145+BP239*BP145+BQ239*BQ145+BR239*BR145+BS239*BS145+BT239*BT145+BU239*BU145+BV239*BV145+BW239*BW145+BX239*BX145+BY239*BY145+BZ239*BZ145+CA239*CA145+CB239*CB145+CC239*CC145+CD239*CD145+CE239*CE145+CF239*CF145+CG239*CG145+CH239*CH145+CI239*CI145+CJ239*CJ145+CK239*CK145</f>
        <v>0</v>
      </c>
      <c r="CR145" s="2297">
        <f>E240*E145+F240*F145+G240*G145+H240*H145+I240*I145+J240*J145+K240*K145+L240*L145+M240*M145+N240*N145+O240*O145+P240*P145+Q240*Q145+R240*R145+S240*S145+T240*T145+U240*U145+V240*V145+W240*W145+X240*X145+Y240*Y145+Z240*Z145+AA240*AA145+AB240*AB145+AC240*AC145+AD240*AD145+AE240*AE145+AF240*AF145+AG240*AG145+AH240*AH145+AI240*AI145+AJ240*AJ145+AK240*AK145+AL240*AL145+AM240*AM145+AN240*AN145+AO240*AO145+AP240*AP145+AQ240*AQ145+AR240*AR145+AS240*AS145+AT240*AT145+AU240*AU145+AV240*AV145+AW240*AW145+AX240*AX145+AY240*AY145+AZ240*AZ145+BA240*BA145+BB240*BB145+BC240*BC145+BD240*BD145+BE240*BE145+BF240*BF145+BG240*BG145+BH240*BH145+BI240*BI145+BJ240*BJ145+BK240*BK145+BL240*BL145+BM240*BM145+BN240*BN145+BO240*BO145+BP240*BP145+BQ240*BQ145+BR240*BR145+BS240*BS145+BT240*BT145+BU240*BU145+BV240*BV145+BW240*BW145+BX240*BX145+BY240*BY145+BZ240*BZ145+CA240*CA145+CB240*CB145+CC240*CC145+CD240*CD145+CE240*CE145+CF240*CF145+CG240*CG145+CH240*CH145+CI240*CI145+CJ240*CJ145+CK240*CK145</f>
        <v>0</v>
      </c>
      <c r="CS145" s="2297">
        <f>E241*E145+F241*F145+G241*G145+H241*H145+I241*I145+J241*J145+K241*K145+L241*L145+M241*M145+N241*N145+O241*O145+P241*P145+Q241*Q145+R241*R145+S241*S145+T241*T145+U241*U145+V241*V145+W241*W145+X241*X145+Y241*Y145+Z241*Z145+AA241*AA145+AB241*AB145+AC241*AC145+AD241*AD145+AE241*AE145+AF241*AF145+AG241*AG145+AH241*AH145+AI241*AI145+AJ241*AJ145+AK241*AK145+AL241*AL145+AM241*AM145+AN241*AN145+AO241*AO145+AP241*AP145+AQ241*AQ145+AR241*AR145+AS241*AS145+AT241*AT145+AU241*AU145+AV241*AV145+AW241*AW145+AX241*AX145+AY241*AY145+AZ241*AZ145+BA241*BA145+BB241*BB145+BC241*BC145+BD241*BD145+BE241*BE145+BF241*BF145+BG241*BG145+BH241*BH145+BI241*BI145+BJ241*BJ145+BK241*BK145+BL241*BL145+BM241*BM145+BN241*BN145+BO241*BO145+BP241*BP145+BQ241*BQ145+BR241*BR145+BS241*BS145+BT241*BT145+BU241*BU145+BV241*BV145+BW241*BW145+BX241*BX145+BY241*BY145+BZ241*BZ145+CA241*CA145+CB241*CB145+CC241*CC145+CD241*CD145+CE241*CE145+CF241*CF145+CG241*CG145+CH241*CH145+CI241*CI145+CJ241*CJ145+CK241*CK145</f>
        <v>0</v>
      </c>
      <c r="CT145" s="2297">
        <f>E242*E145+F242*F145+G242*G145+H242*H145+I242*I145+J242*J145+K242*K145+L242*L145+M242*M145+N242*N145+O242*O145+P242*P145+Q242*Q145+R242*R145+S242*S145+T242*T145+U242*U145+V242*V145+W242*W145+X242*X145+Y242*Y145+Z242*Z145+AA242*AA145+AB242*AB145+AC242*AC145+AD242*AD145+AE242*AE145+AF242*AF145+AG242*AG145+AH242*AH145+AI242*AI145+AJ242*AJ145+AK242*AK145+AL242*AL145+AM242*AM145+AN242*AN145+AO242*AO145+AP242*AP145+AQ242*AQ145+AR242*AR145+AS242*AS145+AT242*AT145+AU242*AU145+AV242*AV145+AW242*AW145+AX242*AX145+AY242*AY145+AZ242*AZ145+BA242*BA145+BB242*BB145+BC242*BC145+BD242*BD145+BE242*BE145+BF242*BF145+BG242*BG145+BH242*BH145+BI242*BI145+BJ242*BJ145+BK242*BK145+BL242*BL145+BM242*BM145+BN242*BN145+BO242*BO145+BP242*BP145+BQ242*BQ145+BR242*BR145+BS242*BS145+BT242*BT145+BU242*BU145+BV242*BV145+BW242*BW145+BX242*BX145+BY242*BY145+BZ242*BZ145+CA242*CA145+CB242*CB145+CC242*CC145+CD242*CD145+CE242*CE145+CF242*CF145+CG242*CG145+CH242*CH145+CI242*CI145+CJ242*CJ145+CK242*CK145</f>
        <v>0</v>
      </c>
      <c r="CU145" s="2297">
        <f>E243*E145+F243*F145+G243*G145+H243*H145+I243*I145+J243*J145+K243*K145+L243*L145+M243*M145+N243*N145+O243*O145+P243*P145+Q243*Q145+R243*R145+S243*S145+T243*T145+U243*U145+V243*V145+W243*W145+X243*X145+Y243*Y145+Z243*Z145+AA243*AA145+AB243*AB145+AC243*AC145+AD243*AD145+AE243*AE145+AF243*AF145+AG243*AG145+AH243*AH145+AI243*AI145+AJ243*AJ145+AK243*AK145+AL243*AL145+AM243*AM145+AN243*AN145+AO243*AO145+AP243*AP145+AQ243*AQ145+AR243*AR145+AS243*AS145+AT243*AT145+AU243*AU145+AV243*AV145+AW243*AW145+AX243*AX145+AY243*AY145+AZ243*AZ145+BA243*BA145+BB243*BB145+BC243*BC145+BD243*BD145+BE243*BE145+BF243*BF145+BG243*BG145+BH243*BH145+BI243*BI145+BJ243*BJ145+BK243*BK145+BL243*BL145+BM243*BM145+BN243*BN145+BO243*BO145+BP243*BP145+BQ243*BQ145+BR243*BR145+BS243*BS145+BT243*BT145+BU243*BU145+BV243*BV145+BW243*BW145+BX243*BX145+BY243*BY145+BZ243*BZ145+CA243*CA145+CB243*CB145+CC243*CC145+CD243*CD145+CE243*CE145+CF243*CF145+CG243*CG145+CH243*CH145+CI243*CI145+CJ243*CJ145+CK243*CK145</f>
        <v>0</v>
      </c>
      <c r="CV145" s="2297">
        <f>E244*E145+F244*F145+G244*G145+H244*H145+I244*I145+J244*J145+K244*K145+L244*L145+M244*M145+N244*N145+O244*O145+P244*P145+Q244*Q145+R244*R145+S244*S145+T244*T145+U244*U145+V244*V145+W244*W145+X244*X145+Y244*Y145+Z244*Z145+AA244*AA145+AB244*AB145+AC244*AC145+AD244*AD145+AE244*AE145+AF244*AF145+AG244*AG145+AH244*AH145+AI244*AI145+AJ244*AJ145+AK244*AK145+AL244*AL145+AM244*AM145+AN244*AN145+AO244*AO145+AP244*AP145+AQ244*AQ145+AR244*AR145+AS244*AS145+AT244*AT145+AU244*AU145+AV244*AV145+AW244*AW145+AX244*AX145+AY244*AY145+AZ244*AZ145+BA244*BA145+BB244*BB145+BC244*BC145+BD244*BD145+BE244*BE145+BF244*BF145+BG244*BG145+BH244*BH145+BI244*BI145+BJ244*BJ145+BK244*BK145+BL244*BL145+BM244*BM145+BN244*BN145+BO244*BO145+BP244*BP145+BQ244*BQ145+BR244*BR145+BS244*BS145+BT244*BT145+BU244*BU145+BV244*BV145+BW244*BW145+BX244*BX145+BY244*BY145+BZ244*BZ145+CA244*CA145+CB244*CB145+CC244*CC145+CD244*CD145+CE244*CE145+CF244*CF145+CG244*CG145+CH244*CH145+CI244*CI145+CJ244*CJ145+CK244*CK145</f>
        <v>0</v>
      </c>
      <c r="CW145" s="2297">
        <f>E245*E145+F245*F145+G245*G145+H245*H145+I245*I145+J245*J145+K245*K145+L245*L145+M245*M145+N245*N145+O245*O145+P245*P145+Q245*Q145+R245*R145+S245*S145+T245*T145+U245*U145+V245*V145+W245*W145+X245*X145+Y245*Y145+Z245*Z145+AA245*AA145+AB245*AB145+AC245*AC145+AD245*AD145+AE245*AE145+AF245*AF145+AG245*AG145+AH245*AH145+AI245*AI145+AJ245*AJ145+AK245*AK145+AL245*AL145+AM245*AM145+AN245*AN145+AO245*AO145+AP245*AP145+AQ245*AQ145+AR245*AR145+AS245*AS145+AT245*AT145+AU245*AU145+AV245*AV145+AW245*AW145+AX245*AX145+AY245*AY145+AZ245*AZ145+BA245*BA145+BB245*BB145+BC245*BC145+BD245*BD145+BE245*BE145+BF245*BF145+BG245*BG145+BH245*BH145+BI245*BI145+BJ245*BJ145+BK245*BK145+BL245*BL145+BM245*BM145+BN245*BN145+BO245*BO145+BP245*BP145+BQ245*BQ145+BR245*BR145+BS245*BS145+BT245*BT145+BU245*BU145+BV245*BV145+BW245*BW145+BX245*BX145+BY245*BY145+BZ245*BZ145+CA245*CA145+CB245*CB145+CC245*CC145+CD245*CD145+CE245*CE145+CF245*CF145+CG245*CG145+CH245*CH145+CI245*CI145+CJ245*CJ145+CK245*CK145</f>
        <v>0</v>
      </c>
      <c r="CX145" s="2297">
        <f>E246*E145+F246*F145+G246*G145+H246*H145+I246*I145+J246*J145+K246*K145+L246*L145+M246*M145+N246*N145+O246*O145+P246*P145+Q246*Q145+R246*R145+S246*S145+T246*T145+U246*U145+V246*V145+W246*W145+X246*X145+Y246*Y145+Z246*Z145+AA246*AA145+AB246*AB145+AC246*AC145+AD246*AD145+AE246*AE145+AF246*AF145+AG246*AG145+AH246*AH145+AI246*AI145+AJ246*AJ145+AK246*AK145+AL246*AL145+AM246*AM145+AN246*AN145+AO246*AO145+AP246*AP145+AQ246*AQ145+AR246*AR145+AS246*AS145+AT246*AT145+AU246*AU145+AV246*AV145+AW246*AW145+AX246*AX145+AY246*AY145+AZ246*AZ145+BA246*BA145+BB246*BB145+BC246*BC145+BD246*BD145+BE246*BE145+BF246*BF145+BG246*BG145+BH246*BH145+BI246*BI145+BJ246*BJ145+BK246*BK145+BL246*BL145+BM246*BM145+BN246*BN145+BO246*BO145+BP246*BP145+BQ246*BQ145+BR246*BR145+BS246*BS145+BT246*BT145+BU246*BU145+BV246*BV145+BW246*BW145+BX246*BX145+BY246*BY145+BZ246*BZ145+CA246*CA145+CB246*CB145+CC246*CC145+CD246*CD145+CE246*CE145+CF246*CF145+CG246*CG145+CH246*CH145+CI246*CI145+CJ246*CJ145+CK246*CK145</f>
        <v>0</v>
      </c>
    </row>
    <row r="146" spans="2:102" ht="18" x14ac:dyDescent="0.25">
      <c r="B146" s="1245">
        <v>19</v>
      </c>
      <c r="C146" s="909" t="s">
        <v>241</v>
      </c>
      <c r="D146" s="910" t="s">
        <v>4212</v>
      </c>
      <c r="E146" s="2657">
        <f>0</f>
        <v>0</v>
      </c>
      <c r="F146" s="2657">
        <f>0</f>
        <v>0</v>
      </c>
      <c r="G146" s="2657">
        <f>0</f>
        <v>0</v>
      </c>
      <c r="H146" s="2657">
        <f>0</f>
        <v>0</v>
      </c>
      <c r="I146" s="2657">
        <f>0</f>
        <v>0</v>
      </c>
      <c r="J146" s="2692">
        <f>0</f>
        <v>0</v>
      </c>
      <c r="K146" s="2657">
        <f>0</f>
        <v>0</v>
      </c>
      <c r="L146" s="2657">
        <f>0</f>
        <v>0</v>
      </c>
      <c r="M146" s="2657">
        <f>0</f>
        <v>0</v>
      </c>
      <c r="N146" s="2703">
        <f>0</f>
        <v>0</v>
      </c>
      <c r="O146" s="2703">
        <f>0</f>
        <v>0</v>
      </c>
      <c r="P146" s="2657">
        <f>0</f>
        <v>0</v>
      </c>
      <c r="Q146" s="2657">
        <f>0</f>
        <v>0</v>
      </c>
      <c r="R146" s="2657">
        <f>0</f>
        <v>0</v>
      </c>
      <c r="S146" s="2659">
        <f>-Y_PP_CASTO_ox</f>
        <v>-0.33</v>
      </c>
      <c r="T146" s="2657">
        <f>0</f>
        <v>0</v>
      </c>
      <c r="U146" s="2657">
        <f>0</f>
        <v>0</v>
      </c>
      <c r="V146" s="2657">
        <f>0</f>
        <v>0</v>
      </c>
      <c r="W146" s="2657">
        <f>0</f>
        <v>0</v>
      </c>
      <c r="X146" s="2657">
        <f>0</f>
        <v>0</v>
      </c>
      <c r="Y146" s="2657">
        <f>0</f>
        <v>0</v>
      </c>
      <c r="Z146" s="2660">
        <f>0</f>
        <v>0</v>
      </c>
      <c r="AA146" s="2658">
        <f>i_N_BIO*Y_PP_CASTO_ox</f>
        <v>2.3100000000000002E-2</v>
      </c>
      <c r="AB146" s="2703">
        <f>0</f>
        <v>0</v>
      </c>
      <c r="AC146" s="2703">
        <f>0</f>
        <v>0</v>
      </c>
      <c r="AD146" s="2657">
        <f>0</f>
        <v>0</v>
      </c>
      <c r="AE146" s="2657">
        <f>0</f>
        <v>0</v>
      </c>
      <c r="AF146" s="2657">
        <f>0</f>
        <v>0</v>
      </c>
      <c r="AG146" s="2657">
        <f>0</f>
        <v>0</v>
      </c>
      <c r="AH146" s="2657">
        <f>0</f>
        <v>0</v>
      </c>
      <c r="AI146" s="2703">
        <f>i_P_BIO*Y_PP_CASTO_ox-1</f>
        <v>-0.99339999999999995</v>
      </c>
      <c r="AJ146" s="2657">
        <f>1</f>
        <v>1</v>
      </c>
      <c r="AK146" s="2657">
        <f>0</f>
        <v>0</v>
      </c>
      <c r="AL146" s="2657">
        <f>0</f>
        <v>0</v>
      </c>
      <c r="AM146" s="2657">
        <f>0</f>
        <v>0</v>
      </c>
      <c r="AN146" s="2657">
        <f>0</f>
        <v>0</v>
      </c>
      <c r="AO146" s="2659">
        <f>-Y_PP_CASTO_ox</f>
        <v>-0.33</v>
      </c>
      <c r="AP146" s="2657">
        <f>0</f>
        <v>0</v>
      </c>
      <c r="AQ146" s="2657">
        <f>0</f>
        <v>0</v>
      </c>
      <c r="AR146" s="2659">
        <f>i_CIT_BIO*Y_PP_CASTO_ox</f>
        <v>0.11616</v>
      </c>
      <c r="AS146" s="2659">
        <f>-i_INORG*Y_PP_CASTO_ox</f>
        <v>-3.6299999999999999E-2</v>
      </c>
      <c r="AT146" s="2703">
        <f>Y_PP_CASTO_ox*i_INORG*(1-i_Ca_INORG*(A_MCa+2*A_MCl)/A_MCa-i_Mg_INORG*(A_MMg+2*A_MCl)/A_MMg)*f_Na</f>
        <v>9.5054201823234919E-3</v>
      </c>
      <c r="AU146" s="2703">
        <f>Y_PP_CASTO_ox*(i_INORG*(i_Ca_INORG*(2*A_MCl)/A_MCa+i_Mg_INORG*(2*A_MCl)/A_MMg)+i_INORG*(1-i_Ca_INORG*(A_MCa+2*A_MCl)/A_MCa-i_Mg_INORG*(A_MMg+2*A_MCl)/A_MMg)*(1-f_Na))</f>
        <v>2.3164579817676507E-2</v>
      </c>
      <c r="AV146" s="2703">
        <f>Y_PP_CASTO_ox*i_INORG*i_Ca_INORG-i_Ca_PP*A_MCa/A_MP</f>
        <v>-0.12757838702613272</v>
      </c>
      <c r="AW146" s="2703">
        <f>Y_PP_CASTO_ox*i_INORG*i_Mg_INORG-i_Mg_PP*A_MMg/A_MP</f>
        <v>-0.27282874347136937</v>
      </c>
      <c r="AX146" s="2703">
        <f>-i_K_PP*A_MK/A_MP</f>
        <v>-0.12623038734377579</v>
      </c>
      <c r="AY146" s="2703">
        <f>0</f>
        <v>0</v>
      </c>
      <c r="AZ146" s="2703">
        <f>0</f>
        <v>0</v>
      </c>
      <c r="BA146" s="2703">
        <f>0</f>
        <v>0</v>
      </c>
      <c r="BB146" s="2703">
        <f>0</f>
        <v>0</v>
      </c>
      <c r="BC146" s="2703">
        <f>0</f>
        <v>0</v>
      </c>
      <c r="BD146" s="2703">
        <f>0</f>
        <v>0</v>
      </c>
      <c r="BE146" s="2703">
        <f>0</f>
        <v>0</v>
      </c>
      <c r="BF146" s="2703">
        <f>0</f>
        <v>0</v>
      </c>
      <c r="BG146" s="2703">
        <f>0</f>
        <v>0</v>
      </c>
      <c r="BH146" s="2703">
        <f>0</f>
        <v>0</v>
      </c>
      <c r="BI146" s="2703">
        <f>0</f>
        <v>0</v>
      </c>
      <c r="BJ146" s="2703">
        <f>0</f>
        <v>0</v>
      </c>
      <c r="BK146" s="2703">
        <f>0</f>
        <v>0</v>
      </c>
      <c r="BL146" s="2703">
        <f>0</f>
        <v>0</v>
      </c>
      <c r="BM146" s="2703">
        <f>0</f>
        <v>0</v>
      </c>
      <c r="BN146" s="2703">
        <f>0</f>
        <v>0</v>
      </c>
      <c r="BO146" s="2703">
        <f>0</f>
        <v>0</v>
      </c>
      <c r="BP146" s="2703">
        <f>0</f>
        <v>0</v>
      </c>
      <c r="BQ146" s="2703">
        <f>0</f>
        <v>0</v>
      </c>
      <c r="BR146" s="2703">
        <f>0</f>
        <v>0</v>
      </c>
      <c r="BS146" s="2705">
        <f>0</f>
        <v>0</v>
      </c>
      <c r="BT146" s="2705">
        <f>0</f>
        <v>0</v>
      </c>
      <c r="BU146" s="2705">
        <f>0</f>
        <v>0</v>
      </c>
      <c r="BV146" s="2705">
        <f>0</f>
        <v>0</v>
      </c>
      <c r="BW146" s="2703">
        <f>0</f>
        <v>0</v>
      </c>
      <c r="BX146" s="2659">
        <f>0</f>
        <v>0</v>
      </c>
      <c r="BY146" s="2705">
        <f>0</f>
        <v>0</v>
      </c>
      <c r="BZ146" s="2703">
        <f>0</f>
        <v>0</v>
      </c>
      <c r="CA146" s="2703">
        <f>0</f>
        <v>0</v>
      </c>
      <c r="CB146" s="2703">
        <f>0</f>
        <v>0</v>
      </c>
      <c r="CC146" s="2703">
        <f>0</f>
        <v>0</v>
      </c>
      <c r="CD146" s="2703">
        <f>0</f>
        <v>0</v>
      </c>
      <c r="CE146" s="2703">
        <f>0</f>
        <v>0</v>
      </c>
      <c r="CF146" s="2703">
        <f>0</f>
        <v>0</v>
      </c>
      <c r="CG146" s="2703">
        <f>0</f>
        <v>0</v>
      </c>
      <c r="CH146" s="2703">
        <f>0</f>
        <v>0</v>
      </c>
      <c r="CI146" s="2703">
        <f>0</f>
        <v>0</v>
      </c>
      <c r="CJ146" s="2703">
        <f>0</f>
        <v>0</v>
      </c>
      <c r="CK146" s="2703">
        <f>0</f>
        <v>0</v>
      </c>
      <c r="CL146" s="2803">
        <f>q_PAO_PP_T*X_PAO/(X_PP+X_PP_PAO_min)*X_PAO*M_satSO2_KO2_CASTO*L_ogsatSPO4_KPO4_PAO*L_oginhXPP_XPAO_max*M_satSCa_KCa_PAO*M_satSMg_KMg_PAO*M_satSK_KK_PAO*B_ellinhpH</f>
        <v>306.81443366518283</v>
      </c>
      <c r="CN146" s="2295">
        <f>E236*E146+F236*F146+G236*G146+H236*H146+I236*I146+J236*J146+K236*K146+L236*L146+M236*M146+N236*N146+O236*O146+P236*P146+Q236*Q146+R236*R146+S236*S146+T236*T146+U236*U146+V236*V146+W236*W146+X236*X146+Y236*Y146+Z236*Z146+AA236*AA146+AB236*AB146+AC236*AC146+AD236*AD146+AE236*AE146+AF236*AF146+AG236*AG146+AH236*AH146+AI236*AI146+AJ236*AJ146+AK236*AK146+AL236*AL146+AM236*AM146+AN236*AN146+AO236*AO146+AP236*AP146+AQ236*AQ146+AR236*AR146+AS236*AS146+AT236*AT146+AU236*AU146+AV236*AV146+AW236*AW146+AX236*AX146+AY236*AY146+AZ236*AZ146+BA236*BA146+BB236*BB146+BC236*BC146+BD236*BD146+BE236*BE146+BF236*BF146+BG236*BG146+BH236*BH146+BI236*BI146+BJ236*BJ146+BK236*BK146+BL236*BL146+BM236*BM146+BN236*BN146+BO236*BO146+BP236*BP146+BQ236*BQ146+BR236*BR146+BS236*BS146+BT236*BT146+BU236*BU146+BV236*BV146+BW236*BW146+BX236*BX146+BY236*BY146+BZ236*BZ146+CA236*CA146+CB236*CB146+CC236*CC146+CD236*CD146+CE236*CE146+CF236*CF146+CG236*CG146+CH236*CH146+CI236*CI146+CJ236*CJ146+CK236*CK146</f>
        <v>0</v>
      </c>
      <c r="CO146" s="2295">
        <f>E237*E146+F237*F146+G237*G146+H237*H146+I237*I146+J237*J146+K237*K146+L237*L146+M237*M146+N237*N146+O237*O146+P237*P146+Q237*Q146+R237*R146+S237*S146+T237*T146+U237*U146+V237*V146+W237*W146+X237*X146+Y237*Y146+Z237*Z146+AA237*AA146+AB237*AB146+AC237*AC146+AD237*AD146+AE237*AE146+AF237*AF146+AG237*AG146+AH237*AH146+AI237*AI146+AJ237*AJ146+AK237*AK146+AL237*AL146+AM237*AM146+AN237*AN146+AO237*AO146+AP237*AP146+AQ237*AQ146+AR237*AR146+AS237*AS146+AT237*AT146+AU237*AU146+AV237*AV146+AW237*AW146+AX237*AX146+AY237*AY146+AZ237*AZ146+BA237*BA146+BB237*BB146+BC237*BC146+BD237*BD146+BE237*BE146+BF237*BF146+BG237*BG146+BH237*BH146+BI237*BI146+BJ237*BJ146+BK237*BK146+BL237*BL146+BM237*BM146+BN237*BN146+BO237*BO146+BP237*BP146+BQ237*BQ146+BR237*BR146+BS237*BS146+BT237*BT146+BU237*BU146+BV237*BV146+BW237*BW146+BX237*BX146+BY237*BY146+BZ237*BZ146+CA237*CA146+CB237*CB146+CC237*CC146+CD237*CD146+CE237*CE146+CF237*CF146+CG237*CG146+CH237*CH146+CI237*CI146+CJ237*CJ146+CK237*CK146</f>
        <v>0</v>
      </c>
      <c r="CP146" s="2296">
        <f>E238*E146+F238*F146+G238*G146+H238*H146+I238*I146+J238*J146+K238*K146+L238*L146+M238*M146+N238*N146+O238*O146+P238*P146+Q238*Q146+R238*R146+S238*S146+T238*T146+U238*U146+V238*V146+W238*W146+X238*X146+Y238*Y146+Z238*Z146+AA238*AA146+AB238*AB146+AC238*AC146+AD238*AD146+AE238*AE146+AF238*AF146+AG238*AG146+AH238*AH146+AI238*AI146+AJ238*AJ146+AK238*AK146+AL238*AL146+AM238*AM146+AN238*AN146+AO238*AO146+AP238*AP146+AQ238*AQ146+AR238*AR146+AS238*AS146+AT238*AT146+AU238*AU146+AV238*AV146+AW238*AW146+AX238*AX146+AY238*AY146+AZ238*AZ146+BA238*BA146+BB238*BB146+BC238*BC146+BD238*BD146+BE238*BE146+BF238*BF146+BG238*BG146+BH238*BH146+BI238*BI146+BJ238*BJ146+BK238*BK146+BL238*BL146+BM238*BM146+BN238*BN146+BO238*BO146+BP238*BP146+BQ238*BQ146+BR238*BR146+BS238*BS146+BT238*BT146+BU238*BU146+BV238*BV146+BW238*BW146+BX238*BX146+BY238*BY146+BZ238*BZ146+CA238*CA146+CB238*CB146+CC238*CC146+CD238*CD146+CE238*CE146+CF238*CF146+CG238*CG146+CH238*CH146+CI238*CI146+CJ238*CJ146+CK238*CK146</f>
        <v>0</v>
      </c>
      <c r="CQ146" s="2297">
        <f>E239*E146+F239*F146+G239*G146+H239*H146+I239*I146+J239*J146+K239*K146+L239*L146+M239*M146+N239*N146+O239*O146+P239*P146+Q239*Q146+R239*R146+S239*S146+T239*T146+U239*U146+V239*V146+W239*W146+X239*X146+Y239*Y146+Z239*Z146+AA239*AA146+AB239*AB146+AC239*AC146+AD239*AD146+AE239*AE146+AF239*AF146+AG239*AG146+AH239*AH146+AI239*AI146+AJ239*AJ146+AK239*AK146+AL239*AL146+AM239*AM146+AN239*AN146+AO239*AO146+AP239*AP146+AQ239*AQ146+AR239*AR146+AS239*AS146+AT239*AT146+AU239*AU146+AV239*AV146+AW239*AW146+AX239*AX146+AY239*AY146+AZ239*AZ146+BA239*BA146+BB239*BB146+BC239*BC146+BD239*BD146+BE239*BE146+BF239*BF146+BG239*BG146+BH239*BH146+BI239*BI146+BJ239*BJ146+BK239*BK146+BL239*BL146+BM239*BM146+BN239*BN146+BO239*BO146+BP239*BP146+BQ239*BQ146+BR239*BR146+BS239*BS146+BT239*BT146+BU239*BU146+BV239*BV146+BW239*BW146+BX239*BX146+BY239*BY146+BZ239*BZ146+CA239*CA146+CB239*CB146+CC239*CC146+CD239*CD146+CE239*CE146+CF239*CF146+CG239*CG146+CH239*CH146+CI239*CI146+CJ239*CJ146+CK239*CK146</f>
        <v>0</v>
      </c>
      <c r="CR146" s="2297">
        <f>E240*E146+F240*F146+G240*G146+H240*H146+I240*I146+J240*J146+K240*K146+L240*L146+M240*M146+N240*N146+O240*O146+P240*P146+Q240*Q146+R240*R146+S240*S146+T240*T146+U240*U146+V240*V146+W240*W146+X240*X146+Y240*Y146+Z240*Z146+AA240*AA146+AB240*AB146+AC240*AC146+AD240*AD146+AE240*AE146+AF240*AF146+AG240*AG146+AH240*AH146+AI240*AI146+AJ240*AJ146+AK240*AK146+AL240*AL146+AM240*AM146+AN240*AN146+AO240*AO146+AP240*AP146+AQ240*AQ146+AR240*AR146+AS240*AS146+AT240*AT146+AU240*AU146+AV240*AV146+AW240*AW146+AX240*AX146+AY240*AY146+AZ240*AZ146+BA240*BA146+BB240*BB146+BC240*BC146+BD240*BD146+BE240*BE146+BF240*BF146+BG240*BG146+BH240*BH146+BI240*BI146+BJ240*BJ146+BK240*BK146+BL240*BL146+BM240*BM146+BN240*BN146+BO240*BO146+BP240*BP146+BQ240*BQ146+BR240*BR146+BS240*BS146+BT240*BT146+BU240*BU146+BV240*BV146+BW240*BW146+BX240*BX146+BY240*BY146+BZ240*BZ146+CA240*CA146+CB240*CB146+CC240*CC146+CD240*CD146+CE240*CE146+CF240*CF146+CG240*CG146+CH240*CH146+CI240*CI146+CJ240*CJ146+CK240*CK146</f>
        <v>-1.7347234759768071E-18</v>
      </c>
      <c r="CS146" s="2297">
        <f>E241*E146+F241*F146+G241*G146+H241*H146+I241*I146+J241*J146+K241*K146+L241*L146+M241*M146+N241*N146+O241*O146+P241*P146+Q241*Q146+R241*R146+S241*S146+T241*T146+U241*U146+V241*V146+W241*W146+X241*X146+Y241*Y146+Z241*Z146+AA241*AA146+AB241*AB146+AC241*AC146+AD241*AD146+AE241*AE146+AF241*AF146+AG241*AG146+AH241*AH146+AI241*AI146+AJ241*AJ146+AK241*AK146+AL241*AL146+AM241*AM146+AN241*AN146+AO241*AO146+AP241*AP146+AQ241*AQ146+AR241*AR146+AS241*AS146+AT241*AT146+AU241*AU146+AV241*AV146+AW241*AW146+AX241*AX146+AY241*AY146+AZ241*AZ146+BA241*BA146+BB241*BB146+BC241*BC146+BD241*BD146+BE241*BE146+BF241*BF146+BG241*BG146+BH241*BH146+BI241*BI146+BJ241*BJ146+BK241*BK146+BL241*BL146+BM241*BM146+BN241*BN146+BO241*BO146+BP241*BP146+BQ241*BQ146+BR241*BR146+BS241*BS146+BT241*BT146+BU241*BU146+BV241*BV146+BW241*BW146+BX241*BX146+BY241*BY146+BZ241*BZ146+CA241*CA146+CB241*CB146+CC241*CC146+CD241*CD146+CE241*CE146+CF241*CF146+CG241*CG146+CH241*CH146+CI241*CI146+CJ241*CJ146+CK241*CK146</f>
        <v>0</v>
      </c>
      <c r="CT146" s="2297">
        <f>E242*E146+F242*F146+G242*G146+H242*H146+I242*I146+J242*J146+K242*K146+L242*L146+M242*M146+N242*N146+O242*O146+P242*P146+Q242*Q146+R242*R146+S242*S146+T242*T146+U242*U146+V242*V146+W242*W146+X242*X146+Y242*Y146+Z242*Z146+AA242*AA146+AB242*AB146+AC242*AC146+AD242*AD146+AE242*AE146+AF242*AF146+AG242*AG146+AH242*AH146+AI242*AI146+AJ242*AJ146+AK242*AK146+AL242*AL146+AM242*AM146+AN242*AN146+AO242*AO146+AP242*AP146+AQ242*AQ146+AR242*AR146+AS242*AS146+AT242*AT146+AU242*AU146+AV242*AV146+AW242*AW146+AX242*AX146+AY242*AY146+AZ242*AZ146+BA242*BA146+BB242*BB146+BC242*BC146+BD242*BD146+BE242*BE146+BF242*BF146+BG242*BG146+BH242*BH146+BI242*BI146+BJ242*BJ146+BK242*BK146+BL242*BL146+BM242*BM146+BN242*BN146+BO242*BO146+BP242*BP146+BQ242*BQ146+BR242*BR146+BS242*BS146+BT242*BT146+BU242*BU146+BV242*BV146+BW242*BW146+BX242*BX146+BY242*BY146+BZ242*BZ146+CA242*CA146+CB242*CB146+CC242*CC146+CD242*CD146+CE242*CE146+CF242*CF146+CG242*CG146+CH242*CH146+CI242*CI146+CJ242*CJ146+CK242*CK146</f>
        <v>0</v>
      </c>
      <c r="CU146" s="2297">
        <f>E243*E146+F243*F146+G243*G146+H243*H146+I243*I146+J243*J146+K243*K146+L243*L146+M243*M146+N243*N146+O243*O146+P243*P146+Q243*Q146+R243*R146+S243*S146+T243*T146+U243*U146+V243*V146+W243*W146+X243*X146+Y243*Y146+Z243*Z146+AA243*AA146+AB243*AB146+AC243*AC146+AD243*AD146+AE243*AE146+AF243*AF146+AG243*AG146+AH243*AH146+AI243*AI146+AJ243*AJ146+AK243*AK146+AL243*AL146+AM243*AM146+AN243*AN146+AO243*AO146+AP243*AP146+AQ243*AQ146+AR243*AR146+AS243*AS146+AT243*AT146+AU243*AU146+AV243*AV146+AW243*AW146+AX243*AX146+AY243*AY146+AZ243*AZ146+BA243*BA146+BB243*BB146+BC243*BC146+BD243*BD146+BE243*BE146+BF243*BF146+BG243*BG146+BH243*BH146+BI243*BI146+BJ243*BJ146+BK243*BK146+BL243*BL146+BM243*BM146+BN243*BN146+BO243*BO146+BP243*BP146+BQ243*BQ146+BR243*BR146+BS243*BS146+BT243*BT146+BU243*BU146+BV243*BV146+BW243*BW146+BX243*BX146+BY243*BY146+BZ243*BZ146+CA243*CA146+CB243*CB146+CC243*CC146+CD243*CD146+CE243*CE146+CF243*CF146+CG243*CG146+CH243*CH146+CI243*CI146+CJ243*CJ146+CK243*CK146</f>
        <v>0</v>
      </c>
      <c r="CV146" s="2297">
        <f>E244*E146+F244*F146+G244*G146+H244*H146+I244*I146+J244*J146+K244*K146+L244*L146+M244*M146+N244*N146+O244*O146+P244*P146+Q244*Q146+R244*R146+S244*S146+T244*T146+U244*U146+V244*V146+W244*W146+X244*X146+Y244*Y146+Z244*Z146+AA244*AA146+AB244*AB146+AC244*AC146+AD244*AD146+AE244*AE146+AF244*AF146+AG244*AG146+AH244*AH146+AI244*AI146+AJ244*AJ146+AK244*AK146+AL244*AL146+AM244*AM146+AN244*AN146+AO244*AO146+AP244*AP146+AQ244*AQ146+AR244*AR146+AS244*AS146+AT244*AT146+AU244*AU146+AV244*AV146+AW244*AW146+AX244*AX146+AY244*AY146+AZ244*AZ146+BA244*BA146+BB244*BB146+BC244*BC146+BD244*BD146+BE244*BE146+BF244*BF146+BG244*BG146+BH244*BH146+BI244*BI146+BJ244*BJ146+BK244*BK146+BL244*BL146+BM244*BM146+BN244*BN146+BO244*BO146+BP244*BP146+BQ244*BQ146+BR244*BR146+BS244*BS146+BT244*BT146+BU244*BU146+BV244*BV146+BW244*BW146+BX244*BX146+BY244*BY146+BZ244*BZ146+CA244*CA146+CB244*CB146+CC244*CC146+CD244*CD146+CE244*CE146+CF244*CF146+CG244*CG146+CH244*CH146+CI244*CI146+CJ244*CJ146+CK244*CK146</f>
        <v>0</v>
      </c>
      <c r="CW146" s="2297">
        <f>E245*E146+F245*F146+G245*G146+H245*H146+I245*I146+J245*J146+K245*K146+L245*L146+M245*M146+N245*N146+O245*O146+P245*P146+Q245*Q146+R245*R146+S245*S146+T245*T146+U245*U146+V245*V146+W245*W146+X245*X146+Y245*Y146+Z245*Z146+AA245*AA146+AB245*AB146+AC245*AC146+AD245*AD146+AE245*AE146+AF245*AF146+AG245*AG146+AH245*AH146+AI245*AI146+AJ245*AJ146+AK245*AK146+AL245*AL146+AM245*AM146+AN245*AN146+AO245*AO146+AP245*AP146+AQ245*AQ146+AR245*AR146+AS245*AS146+AT245*AT146+AU245*AU146+AV245*AV146+AW245*AW146+AX245*AX146+AY245*AY146+AZ245*AZ146+BA245*BA146+BB245*BB146+BC245*BC146+BD245*BD146+BE245*BE146+BF245*BF146+BG245*BG146+BH245*BH146+BI245*BI146+BJ245*BJ146+BK245*BK146+BL245*BL146+BM245*BM146+BN245*BN146+BO245*BO146+BP245*BP146+BQ245*BQ146+BR245*BR146+BS245*BS146+BT245*BT146+BU245*BU146+BV245*BV146+BW245*BW146+BX245*BX146+BY245*BY146+BZ245*BZ146+CA245*CA146+CB245*CB146+CC245*CC146+CD245*CD146+CE245*CE146+CF245*CF146+CG245*CG146+CH245*CH146+CI245*CI146+CJ245*CJ146+CK245*CK146</f>
        <v>0</v>
      </c>
      <c r="CX146" s="2297">
        <f>E246*E146+F246*F146+G246*G146+H246*H146+I246*I146+J246*J146+K246*K146+L246*L146+M246*M146+N246*N146+O246*O146+P246*P146+Q246*Q146+R246*R146+S246*S146+T246*T146+U246*U146+V246*V146+W246*W146+X246*X146+Y246*Y146+Z246*Z146+AA246*AA146+AB246*AB146+AC246*AC146+AD246*AD146+AE246*AE146+AF246*AF146+AG246*AG146+AH246*AH146+AI246*AI146+AJ246*AJ146+AK246*AK146+AL246*AL146+AM246*AM146+AN246*AN146+AO246*AO146+AP246*AP146+AQ246*AQ146+AR246*AR146+AS246*AS146+AT246*AT146+AU246*AU146+AV246*AV146+AW246*AW146+AX246*AX146+AY246*AY146+AZ246*AZ146+BA246*BA146+BB246*BB146+BC246*BC146+BD246*BD146+BE246*BE146+BF246*BF146+BG246*BG146+BH246*BH146+BI246*BI146+BJ246*BJ146+BK246*BK146+BL246*BL146+BM246*BM146+BN246*BN146+BO246*BO146+BP246*BP146+BQ246*BQ146+BR246*BR146+BS246*BS146+BT246*BT146+BU246*BU146+BV246*BV146+BW246*BW146+BX246*BX146+BY246*BY146+BZ246*BZ146+CA246*CA146+CB246*CB146+CC246*CC146+CD246*CD146+CE246*CE146+CF246*CF146+CG246*CG146+CH246*CH146+CI246*CI146+CJ246*CJ146+CK246*CK146</f>
        <v>0</v>
      </c>
    </row>
    <row r="147" spans="2:102" ht="18" x14ac:dyDescent="0.25">
      <c r="B147" s="1245">
        <v>20</v>
      </c>
      <c r="C147" s="909" t="s">
        <v>242</v>
      </c>
      <c r="D147" s="910" t="s">
        <v>4213</v>
      </c>
      <c r="E147" s="2657">
        <f>0</f>
        <v>0</v>
      </c>
      <c r="F147" s="2657">
        <f>0</f>
        <v>0</v>
      </c>
      <c r="G147" s="2657">
        <f>0</f>
        <v>0</v>
      </c>
      <c r="H147" s="2657">
        <f>0</f>
        <v>0</v>
      </c>
      <c r="I147" s="2657">
        <f>0</f>
        <v>0</v>
      </c>
      <c r="J147" s="2692">
        <f>0</f>
        <v>0</v>
      </c>
      <c r="K147" s="2657">
        <f>0</f>
        <v>0</v>
      </c>
      <c r="L147" s="2657">
        <f>0</f>
        <v>0</v>
      </c>
      <c r="M147" s="2657">
        <f>0</f>
        <v>0</v>
      </c>
      <c r="N147" s="2703">
        <f>0</f>
        <v>0</v>
      </c>
      <c r="O147" s="2703">
        <f>0</f>
        <v>0</v>
      </c>
      <c r="P147" s="2657">
        <f>0</f>
        <v>0</v>
      </c>
      <c r="Q147" s="2657">
        <f>0</f>
        <v>0</v>
      </c>
      <c r="R147" s="2657">
        <f>0</f>
        <v>0</v>
      </c>
      <c r="S147" s="2659">
        <f>-Y_PP_CASTO_anox</f>
        <v>-0.23</v>
      </c>
      <c r="T147" s="2657">
        <f>0</f>
        <v>0</v>
      </c>
      <c r="U147" s="2657">
        <f>0</f>
        <v>0</v>
      </c>
      <c r="V147" s="2657">
        <f>0</f>
        <v>0</v>
      </c>
      <c r="W147" s="2657">
        <f>0</f>
        <v>0</v>
      </c>
      <c r="X147" s="2657">
        <f>0</f>
        <v>0</v>
      </c>
      <c r="Y147" s="2657">
        <f>0</f>
        <v>0</v>
      </c>
      <c r="Z147" s="2660">
        <f>0</f>
        <v>0</v>
      </c>
      <c r="AA147" s="2658">
        <f>i_N_BIO*Y_PP_CASTO_anox</f>
        <v>1.6100000000000003E-2</v>
      </c>
      <c r="AB147" s="2703">
        <f>-Y_PP_CASTO_anox/E_EQN2_NO2</f>
        <v>-0.13423590884658176</v>
      </c>
      <c r="AC147" s="2703">
        <f>0</f>
        <v>0</v>
      </c>
      <c r="AD147" s="2703">
        <f>Y_PP_CASTO_anox/E_EQN2_NO2</f>
        <v>0.13423590884658176</v>
      </c>
      <c r="AE147" s="2657">
        <f>0</f>
        <v>0</v>
      </c>
      <c r="AF147" s="2657">
        <f>0</f>
        <v>0</v>
      </c>
      <c r="AG147" s="2657">
        <f>0</f>
        <v>0</v>
      </c>
      <c r="AH147" s="2657">
        <f>0</f>
        <v>0</v>
      </c>
      <c r="AI147" s="2703">
        <f>i_P_BIO*Y_PP_CASTO_anox-1</f>
        <v>-0.99539999999999995</v>
      </c>
      <c r="AJ147" s="2657">
        <f>1</f>
        <v>1</v>
      </c>
      <c r="AK147" s="2657">
        <f>0</f>
        <v>0</v>
      </c>
      <c r="AL147" s="2657">
        <f>0</f>
        <v>0</v>
      </c>
      <c r="AM147" s="2657">
        <f>0</f>
        <v>0</v>
      </c>
      <c r="AN147" s="2657">
        <f>0</f>
        <v>0</v>
      </c>
      <c r="AO147" s="2657">
        <f>0</f>
        <v>0</v>
      </c>
      <c r="AP147" s="2657">
        <f>0</f>
        <v>0</v>
      </c>
      <c r="AQ147" s="2657">
        <f>0</f>
        <v>0</v>
      </c>
      <c r="AR147" s="2659">
        <f>i_CIT_BIO*Y_PP_CASTO_anox</f>
        <v>8.0960000000000004E-2</v>
      </c>
      <c r="AS147" s="2659">
        <f>-i_INORG*Y_PP_CASTO_anox</f>
        <v>-2.53E-2</v>
      </c>
      <c r="AT147" s="2703">
        <f>Y_PP_CASTO_anox*i_INORG*(1-i_Ca_INORG*(A_MCa+2*A_MCl)/A_MCa-i_Mg_INORG*(A_MMg+2*A_MCl)/A_MMg)*f_Na</f>
        <v>6.6249898240436462E-3</v>
      </c>
      <c r="AU147" s="2703">
        <f>Y_PP_CASTO_anox*(i_INORG*(i_Ca_INORG*(2*A_MCl)/A_MCa+i_Mg_INORG*(2*A_MCl)/A_MMg)+i_INORG*(1-i_Ca_INORG*(A_MCa+2*A_MCl)/A_MCa-i_Mg_INORG*(A_MMg+2*A_MCl)/A_MMg)*(1-f_Na))</f>
        <v>1.6145010175956355E-2</v>
      </c>
      <c r="AV147" s="2703">
        <f>Y_PP_CASTO_anox*i_INORG*i_Ca_INORG-i_Ca_PP*A_MCa/A_MP</f>
        <v>-0.12812838702613275</v>
      </c>
      <c r="AW147" s="2659">
        <f>Y_PP_CASTO_anox*i_INORG*i_Mg_INORG-i_Mg_PP*A_MMg/A_MP</f>
        <v>-0.27337874347136937</v>
      </c>
      <c r="AX147" s="2703">
        <f>-i_K_PP*A_MK/A_MP</f>
        <v>-0.12623038734377579</v>
      </c>
      <c r="AY147" s="2703">
        <f>0</f>
        <v>0</v>
      </c>
      <c r="AZ147" s="2703">
        <f>0</f>
        <v>0</v>
      </c>
      <c r="BA147" s="2703">
        <f>0</f>
        <v>0</v>
      </c>
      <c r="BB147" s="2703">
        <f>0</f>
        <v>0</v>
      </c>
      <c r="BC147" s="2703">
        <f>0</f>
        <v>0</v>
      </c>
      <c r="BD147" s="2703">
        <f>0</f>
        <v>0</v>
      </c>
      <c r="BE147" s="2703">
        <f>0</f>
        <v>0</v>
      </c>
      <c r="BF147" s="2703">
        <f>0</f>
        <v>0</v>
      </c>
      <c r="BG147" s="2703">
        <f>0</f>
        <v>0</v>
      </c>
      <c r="BH147" s="2703">
        <f>0</f>
        <v>0</v>
      </c>
      <c r="BI147" s="2703">
        <f>0</f>
        <v>0</v>
      </c>
      <c r="BJ147" s="2703">
        <f>0</f>
        <v>0</v>
      </c>
      <c r="BK147" s="2703">
        <f>0</f>
        <v>0</v>
      </c>
      <c r="BL147" s="2703">
        <f>0</f>
        <v>0</v>
      </c>
      <c r="BM147" s="2703">
        <f>0</f>
        <v>0</v>
      </c>
      <c r="BN147" s="2703">
        <f>0</f>
        <v>0</v>
      </c>
      <c r="BO147" s="2703">
        <f>0</f>
        <v>0</v>
      </c>
      <c r="BP147" s="2703">
        <f>0</f>
        <v>0</v>
      </c>
      <c r="BQ147" s="2703">
        <f>0</f>
        <v>0</v>
      </c>
      <c r="BR147" s="2703">
        <f>0</f>
        <v>0</v>
      </c>
      <c r="BS147" s="2705">
        <f>0</f>
        <v>0</v>
      </c>
      <c r="BT147" s="2705">
        <f>0</f>
        <v>0</v>
      </c>
      <c r="BU147" s="2705">
        <f>0</f>
        <v>0</v>
      </c>
      <c r="BV147" s="2705">
        <f>0</f>
        <v>0</v>
      </c>
      <c r="BW147" s="2703">
        <f>0</f>
        <v>0</v>
      </c>
      <c r="BX147" s="2659">
        <f>0</f>
        <v>0</v>
      </c>
      <c r="BY147" s="2705">
        <f>0</f>
        <v>0</v>
      </c>
      <c r="BZ147" s="2703">
        <f>0</f>
        <v>0</v>
      </c>
      <c r="CA147" s="2703">
        <f>0</f>
        <v>0</v>
      </c>
      <c r="CB147" s="2703">
        <f>0</f>
        <v>0</v>
      </c>
      <c r="CC147" s="2703">
        <f>0</f>
        <v>0</v>
      </c>
      <c r="CD147" s="2703">
        <f>0</f>
        <v>0</v>
      </c>
      <c r="CE147" s="2703">
        <f>0</f>
        <v>0</v>
      </c>
      <c r="CF147" s="2703">
        <f>0</f>
        <v>0</v>
      </c>
      <c r="CG147" s="2703">
        <f>0</f>
        <v>0</v>
      </c>
      <c r="CH147" s="2703">
        <f>0</f>
        <v>0</v>
      </c>
      <c r="CI147" s="2703">
        <f>0</f>
        <v>0</v>
      </c>
      <c r="CJ147" s="2703">
        <f>0</f>
        <v>0</v>
      </c>
      <c r="CK147" s="2703">
        <f>0</f>
        <v>0</v>
      </c>
      <c r="CL147" s="2803">
        <f>q_PAO_PP_T*X_PAO/(X_PP+X_PP_PAO_min)*X_PAO*η_CASTO_anox*M_satSNO2_KNO2_CASTO*M_inhSO2_KO2_CASTO*L_ogsatSPO4_KPO4_PAO*L_oginhXPP_XPAO_max*M_satSCa_KCa_PAO*M_satSMg_KMg_PAO*M_satSK_KK_PAO*B_ellinhpH</f>
        <v>3.3749587703170105</v>
      </c>
      <c r="CN147" s="2295">
        <f>E236*E147+F236*F147+G236*G147+H236*H147+I236*I147+J236*J147+K236*K147+L236*L147+M236*M147+N236*N147+O236*O147+P236*P147+Q236*Q147+R236*R147+S236*S147+T236*T147+U236*U147+V236*V147+W236*W147+X236*X147+Y236*Y147+Z236*Z147+AA236*AA147+AB236*AB147+AC236*AC147+AD236*AD147+AE236*AE147+AF236*AF147+AG236*AG147+AH236*AH147+AI236*AI147+AJ236*AJ147+AK236*AK147+AL236*AL147+AM236*AM147+AN236*AN147+AO236*AO147+AP236*AP147+AQ236*AQ147+AR236*AR147+AS236*AS147+AT236*AT147+AU236*AU147+AV236*AV147+AW236*AW147+AX236*AX147+AY236*AY147+AZ236*AZ147+BA236*BA147+BB236*BB147+BC236*BC147+BD236*BD147+BE236*BE147+BF236*BF147+BG236*BG147+BH236*BH147+BI236*BI147+BJ236*BJ147+BK236*BK147+BL236*BL147+BM236*BM147+BN236*BN147+BO236*BO147+BP236*BP147+BQ236*BQ147+BR236*BR147+BS236*BS147+BT236*BT147+BU236*BU147+BV236*BV147+BW236*BW147+BX236*BX147+BY236*BY147+BZ236*BZ147+CA236*CA147+CB236*CB147+CC236*CC147+CD236*CD147+CE236*CE147+CF236*CF147+CG236*CG147+CH236*CH147+CI236*CI147+CJ236*CJ147+CK236*CK147</f>
        <v>0</v>
      </c>
      <c r="CO147" s="2295">
        <f>E237*E147+F237*F147+G237*G147+H237*H147+I237*I147+J237*J147+K237*K147+L237*L147+M237*M147+N237*N147+O237*O147+P237*P147+Q237*Q147+R237*R147+S237*S147+T237*T147+U237*U147+V237*V147+W237*W147+X237*X147+Y237*Y147+Z237*Z147+AA237*AA147+AB237*AB147+AC237*AC147+AD237*AD147+AE237*AE147+AF237*AF147+AG237*AG147+AH237*AH147+AI237*AI147+AJ237*AJ147+AK237*AK147+AL237*AL147+AM237*AM147+AN237*AN147+AO237*AO147+AP237*AP147+AQ237*AQ147+AR237*AR147+AS237*AS147+AT237*AT147+AU237*AU147+AV237*AV147+AW237*AW147+AX237*AX147+AY237*AY147+AZ237*AZ147+BA237*BA147+BB237*BB147+BC237*BC147+BD237*BD147+BE237*BE147+BF237*BF147+BG237*BG147+BH237*BH147+BI237*BI147+BJ237*BJ147+BK237*BK147+BL237*BL147+BM237*BM147+BN237*BN147+BO237*BO147+BP237*BP147+BQ237*BQ147+BR237*BR147+BS237*BS147+BT237*BT147+BU237*BU147+BV237*BV147+BW237*BW147+BX237*BX147+BY237*BY147+BZ237*BZ147+CA237*CA147+CB237*CB147+CC237*CC147+CD237*CD147+CE237*CE147+CF237*CF147+CG237*CG147+CH237*CH147+CI237*CI147+CJ237*CJ147+CK237*CK147</f>
        <v>0</v>
      </c>
      <c r="CP147" s="2296">
        <f>E238*E147+F238*F147+G238*G147+H238*H147+I238*I147+J238*J147+K238*K147+L238*L147+M238*M147+N238*N147+O238*O147+P238*P147+Q238*Q147+R238*R147+S238*S147+T238*T147+U238*U147+V238*V147+W238*W147+X238*X147+Y238*Y147+Z238*Z147+AA238*AA147+AB238*AB147+AC238*AC147+AD238*AD147+AE238*AE147+AF238*AF147+AG238*AG147+AH238*AH147+AI238*AI147+AJ238*AJ147+AK238*AK147+AL238*AL147+AM238*AM147+AN238*AN147+AO238*AO147+AP238*AP147+AQ238*AQ147+AR238*AR147+AS238*AS147+AT238*AT147+AU238*AU147+AV238*AV147+AW238*AW147+AX238*AX147+AY238*AY147+AZ238*AZ147+BA238*BA147+BB238*BB147+BC238*BC147+BD238*BD147+BE238*BE147+BF238*BF147+BG238*BG147+BH238*BH147+BI238*BI147+BJ238*BJ147+BK238*BK147+BL238*BL147+BM238*BM147+BN238*BN147+BO238*BO147+BP238*BP147+BQ238*BQ147+BR238*BR147+BS238*BS147+BT238*BT147+BU238*BU147+BV238*BV147+BW238*BW147+BX238*BX147+BY238*BY147+BZ238*BZ147+CA238*CA147+CB238*CB147+CC238*CC147+CD238*CD147+CE238*CE147+CF238*CF147+CG238*CG147+CH238*CH147+CI238*CI147+CJ238*CJ147+CK238*CK147</f>
        <v>0</v>
      </c>
      <c r="CQ147" s="2297">
        <f>E239*E147+F239*F147+G239*G147+H239*H147+I239*I147+J239*J147+K239*K147+L239*L147+M239*M147+N239*N147+O239*O147+P239*P147+Q239*Q147+R239*R147+S239*S147+T239*T147+U239*U147+V239*V147+W239*W147+X239*X147+Y239*Y147+Z239*Z147+AA239*AA147+AB239*AB147+AC239*AC147+AD239*AD147+AE239*AE147+AF239*AF147+AG239*AG147+AH239*AH147+AI239*AI147+AJ239*AJ147+AK239*AK147+AL239*AL147+AM239*AM147+AN239*AN147+AO239*AO147+AP239*AP147+AQ239*AQ147+AR239*AR147+AS239*AS147+AT239*AT147+AU239*AU147+AV239*AV147+AW239*AW147+AX239*AX147+AY239*AY147+AZ239*AZ147+BA239*BA147+BB239*BB147+BC239*BC147+BD239*BD147+BE239*BE147+BF239*BF147+BG239*BG147+BH239*BH147+BI239*BI147+BJ239*BJ147+BK239*BK147+BL239*BL147+BM239*BM147+BN239*BN147+BO239*BO147+BP239*BP147+BQ239*BQ147+BR239*BR147+BS239*BS147+BT239*BT147+BU239*BU147+BV239*BV147+BW239*BW147+BX239*BX147+BY239*BY147+BZ239*BZ147+CA239*CA147+CB239*CB147+CC239*CC147+CD239*CD147+CE239*CE147+CF239*CF147+CG239*CG147+CH239*CH147+CI239*CI147+CJ239*CJ147+CK239*CK147</f>
        <v>0</v>
      </c>
      <c r="CR147" s="2297">
        <f>E240*E147+F240*F147+G240*G147+H240*H147+I240*I147+J240*J147+K240*K147+L240*L147+M240*M147+N240*N147+O240*O147+P240*P147+Q240*Q147+R240*R147+S240*S147+T240*T147+U240*U147+V240*V147+W240*W147+X240*X147+Y240*Y147+Z240*Z147+AA240*AA147+AB240*AB147+AC240*AC147+AD240*AD147+AE240*AE147+AF240*AF147+AG240*AG147+AH240*AH147+AI240*AI147+AJ240*AJ147+AK240*AK147+AL240*AL147+AM240*AM147+AN240*AN147+AO240*AO147+AP240*AP147+AQ240*AQ147+AR240*AR147+AS240*AS147+AT240*AT147+AU240*AU147+AV240*AV147+AW240*AW147+AX240*AX147+AY240*AY147+AZ240*AZ147+BA240*BA147+BB240*BB147+BC240*BC147+BD240*BD147+BE240*BE147+BF240*BF147+BG240*BG147+BH240*BH147+BI240*BI147+BJ240*BJ147+BK240*BK147+BL240*BL147+BM240*BM147+BN240*BN147+BO240*BO147+BP240*BP147+BQ240*BQ147+BR240*BR147+BS240*BS147+BT240*BT147+BU240*BU147+BV240*BV147+BW240*BW147+BX240*BX147+BY240*BY147+BZ240*BZ147+CA240*CA147+CB240*CB147+CC240*CC147+CD240*CD147+CE240*CE147+CF240*CF147+CG240*CG147+CH240*CH147+CI240*CI147+CJ240*CJ147+CK240*CK147</f>
        <v>-8.6736173798840355E-19</v>
      </c>
      <c r="CS147" s="2297">
        <f>E241*E147+F241*F147+G241*G147+H241*H147+I241*I147+J241*J147+K241*K147+L241*L147+M241*M147+N241*N147+O241*O147+P241*P147+Q241*Q147+R241*R147+S241*S147+T241*T147+U241*U147+V241*V147+W241*W147+X241*X147+Y241*Y147+Z241*Z147+AA241*AA147+AB241*AB147+AC241*AC147+AD241*AD147+AE241*AE147+AF241*AF147+AG241*AG147+AH241*AH147+AI241*AI147+AJ241*AJ147+AK241*AK147+AL241*AL147+AM241*AM147+AN241*AN147+AO241*AO147+AP241*AP147+AQ241*AQ147+AR241*AR147+AS241*AS147+AT241*AT147+AU241*AU147+AV241*AV147+AW241*AW147+AX241*AX147+AY241*AY147+AZ241*AZ147+BA241*BA147+BB241*BB147+BC241*BC147+BD241*BD147+BE241*BE147+BF241*BF147+BG241*BG147+BH241*BH147+BI241*BI147+BJ241*BJ147+BK241*BK147+BL241*BL147+BM241*BM147+BN241*BN147+BO241*BO147+BP241*BP147+BQ241*BQ147+BR241*BR147+BS241*BS147+BT241*BT147+BU241*BU147+BV241*BV147+BW241*BW147+BX241*BX147+BY241*BY147+BZ241*BZ147+CA241*CA147+CB241*CB147+CC241*CC147+CD241*CD147+CE241*CE147+CF241*CF147+CG241*CG147+CH241*CH147+CI241*CI147+CJ241*CJ147+CK241*CK147</f>
        <v>0</v>
      </c>
      <c r="CT147" s="2297">
        <f>E242*E147+F242*F147+G242*G147+H242*H147+I242*I147+J242*J147+K242*K147+L242*L147+M242*M147+N242*N147+O242*O147+P242*P147+Q242*Q147+R242*R147+S242*S147+T242*T147+U242*U147+V242*V147+W242*W147+X242*X147+Y242*Y147+Z242*Z147+AA242*AA147+AB242*AB147+AC242*AC147+AD242*AD147+AE242*AE147+AF242*AF147+AG242*AG147+AH242*AH147+AI242*AI147+AJ242*AJ147+AK242*AK147+AL242*AL147+AM242*AM147+AN242*AN147+AO242*AO147+AP242*AP147+AQ242*AQ147+AR242*AR147+AS242*AS147+AT242*AT147+AU242*AU147+AV242*AV147+AW242*AW147+AX242*AX147+AY242*AY147+AZ242*AZ147+BA242*BA147+BB242*BB147+BC242*BC147+BD242*BD147+BE242*BE147+BF242*BF147+BG242*BG147+BH242*BH147+BI242*BI147+BJ242*BJ147+BK242*BK147+BL242*BL147+BM242*BM147+BN242*BN147+BO242*BO147+BP242*BP147+BQ242*BQ147+BR242*BR147+BS242*BS147+BT242*BT147+BU242*BU147+BV242*BV147+BW242*BW147+BX242*BX147+BY242*BY147+BZ242*BZ147+CA242*CA147+CB242*CB147+CC242*CC147+CD242*CD147+CE242*CE147+CF242*CF147+CG242*CG147+CH242*CH147+CI242*CI147+CJ242*CJ147+CK242*CK147</f>
        <v>0</v>
      </c>
      <c r="CU147" s="2297">
        <f>E243*E147+F243*F147+G243*G147+H243*H147+I243*I147+J243*J147+K243*K147+L243*L147+M243*M147+N243*N147+O243*O147+P243*P147+Q243*Q147+R243*R147+S243*S147+T243*T147+U243*U147+V243*V147+W243*W147+X243*X147+Y243*Y147+Z243*Z147+AA243*AA147+AB243*AB147+AC243*AC147+AD243*AD147+AE243*AE147+AF243*AF147+AG243*AG147+AH243*AH147+AI243*AI147+AJ243*AJ147+AK243*AK147+AL243*AL147+AM243*AM147+AN243*AN147+AO243*AO147+AP243*AP147+AQ243*AQ147+AR243*AR147+AS243*AS147+AT243*AT147+AU243*AU147+AV243*AV147+AW243*AW147+AX243*AX147+AY243*AY147+AZ243*AZ147+BA243*BA147+BB243*BB147+BC243*BC147+BD243*BD147+BE243*BE147+BF243*BF147+BG243*BG147+BH243*BH147+BI243*BI147+BJ243*BJ147+BK243*BK147+BL243*BL147+BM243*BM147+BN243*BN147+BO243*BO147+BP243*BP147+BQ243*BQ147+BR243*BR147+BS243*BS147+BT243*BT147+BU243*BU147+BV243*BV147+BW243*BW147+BX243*BX147+BY243*BY147+BZ243*BZ147+CA243*CA147+CB243*CB147+CC243*CC147+CD243*CD147+CE243*CE147+CF243*CF147+CG243*CG147+CH243*CH147+CI243*CI147+CJ243*CJ147+CK243*CK147</f>
        <v>0</v>
      </c>
      <c r="CV147" s="2297">
        <f>E244*E147+F244*F147+G244*G147+H244*H147+I244*I147+J244*J147+K244*K147+L244*L147+M244*M147+N244*N147+O244*O147+P244*P147+Q244*Q147+R244*R147+S244*S147+T244*T147+U244*U147+V244*V147+W244*W147+X244*X147+Y244*Y147+Z244*Z147+AA244*AA147+AB244*AB147+AC244*AC147+AD244*AD147+AE244*AE147+AF244*AF147+AG244*AG147+AH244*AH147+AI244*AI147+AJ244*AJ147+AK244*AK147+AL244*AL147+AM244*AM147+AN244*AN147+AO244*AO147+AP244*AP147+AQ244*AQ147+AR244*AR147+AS244*AS147+AT244*AT147+AU244*AU147+AV244*AV147+AW244*AW147+AX244*AX147+AY244*AY147+AZ244*AZ147+BA244*BA147+BB244*BB147+BC244*BC147+BD244*BD147+BE244*BE147+BF244*BF147+BG244*BG147+BH244*BH147+BI244*BI147+BJ244*BJ147+BK244*BK147+BL244*BL147+BM244*BM147+BN244*BN147+BO244*BO147+BP244*BP147+BQ244*BQ147+BR244*BR147+BS244*BS147+BT244*BT147+BU244*BU147+BV244*BV147+BW244*BW147+BX244*BX147+BY244*BY147+BZ244*BZ147+CA244*CA147+CB244*CB147+CC244*CC147+CD244*CD147+CE244*CE147+CF244*CF147+CG244*CG147+CH244*CH147+CI244*CI147+CJ244*CJ147+CK244*CK147</f>
        <v>0</v>
      </c>
      <c r="CW147" s="2297">
        <f>E245*E147+F245*F147+G245*G147+H245*H147+I245*I147+J245*J147+K245*K147+L245*L147+M245*M147+N245*N147+O245*O147+P245*P147+Q245*Q147+R245*R147+S245*S147+T245*T147+U245*U147+V245*V147+W245*W147+X245*X147+Y245*Y147+Z245*Z147+AA245*AA147+AB245*AB147+AC245*AC147+AD245*AD147+AE245*AE147+AF245*AF147+AG245*AG147+AH245*AH147+AI245*AI147+AJ245*AJ147+AK245*AK147+AL245*AL147+AM245*AM147+AN245*AN147+AO245*AO147+AP245*AP147+AQ245*AQ147+AR245*AR147+AS245*AS147+AT245*AT147+AU245*AU147+AV245*AV147+AW245*AW147+AX245*AX147+AY245*AY147+AZ245*AZ147+BA245*BA147+BB245*BB147+BC245*BC147+BD245*BD147+BE245*BE147+BF245*BF147+BG245*BG147+BH245*BH147+BI245*BI147+BJ245*BJ147+BK245*BK147+BL245*BL147+BM245*BM147+BN245*BN147+BO245*BO147+BP245*BP147+BQ245*BQ147+BR245*BR147+BS245*BS147+BT245*BT147+BU245*BU147+BV245*BV147+BW245*BW147+BX245*BX147+BY245*BY147+BZ245*BZ147+CA245*CA147+CB245*CB147+CC245*CC147+CD245*CD147+CE245*CE147+CF245*CF147+CG245*CG147+CH245*CH147+CI245*CI147+CJ245*CJ147+CK245*CK147</f>
        <v>0</v>
      </c>
      <c r="CX147" s="2297">
        <f>E246*E147+F246*F147+G246*G147+H246*H147+I246*I147+J246*J147+K246*K147+L246*L147+M246*M147+N246*N147+O246*O147+P246*P147+Q246*Q147+R246*R147+S246*S147+T246*T147+U246*U147+V246*V147+W246*W147+X246*X147+Y246*Y147+Z246*Z147+AA246*AA147+AB246*AB147+AC246*AC147+AD246*AD147+AE246*AE147+AF246*AF147+AG246*AG147+AH246*AH147+AI246*AI147+AJ246*AJ147+AK246*AK147+AL246*AL147+AM246*AM147+AN246*AN147+AO246*AO147+AP246*AP147+AQ246*AQ147+AR246*AR147+AS246*AS147+AT246*AT147+AU246*AU147+AV246*AV147+AW246*AW147+AX246*AX147+AY246*AY147+AZ246*AZ147+BA246*BA147+BB246*BB147+BC246*BC147+BD246*BD147+BE246*BE147+BF246*BF147+BG246*BG147+BH246*BH147+BI246*BI147+BJ246*BJ147+BK246*BK147+BL246*BL147+BM246*BM147+BN246*BN147+BO246*BO147+BP246*BP147+BQ246*BQ147+BR246*BR147+BS246*BS147+BT246*BT147+BU246*BU147+BV246*BV147+BW246*BW147+BX246*BX147+BY246*BY147+BZ246*BZ147+CA246*CA147+CB246*CB147+CC246*CC147+CD246*CD147+CE246*CE147+CF246*CF147+CG246*CG147+CH246*CH147+CI246*CI147+CJ246*CJ147+CK246*CK147</f>
        <v>0</v>
      </c>
    </row>
    <row r="148" spans="2:102" ht="18" x14ac:dyDescent="0.25">
      <c r="B148" s="1245">
        <v>21</v>
      </c>
      <c r="C148" s="909" t="s">
        <v>243</v>
      </c>
      <c r="D148" s="910" t="s">
        <v>4214</v>
      </c>
      <c r="E148" s="2657">
        <f>0</f>
        <v>0</v>
      </c>
      <c r="F148" s="2657">
        <f>0</f>
        <v>0</v>
      </c>
      <c r="G148" s="2657">
        <f>0</f>
        <v>0</v>
      </c>
      <c r="H148" s="2657">
        <f>0</f>
        <v>0</v>
      </c>
      <c r="I148" s="2657">
        <f>0</f>
        <v>0</v>
      </c>
      <c r="J148" s="2692">
        <f>0</f>
        <v>0</v>
      </c>
      <c r="K148" s="2657">
        <f>0</f>
        <v>0</v>
      </c>
      <c r="L148" s="2657">
        <f>0</f>
        <v>0</v>
      </c>
      <c r="M148" s="2657">
        <f>0</f>
        <v>0</v>
      </c>
      <c r="N148" s="2703">
        <f>0</f>
        <v>0</v>
      </c>
      <c r="O148" s="2703">
        <f>0</f>
        <v>0</v>
      </c>
      <c r="P148" s="2657">
        <f>0</f>
        <v>0</v>
      </c>
      <c r="Q148" s="2657">
        <f>0</f>
        <v>0</v>
      </c>
      <c r="R148" s="2657">
        <f>0</f>
        <v>0</v>
      </c>
      <c r="S148" s="2659">
        <f>-Y_PP_CASTO_anox</f>
        <v>-0.23</v>
      </c>
      <c r="T148" s="2657">
        <f>0</f>
        <v>0</v>
      </c>
      <c r="U148" s="2657">
        <f>0</f>
        <v>0</v>
      </c>
      <c r="V148" s="2657">
        <f>0</f>
        <v>0</v>
      </c>
      <c r="W148" s="2657">
        <f>0</f>
        <v>0</v>
      </c>
      <c r="X148" s="2657">
        <f>0</f>
        <v>0</v>
      </c>
      <c r="Y148" s="2657">
        <f>0</f>
        <v>0</v>
      </c>
      <c r="Z148" s="2660">
        <f>0</f>
        <v>0</v>
      </c>
      <c r="AA148" s="2658">
        <f>i_N_BIO*Y_PP_CASTO_anox</f>
        <v>1.6100000000000003E-2</v>
      </c>
      <c r="AB148" s="2703">
        <f>Y_PP_CASTO_anox/E_EQNO2_NO3</f>
        <v>0.20135386326987265</v>
      </c>
      <c r="AC148" s="2703">
        <f>-Y_PP_CASTO_anox/E_EQNO2_NO3</f>
        <v>-0.20135386326987265</v>
      </c>
      <c r="AD148" s="2657">
        <f>0</f>
        <v>0</v>
      </c>
      <c r="AE148" s="2657">
        <f>0</f>
        <v>0</v>
      </c>
      <c r="AF148" s="2657">
        <f>0</f>
        <v>0</v>
      </c>
      <c r="AG148" s="2657">
        <f>0</f>
        <v>0</v>
      </c>
      <c r="AH148" s="2657">
        <f>0</f>
        <v>0</v>
      </c>
      <c r="AI148" s="2703">
        <f>i_P_BIO*Y_PP_CASTO_anox-1</f>
        <v>-0.99539999999999995</v>
      </c>
      <c r="AJ148" s="2657">
        <f>1</f>
        <v>1</v>
      </c>
      <c r="AK148" s="2657">
        <f>0</f>
        <v>0</v>
      </c>
      <c r="AL148" s="2657">
        <f>0</f>
        <v>0</v>
      </c>
      <c r="AM148" s="2657">
        <f>0</f>
        <v>0</v>
      </c>
      <c r="AN148" s="2657">
        <f>0</f>
        <v>0</v>
      </c>
      <c r="AO148" s="2657">
        <f>0</f>
        <v>0</v>
      </c>
      <c r="AP148" s="2657">
        <f>0</f>
        <v>0</v>
      </c>
      <c r="AQ148" s="2657">
        <f>0</f>
        <v>0</v>
      </c>
      <c r="AR148" s="2659">
        <f>i_CIT_BIO*Y_PP_CASTO_anox</f>
        <v>8.0960000000000004E-2</v>
      </c>
      <c r="AS148" s="2659">
        <f>-i_INORG*Y_PP_CASTO_anox</f>
        <v>-2.53E-2</v>
      </c>
      <c r="AT148" s="2703">
        <f>Y_PP_CASTO_anox*i_INORG*(1-i_Ca_INORG*(A_MCa+2*A_MCl)/A_MCa-i_Mg_INORG*(A_MMg+2*A_MCl)/A_MMg)*f_Na</f>
        <v>6.6249898240436462E-3</v>
      </c>
      <c r="AU148" s="2703">
        <f>Y_PP_CASTO_anox*(i_INORG*(i_Ca_INORG*(2*A_MCl)/A_MCa+i_Mg_INORG*(2*A_MCl)/A_MMg)+i_INORG*(1-i_Ca_INORG*(A_MCa+2*A_MCl)/A_MCa-i_Mg_INORG*(A_MMg+2*A_MCl)/A_MMg)*(1-f_Na))</f>
        <v>1.6145010175956355E-2</v>
      </c>
      <c r="AV148" s="2703">
        <f>Y_PP_CASTO_anox*i_INORG*i_Ca_INORG-i_Ca_PP*A_MCa/A_MP</f>
        <v>-0.12812838702613275</v>
      </c>
      <c r="AW148" s="2659">
        <f>Y_PP_CASTO_anox*i_INORG*i_Mg_INORG-i_Mg_PP*A_MMg/A_MP</f>
        <v>-0.27337874347136937</v>
      </c>
      <c r="AX148" s="2703">
        <f>-i_K_PP*A_MK/A_MP</f>
        <v>-0.12623038734377579</v>
      </c>
      <c r="AY148" s="2703">
        <f>0</f>
        <v>0</v>
      </c>
      <c r="AZ148" s="2703">
        <f>0</f>
        <v>0</v>
      </c>
      <c r="BA148" s="2703">
        <f>0</f>
        <v>0</v>
      </c>
      <c r="BB148" s="2703">
        <f>0</f>
        <v>0</v>
      </c>
      <c r="BC148" s="2703">
        <f>0</f>
        <v>0</v>
      </c>
      <c r="BD148" s="2703">
        <f>0</f>
        <v>0</v>
      </c>
      <c r="BE148" s="2703">
        <f>0</f>
        <v>0</v>
      </c>
      <c r="BF148" s="2703">
        <f>0</f>
        <v>0</v>
      </c>
      <c r="BG148" s="2703">
        <f>0</f>
        <v>0</v>
      </c>
      <c r="BH148" s="2703">
        <f>0</f>
        <v>0</v>
      </c>
      <c r="BI148" s="2703">
        <f>0</f>
        <v>0</v>
      </c>
      <c r="BJ148" s="2703">
        <f>0</f>
        <v>0</v>
      </c>
      <c r="BK148" s="2703">
        <f>0</f>
        <v>0</v>
      </c>
      <c r="BL148" s="2703">
        <f>0</f>
        <v>0</v>
      </c>
      <c r="BM148" s="2703">
        <f>0</f>
        <v>0</v>
      </c>
      <c r="BN148" s="2703">
        <f>0</f>
        <v>0</v>
      </c>
      <c r="BO148" s="2703">
        <f>0</f>
        <v>0</v>
      </c>
      <c r="BP148" s="2703">
        <f>0</f>
        <v>0</v>
      </c>
      <c r="BQ148" s="2703">
        <f>0</f>
        <v>0</v>
      </c>
      <c r="BR148" s="2703">
        <f>0</f>
        <v>0</v>
      </c>
      <c r="BS148" s="2705">
        <f>0</f>
        <v>0</v>
      </c>
      <c r="BT148" s="2705">
        <f>0</f>
        <v>0</v>
      </c>
      <c r="BU148" s="2705">
        <f>0</f>
        <v>0</v>
      </c>
      <c r="BV148" s="2705">
        <f>0</f>
        <v>0</v>
      </c>
      <c r="BW148" s="2703">
        <f>0</f>
        <v>0</v>
      </c>
      <c r="BX148" s="2659">
        <f>0</f>
        <v>0</v>
      </c>
      <c r="BY148" s="2705">
        <f>0</f>
        <v>0</v>
      </c>
      <c r="BZ148" s="2703">
        <f>0</f>
        <v>0</v>
      </c>
      <c r="CA148" s="2703">
        <f>0</f>
        <v>0</v>
      </c>
      <c r="CB148" s="2703">
        <f>0</f>
        <v>0</v>
      </c>
      <c r="CC148" s="2703">
        <f>0</f>
        <v>0</v>
      </c>
      <c r="CD148" s="2703">
        <f>0</f>
        <v>0</v>
      </c>
      <c r="CE148" s="2703">
        <f>0</f>
        <v>0</v>
      </c>
      <c r="CF148" s="2703">
        <f>0</f>
        <v>0</v>
      </c>
      <c r="CG148" s="2703">
        <f>0</f>
        <v>0</v>
      </c>
      <c r="CH148" s="2703">
        <f>0</f>
        <v>0</v>
      </c>
      <c r="CI148" s="2703">
        <f>0</f>
        <v>0</v>
      </c>
      <c r="CJ148" s="2703">
        <f>0</f>
        <v>0</v>
      </c>
      <c r="CK148" s="2703">
        <f>0</f>
        <v>0</v>
      </c>
      <c r="CL148" s="2803">
        <f>q_PAO_PP_T*X_PAO/(X_PP+X_PP_PAO_min)*X_PAO*η_CASTO_anox*M_satSNO3_KNO3_CASTO*M_inhSO2_KO2_CASTO*M_inhSNO2_KNO2_CASTO*L_ogsatSPO4_KPO4_PAO*L_oginhXPP_XPAO_max*M_satSCa_KCa_PAO*M_satSMg_KMg_PAO*M_satSK_KK_PAO*B_ellinhpH</f>
        <v>1.6543915540769663</v>
      </c>
      <c r="CN148" s="2295">
        <f>E236*E148+F236*F148+G236*G148+H236*H148+I236*I148+J236*J148+K236*K148+L236*L148+M236*M148+N236*N148+O236*O148+P236*P148+Q236*Q148+R236*R148+S236*S148+T236*T148+U236*U148+V236*V148+W236*W148+X236*X148+Y236*Y148+Z236*Z148+AA236*AA148+AB236*AB148+AC236*AC148+AD236*AD148+AE236*AE148+AF236*AF148+AG236*AG148+AH236*AH148+AI236*AI148+AJ236*AJ148+AK236*AK148+AL236*AL148+AM236*AM148+AN236*AN148+AO236*AO148+AP236*AP148+AQ236*AQ148+AR236*AR148+AS236*AS148+AT236*AT148+AU236*AU148+AV236*AV148+AW236*AW148+AX236*AX148+AY236*AY148+AZ236*AZ148+BA236*BA148+BB236*BB148+BC236*BC148+BD236*BD148+BE236*BE148+BF236*BF148+BG236*BG148+BH236*BH148+BI236*BI148+BJ236*BJ148+BK236*BK148+BL236*BL148+BM236*BM148+BN236*BN148+BO236*BO148+BP236*BP148+BQ236*BQ148+BR236*BR148+BS236*BS148+BT236*BT148+BU236*BU148+BV236*BV148+BW236*BW148+BX236*BX148+BY236*BY148+BZ236*BZ148+CA236*CA148+CB236*CB148+CC236*CC148+CD236*CD148+CE236*CE148+CF236*CF148+CG236*CG148+CH236*CH148+CI236*CI148+CJ236*CJ148+CK236*CK148</f>
        <v>1.1102230246251565E-16</v>
      </c>
      <c r="CO148" s="2295">
        <f>E237*E148+F237*F148+G237*G148+H237*H148+I237*I148+J237*J148+K237*K148+L237*L148+M237*M148+N237*N148+O237*O148+P237*P148+Q237*Q148+R237*R148+S237*S148+T237*T148+U237*U148+V237*V148+W237*W148+X237*X148+Y237*Y148+Z237*Z148+AA237*AA148+AB237*AB148+AC237*AC148+AD237*AD148+AE237*AE148+AF237*AF148+AG237*AG148+AH237*AH148+AI237*AI148+AJ237*AJ148+AK237*AK148+AL237*AL148+AM237*AM148+AN237*AN148+AO237*AO148+AP237*AP148+AQ237*AQ148+AR237*AR148+AS237*AS148+AT237*AT148+AU237*AU148+AV237*AV148+AW237*AW148+AX237*AX148+AY237*AY148+AZ237*AZ148+BA237*BA148+BB237*BB148+BC237*BC148+BD237*BD148+BE237*BE148+BF237*BF148+BG237*BG148+BH237*BH148+BI237*BI148+BJ237*BJ148+BK237*BK148+BL237*BL148+BM237*BM148+BN237*BN148+BO237*BO148+BP237*BP148+BQ237*BQ148+BR237*BR148+BS237*BS148+BT237*BT148+BU237*BU148+BV237*BV148+BW237*BW148+BX237*BX148+BY237*BY148+BZ237*BZ148+CA237*CA148+CB237*CB148+CC237*CC148+CD237*CD148+CE237*CE148+CF237*CF148+CG237*CG148+CH237*CH148+CI237*CI148+CJ237*CJ148+CK237*CK148</f>
        <v>0</v>
      </c>
      <c r="CP148" s="2296">
        <f>E238*E148+F238*F148+G238*G148+H238*H148+I238*I148+J238*J148+K238*K148+L238*L148+M238*M148+N238*N148+O238*O148+P238*P148+Q238*Q148+R238*R148+S238*S148+T238*T148+U238*U148+V238*V148+W238*W148+X238*X148+Y238*Y148+Z238*Z148+AA238*AA148+AB238*AB148+AC238*AC148+AD238*AD148+AE238*AE148+AF238*AF148+AG238*AG148+AH238*AH148+AI238*AI148+AJ238*AJ148+AK238*AK148+AL238*AL148+AM238*AM148+AN238*AN148+AO238*AO148+AP238*AP148+AQ238*AQ148+AR238*AR148+AS238*AS148+AT238*AT148+AU238*AU148+AV238*AV148+AW238*AW148+AX238*AX148+AY238*AY148+AZ238*AZ148+BA238*BA148+BB238*BB148+BC238*BC148+BD238*BD148+BE238*BE148+BF238*BF148+BG238*BG148+BH238*BH148+BI238*BI148+BJ238*BJ148+BK238*BK148+BL238*BL148+BM238*BM148+BN238*BN148+BO238*BO148+BP238*BP148+BQ238*BQ148+BR238*BR148+BS238*BS148+BT238*BT148+BU238*BU148+BV238*BV148+BW238*BW148+BX238*BX148+BY238*BY148+BZ238*BZ148+CA238*CA148+CB238*CB148+CC238*CC148+CD238*CD148+CE238*CE148+CF238*CF148+CG238*CG148+CH238*CH148+CI238*CI148+CJ238*CJ148+CK238*CK148</f>
        <v>0</v>
      </c>
      <c r="CQ148" s="2297">
        <f>E239*E148+F239*F148+G239*G148+H239*H148+I239*I148+J239*J148+K239*K148+L239*L148+M239*M148+N239*N148+O239*O148+P239*P148+Q239*Q148+R239*R148+S239*S148+T239*T148+U239*U148+V239*V148+W239*W148+X239*X148+Y239*Y148+Z239*Z148+AA239*AA148+AB239*AB148+AC239*AC148+AD239*AD148+AE239*AE148+AF239*AF148+AG239*AG148+AH239*AH148+AI239*AI148+AJ239*AJ148+AK239*AK148+AL239*AL148+AM239*AM148+AN239*AN148+AO239*AO148+AP239*AP148+AQ239*AQ148+AR239*AR148+AS239*AS148+AT239*AT148+AU239*AU148+AV239*AV148+AW239*AW148+AX239*AX148+AY239*AY148+AZ239*AZ148+BA239*BA148+BB239*BB148+BC239*BC148+BD239*BD148+BE239*BE148+BF239*BF148+BG239*BG148+BH239*BH148+BI239*BI148+BJ239*BJ148+BK239*BK148+BL239*BL148+BM239*BM148+BN239*BN148+BO239*BO148+BP239*BP148+BQ239*BQ148+BR239*BR148+BS239*BS148+BT239*BT148+BU239*BU148+BV239*BV148+BW239*BW148+BX239*BX148+BY239*BY148+BZ239*BZ148+CA239*CA148+CB239*CB148+CC239*CC148+CD239*CD148+CE239*CE148+CF239*CF148+CG239*CG148+CH239*CH148+CI239*CI148+CJ239*CJ148+CK239*CK148</f>
        <v>0</v>
      </c>
      <c r="CR148" s="2297">
        <f>E240*E148+F240*F148+G240*G148+H240*H148+I240*I148+J240*J148+K240*K148+L240*L148+M240*M148+N240*N148+O240*O148+P240*P148+Q240*Q148+R240*R148+S240*S148+T240*T148+U240*U148+V240*V148+W240*W148+X240*X148+Y240*Y148+Z240*Z148+AA240*AA148+AB240*AB148+AC240*AC148+AD240*AD148+AE240*AE148+AF240*AF148+AG240*AG148+AH240*AH148+AI240*AI148+AJ240*AJ148+AK240*AK148+AL240*AL148+AM240*AM148+AN240*AN148+AO240*AO148+AP240*AP148+AQ240*AQ148+AR240*AR148+AS240*AS148+AT240*AT148+AU240*AU148+AV240*AV148+AW240*AW148+AX240*AX148+AY240*AY148+AZ240*AZ148+BA240*BA148+BB240*BB148+BC240*BC148+BD240*BD148+BE240*BE148+BF240*BF148+BG240*BG148+BH240*BH148+BI240*BI148+BJ240*BJ148+BK240*BK148+BL240*BL148+BM240*BM148+BN240*BN148+BO240*BO148+BP240*BP148+BQ240*BQ148+BR240*BR148+BS240*BS148+BT240*BT148+BU240*BU148+BV240*BV148+BW240*BW148+BX240*BX148+BY240*BY148+BZ240*BZ148+CA240*CA148+CB240*CB148+CC240*CC148+CD240*CD148+CE240*CE148+CF240*CF148+CG240*CG148+CH240*CH148+CI240*CI148+CJ240*CJ148+CK240*CK148</f>
        <v>-8.6736173798840355E-19</v>
      </c>
      <c r="CS148" s="2297">
        <f>E241*E148+F241*F148+G241*G148+H241*H148+I241*I148+J241*J148+K241*K148+L241*L148+M241*M148+N241*N148+O241*O148+P241*P148+Q241*Q148+R241*R148+S241*S148+T241*T148+U241*U148+V241*V148+W241*W148+X241*X148+Y241*Y148+Z241*Z148+AA241*AA148+AB241*AB148+AC241*AC148+AD241*AD148+AE241*AE148+AF241*AF148+AG241*AG148+AH241*AH148+AI241*AI148+AJ241*AJ148+AK241*AK148+AL241*AL148+AM241*AM148+AN241*AN148+AO241*AO148+AP241*AP148+AQ241*AQ148+AR241*AR148+AS241*AS148+AT241*AT148+AU241*AU148+AV241*AV148+AW241*AW148+AX241*AX148+AY241*AY148+AZ241*AZ148+BA241*BA148+BB241*BB148+BC241*BC148+BD241*BD148+BE241*BE148+BF241*BF148+BG241*BG148+BH241*BH148+BI241*BI148+BJ241*BJ148+BK241*BK148+BL241*BL148+BM241*BM148+BN241*BN148+BO241*BO148+BP241*BP148+BQ241*BQ148+BR241*BR148+BS241*BS148+BT241*BT148+BU241*BU148+BV241*BV148+BW241*BW148+BX241*BX148+BY241*BY148+BZ241*BZ148+CA241*CA148+CB241*CB148+CC241*CC148+CD241*CD148+CE241*CE148+CF241*CF148+CG241*CG148+CH241*CH148+CI241*CI148+CJ241*CJ148+CK241*CK148</f>
        <v>0</v>
      </c>
      <c r="CT148" s="2297">
        <f>E242*E148+F242*F148+G242*G148+H242*H148+I242*I148+J242*J148+K242*K148+L242*L148+M242*M148+N242*N148+O242*O148+P242*P148+Q242*Q148+R242*R148+S242*S148+T242*T148+U242*U148+V242*V148+W242*W148+X242*X148+Y242*Y148+Z242*Z148+AA242*AA148+AB242*AB148+AC242*AC148+AD242*AD148+AE242*AE148+AF242*AF148+AG242*AG148+AH242*AH148+AI242*AI148+AJ242*AJ148+AK242*AK148+AL242*AL148+AM242*AM148+AN242*AN148+AO242*AO148+AP242*AP148+AQ242*AQ148+AR242*AR148+AS242*AS148+AT242*AT148+AU242*AU148+AV242*AV148+AW242*AW148+AX242*AX148+AY242*AY148+AZ242*AZ148+BA242*BA148+BB242*BB148+BC242*BC148+BD242*BD148+BE242*BE148+BF242*BF148+BG242*BG148+BH242*BH148+BI242*BI148+BJ242*BJ148+BK242*BK148+BL242*BL148+BM242*BM148+BN242*BN148+BO242*BO148+BP242*BP148+BQ242*BQ148+BR242*BR148+BS242*BS148+BT242*BT148+BU242*BU148+BV242*BV148+BW242*BW148+BX242*BX148+BY242*BY148+BZ242*BZ148+CA242*CA148+CB242*CB148+CC242*CC148+CD242*CD148+CE242*CE148+CF242*CF148+CG242*CG148+CH242*CH148+CI242*CI148+CJ242*CJ148+CK242*CK148</f>
        <v>0</v>
      </c>
      <c r="CU148" s="2297">
        <f>E243*E148+F243*F148+G243*G148+H243*H148+I243*I148+J243*J148+K243*K148+L243*L148+M243*M148+N243*N148+O243*O148+P243*P148+Q243*Q148+R243*R148+S243*S148+T243*T148+U243*U148+V243*V148+W243*W148+X243*X148+Y243*Y148+Z243*Z148+AA243*AA148+AB243*AB148+AC243*AC148+AD243*AD148+AE243*AE148+AF243*AF148+AG243*AG148+AH243*AH148+AI243*AI148+AJ243*AJ148+AK243*AK148+AL243*AL148+AM243*AM148+AN243*AN148+AO243*AO148+AP243*AP148+AQ243*AQ148+AR243*AR148+AS243*AS148+AT243*AT148+AU243*AU148+AV243*AV148+AW243*AW148+AX243*AX148+AY243*AY148+AZ243*AZ148+BA243*BA148+BB243*BB148+BC243*BC148+BD243*BD148+BE243*BE148+BF243*BF148+BG243*BG148+BH243*BH148+BI243*BI148+BJ243*BJ148+BK243*BK148+BL243*BL148+BM243*BM148+BN243*BN148+BO243*BO148+BP243*BP148+BQ243*BQ148+BR243*BR148+BS243*BS148+BT243*BT148+BU243*BU148+BV243*BV148+BW243*BW148+BX243*BX148+BY243*BY148+BZ243*BZ148+CA243*CA148+CB243*CB148+CC243*CC148+CD243*CD148+CE243*CE148+CF243*CF148+CG243*CG148+CH243*CH148+CI243*CI148+CJ243*CJ148+CK243*CK148</f>
        <v>0</v>
      </c>
      <c r="CV148" s="2297">
        <f>E244*E148+F244*F148+G244*G148+H244*H148+I244*I148+J244*J148+K244*K148+L244*L148+M244*M148+N244*N148+O244*O148+P244*P148+Q244*Q148+R244*R148+S244*S148+T244*T148+U244*U148+V244*V148+W244*W148+X244*X148+Y244*Y148+Z244*Z148+AA244*AA148+AB244*AB148+AC244*AC148+AD244*AD148+AE244*AE148+AF244*AF148+AG244*AG148+AH244*AH148+AI244*AI148+AJ244*AJ148+AK244*AK148+AL244*AL148+AM244*AM148+AN244*AN148+AO244*AO148+AP244*AP148+AQ244*AQ148+AR244*AR148+AS244*AS148+AT244*AT148+AU244*AU148+AV244*AV148+AW244*AW148+AX244*AX148+AY244*AY148+AZ244*AZ148+BA244*BA148+BB244*BB148+BC244*BC148+BD244*BD148+BE244*BE148+BF244*BF148+BG244*BG148+BH244*BH148+BI244*BI148+BJ244*BJ148+BK244*BK148+BL244*BL148+BM244*BM148+BN244*BN148+BO244*BO148+BP244*BP148+BQ244*BQ148+BR244*BR148+BS244*BS148+BT244*BT148+BU244*BU148+BV244*BV148+BW244*BW148+BX244*BX148+BY244*BY148+BZ244*BZ148+CA244*CA148+CB244*CB148+CC244*CC148+CD244*CD148+CE244*CE148+CF244*CF148+CG244*CG148+CH244*CH148+CI244*CI148+CJ244*CJ148+CK244*CK148</f>
        <v>0</v>
      </c>
      <c r="CW148" s="2297">
        <f>E245*E148+F245*F148+G245*G148+H245*H148+I245*I148+J245*J148+K245*K148+L245*L148+M245*M148+N245*N148+O245*O148+P245*P148+Q245*Q148+R245*R148+S245*S148+T245*T148+U245*U148+V245*V148+W245*W148+X245*X148+Y245*Y148+Z245*Z148+AA245*AA148+AB245*AB148+AC245*AC148+AD245*AD148+AE245*AE148+AF245*AF148+AG245*AG148+AH245*AH148+AI245*AI148+AJ245*AJ148+AK245*AK148+AL245*AL148+AM245*AM148+AN245*AN148+AO245*AO148+AP245*AP148+AQ245*AQ148+AR245*AR148+AS245*AS148+AT245*AT148+AU245*AU148+AV245*AV148+AW245*AW148+AX245*AX148+AY245*AY148+AZ245*AZ148+BA245*BA148+BB245*BB148+BC245*BC148+BD245*BD148+BE245*BE148+BF245*BF148+BG245*BG148+BH245*BH148+BI245*BI148+BJ245*BJ148+BK245*BK148+BL245*BL148+BM245*BM148+BN245*BN148+BO245*BO148+BP245*BP148+BQ245*BQ148+BR245*BR148+BS245*BS148+BT245*BT148+BU245*BU148+BV245*BV148+BW245*BW148+BX245*BX148+BY245*BY148+BZ245*BZ148+CA245*CA148+CB245*CB148+CC245*CC148+CD245*CD148+CE245*CE148+CF245*CF148+CG245*CG148+CH245*CH148+CI245*CI148+CJ245*CJ148+CK245*CK148</f>
        <v>0</v>
      </c>
      <c r="CX148" s="2297">
        <f>E246*E148+F246*F148+G246*G148+H246*H148+I246*I148+J246*J148+K246*K148+L246*L148+M246*M148+N246*N148+O246*O148+P246*P148+Q246*Q148+R246*R148+S246*S148+T246*T148+U246*U148+V246*V148+W246*W148+X246*X148+Y246*Y148+Z246*Z148+AA246*AA148+AB246*AB148+AC246*AC148+AD246*AD148+AE246*AE148+AF246*AF148+AG246*AG148+AH246*AH148+AI246*AI148+AJ246*AJ148+AK246*AK148+AL246*AL148+AM246*AM148+AN246*AN148+AO246*AO148+AP246*AP148+AQ246*AQ148+AR246*AR148+AS246*AS148+AT246*AT148+AU246*AU148+AV246*AV148+AW246*AW148+AX246*AX148+AY246*AY148+AZ246*AZ148+BA246*BA148+BB246*BB148+BC246*BC148+BD246*BD148+BE246*BE148+BF246*BF148+BG246*BG148+BH246*BH148+BI246*BI148+BJ246*BJ148+BK246*BK148+BL246*BL148+BM246*BM148+BN246*BN148+BO246*BO148+BP246*BP148+BQ246*BQ148+BR246*BR148+BS246*BS148+BT246*BT148+BU246*BU148+BV246*BV148+BW246*BW148+BX246*BX148+BY246*BY148+BZ246*BZ148+CA246*CA148+CB246*CB148+CC246*CC148+CD246*CD148+CE246*CE148+CF246*CF148+CG246*CG148+CH246*CH148+CI246*CI148+CJ246*CJ148+CK246*CK148</f>
        <v>0</v>
      </c>
    </row>
    <row r="149" spans="2:102" ht="18" x14ac:dyDescent="0.25">
      <c r="B149" s="1245">
        <v>22</v>
      </c>
      <c r="C149" s="586" t="s">
        <v>244</v>
      </c>
      <c r="D149" s="587" t="s">
        <v>1659</v>
      </c>
      <c r="E149" s="2656">
        <f>0</f>
        <v>0</v>
      </c>
      <c r="F149" s="2656">
        <f>0</f>
        <v>0</v>
      </c>
      <c r="G149" s="2656">
        <f>0</f>
        <v>0</v>
      </c>
      <c r="H149" s="2656">
        <f>0</f>
        <v>0</v>
      </c>
      <c r="I149" s="2656">
        <f>0</f>
        <v>0</v>
      </c>
      <c r="J149" s="2692">
        <f>0</f>
        <v>0</v>
      </c>
      <c r="K149" s="2656">
        <f>0</f>
        <v>0</v>
      </c>
      <c r="L149" s="2656">
        <f>0</f>
        <v>0</v>
      </c>
      <c r="M149" s="2656">
        <f>0</f>
        <v>0</v>
      </c>
      <c r="N149" s="2659">
        <f>-1/Y_PAO_PHA_ox</f>
        <v>-1.5649452269170578</v>
      </c>
      <c r="O149" s="2704">
        <f>0</f>
        <v>0</v>
      </c>
      <c r="P149" s="2656">
        <f>0</f>
        <v>0</v>
      </c>
      <c r="Q149" s="2656">
        <f>0</f>
        <v>0</v>
      </c>
      <c r="R149" s="2656">
        <f>0</f>
        <v>0</v>
      </c>
      <c r="S149" s="2656">
        <f>1</f>
        <v>1</v>
      </c>
      <c r="T149" s="2656">
        <f>0</f>
        <v>0</v>
      </c>
      <c r="U149" s="2656">
        <f>0</f>
        <v>0</v>
      </c>
      <c r="V149" s="2656">
        <f>0</f>
        <v>0</v>
      </c>
      <c r="W149" s="2656">
        <f>0</f>
        <v>0</v>
      </c>
      <c r="X149" s="2656">
        <f>0</f>
        <v>0</v>
      </c>
      <c r="Y149" s="2656">
        <f>0</f>
        <v>0</v>
      </c>
      <c r="Z149" s="2660">
        <f>0</f>
        <v>0</v>
      </c>
      <c r="AA149" s="2656">
        <f>-i_N_BIO</f>
        <v>-7.0000000000000007E-2</v>
      </c>
      <c r="AB149" s="2656">
        <f>0</f>
        <v>0</v>
      </c>
      <c r="AC149" s="2656">
        <f>0</f>
        <v>0</v>
      </c>
      <c r="AD149" s="2656">
        <f>0</f>
        <v>0</v>
      </c>
      <c r="AE149" s="2656">
        <f>0</f>
        <v>0</v>
      </c>
      <c r="AF149" s="2656">
        <f>0</f>
        <v>0</v>
      </c>
      <c r="AG149" s="2656">
        <f>0</f>
        <v>0</v>
      </c>
      <c r="AH149" s="2656">
        <f>0</f>
        <v>0</v>
      </c>
      <c r="AI149" s="2704">
        <f>0</f>
        <v>0</v>
      </c>
      <c r="AJ149" s="2704">
        <f>-i_P_BIO</f>
        <v>-0.02</v>
      </c>
      <c r="AK149" s="2656">
        <f>0</f>
        <v>0</v>
      </c>
      <c r="AL149" s="2656">
        <f>0</f>
        <v>0</v>
      </c>
      <c r="AM149" s="2656">
        <f>0</f>
        <v>0</v>
      </c>
      <c r="AN149" s="2656">
        <f>0</f>
        <v>0</v>
      </c>
      <c r="AO149" s="2659">
        <f>-(1-Y_PAO_PHA_ox)/Y_PAO_PHA_ox</f>
        <v>-0.56494522691705784</v>
      </c>
      <c r="AP149" s="2704">
        <f>0</f>
        <v>0</v>
      </c>
      <c r="AQ149" s="2704">
        <f>0</f>
        <v>0</v>
      </c>
      <c r="AR149" s="2659">
        <f>(i_CIT_PHA/Y_PAO_PHA_ox)-i_CIT_BIO</f>
        <v>0.16912676056338027</v>
      </c>
      <c r="AS149" s="2743">
        <f>i_INORG</f>
        <v>0.11</v>
      </c>
      <c r="AT149" s="2743">
        <f>-i_INORG*(1-i_Ca_INORG*(A_MCa+2*A_MCl)/A_MCa-i_Mg_INORG*(A_MMg+2*A_MCl)/A_MMg)*f_Na</f>
        <v>-2.8804303582798466E-2</v>
      </c>
      <c r="AU149" s="2743">
        <f>-i_INORG*(i_Ca_INORG*(2*A_MCl)/A_MCa+i_Mg_INORG*(2*A_MCl)/A_MMg)-i_INORG*(1-i_Ca_INORG*(A_MCa+2*A_MCl)/A_MCa-i_Mg_INORG*(A_MMg+2*A_MCl)/A_MMg)*(1-f_Na)</f>
        <v>-7.0195696417201539E-2</v>
      </c>
      <c r="AV149" s="2743">
        <f>-i_INORG*i_Ca_INORG+i_Ca_PP*A_MCa/A_MP*i_P_BIO</f>
        <v>-2.9121322594773459E-3</v>
      </c>
      <c r="AW149" s="2743">
        <f>-i_INORG*i_Mg_INORG+i_Mg_PP*A_MMg/A_MP*i_P_BIO</f>
        <v>-7.1251305726128047E-6</v>
      </c>
      <c r="AX149" s="2704">
        <f>i_K_PP*A_MK/A_MP*i_P_BIO</f>
        <v>2.5246077468755158E-3</v>
      </c>
      <c r="AY149" s="2704">
        <f>0</f>
        <v>0</v>
      </c>
      <c r="AZ149" s="2704">
        <f>0</f>
        <v>0</v>
      </c>
      <c r="BA149" s="2704">
        <f>0</f>
        <v>0</v>
      </c>
      <c r="BB149" s="2704">
        <f>0</f>
        <v>0</v>
      </c>
      <c r="BC149" s="2704">
        <f>0</f>
        <v>0</v>
      </c>
      <c r="BD149" s="2704">
        <f>0</f>
        <v>0</v>
      </c>
      <c r="BE149" s="2704">
        <f>0</f>
        <v>0</v>
      </c>
      <c r="BF149" s="2704">
        <f>0</f>
        <v>0</v>
      </c>
      <c r="BG149" s="2704">
        <f>0</f>
        <v>0</v>
      </c>
      <c r="BH149" s="2704">
        <f>0</f>
        <v>0</v>
      </c>
      <c r="BI149" s="2704">
        <f>0</f>
        <v>0</v>
      </c>
      <c r="BJ149" s="2704">
        <f>0</f>
        <v>0</v>
      </c>
      <c r="BK149" s="2704">
        <f>0</f>
        <v>0</v>
      </c>
      <c r="BL149" s="2704">
        <f>0</f>
        <v>0</v>
      </c>
      <c r="BM149" s="2704">
        <f>0</f>
        <v>0</v>
      </c>
      <c r="BN149" s="2704">
        <f>0</f>
        <v>0</v>
      </c>
      <c r="BO149" s="2704">
        <f>0</f>
        <v>0</v>
      </c>
      <c r="BP149" s="2703">
        <f>0</f>
        <v>0</v>
      </c>
      <c r="BQ149" s="2704">
        <f>0</f>
        <v>0</v>
      </c>
      <c r="BR149" s="2704">
        <f>0</f>
        <v>0</v>
      </c>
      <c r="BS149" s="2705">
        <f>0</f>
        <v>0</v>
      </c>
      <c r="BT149" s="2705">
        <f>0</f>
        <v>0</v>
      </c>
      <c r="BU149" s="2705">
        <f>0</f>
        <v>0</v>
      </c>
      <c r="BV149" s="2705">
        <f>0</f>
        <v>0</v>
      </c>
      <c r="BW149" s="2704">
        <f>0</f>
        <v>0</v>
      </c>
      <c r="BX149" s="2659">
        <f>0</f>
        <v>0</v>
      </c>
      <c r="BY149" s="2705">
        <f>0</f>
        <v>0</v>
      </c>
      <c r="BZ149" s="2704">
        <f>0</f>
        <v>0</v>
      </c>
      <c r="CA149" s="2704">
        <f>0</f>
        <v>0</v>
      </c>
      <c r="CB149" s="2704">
        <f>0</f>
        <v>0</v>
      </c>
      <c r="CC149" s="2704">
        <f>0</f>
        <v>0</v>
      </c>
      <c r="CD149" s="2704">
        <f>0</f>
        <v>0</v>
      </c>
      <c r="CE149" s="2704">
        <f>0</f>
        <v>0</v>
      </c>
      <c r="CF149" s="2704">
        <f>0</f>
        <v>0</v>
      </c>
      <c r="CG149" s="2704">
        <f>0</f>
        <v>0</v>
      </c>
      <c r="CH149" s="2704">
        <f>0</f>
        <v>0</v>
      </c>
      <c r="CI149" s="2704">
        <f>0</f>
        <v>0</v>
      </c>
      <c r="CJ149" s="2704">
        <f>0</f>
        <v>0</v>
      </c>
      <c r="CK149" s="2704">
        <f>0</f>
        <v>0</v>
      </c>
      <c r="CL149" s="2803">
        <f>µ_PAO_lim_T*X_PAO*M_RsatXPHA_XPAO_KPHA*M_satSO2_KO2_CASTO*M_satSNHx_KNHx_BIO*M_inhSPO4_KiPO4_lim*M_satXPP_KPP_lim*M_satSCAT_KCAT*M_satSAN_KAN*M_satSCa_KCa*M_satSMg_KMg*B_ellinhpH</f>
        <v>1.6759891744191493</v>
      </c>
      <c r="CN149" s="2295">
        <f>E236*E149+F236*F149+G236*G149+H236*H149+I236*I149+J236*J149+K236*K149+L236*L149+M236*M149+N236*N149+O236*O149+P236*P149+Q236*Q149+R236*R149+S236*S149+T236*T149+U236*U149+V236*V149+W236*W149+X236*X149+Y236*Y149+Z236*Z149+AA236*AA149+AB236*AB149+AC236*AC149+AD236*AD149+AE236*AE149+AF236*AF149+AG236*AG149+AH236*AH149+AI236*AI149+AJ236*AJ149+AK236*AK149+AL236*AL149+AM236*AM149+AN236*AN149+AO236*AO149+AP236*AP149+AQ236*AQ149+AR236*AR149+AS236*AS149+AT236*AT149+AU236*AU149+AV236*AV149+AW236*AW149+AX236*AX149+AY236*AY149+AZ236*AZ149+BA236*BA149+BB236*BB149+BC236*BC149+BD236*BD149+BE236*BE149+BF236*BF149+BG236*BG149+BH236*BH149+BI236*BI149+BJ236*BJ149+BK236*BK149+BL236*BL149+BM236*BM149+BN236*BN149+BO236*BO149+BP236*BP149+BQ236*BQ149+BR236*BR149+BS236*BS149+BT236*BT149+BU236*BU149+BV236*BV149+BW236*BW149+BX236*BX149+BY236*BY149+BZ236*BZ149+CA236*CA149+CB236*CB149+CC236*CC149+CD236*CD149+CE236*CE149+CF236*CF149+CG236*CG149+CH236*CH149+CI236*CI149+CJ236*CJ149+CK236*CK149</f>
        <v>0</v>
      </c>
      <c r="CO149" s="2295">
        <f>E237*E149+F237*F149+G237*G149+H237*H149+I237*I149+J237*J149+K237*K149+L237*L149+M237*M149+N237*N149+O237*O149+P237*P149+Q237*Q149+R237*R149+S237*S149+T237*T149+U237*U149+V237*V149+W237*W149+X237*X149+Y237*Y149+Z237*Z149+AA237*AA149+AB237*AB149+AC237*AC149+AD237*AD149+AE237*AE149+AF237*AF149+AG237*AG149+AH237*AH149+AI237*AI149+AJ237*AJ149+AK237*AK149+AL237*AL149+AM237*AM149+AN237*AN149+AO237*AO149+AP237*AP149+AQ237*AQ149+AR237*AR149+AS237*AS149+AT237*AT149+AU237*AU149+AV237*AV149+AW237*AW149+AX237*AX149+AY237*AY149+AZ237*AZ149+BA237*BA149+BB237*BB149+BC237*BC149+BD237*BD149+BE237*BE149+BF237*BF149+BG237*BG149+BH237*BH149+BI237*BI149+BJ237*BJ149+BK237*BK149+BL237*BL149+BM237*BM149+BN237*BN149+BO237*BO149+BP237*BP149+BQ237*BQ149+BR237*BR149+BS237*BS149+BT237*BT149+BU237*BU149+BV237*BV149+BW237*BW149+BX237*BX149+BY237*BY149+BZ237*BZ149+CA237*CA149+CB237*CB149+CC237*CC149+CD237*CD149+CE237*CE149+CF237*CF149+CG237*CG149+CH237*CH149+CI237*CI149+CJ237*CJ149+CK237*CK149</f>
        <v>0</v>
      </c>
      <c r="CP149" s="2296">
        <f>E238*E149+F238*F149+G238*G149+H238*H149+I238*I149+J238*J149+K238*K149+L238*L149+M238*M149+N238*N149+O238*O149+P238*P149+Q238*Q149+R238*R149+S238*S149+T238*T149+U238*U149+V238*V149+W238*W149+X238*X149+Y238*Y149+Z238*Z149+AA238*AA149+AB238*AB149+AC238*AC149+AD238*AD149+AE238*AE149+AF238*AF149+AG238*AG149+AH238*AH149+AI238*AI149+AJ238*AJ149+AK238*AK149+AL238*AL149+AM238*AM149+AN238*AN149+AO238*AO149+AP238*AP149+AQ238*AQ149+AR238*AR149+AS238*AS149+AT238*AT149+AU238*AU149+AV238*AV149+AW238*AW149+AX238*AX149+AY238*AY149+AZ238*AZ149+BA238*BA149+BB238*BB149+BC238*BC149+BD238*BD149+BE238*BE149+BF238*BF149+BG238*BG149+BH238*BH149+BI238*BI149+BJ238*BJ149+BK238*BK149+BL238*BL149+BM238*BM149+BN238*BN149+BO238*BO149+BP238*BP149+BQ238*BQ149+BR238*BR149+BS238*BS149+BT238*BT149+BU238*BU149+BV238*BV149+BW238*BW149+BX238*BX149+BY238*BY149+BZ238*BZ149+CA238*CA149+CB238*CB149+CC238*CC149+CD238*CD149+CE238*CE149+CF238*CF149+CG238*CG149+CH238*CH149+CI238*CI149+CJ238*CJ149+CK238*CK149</f>
        <v>0</v>
      </c>
      <c r="CQ149" s="2297">
        <f>E239*E149+F239*F149+G239*G149+H239*H149+I239*I149+J239*J149+K239*K149+L239*L149+M239*M149+N239*N149+O239*O149+P239*P149+Q239*Q149+R239*R149+S239*S149+T239*T149+U239*U149+V239*V149+W239*W149+X239*X149+Y239*Y149+Z239*Z149+AA239*AA149+AB239*AB149+AC239*AC149+AD239*AD149+AE239*AE149+AF239*AF149+AG239*AG149+AH239*AH149+AI239*AI149+AJ239*AJ149+AK239*AK149+AL239*AL149+AM239*AM149+AN239*AN149+AO239*AO149+AP239*AP149+AQ239*AQ149+AR239*AR149+AS239*AS149+AT239*AT149+AU239*AU149+AV239*AV149+AW239*AW149+AX239*AX149+AY239*AY149+AZ239*AZ149+BA239*BA149+BB239*BB149+BC239*BC149+BD239*BD149+BE239*BE149+BF239*BF149+BG239*BG149+BH239*BH149+BI239*BI149+BJ239*BJ149+BK239*BK149+BL239*BL149+BM239*BM149+BN239*BN149+BO239*BO149+BP239*BP149+BQ239*BQ149+BR239*BR149+BS239*BS149+BT239*BT149+BU239*BU149+BV239*BV149+BW239*BW149+BX239*BX149+BY239*BY149+BZ239*BZ149+CA239*CA149+CB239*CB149+CC239*CC149+CD239*CD149+CE239*CE149+CF239*CF149+CG239*CG149+CH239*CH149+CI239*CI149+CJ239*CJ149+CK239*CK149</f>
        <v>0</v>
      </c>
      <c r="CR149" s="2297">
        <f>E240*E149+F240*F149+G240*G149+H240*H149+I240*I149+J240*J149+K240*K149+L240*L149+M240*M149+N240*N149+O240*O149+P240*P149+Q240*Q149+R240*R149+S240*S149+T240*T149+U240*U149+V240*V149+W240*W149+X240*X149+Y240*Y149+Z240*Z149+AA240*AA149+AB240*AB149+AC240*AC149+AD240*AD149+AE240*AE149+AF240*AF149+AG240*AG149+AH240*AH149+AI240*AI149+AJ240*AJ149+AK240*AK149+AL240*AL149+AM240*AM149+AN240*AN149+AO240*AO149+AP240*AP149+AQ240*AQ149+AR240*AR149+AS240*AS149+AT240*AT149+AU240*AU149+AV240*AV149+AW240*AW149+AX240*AX149+AY240*AY149+AZ240*AZ149+BA240*BA149+BB240*BB149+BC240*BC149+BD240*BD149+BE240*BE149+BF240*BF149+BG240*BG149+BH240*BH149+BI240*BI149+BJ240*BJ149+BK240*BK149+BL240*BL149+BM240*BM149+BN240*BN149+BO240*BO149+BP240*BP149+BQ240*BQ149+BR240*BR149+BS240*BS149+BT240*BT149+BU240*BU149+BV240*BV149+BW240*BW149+BX240*BX149+BY240*BY149+BZ240*BZ149+CA240*CA149+CB240*CB149+CC240*CC149+CD240*CD149+CE240*CE149+CF240*CF149+CG240*CG149+CH240*CH149+CI240*CI149+CJ240*CJ149+CK240*CK149</f>
        <v>0</v>
      </c>
      <c r="CS149" s="2297">
        <f>E241*E149+F241*F149+G241*G149+H241*H149+I241*I149+J241*J149+K241*K149+L241*L149+M241*M149+N241*N149+O241*O149+P241*P149+Q241*Q149+R241*R149+S241*S149+T241*T149+U241*U149+V241*V149+W241*W149+X241*X149+Y241*Y149+Z241*Z149+AA241*AA149+AB241*AB149+AC241*AC149+AD241*AD149+AE241*AE149+AF241*AF149+AG241*AG149+AH241*AH149+AI241*AI149+AJ241*AJ149+AK241*AK149+AL241*AL149+AM241*AM149+AN241*AN149+AO241*AO149+AP241*AP149+AQ241*AQ149+AR241*AR149+AS241*AS149+AT241*AT149+AU241*AU149+AV241*AV149+AW241*AW149+AX241*AX149+AY241*AY149+AZ241*AZ149+BA241*BA149+BB241*BB149+BC241*BC149+BD241*BD149+BE241*BE149+BF241*BF149+BG241*BG149+BH241*BH149+BI241*BI149+BJ241*BJ149+BK241*BK149+BL241*BL149+BM241*BM149+BN241*BN149+BO241*BO149+BP241*BP149+BQ241*BQ149+BR241*BR149+BS241*BS149+BT241*BT149+BU241*BU149+BV241*BV149+BW241*BW149+BX241*BX149+BY241*BY149+BZ241*BZ149+CA241*CA149+CB241*CB149+CC241*CC149+CD241*CD149+CE241*CE149+CF241*CF149+CG241*CG149+CH241*CH149+CI241*CI149+CJ241*CJ149+CK241*CK149</f>
        <v>0</v>
      </c>
      <c r="CT149" s="2297">
        <f>E242*E149+F242*F149+G242*G149+H242*H149+I242*I149+J242*J149+K242*K149+L242*L149+M242*M149+N242*N149+O242*O149+P242*P149+Q242*Q149+R242*R149+S242*S149+T242*T149+U242*U149+V242*V149+W242*W149+X242*X149+Y242*Y149+Z242*Z149+AA242*AA149+AB242*AB149+AC242*AC149+AD242*AD149+AE242*AE149+AF242*AF149+AG242*AG149+AH242*AH149+AI242*AI149+AJ242*AJ149+AK242*AK149+AL242*AL149+AM242*AM149+AN242*AN149+AO242*AO149+AP242*AP149+AQ242*AQ149+AR242*AR149+AS242*AS149+AT242*AT149+AU242*AU149+AV242*AV149+AW242*AW149+AX242*AX149+AY242*AY149+AZ242*AZ149+BA242*BA149+BB242*BB149+BC242*BC149+BD242*BD149+BE242*BE149+BF242*BF149+BG242*BG149+BH242*BH149+BI242*BI149+BJ242*BJ149+BK242*BK149+BL242*BL149+BM242*BM149+BN242*BN149+BO242*BO149+BP242*BP149+BQ242*BQ149+BR242*BR149+BS242*BS149+BT242*BT149+BU242*BU149+BV242*BV149+BW242*BW149+BX242*BX149+BY242*BY149+BZ242*BZ149+CA242*CA149+CB242*CB149+CC242*CC149+CD242*CD149+CE242*CE149+CF242*CF149+CG242*CG149+CH242*CH149+CI242*CI149+CJ242*CJ149+CK242*CK149</f>
        <v>0</v>
      </c>
      <c r="CU149" s="2297">
        <f>E243*E149+F243*F149+G243*G149+H243*H149+I243*I149+J243*J149+K243*K149+L243*L149+M243*M149+N243*N149+O243*O149+P243*P149+Q243*Q149+R243*R149+S243*S149+T243*T149+U243*U149+V243*V149+W243*W149+X243*X149+Y243*Y149+Z243*Z149+AA243*AA149+AB243*AB149+AC243*AC149+AD243*AD149+AE243*AE149+AF243*AF149+AG243*AG149+AH243*AH149+AI243*AI149+AJ243*AJ149+AK243*AK149+AL243*AL149+AM243*AM149+AN243*AN149+AO243*AO149+AP243*AP149+AQ243*AQ149+AR243*AR149+AS243*AS149+AT243*AT149+AU243*AU149+AV243*AV149+AW243*AW149+AX243*AX149+AY243*AY149+AZ243*AZ149+BA243*BA149+BB243*BB149+BC243*BC149+BD243*BD149+BE243*BE149+BF243*BF149+BG243*BG149+BH243*BH149+BI243*BI149+BJ243*BJ149+BK243*BK149+BL243*BL149+BM243*BM149+BN243*BN149+BO243*BO149+BP243*BP149+BQ243*BQ149+BR243*BR149+BS243*BS149+BT243*BT149+BU243*BU149+BV243*BV149+BW243*BW149+BX243*BX149+BY243*BY149+BZ243*BZ149+CA243*CA149+CB243*CB149+CC243*CC149+CD243*CD149+CE243*CE149+CF243*CF149+CG243*CG149+CH243*CH149+CI243*CI149+CJ243*CJ149+CK243*CK149</f>
        <v>0</v>
      </c>
      <c r="CV149" s="2297">
        <f>E244*E149+F244*F149+G244*G149+H244*H149+I244*I149+J244*J149+K244*K149+L244*L149+M244*M149+N244*N149+O244*O149+P244*P149+Q244*Q149+R244*R149+S244*S149+T244*T149+U244*U149+V244*V149+W244*W149+X244*X149+Y244*Y149+Z244*Z149+AA244*AA149+AB244*AB149+AC244*AC149+AD244*AD149+AE244*AE149+AF244*AF149+AG244*AG149+AH244*AH149+AI244*AI149+AJ244*AJ149+AK244*AK149+AL244*AL149+AM244*AM149+AN244*AN149+AO244*AO149+AP244*AP149+AQ244*AQ149+AR244*AR149+AS244*AS149+AT244*AT149+AU244*AU149+AV244*AV149+AW244*AW149+AX244*AX149+AY244*AY149+AZ244*AZ149+BA244*BA149+BB244*BB149+BC244*BC149+BD244*BD149+BE244*BE149+BF244*BF149+BG244*BG149+BH244*BH149+BI244*BI149+BJ244*BJ149+BK244*BK149+BL244*BL149+BM244*BM149+BN244*BN149+BO244*BO149+BP244*BP149+BQ244*BQ149+BR244*BR149+BS244*BS149+BT244*BT149+BU244*BU149+BV244*BV149+BW244*BW149+BX244*BX149+BY244*BY149+BZ244*BZ149+CA244*CA149+CB244*CB149+CC244*CC149+CD244*CD149+CE244*CE149+CF244*CF149+CG244*CG149+CH244*CH149+CI244*CI149+CJ244*CJ149+CK244*CK149</f>
        <v>0</v>
      </c>
      <c r="CW149" s="2297">
        <f>E245*E149+F245*F149+G245*G149+H245*H149+I245*I149+J245*J149+K245*K149+L245*L149+M245*M149+N245*N149+O245*O149+P245*P149+Q245*Q149+R245*R149+S245*S149+T245*T149+U245*U149+V245*V149+W245*W149+X245*X149+Y245*Y149+Z245*Z149+AA245*AA149+AB245*AB149+AC245*AC149+AD245*AD149+AE245*AE149+AF245*AF149+AG245*AG149+AH245*AH149+AI245*AI149+AJ245*AJ149+AK245*AK149+AL245*AL149+AM245*AM149+AN245*AN149+AO245*AO149+AP245*AP149+AQ245*AQ149+AR245*AR149+AS245*AS149+AT245*AT149+AU245*AU149+AV245*AV149+AW245*AW149+AX245*AX149+AY245*AY149+AZ245*AZ149+BA245*BA149+BB245*BB149+BC245*BC149+BD245*BD149+BE245*BE149+BF245*BF149+BG245*BG149+BH245*BH149+BI245*BI149+BJ245*BJ149+BK245*BK149+BL245*BL149+BM245*BM149+BN245*BN149+BO245*BO149+BP245*BP149+BQ245*BQ149+BR245*BR149+BS245*BS149+BT245*BT149+BU245*BU149+BV245*BV149+BW245*BW149+BX245*BX149+BY245*BY149+BZ245*BZ149+CA245*CA149+CB245*CB149+CC245*CC149+CD245*CD149+CE245*CE149+CF245*CF149+CG245*CG149+CH245*CH149+CI245*CI149+CJ245*CJ149+CK245*CK149</f>
        <v>0</v>
      </c>
      <c r="CX149" s="2297">
        <f>E246*E149+F246*F149+G246*G149+H246*H149+I246*I149+J246*J149+K246*K149+L246*L149+M246*M149+N246*N149+O246*O149+P246*P149+Q246*Q149+R246*R149+S246*S149+T246*T149+U246*U149+V246*V149+W246*W149+X246*X149+Y246*Y149+Z246*Z149+AA246*AA149+AB246*AB149+AC246*AC149+AD246*AD149+AE246*AE149+AF246*AF149+AG246*AG149+AH246*AH149+AI246*AI149+AJ246*AJ149+AK246*AK149+AL246*AL149+AM246*AM149+AN246*AN149+AO246*AO149+AP246*AP149+AQ246*AQ149+AR246*AR149+AS246*AS149+AT246*AT149+AU246*AU149+AV246*AV149+AW246*AW149+AX246*AX149+AY246*AY149+AZ246*AZ149+BA246*BA149+BB246*BB149+BC246*BC149+BD246*BD149+BE246*BE149+BF246*BF149+BG246*BG149+BH246*BH149+BI246*BI149+BJ246*BJ149+BK246*BK149+BL246*BL149+BM246*BM149+BN246*BN149+BO246*BO149+BP246*BP149+BQ246*BQ149+BR246*BR149+BS246*BS149+BT246*BT149+BU246*BU149+BV246*BV149+BW246*BW149+BX246*BX149+BY246*BY149+BZ246*BZ149+CA246*CA149+CB246*CB149+CC246*CC149+CD246*CD149+CE246*CE149+CF246*CF149+CG246*CG149+CH246*CH149+CI246*CI149+CJ246*CJ149+CK246*CK149</f>
        <v>0</v>
      </c>
    </row>
    <row r="150" spans="2:102" ht="18" x14ac:dyDescent="0.25">
      <c r="B150" s="1245">
        <v>23</v>
      </c>
      <c r="C150" s="586" t="s">
        <v>245</v>
      </c>
      <c r="D150" s="587" t="s">
        <v>2217</v>
      </c>
      <c r="E150" s="2656">
        <f>0</f>
        <v>0</v>
      </c>
      <c r="F150" s="2656">
        <f>0</f>
        <v>0</v>
      </c>
      <c r="G150" s="2656">
        <f>0</f>
        <v>0</v>
      </c>
      <c r="H150" s="2656">
        <f>0</f>
        <v>0</v>
      </c>
      <c r="I150" s="2656">
        <f>0</f>
        <v>0</v>
      </c>
      <c r="J150" s="2692">
        <f>0</f>
        <v>0</v>
      </c>
      <c r="K150" s="2656">
        <f>0</f>
        <v>0</v>
      </c>
      <c r="L150" s="2656">
        <f>0</f>
        <v>0</v>
      </c>
      <c r="M150" s="2656">
        <f>0</f>
        <v>0</v>
      </c>
      <c r="N150" s="2659">
        <f>-1/Y_PAO_PHA_anox</f>
        <v>-1.9230769230769229</v>
      </c>
      <c r="O150" s="2704">
        <f>0</f>
        <v>0</v>
      </c>
      <c r="P150" s="2656">
        <f>0</f>
        <v>0</v>
      </c>
      <c r="Q150" s="2656">
        <f>0</f>
        <v>0</v>
      </c>
      <c r="R150" s="2656">
        <f>0</f>
        <v>0</v>
      </c>
      <c r="S150" s="2656">
        <f>1</f>
        <v>1</v>
      </c>
      <c r="T150" s="2656">
        <f>0</f>
        <v>0</v>
      </c>
      <c r="U150" s="2656">
        <f>0</f>
        <v>0</v>
      </c>
      <c r="V150" s="2656">
        <f>0</f>
        <v>0</v>
      </c>
      <c r="W150" s="2656">
        <f>0</f>
        <v>0</v>
      </c>
      <c r="X150" s="2656">
        <f>0</f>
        <v>0</v>
      </c>
      <c r="Y150" s="2656">
        <f>0</f>
        <v>0</v>
      </c>
      <c r="Z150" s="2660">
        <f>0</f>
        <v>0</v>
      </c>
      <c r="AA150" s="2656">
        <f>-i_N_BIO</f>
        <v>-7.0000000000000007E-2</v>
      </c>
      <c r="AB150" s="2704">
        <f>-(1-Y_PAO_PHA_anox)/(E_EQN2_NO2*Y_PAO_PHA_anox)</f>
        <v>-0.53873943349798692</v>
      </c>
      <c r="AC150" s="2704">
        <f>0</f>
        <v>0</v>
      </c>
      <c r="AD150" s="2704">
        <f>(1-Y_PAO_PHA_anox)/(E_EQN2_NO2*Y_PAO_PHA_anox)</f>
        <v>0.53873943349798692</v>
      </c>
      <c r="AE150" s="2656">
        <f>0</f>
        <v>0</v>
      </c>
      <c r="AF150" s="2656">
        <f>0</f>
        <v>0</v>
      </c>
      <c r="AG150" s="2656">
        <f>0</f>
        <v>0</v>
      </c>
      <c r="AH150" s="2656">
        <f>0</f>
        <v>0</v>
      </c>
      <c r="AI150" s="2704">
        <f>0</f>
        <v>0</v>
      </c>
      <c r="AJ150" s="2704">
        <f>-i_P_BIO</f>
        <v>-0.02</v>
      </c>
      <c r="AK150" s="2656">
        <f>0</f>
        <v>0</v>
      </c>
      <c r="AL150" s="2656">
        <f>0</f>
        <v>0</v>
      </c>
      <c r="AM150" s="2656">
        <f>0</f>
        <v>0</v>
      </c>
      <c r="AN150" s="2656">
        <f>0</f>
        <v>0</v>
      </c>
      <c r="AO150" s="2704">
        <f>0</f>
        <v>0</v>
      </c>
      <c r="AP150" s="2704">
        <f>0</f>
        <v>0</v>
      </c>
      <c r="AQ150" s="2704">
        <f>0</f>
        <v>0</v>
      </c>
      <c r="AR150" s="2659">
        <f>(i_CIT_PHA/Y_PAO_PHA_anox)-i_CIT_BIO</f>
        <v>0.28838461538461546</v>
      </c>
      <c r="AS150" s="2743">
        <f>i_INORG</f>
        <v>0.11</v>
      </c>
      <c r="AT150" s="2743">
        <f>-i_INORG*(1-i_Ca_INORG*(A_MCa+2*A_MCl)/A_MCa-i_Mg_INORG*(A_MMg+2*A_MCl)/A_MMg)*f_Na</f>
        <v>-2.8804303582798466E-2</v>
      </c>
      <c r="AU150" s="2743">
        <f>-i_INORG*(i_Ca_INORG*(2*A_MCl)/A_MCa+i_Mg_INORG*(2*A_MCl)/A_MMg)-i_INORG*(1-i_Ca_INORG*(A_MCa+2*A_MCl)/A_MCa-i_Mg_INORG*(A_MMg+2*A_MCl)/A_MMg)*(1-f_Na)</f>
        <v>-7.0195696417201539E-2</v>
      </c>
      <c r="AV150" s="2743">
        <f>-i_INORG*i_Ca_INORG+i_Ca_PP*A_MCa/A_MP*i_P_BIO</f>
        <v>-2.9121322594773459E-3</v>
      </c>
      <c r="AW150" s="2743">
        <f>-i_INORG*i_Mg_INORG+i_Mg_PP*A_MMg/A_MP*i_P_BIO</f>
        <v>-7.1251305726128047E-6</v>
      </c>
      <c r="AX150" s="2704">
        <f>i_K_PP*A_MK/A_MP*i_P_BIO</f>
        <v>2.5246077468755158E-3</v>
      </c>
      <c r="AY150" s="2704">
        <f>0</f>
        <v>0</v>
      </c>
      <c r="AZ150" s="2704">
        <f>0</f>
        <v>0</v>
      </c>
      <c r="BA150" s="2704">
        <f>0</f>
        <v>0</v>
      </c>
      <c r="BB150" s="2704">
        <f>0</f>
        <v>0</v>
      </c>
      <c r="BC150" s="2704">
        <f>0</f>
        <v>0</v>
      </c>
      <c r="BD150" s="2704">
        <f>0</f>
        <v>0</v>
      </c>
      <c r="BE150" s="2704">
        <f>0</f>
        <v>0</v>
      </c>
      <c r="BF150" s="2704">
        <f>0</f>
        <v>0</v>
      </c>
      <c r="BG150" s="2704">
        <f>0</f>
        <v>0</v>
      </c>
      <c r="BH150" s="2704">
        <f>0</f>
        <v>0</v>
      </c>
      <c r="BI150" s="2704">
        <f>0</f>
        <v>0</v>
      </c>
      <c r="BJ150" s="2704">
        <f>0</f>
        <v>0</v>
      </c>
      <c r="BK150" s="2704">
        <f>0</f>
        <v>0</v>
      </c>
      <c r="BL150" s="2704">
        <f>0</f>
        <v>0</v>
      </c>
      <c r="BM150" s="2704">
        <f>0</f>
        <v>0</v>
      </c>
      <c r="BN150" s="2704">
        <f>0</f>
        <v>0</v>
      </c>
      <c r="BO150" s="2704">
        <f>0</f>
        <v>0</v>
      </c>
      <c r="BP150" s="2703">
        <f>0</f>
        <v>0</v>
      </c>
      <c r="BQ150" s="2704">
        <f>0</f>
        <v>0</v>
      </c>
      <c r="BR150" s="2704">
        <f>0</f>
        <v>0</v>
      </c>
      <c r="BS150" s="2705">
        <f>0</f>
        <v>0</v>
      </c>
      <c r="BT150" s="2705">
        <f>0</f>
        <v>0</v>
      </c>
      <c r="BU150" s="2705">
        <f>0</f>
        <v>0</v>
      </c>
      <c r="BV150" s="2705">
        <f>0</f>
        <v>0</v>
      </c>
      <c r="BW150" s="2704">
        <f>0</f>
        <v>0</v>
      </c>
      <c r="BX150" s="2659">
        <f>0</f>
        <v>0</v>
      </c>
      <c r="BY150" s="2705">
        <f>0</f>
        <v>0</v>
      </c>
      <c r="BZ150" s="2704">
        <f>0</f>
        <v>0</v>
      </c>
      <c r="CA150" s="2704">
        <f>0</f>
        <v>0</v>
      </c>
      <c r="CB150" s="2704">
        <f>0</f>
        <v>0</v>
      </c>
      <c r="CC150" s="2704">
        <f>0</f>
        <v>0</v>
      </c>
      <c r="CD150" s="2704">
        <f>0</f>
        <v>0</v>
      </c>
      <c r="CE150" s="2704">
        <f>0</f>
        <v>0</v>
      </c>
      <c r="CF150" s="2704">
        <f>0</f>
        <v>0</v>
      </c>
      <c r="CG150" s="2704">
        <f>0</f>
        <v>0</v>
      </c>
      <c r="CH150" s="2704">
        <f>0</f>
        <v>0</v>
      </c>
      <c r="CI150" s="2704">
        <f>0</f>
        <v>0</v>
      </c>
      <c r="CJ150" s="2704">
        <f>0</f>
        <v>0</v>
      </c>
      <c r="CK150" s="2704">
        <f>0</f>
        <v>0</v>
      </c>
      <c r="CL150" s="2803">
        <f>µ_PAO_lim_T*X_PAO*η_CASTO_anox*M_RsatXPHA_XPAO_KPHA*M_inhSO2_KO2_CASTO*M_satSNO2_KNO2_CASTO*M_satSNHx_KNHx_BIO*M_inhSPO4_KiPO4_lim*M_satXPP_KPP_lim*M_satSCAT_KCAT*M_satSAN_KAN*M_satSCa_KCa*M_satSMg_KMg*B_ellinhpH</f>
        <v>1.8435880918610644E-2</v>
      </c>
      <c r="CN150" s="2295">
        <f>E236*E150+F236*F150+G236*G150+H236*H150+I236*I150+J236*J150+K236*K150+L236*L150+M236*M150+N236*N150+O236*O150+P236*P150+Q236*Q150+R236*R150+S236*S150+T236*T150+U236*U150+V236*V150+W236*W150+X236*X150+Y236*Y150+Z236*Z150+AA236*AA150+AB236*AB150+AC236*AC150+AD236*AD150+AE236*AE150+AF236*AF150+AG236*AG150+AH236*AH150+AI236*AI150+AJ236*AJ150+AK236*AK150+AL236*AL150+AM236*AM150+AN236*AN150+AO236*AO150+AP236*AP150+AQ236*AQ150+AR236*AR150+AS236*AS150+AT236*AT150+AU236*AU150+AV236*AV150+AW236*AW150+AX236*AX150+AY236*AY150+AZ236*AZ150+BA236*BA150+BB236*BB150+BC236*BC150+BD236*BD150+BE236*BE150+BF236*BF150+BG236*BG150+BH236*BH150+BI236*BI150+BJ236*BJ150+BK236*BK150+BL236*BL150+BM236*BM150+BN236*BN150+BO236*BO150+BP236*BP150+BQ236*BQ150+BR236*BR150+BS236*BS150+BT236*BT150+BU236*BU150+BV236*BV150+BW236*BW150+BX236*BX150+BY236*BY150+BZ236*BZ150+CA236*CA150+CB236*CB150+CC236*CC150+CD236*CD150+CE236*CE150+CF236*CF150+CG236*CG150+CH236*CH150+CI236*CI150+CJ236*CJ150+CK236*CK150</f>
        <v>0</v>
      </c>
      <c r="CO150" s="2295">
        <f>E237*E150+F237*F150+G237*G150+H237*H150+I237*I150+J237*J150+K237*K150+L237*L150+M237*M150+N237*N150+O237*O150+P237*P150+Q237*Q150+R237*R150+S237*S150+T237*T150+U237*U150+V237*V150+W237*W150+X237*X150+Y237*Y150+Z237*Z150+AA237*AA150+AB237*AB150+AC237*AC150+AD237*AD150+AE237*AE150+AF237*AF150+AG237*AG150+AH237*AH150+AI237*AI150+AJ237*AJ150+AK237*AK150+AL237*AL150+AM237*AM150+AN237*AN150+AO237*AO150+AP237*AP150+AQ237*AQ150+AR237*AR150+AS237*AS150+AT237*AT150+AU237*AU150+AV237*AV150+AW237*AW150+AX237*AX150+AY237*AY150+AZ237*AZ150+BA237*BA150+BB237*BB150+BC237*BC150+BD237*BD150+BE237*BE150+BF237*BF150+BG237*BG150+BH237*BH150+BI237*BI150+BJ237*BJ150+BK237*BK150+BL237*BL150+BM237*BM150+BN237*BN150+BO237*BO150+BP237*BP150+BQ237*BQ150+BR237*BR150+BS237*BS150+BT237*BT150+BU237*BU150+BV237*BV150+BW237*BW150+BX237*BX150+BY237*BY150+BZ237*BZ150+CA237*CA150+CB237*CB150+CC237*CC150+CD237*CD150+CE237*CE150+CF237*CF150+CG237*CG150+CH237*CH150+CI237*CI150+CJ237*CJ150+CK237*CK150</f>
        <v>1.1102230246251565E-16</v>
      </c>
      <c r="CP150" s="2296">
        <f>E238*E150+F238*F150+G238*G150+H238*H150+I238*I150+J238*J150+K238*K150+L238*L150+M238*M150+N238*N150+O238*O150+P238*P150+Q238*Q150+R238*R150+S238*S150+T238*T150+U238*U150+V238*V150+W238*W150+X238*X150+Y238*Y150+Z238*Z150+AA238*AA150+AB238*AB150+AC238*AC150+AD238*AD150+AE238*AE150+AF238*AF150+AG238*AG150+AH238*AH150+AI238*AI150+AJ238*AJ150+AK238*AK150+AL238*AL150+AM238*AM150+AN238*AN150+AO238*AO150+AP238*AP150+AQ238*AQ150+AR238*AR150+AS238*AS150+AT238*AT150+AU238*AU150+AV238*AV150+AW238*AW150+AX238*AX150+AY238*AY150+AZ238*AZ150+BA238*BA150+BB238*BB150+BC238*BC150+BD238*BD150+BE238*BE150+BF238*BF150+BG238*BG150+BH238*BH150+BI238*BI150+BJ238*BJ150+BK238*BK150+BL238*BL150+BM238*BM150+BN238*BN150+BO238*BO150+BP238*BP150+BQ238*BQ150+BR238*BR150+BS238*BS150+BT238*BT150+BU238*BU150+BV238*BV150+BW238*BW150+BX238*BX150+BY238*BY150+BZ238*BZ150+CA238*CA150+CB238*CB150+CC238*CC150+CD238*CD150+CE238*CE150+CF238*CF150+CG238*CG150+CH238*CH150+CI238*CI150+CJ238*CJ150+CK238*CK150</f>
        <v>0</v>
      </c>
      <c r="CQ150" s="2297">
        <f>E239*E150+F239*F150+G239*G150+H239*H150+I239*I150+J239*J150+K239*K150+L239*L150+M239*M150+N239*N150+O239*O150+P239*P150+Q239*Q150+R239*R150+S239*S150+T239*T150+U239*U150+V239*V150+W239*W150+X239*X150+Y239*Y150+Z239*Z150+AA239*AA150+AB239*AB150+AC239*AC150+AD239*AD150+AE239*AE150+AF239*AF150+AG239*AG150+AH239*AH150+AI239*AI150+AJ239*AJ150+AK239*AK150+AL239*AL150+AM239*AM150+AN239*AN150+AO239*AO150+AP239*AP150+AQ239*AQ150+AR239*AR150+AS239*AS150+AT239*AT150+AU239*AU150+AV239*AV150+AW239*AW150+AX239*AX150+AY239*AY150+AZ239*AZ150+BA239*BA150+BB239*BB150+BC239*BC150+BD239*BD150+BE239*BE150+BF239*BF150+BG239*BG150+BH239*BH150+BI239*BI150+BJ239*BJ150+BK239*BK150+BL239*BL150+BM239*BM150+BN239*BN150+BO239*BO150+BP239*BP150+BQ239*BQ150+BR239*BR150+BS239*BS150+BT239*BT150+BU239*BU150+BV239*BV150+BW239*BW150+BX239*BX150+BY239*BY150+BZ239*BZ150+CA239*CA150+CB239*CB150+CC239*CC150+CD239*CD150+CE239*CE150+CF239*CF150+CG239*CG150+CH239*CH150+CI239*CI150+CJ239*CJ150+CK239*CK150</f>
        <v>0</v>
      </c>
      <c r="CR150" s="2297">
        <f>E240*E150+F240*F150+G240*G150+H240*H150+I240*I150+J240*J150+K240*K150+L240*L150+M240*M150+N240*N150+O240*O150+P240*P150+Q240*Q150+R240*R150+S240*S150+T240*T150+U240*U150+V240*V150+W240*W150+X240*X150+Y240*Y150+Z240*Z150+AA240*AA150+AB240*AB150+AC240*AC150+AD240*AD150+AE240*AE150+AF240*AF150+AG240*AG150+AH240*AH150+AI240*AI150+AJ240*AJ150+AK240*AK150+AL240*AL150+AM240*AM150+AN240*AN150+AO240*AO150+AP240*AP150+AQ240*AQ150+AR240*AR150+AS240*AS150+AT240*AT150+AU240*AU150+AV240*AV150+AW240*AW150+AX240*AX150+AY240*AY150+AZ240*AZ150+BA240*BA150+BB240*BB150+BC240*BC150+BD240*BD150+BE240*BE150+BF240*BF150+BG240*BG150+BH240*BH150+BI240*BI150+BJ240*BJ150+BK240*BK150+BL240*BL150+BM240*BM150+BN240*BN150+BO240*BO150+BP240*BP150+BQ240*BQ150+BR240*BR150+BS240*BS150+BT240*BT150+BU240*BU150+BV240*BV150+BW240*BW150+BX240*BX150+BY240*BY150+BZ240*BZ150+CA240*CA150+CB240*CB150+CC240*CC150+CD240*CD150+CE240*CE150+CF240*CF150+CG240*CG150+CH240*CH150+CI240*CI150+CJ240*CJ150+CK240*CK150</f>
        <v>0</v>
      </c>
      <c r="CS150" s="2297">
        <f>E241*E150+F241*F150+G241*G150+H241*H150+I241*I150+J241*J150+K241*K150+L241*L150+M241*M150+N241*N150+O241*O150+P241*P150+Q241*Q150+R241*R150+S241*S150+T241*T150+U241*U150+V241*V150+W241*W150+X241*X150+Y241*Y150+Z241*Z150+AA241*AA150+AB241*AB150+AC241*AC150+AD241*AD150+AE241*AE150+AF241*AF150+AG241*AG150+AH241*AH150+AI241*AI150+AJ241*AJ150+AK241*AK150+AL241*AL150+AM241*AM150+AN241*AN150+AO241*AO150+AP241*AP150+AQ241*AQ150+AR241*AR150+AS241*AS150+AT241*AT150+AU241*AU150+AV241*AV150+AW241*AW150+AX241*AX150+AY241*AY150+AZ241*AZ150+BA241*BA150+BB241*BB150+BC241*BC150+BD241*BD150+BE241*BE150+BF241*BF150+BG241*BG150+BH241*BH150+BI241*BI150+BJ241*BJ150+BK241*BK150+BL241*BL150+BM241*BM150+BN241*BN150+BO241*BO150+BP241*BP150+BQ241*BQ150+BR241*BR150+BS241*BS150+BT241*BT150+BU241*BU150+BV241*BV150+BW241*BW150+BX241*BX150+BY241*BY150+BZ241*BZ150+CA241*CA150+CB241*CB150+CC241*CC150+CD241*CD150+CE241*CE150+CF241*CF150+CG241*CG150+CH241*CH150+CI241*CI150+CJ241*CJ150+CK241*CK150</f>
        <v>0</v>
      </c>
      <c r="CT150" s="2297">
        <f>E242*E150+F242*F150+G242*G150+H242*H150+I242*I150+J242*J150+K242*K150+L242*L150+M242*M150+N242*N150+O242*O150+P242*P150+Q242*Q150+R242*R150+S242*S150+T242*T150+U242*U150+V242*V150+W242*W150+X242*X150+Y242*Y150+Z242*Z150+AA242*AA150+AB242*AB150+AC242*AC150+AD242*AD150+AE242*AE150+AF242*AF150+AG242*AG150+AH242*AH150+AI242*AI150+AJ242*AJ150+AK242*AK150+AL242*AL150+AM242*AM150+AN242*AN150+AO242*AO150+AP242*AP150+AQ242*AQ150+AR242*AR150+AS242*AS150+AT242*AT150+AU242*AU150+AV242*AV150+AW242*AW150+AX242*AX150+AY242*AY150+AZ242*AZ150+BA242*BA150+BB242*BB150+BC242*BC150+BD242*BD150+BE242*BE150+BF242*BF150+BG242*BG150+BH242*BH150+BI242*BI150+BJ242*BJ150+BK242*BK150+BL242*BL150+BM242*BM150+BN242*BN150+BO242*BO150+BP242*BP150+BQ242*BQ150+BR242*BR150+BS242*BS150+BT242*BT150+BU242*BU150+BV242*BV150+BW242*BW150+BX242*BX150+BY242*BY150+BZ242*BZ150+CA242*CA150+CB242*CB150+CC242*CC150+CD242*CD150+CE242*CE150+CF242*CF150+CG242*CG150+CH242*CH150+CI242*CI150+CJ242*CJ150+CK242*CK150</f>
        <v>0</v>
      </c>
      <c r="CU150" s="2297">
        <f>E243*E150+F243*F150+G243*G150+H243*H150+I243*I150+J243*J150+K243*K150+L243*L150+M243*M150+N243*N150+O243*O150+P243*P150+Q243*Q150+R243*R150+S243*S150+T243*T150+U243*U150+V243*V150+W243*W150+X243*X150+Y243*Y150+Z243*Z150+AA243*AA150+AB243*AB150+AC243*AC150+AD243*AD150+AE243*AE150+AF243*AF150+AG243*AG150+AH243*AH150+AI243*AI150+AJ243*AJ150+AK243*AK150+AL243*AL150+AM243*AM150+AN243*AN150+AO243*AO150+AP243*AP150+AQ243*AQ150+AR243*AR150+AS243*AS150+AT243*AT150+AU243*AU150+AV243*AV150+AW243*AW150+AX243*AX150+AY243*AY150+AZ243*AZ150+BA243*BA150+BB243*BB150+BC243*BC150+BD243*BD150+BE243*BE150+BF243*BF150+BG243*BG150+BH243*BH150+BI243*BI150+BJ243*BJ150+BK243*BK150+BL243*BL150+BM243*BM150+BN243*BN150+BO243*BO150+BP243*BP150+BQ243*BQ150+BR243*BR150+BS243*BS150+BT243*BT150+BU243*BU150+BV243*BV150+BW243*BW150+BX243*BX150+BY243*BY150+BZ243*BZ150+CA243*CA150+CB243*CB150+CC243*CC150+CD243*CD150+CE243*CE150+CF243*CF150+CG243*CG150+CH243*CH150+CI243*CI150+CJ243*CJ150+CK243*CK150</f>
        <v>0</v>
      </c>
      <c r="CV150" s="2297">
        <f>E244*E150+F244*F150+G244*G150+H244*H150+I244*I150+J244*J150+K244*K150+L244*L150+M244*M150+N244*N150+O244*O150+P244*P150+Q244*Q150+R244*R150+S244*S150+T244*T150+U244*U150+V244*V150+W244*W150+X244*X150+Y244*Y150+Z244*Z150+AA244*AA150+AB244*AB150+AC244*AC150+AD244*AD150+AE244*AE150+AF244*AF150+AG244*AG150+AH244*AH150+AI244*AI150+AJ244*AJ150+AK244*AK150+AL244*AL150+AM244*AM150+AN244*AN150+AO244*AO150+AP244*AP150+AQ244*AQ150+AR244*AR150+AS244*AS150+AT244*AT150+AU244*AU150+AV244*AV150+AW244*AW150+AX244*AX150+AY244*AY150+AZ244*AZ150+BA244*BA150+BB244*BB150+BC244*BC150+BD244*BD150+BE244*BE150+BF244*BF150+BG244*BG150+BH244*BH150+BI244*BI150+BJ244*BJ150+BK244*BK150+BL244*BL150+BM244*BM150+BN244*BN150+BO244*BO150+BP244*BP150+BQ244*BQ150+BR244*BR150+BS244*BS150+BT244*BT150+BU244*BU150+BV244*BV150+BW244*BW150+BX244*BX150+BY244*BY150+BZ244*BZ150+CA244*CA150+CB244*CB150+CC244*CC150+CD244*CD150+CE244*CE150+CF244*CF150+CG244*CG150+CH244*CH150+CI244*CI150+CJ244*CJ150+CK244*CK150</f>
        <v>0</v>
      </c>
      <c r="CW150" s="2297">
        <f>E245*E150+F245*F150+G245*G150+H245*H150+I245*I150+J245*J150+K245*K150+L245*L150+M245*M150+N245*N150+O245*O150+P245*P150+Q245*Q150+R245*R150+S245*S150+T245*T150+U245*U150+V245*V150+W245*W150+X245*X150+Y245*Y150+Z245*Z150+AA245*AA150+AB245*AB150+AC245*AC150+AD245*AD150+AE245*AE150+AF245*AF150+AG245*AG150+AH245*AH150+AI245*AI150+AJ245*AJ150+AK245*AK150+AL245*AL150+AM245*AM150+AN245*AN150+AO245*AO150+AP245*AP150+AQ245*AQ150+AR245*AR150+AS245*AS150+AT245*AT150+AU245*AU150+AV245*AV150+AW245*AW150+AX245*AX150+AY245*AY150+AZ245*AZ150+BA245*BA150+BB245*BB150+BC245*BC150+BD245*BD150+BE245*BE150+BF245*BF150+BG245*BG150+BH245*BH150+BI245*BI150+BJ245*BJ150+BK245*BK150+BL245*BL150+BM245*BM150+BN245*BN150+BO245*BO150+BP245*BP150+BQ245*BQ150+BR245*BR150+BS245*BS150+BT245*BT150+BU245*BU150+BV245*BV150+BW245*BW150+BX245*BX150+BY245*BY150+BZ245*BZ150+CA245*CA150+CB245*CB150+CC245*CC150+CD245*CD150+CE245*CE150+CF245*CF150+CG245*CG150+CH245*CH150+CI245*CI150+CJ245*CJ150+CK245*CK150</f>
        <v>0</v>
      </c>
      <c r="CX150" s="2297">
        <f>E246*E150+F246*F150+G246*G150+H246*H150+I246*I150+J246*J150+K246*K150+L246*L150+M246*M150+N246*N150+O246*O150+P246*P150+Q246*Q150+R246*R150+S246*S150+T246*T150+U246*U150+V246*V150+W246*W150+X246*X150+Y246*Y150+Z246*Z150+AA246*AA150+AB246*AB150+AC246*AC150+AD246*AD150+AE246*AE150+AF246*AF150+AG246*AG150+AH246*AH150+AI246*AI150+AJ246*AJ150+AK246*AK150+AL246*AL150+AM246*AM150+AN246*AN150+AO246*AO150+AP246*AP150+AQ246*AQ150+AR246*AR150+AS246*AS150+AT246*AT150+AU246*AU150+AV246*AV150+AW246*AW150+AX246*AX150+AY246*AY150+AZ246*AZ150+BA246*BA150+BB246*BB150+BC246*BC150+BD246*BD150+BE246*BE150+BF246*BF150+BG246*BG150+BH246*BH150+BI246*BI150+BJ246*BJ150+BK246*BK150+BL246*BL150+BM246*BM150+BN246*BN150+BO246*BO150+BP246*BP150+BQ246*BQ150+BR246*BR150+BS246*BS150+BT246*BT150+BU246*BU150+BV246*BV150+BW246*BW150+BX246*BX150+BY246*BY150+BZ246*BZ150+CA246*CA150+CB246*CB150+CC246*CC150+CD246*CD150+CE246*CE150+CF246*CF150+CG246*CG150+CH246*CH150+CI246*CI150+CJ246*CJ150+CK246*CK150</f>
        <v>0</v>
      </c>
    </row>
    <row r="151" spans="2:102" ht="18" x14ac:dyDescent="0.25">
      <c r="B151" s="1245">
        <v>24</v>
      </c>
      <c r="C151" s="586" t="s">
        <v>246</v>
      </c>
      <c r="D151" s="587" t="s">
        <v>1661</v>
      </c>
      <c r="E151" s="2656">
        <f>0</f>
        <v>0</v>
      </c>
      <c r="F151" s="2656">
        <f>0</f>
        <v>0</v>
      </c>
      <c r="G151" s="2656">
        <f>0</f>
        <v>0</v>
      </c>
      <c r="H151" s="2656">
        <f>0</f>
        <v>0</v>
      </c>
      <c r="I151" s="2656">
        <f>0</f>
        <v>0</v>
      </c>
      <c r="J151" s="2692">
        <f>0</f>
        <v>0</v>
      </c>
      <c r="K151" s="2656">
        <f>0</f>
        <v>0</v>
      </c>
      <c r="L151" s="2656">
        <f>0</f>
        <v>0</v>
      </c>
      <c r="M151" s="2656">
        <f>0</f>
        <v>0</v>
      </c>
      <c r="N151" s="2659">
        <f>-1/Y_PAO_PHA_anox</f>
        <v>-1.9230769230769229</v>
      </c>
      <c r="O151" s="2704">
        <f>0</f>
        <v>0</v>
      </c>
      <c r="P151" s="2656">
        <f>0</f>
        <v>0</v>
      </c>
      <c r="Q151" s="2656">
        <f>0</f>
        <v>0</v>
      </c>
      <c r="R151" s="2656">
        <f>0</f>
        <v>0</v>
      </c>
      <c r="S151" s="2656">
        <f>1</f>
        <v>1</v>
      </c>
      <c r="T151" s="2656">
        <f>0</f>
        <v>0</v>
      </c>
      <c r="U151" s="2656">
        <f>0</f>
        <v>0</v>
      </c>
      <c r="V151" s="2656">
        <f>0</f>
        <v>0</v>
      </c>
      <c r="W151" s="2656">
        <f>0</f>
        <v>0</v>
      </c>
      <c r="X151" s="2656">
        <f>0</f>
        <v>0</v>
      </c>
      <c r="Y151" s="2656">
        <f>0</f>
        <v>0</v>
      </c>
      <c r="Z151" s="2660">
        <f>0</f>
        <v>0</v>
      </c>
      <c r="AA151" s="2656">
        <f>-i_N_BIO</f>
        <v>-7.0000000000000007E-2</v>
      </c>
      <c r="AB151" s="2704">
        <f>(1-Y_PAO_PHA_anox)/(E_EQNO2_NO3*Y_PAO_PHA_anox)</f>
        <v>0.80810915024698038</v>
      </c>
      <c r="AC151" s="2704">
        <f>-(1-Y_PAO_PHA_anox)/(E_EQNO2_NO3*Y_PAO_PHA_anox)</f>
        <v>-0.80810915024698038</v>
      </c>
      <c r="AD151" s="2704">
        <f>0</f>
        <v>0</v>
      </c>
      <c r="AE151" s="2656">
        <f>0</f>
        <v>0</v>
      </c>
      <c r="AF151" s="2656">
        <f>0</f>
        <v>0</v>
      </c>
      <c r="AG151" s="2656">
        <f>0</f>
        <v>0</v>
      </c>
      <c r="AH151" s="2656">
        <f>0</f>
        <v>0</v>
      </c>
      <c r="AI151" s="2704">
        <f>0</f>
        <v>0</v>
      </c>
      <c r="AJ151" s="2704">
        <f>-i_P_BIO</f>
        <v>-0.02</v>
      </c>
      <c r="AK151" s="2656">
        <f>0</f>
        <v>0</v>
      </c>
      <c r="AL151" s="2656">
        <f>0</f>
        <v>0</v>
      </c>
      <c r="AM151" s="2656">
        <f>0</f>
        <v>0</v>
      </c>
      <c r="AN151" s="2656">
        <f>0</f>
        <v>0</v>
      </c>
      <c r="AO151" s="2656">
        <f>0</f>
        <v>0</v>
      </c>
      <c r="AP151" s="2656">
        <f>0</f>
        <v>0</v>
      </c>
      <c r="AQ151" s="2656">
        <f>0</f>
        <v>0</v>
      </c>
      <c r="AR151" s="2659">
        <f>(i_CIT_PHA/Y_PAO_PHA_anox)-i_CIT_BIO</f>
        <v>0.28838461538461546</v>
      </c>
      <c r="AS151" s="2743">
        <f>i_INORG</f>
        <v>0.11</v>
      </c>
      <c r="AT151" s="2743">
        <f>-i_INORG*(1-i_Ca_INORG*(A_MCa+2*A_MCl)/A_MCa-i_Mg_INORG*(A_MMg+2*A_MCl)/A_MMg)*f_Na</f>
        <v>-2.8804303582798466E-2</v>
      </c>
      <c r="AU151" s="2743">
        <f>-i_INORG*(i_Ca_INORG*(2*A_MCl)/A_MCa+i_Mg_INORG*(2*A_MCl)/A_MMg)-i_INORG*(1-i_Ca_INORG*(A_MCa+2*A_MCl)/A_MCa-i_Mg_INORG*(A_MMg+2*A_MCl)/A_MMg)*(1-f_Na)</f>
        <v>-7.0195696417201539E-2</v>
      </c>
      <c r="AV151" s="2743">
        <f>-i_INORG*i_Ca_INORG+i_Ca_PP*A_MCa/A_MP*i_P_BIO</f>
        <v>-2.9121322594773459E-3</v>
      </c>
      <c r="AW151" s="2743">
        <f>-i_INORG*i_Mg_INORG+i_Mg_PP*A_MMg/A_MP*i_P_BIO</f>
        <v>-7.1251305726128047E-6</v>
      </c>
      <c r="AX151" s="2704">
        <f>i_K_PP*A_MK/A_MP*i_P_BIO</f>
        <v>2.5246077468755158E-3</v>
      </c>
      <c r="AY151" s="2704">
        <f>0</f>
        <v>0</v>
      </c>
      <c r="AZ151" s="2704">
        <f>0</f>
        <v>0</v>
      </c>
      <c r="BA151" s="2704">
        <f>0</f>
        <v>0</v>
      </c>
      <c r="BB151" s="2704">
        <f>0</f>
        <v>0</v>
      </c>
      <c r="BC151" s="2704">
        <f>0</f>
        <v>0</v>
      </c>
      <c r="BD151" s="2704">
        <f>0</f>
        <v>0</v>
      </c>
      <c r="BE151" s="2704">
        <f>0</f>
        <v>0</v>
      </c>
      <c r="BF151" s="2704">
        <f>0</f>
        <v>0</v>
      </c>
      <c r="BG151" s="2704">
        <f>0</f>
        <v>0</v>
      </c>
      <c r="BH151" s="2704">
        <f>0</f>
        <v>0</v>
      </c>
      <c r="BI151" s="2704">
        <f>0</f>
        <v>0</v>
      </c>
      <c r="BJ151" s="2704">
        <f>0</f>
        <v>0</v>
      </c>
      <c r="BK151" s="2704">
        <f>0</f>
        <v>0</v>
      </c>
      <c r="BL151" s="2704">
        <f>0</f>
        <v>0</v>
      </c>
      <c r="BM151" s="2704">
        <f>0</f>
        <v>0</v>
      </c>
      <c r="BN151" s="2704">
        <f>0</f>
        <v>0</v>
      </c>
      <c r="BO151" s="2704">
        <f>0</f>
        <v>0</v>
      </c>
      <c r="BP151" s="2703">
        <f>0</f>
        <v>0</v>
      </c>
      <c r="BQ151" s="2704">
        <f>0</f>
        <v>0</v>
      </c>
      <c r="BR151" s="2704">
        <f>0</f>
        <v>0</v>
      </c>
      <c r="BS151" s="2705">
        <f>0</f>
        <v>0</v>
      </c>
      <c r="BT151" s="2705">
        <f>0</f>
        <v>0</v>
      </c>
      <c r="BU151" s="2705">
        <f>0</f>
        <v>0</v>
      </c>
      <c r="BV151" s="2705">
        <f>0</f>
        <v>0</v>
      </c>
      <c r="BW151" s="2704">
        <f>0</f>
        <v>0</v>
      </c>
      <c r="BX151" s="2659">
        <f>0</f>
        <v>0</v>
      </c>
      <c r="BY151" s="2705">
        <f>0</f>
        <v>0</v>
      </c>
      <c r="BZ151" s="2704">
        <f>0</f>
        <v>0</v>
      </c>
      <c r="CA151" s="2704">
        <f>0</f>
        <v>0</v>
      </c>
      <c r="CB151" s="2704">
        <f>0</f>
        <v>0</v>
      </c>
      <c r="CC151" s="2704">
        <f>0</f>
        <v>0</v>
      </c>
      <c r="CD151" s="2704">
        <f>0</f>
        <v>0</v>
      </c>
      <c r="CE151" s="2704">
        <f>0</f>
        <v>0</v>
      </c>
      <c r="CF151" s="2704">
        <f>0</f>
        <v>0</v>
      </c>
      <c r="CG151" s="2704">
        <f>0</f>
        <v>0</v>
      </c>
      <c r="CH151" s="2704">
        <f>0</f>
        <v>0</v>
      </c>
      <c r="CI151" s="2704">
        <f>0</f>
        <v>0</v>
      </c>
      <c r="CJ151" s="2704">
        <f>0</f>
        <v>0</v>
      </c>
      <c r="CK151" s="2704">
        <f>0</f>
        <v>0</v>
      </c>
      <c r="CL151" s="2803">
        <f>µ_PAO_lim_T*X_PAO*η_CASTO_anox*M_RsatXPHA_XPAO_KPHA*M_inhSO2_KO2_CASTO*M_satSNO3_KNO3_CASTO*M_inhSNO2_KNO2_CASTO*M_satSNHx_KNHx_BIO*M_inhSPO4_KiPO4_lim*M_satXPP_KPP_lim*M_satSCAT_KCAT*M_satSAN_KAN*M_satSCa_KCa*M_satSMg_KMg*B_ellinhpH</f>
        <v>9.0371965287307059E-3</v>
      </c>
      <c r="CN151" s="2295">
        <f>E236*E151+F236*F151+G236*G151+H236*H151+I236*I151+J236*J151+K236*K151+L236*L151+M236*M151+N236*N151+O236*O151+P236*P151+Q236*Q151+R236*R151+S236*S151+T236*T151+U236*U151+V236*V151+W236*W151+X236*X151+Y236*Y151+Z236*Z151+AA236*AA151+AB236*AB151+AC236*AC151+AD236*AD151+AE236*AE151+AF236*AF151+AG236*AG151+AH236*AH151+AI236*AI151+AJ236*AJ151+AK236*AK151+AL236*AL151+AM236*AM151+AN236*AN151+AO236*AO151+AP236*AP151+AQ236*AQ151+AR236*AR151+AS236*AS151+AT236*AT151+AU236*AU151+AV236*AV151+AW236*AW151+AX236*AX151+AY236*AY151+AZ236*AZ151+BA236*BA151+BB236*BB151+BC236*BC151+BD236*BD151+BE236*BE151+BF236*BF151+BG236*BG151+BH236*BH151+BI236*BI151+BJ236*BJ151+BK236*BK151+BL236*BL151+BM236*BM151+BN236*BN151+BO236*BO151+BP236*BP151+BQ236*BQ151+BR236*BR151+BS236*BS151+BT236*BT151+BU236*BU151+BV236*BV151+BW236*BW151+BX236*BX151+BY236*BY151+BZ236*BZ151+CA236*CA151+CB236*CB151+CC236*CC151+CD236*CD151+CE236*CE151+CF236*CF151+CG236*CG151+CH236*CH151+CI236*CI151+CJ236*CJ151+CK236*CK151</f>
        <v>0</v>
      </c>
      <c r="CO151" s="2295">
        <f>E237*E151+F237*F151+G237*G151+H237*H151+I237*I151+J237*J151+K237*K151+L237*L151+M237*M151+N237*N151+O237*O151+P237*P151+Q237*Q151+R237*R151+S237*S151+T237*T151+U237*U151+V237*V151+W237*W151+X237*X151+Y237*Y151+Z237*Z151+AA237*AA151+AB237*AB151+AC237*AC151+AD237*AD151+AE237*AE151+AF237*AF151+AG237*AG151+AH237*AH151+AI237*AI151+AJ237*AJ151+AK237*AK151+AL237*AL151+AM237*AM151+AN237*AN151+AO237*AO151+AP237*AP151+AQ237*AQ151+AR237*AR151+AS237*AS151+AT237*AT151+AU237*AU151+AV237*AV151+AW237*AW151+AX237*AX151+AY237*AY151+AZ237*AZ151+BA237*BA151+BB237*BB151+BC237*BC151+BD237*BD151+BE237*BE151+BF237*BF151+BG237*BG151+BH237*BH151+BI237*BI151+BJ237*BJ151+BK237*BK151+BL237*BL151+BM237*BM151+BN237*BN151+BO237*BO151+BP237*BP151+BQ237*BQ151+BR237*BR151+BS237*BS151+BT237*BT151+BU237*BU151+BV237*BV151+BW237*BW151+BX237*BX151+BY237*BY151+BZ237*BZ151+CA237*CA151+CB237*CB151+CC237*CC151+CD237*CD151+CE237*CE151+CF237*CF151+CG237*CG151+CH237*CH151+CI237*CI151+CJ237*CJ151+CK237*CK151</f>
        <v>1.1102230246251565E-16</v>
      </c>
      <c r="CP151" s="2296">
        <f>E238*E151+F238*F151+G238*G151+H238*H151+I238*I151+J238*J151+K238*K151+L238*L151+M238*M151+N238*N151+O238*O151+P238*P151+Q238*Q151+R238*R151+S238*S151+T238*T151+U238*U151+V238*V151+W238*W151+X238*X151+Y238*Y151+Z238*Z151+AA238*AA151+AB238*AB151+AC238*AC151+AD238*AD151+AE238*AE151+AF238*AF151+AG238*AG151+AH238*AH151+AI238*AI151+AJ238*AJ151+AK238*AK151+AL238*AL151+AM238*AM151+AN238*AN151+AO238*AO151+AP238*AP151+AQ238*AQ151+AR238*AR151+AS238*AS151+AT238*AT151+AU238*AU151+AV238*AV151+AW238*AW151+AX238*AX151+AY238*AY151+AZ238*AZ151+BA238*BA151+BB238*BB151+BC238*BC151+BD238*BD151+BE238*BE151+BF238*BF151+BG238*BG151+BH238*BH151+BI238*BI151+BJ238*BJ151+BK238*BK151+BL238*BL151+BM238*BM151+BN238*BN151+BO238*BO151+BP238*BP151+BQ238*BQ151+BR238*BR151+BS238*BS151+BT238*BT151+BU238*BU151+BV238*BV151+BW238*BW151+BX238*BX151+BY238*BY151+BZ238*BZ151+CA238*CA151+CB238*CB151+CC238*CC151+CD238*CD151+CE238*CE151+CF238*CF151+CG238*CG151+CH238*CH151+CI238*CI151+CJ238*CJ151+CK238*CK151</f>
        <v>0</v>
      </c>
      <c r="CQ151" s="2297">
        <f>E239*E151+F239*F151+G239*G151+H239*H151+I239*I151+J239*J151+K239*K151+L239*L151+M239*M151+N239*N151+O239*O151+P239*P151+Q239*Q151+R239*R151+S239*S151+T239*T151+U239*U151+V239*V151+W239*W151+X239*X151+Y239*Y151+Z239*Z151+AA239*AA151+AB239*AB151+AC239*AC151+AD239*AD151+AE239*AE151+AF239*AF151+AG239*AG151+AH239*AH151+AI239*AI151+AJ239*AJ151+AK239*AK151+AL239*AL151+AM239*AM151+AN239*AN151+AO239*AO151+AP239*AP151+AQ239*AQ151+AR239*AR151+AS239*AS151+AT239*AT151+AU239*AU151+AV239*AV151+AW239*AW151+AX239*AX151+AY239*AY151+AZ239*AZ151+BA239*BA151+BB239*BB151+BC239*BC151+BD239*BD151+BE239*BE151+BF239*BF151+BG239*BG151+BH239*BH151+BI239*BI151+BJ239*BJ151+BK239*BK151+BL239*BL151+BM239*BM151+BN239*BN151+BO239*BO151+BP239*BP151+BQ239*BQ151+BR239*BR151+BS239*BS151+BT239*BT151+BU239*BU151+BV239*BV151+BW239*BW151+BX239*BX151+BY239*BY151+BZ239*BZ151+CA239*CA151+CB239*CB151+CC239*CC151+CD239*CD151+CE239*CE151+CF239*CF151+CG239*CG151+CH239*CH151+CI239*CI151+CJ239*CJ151+CK239*CK151</f>
        <v>0</v>
      </c>
      <c r="CR151" s="2297">
        <f>E240*E151+F240*F151+G240*G151+H240*H151+I240*I151+J240*J151+K240*K151+L240*L151+M240*M151+N240*N151+O240*O151+P240*P151+Q240*Q151+R240*R151+S240*S151+T240*T151+U240*U151+V240*V151+W240*W151+X240*X151+Y240*Y151+Z240*Z151+AA240*AA151+AB240*AB151+AC240*AC151+AD240*AD151+AE240*AE151+AF240*AF151+AG240*AG151+AH240*AH151+AI240*AI151+AJ240*AJ151+AK240*AK151+AL240*AL151+AM240*AM151+AN240*AN151+AO240*AO151+AP240*AP151+AQ240*AQ151+AR240*AR151+AS240*AS151+AT240*AT151+AU240*AU151+AV240*AV151+AW240*AW151+AX240*AX151+AY240*AY151+AZ240*AZ151+BA240*BA151+BB240*BB151+BC240*BC151+BD240*BD151+BE240*BE151+BF240*BF151+BG240*BG151+BH240*BH151+BI240*BI151+BJ240*BJ151+BK240*BK151+BL240*BL151+BM240*BM151+BN240*BN151+BO240*BO151+BP240*BP151+BQ240*BQ151+BR240*BR151+BS240*BS151+BT240*BT151+BU240*BU151+BV240*BV151+BW240*BW151+BX240*BX151+BY240*BY151+BZ240*BZ151+CA240*CA151+CB240*CB151+CC240*CC151+CD240*CD151+CE240*CE151+CF240*CF151+CG240*CG151+CH240*CH151+CI240*CI151+CJ240*CJ151+CK240*CK151</f>
        <v>0</v>
      </c>
      <c r="CS151" s="2297">
        <f>E241*E151+F241*F151+G241*G151+H241*H151+I241*I151+J241*J151+K241*K151+L241*L151+M241*M151+N241*N151+O241*O151+P241*P151+Q241*Q151+R241*R151+S241*S151+T241*T151+U241*U151+V241*V151+W241*W151+X241*X151+Y241*Y151+Z241*Z151+AA241*AA151+AB241*AB151+AC241*AC151+AD241*AD151+AE241*AE151+AF241*AF151+AG241*AG151+AH241*AH151+AI241*AI151+AJ241*AJ151+AK241*AK151+AL241*AL151+AM241*AM151+AN241*AN151+AO241*AO151+AP241*AP151+AQ241*AQ151+AR241*AR151+AS241*AS151+AT241*AT151+AU241*AU151+AV241*AV151+AW241*AW151+AX241*AX151+AY241*AY151+AZ241*AZ151+BA241*BA151+BB241*BB151+BC241*BC151+BD241*BD151+BE241*BE151+BF241*BF151+BG241*BG151+BH241*BH151+BI241*BI151+BJ241*BJ151+BK241*BK151+BL241*BL151+BM241*BM151+BN241*BN151+BO241*BO151+BP241*BP151+BQ241*BQ151+BR241*BR151+BS241*BS151+BT241*BT151+BU241*BU151+BV241*BV151+BW241*BW151+BX241*BX151+BY241*BY151+BZ241*BZ151+CA241*CA151+CB241*CB151+CC241*CC151+CD241*CD151+CE241*CE151+CF241*CF151+CG241*CG151+CH241*CH151+CI241*CI151+CJ241*CJ151+CK241*CK151</f>
        <v>0</v>
      </c>
      <c r="CT151" s="2297">
        <f>E242*E151+F242*F151+G242*G151+H242*H151+I242*I151+J242*J151+K242*K151+L242*L151+M242*M151+N242*N151+O242*O151+P242*P151+Q242*Q151+R242*R151+S242*S151+T242*T151+U242*U151+V242*V151+W242*W151+X242*X151+Y242*Y151+Z242*Z151+AA242*AA151+AB242*AB151+AC242*AC151+AD242*AD151+AE242*AE151+AF242*AF151+AG242*AG151+AH242*AH151+AI242*AI151+AJ242*AJ151+AK242*AK151+AL242*AL151+AM242*AM151+AN242*AN151+AO242*AO151+AP242*AP151+AQ242*AQ151+AR242*AR151+AS242*AS151+AT242*AT151+AU242*AU151+AV242*AV151+AW242*AW151+AX242*AX151+AY242*AY151+AZ242*AZ151+BA242*BA151+BB242*BB151+BC242*BC151+BD242*BD151+BE242*BE151+BF242*BF151+BG242*BG151+BH242*BH151+BI242*BI151+BJ242*BJ151+BK242*BK151+BL242*BL151+BM242*BM151+BN242*BN151+BO242*BO151+BP242*BP151+BQ242*BQ151+BR242*BR151+BS242*BS151+BT242*BT151+BU242*BU151+BV242*BV151+BW242*BW151+BX242*BX151+BY242*BY151+BZ242*BZ151+CA242*CA151+CB242*CB151+CC242*CC151+CD242*CD151+CE242*CE151+CF242*CF151+CG242*CG151+CH242*CH151+CI242*CI151+CJ242*CJ151+CK242*CK151</f>
        <v>0</v>
      </c>
      <c r="CU151" s="2297">
        <f>E243*E151+F243*F151+G243*G151+H243*H151+I243*I151+J243*J151+K243*K151+L243*L151+M243*M151+N243*N151+O243*O151+P243*P151+Q243*Q151+R243*R151+S243*S151+T243*T151+U243*U151+V243*V151+W243*W151+X243*X151+Y243*Y151+Z243*Z151+AA243*AA151+AB243*AB151+AC243*AC151+AD243*AD151+AE243*AE151+AF243*AF151+AG243*AG151+AH243*AH151+AI243*AI151+AJ243*AJ151+AK243*AK151+AL243*AL151+AM243*AM151+AN243*AN151+AO243*AO151+AP243*AP151+AQ243*AQ151+AR243*AR151+AS243*AS151+AT243*AT151+AU243*AU151+AV243*AV151+AW243*AW151+AX243*AX151+AY243*AY151+AZ243*AZ151+BA243*BA151+BB243*BB151+BC243*BC151+BD243*BD151+BE243*BE151+BF243*BF151+BG243*BG151+BH243*BH151+BI243*BI151+BJ243*BJ151+BK243*BK151+BL243*BL151+BM243*BM151+BN243*BN151+BO243*BO151+BP243*BP151+BQ243*BQ151+BR243*BR151+BS243*BS151+BT243*BT151+BU243*BU151+BV243*BV151+BW243*BW151+BX243*BX151+BY243*BY151+BZ243*BZ151+CA243*CA151+CB243*CB151+CC243*CC151+CD243*CD151+CE243*CE151+CF243*CF151+CG243*CG151+CH243*CH151+CI243*CI151+CJ243*CJ151+CK243*CK151</f>
        <v>0</v>
      </c>
      <c r="CV151" s="2297">
        <f>E244*E151+F244*F151+G244*G151+H244*H151+I244*I151+J244*J151+K244*K151+L244*L151+M244*M151+N244*N151+O244*O151+P244*P151+Q244*Q151+R244*R151+S244*S151+T244*T151+U244*U151+V244*V151+W244*W151+X244*X151+Y244*Y151+Z244*Z151+AA244*AA151+AB244*AB151+AC244*AC151+AD244*AD151+AE244*AE151+AF244*AF151+AG244*AG151+AH244*AH151+AI244*AI151+AJ244*AJ151+AK244*AK151+AL244*AL151+AM244*AM151+AN244*AN151+AO244*AO151+AP244*AP151+AQ244*AQ151+AR244*AR151+AS244*AS151+AT244*AT151+AU244*AU151+AV244*AV151+AW244*AW151+AX244*AX151+AY244*AY151+AZ244*AZ151+BA244*BA151+BB244*BB151+BC244*BC151+BD244*BD151+BE244*BE151+BF244*BF151+BG244*BG151+BH244*BH151+BI244*BI151+BJ244*BJ151+BK244*BK151+BL244*BL151+BM244*BM151+BN244*BN151+BO244*BO151+BP244*BP151+BQ244*BQ151+BR244*BR151+BS244*BS151+BT244*BT151+BU244*BU151+BV244*BV151+BW244*BW151+BX244*BX151+BY244*BY151+BZ244*BZ151+CA244*CA151+CB244*CB151+CC244*CC151+CD244*CD151+CE244*CE151+CF244*CF151+CG244*CG151+CH244*CH151+CI244*CI151+CJ244*CJ151+CK244*CK151</f>
        <v>0</v>
      </c>
      <c r="CW151" s="2297">
        <f>E245*E151+F245*F151+G245*G151+H245*H151+I245*I151+J245*J151+K245*K151+L245*L151+M245*M151+N245*N151+O245*O151+P245*P151+Q245*Q151+R245*R151+S245*S151+T245*T151+U245*U151+V245*V151+W245*W151+X245*X151+Y245*Y151+Z245*Z151+AA245*AA151+AB245*AB151+AC245*AC151+AD245*AD151+AE245*AE151+AF245*AF151+AG245*AG151+AH245*AH151+AI245*AI151+AJ245*AJ151+AK245*AK151+AL245*AL151+AM245*AM151+AN245*AN151+AO245*AO151+AP245*AP151+AQ245*AQ151+AR245*AR151+AS245*AS151+AT245*AT151+AU245*AU151+AV245*AV151+AW245*AW151+AX245*AX151+AY245*AY151+AZ245*AZ151+BA245*BA151+BB245*BB151+BC245*BC151+BD245*BD151+BE245*BE151+BF245*BF151+BG245*BG151+BH245*BH151+BI245*BI151+BJ245*BJ151+BK245*BK151+BL245*BL151+BM245*BM151+BN245*BN151+BO245*BO151+BP245*BP151+BQ245*BQ151+BR245*BR151+BS245*BS151+BT245*BT151+BU245*BU151+BV245*BV151+BW245*BW151+BX245*BX151+BY245*BY151+BZ245*BZ151+CA245*CA151+CB245*CB151+CC245*CC151+CD245*CD151+CE245*CE151+CF245*CF151+CG245*CG151+CH245*CH151+CI245*CI151+CJ245*CJ151+CK245*CK151</f>
        <v>0</v>
      </c>
      <c r="CX151" s="2297">
        <f>E246*E151+F246*F151+G246*G151+H246*H151+I246*I151+J246*J151+K246*K151+L246*L151+M246*M151+N246*N151+O246*O151+P246*P151+Q246*Q151+R246*R151+S246*S151+T246*T151+U246*U151+V246*V151+W246*W151+X246*X151+Y246*Y151+Z246*Z151+AA246*AA151+AB246*AB151+AC246*AC151+AD246*AD151+AE246*AE151+AF246*AF151+AG246*AG151+AH246*AH151+AI246*AI151+AJ246*AJ151+AK246*AK151+AL246*AL151+AM246*AM151+AN246*AN151+AO246*AO151+AP246*AP151+AQ246*AQ151+AR246*AR151+AS246*AS151+AT246*AT151+AU246*AU151+AV246*AV151+AW246*AW151+AX246*AX151+AY246*AY151+AZ246*AZ151+BA246*BA151+BB246*BB151+BC246*BC151+BD246*BD151+BE246*BE151+BF246*BF151+BG246*BG151+BH246*BH151+BI246*BI151+BJ246*BJ151+BK246*BK151+BL246*BL151+BM246*BM151+BN246*BN151+BO246*BO151+BP246*BP151+BQ246*BQ151+BR246*BR151+BS246*BS151+BT246*BT151+BU246*BU151+BV246*BV151+BW246*BW151+BX246*BX151+BY246*BY151+BZ246*BZ151+CA246*CA151+CB246*CB151+CC246*CC151+CD246*CD151+CE246*CE151+CF246*CF151+CG246*CG151+CH246*CH151+CI246*CI151+CJ246*CJ151+CK246*CK151</f>
        <v>0</v>
      </c>
    </row>
    <row r="152" spans="2:102" ht="18" x14ac:dyDescent="0.25">
      <c r="B152" s="1245">
        <v>25</v>
      </c>
      <c r="C152" s="586" t="s">
        <v>247</v>
      </c>
      <c r="D152" s="587" t="s">
        <v>4215</v>
      </c>
      <c r="E152" s="2656">
        <f>-1</f>
        <v>-1</v>
      </c>
      <c r="F152" s="2656">
        <f>0</f>
        <v>0</v>
      </c>
      <c r="G152" s="2656">
        <f>0</f>
        <v>0</v>
      </c>
      <c r="H152" s="2656">
        <f>0</f>
        <v>0</v>
      </c>
      <c r="I152" s="2656">
        <f>0</f>
        <v>0</v>
      </c>
      <c r="J152" s="2692">
        <f>0</f>
        <v>0</v>
      </c>
      <c r="K152" s="2656">
        <f>0</f>
        <v>0</v>
      </c>
      <c r="L152" s="2656">
        <f>0</f>
        <v>0</v>
      </c>
      <c r="M152" s="2656">
        <f>0</f>
        <v>0</v>
      </c>
      <c r="N152" s="2656">
        <f>1</f>
        <v>1</v>
      </c>
      <c r="O152" s="2656">
        <f>0</f>
        <v>0</v>
      </c>
      <c r="P152" s="2656">
        <f>0</f>
        <v>0</v>
      </c>
      <c r="Q152" s="2656">
        <f>0</f>
        <v>0</v>
      </c>
      <c r="R152" s="2656">
        <f>0</f>
        <v>0</v>
      </c>
      <c r="S152" s="2656">
        <f>0</f>
        <v>0</v>
      </c>
      <c r="T152" s="2656">
        <f>0</f>
        <v>0</v>
      </c>
      <c r="U152" s="2656">
        <f>0</f>
        <v>0</v>
      </c>
      <c r="V152" s="2656">
        <f>0</f>
        <v>0</v>
      </c>
      <c r="W152" s="2656">
        <f>0</f>
        <v>0</v>
      </c>
      <c r="X152" s="2656">
        <f>0</f>
        <v>0</v>
      </c>
      <c r="Y152" s="2656">
        <f>0</f>
        <v>0</v>
      </c>
      <c r="Z152" s="2660">
        <f>0</f>
        <v>0</v>
      </c>
      <c r="AA152" s="2656">
        <f>0</f>
        <v>0</v>
      </c>
      <c r="AB152" s="2704">
        <f>0</f>
        <v>0</v>
      </c>
      <c r="AC152" s="2704">
        <f>0</f>
        <v>0</v>
      </c>
      <c r="AD152" s="2704">
        <f>0</f>
        <v>0</v>
      </c>
      <c r="AE152" s="2656">
        <f>0</f>
        <v>0</v>
      </c>
      <c r="AF152" s="2656">
        <f>0</f>
        <v>0</v>
      </c>
      <c r="AG152" s="2656">
        <f>0</f>
        <v>0</v>
      </c>
      <c r="AH152" s="2656">
        <f>0</f>
        <v>0</v>
      </c>
      <c r="AI152" s="2656">
        <f>f_P_VFA</f>
        <v>0.65</v>
      </c>
      <c r="AJ152" s="2704">
        <f>-f_P_VFA</f>
        <v>-0.65</v>
      </c>
      <c r="AK152" s="2656">
        <f>0</f>
        <v>0</v>
      </c>
      <c r="AL152" s="2656">
        <f>0</f>
        <v>0</v>
      </c>
      <c r="AM152" s="2656">
        <f>0</f>
        <v>0</v>
      </c>
      <c r="AN152" s="2656">
        <f>0</f>
        <v>0</v>
      </c>
      <c r="AO152" s="2656">
        <f>0</f>
        <v>0</v>
      </c>
      <c r="AP152" s="2656">
        <f>0</f>
        <v>0</v>
      </c>
      <c r="AQ152" s="2656">
        <f>0</f>
        <v>0</v>
      </c>
      <c r="AR152" s="2658">
        <f>i_CIT_VFA-i_CIT_PHA</f>
        <v>4.1999999999999982E-2</v>
      </c>
      <c r="AS152" s="2656">
        <f>0</f>
        <v>0</v>
      </c>
      <c r="AT152" s="2656">
        <f>0</f>
        <v>0</v>
      </c>
      <c r="AU152" s="2656">
        <f>0</f>
        <v>0</v>
      </c>
      <c r="AV152" s="2704">
        <f>i_Ca_PP*A_MCa/A_MP*f_P_VFA</f>
        <v>8.4105701566986282E-2</v>
      </c>
      <c r="AW152" s="2704">
        <f>i_Mg_PP*A_MMg/A_MP*f_P_VFA</f>
        <v>0.17851843325639011</v>
      </c>
      <c r="AX152" s="2704">
        <f>i_K_PP*A_MK/A_MP*f_P_VFA</f>
        <v>8.2049751773454263E-2</v>
      </c>
      <c r="AY152" s="2656">
        <f>0</f>
        <v>0</v>
      </c>
      <c r="AZ152" s="2656">
        <f>0</f>
        <v>0</v>
      </c>
      <c r="BA152" s="2656">
        <f>0</f>
        <v>0</v>
      </c>
      <c r="BB152" s="2656">
        <f>0</f>
        <v>0</v>
      </c>
      <c r="BC152" s="2656">
        <f>0</f>
        <v>0</v>
      </c>
      <c r="BD152" s="2656">
        <f>0</f>
        <v>0</v>
      </c>
      <c r="BE152" s="2656">
        <f>0</f>
        <v>0</v>
      </c>
      <c r="BF152" s="2656">
        <f>0</f>
        <v>0</v>
      </c>
      <c r="BG152" s="2656">
        <f>0</f>
        <v>0</v>
      </c>
      <c r="BH152" s="2656">
        <f>0</f>
        <v>0</v>
      </c>
      <c r="BI152" s="2656">
        <f>0</f>
        <v>0</v>
      </c>
      <c r="BJ152" s="2656">
        <f>0</f>
        <v>0</v>
      </c>
      <c r="BK152" s="2656">
        <f>0</f>
        <v>0</v>
      </c>
      <c r="BL152" s="2656">
        <f>0</f>
        <v>0</v>
      </c>
      <c r="BM152" s="2656">
        <f>0</f>
        <v>0</v>
      </c>
      <c r="BN152" s="2656">
        <f>0</f>
        <v>0</v>
      </c>
      <c r="BO152" s="2656">
        <f>0</f>
        <v>0</v>
      </c>
      <c r="BP152" s="2703">
        <f>0</f>
        <v>0</v>
      </c>
      <c r="BQ152" s="2656">
        <f>0</f>
        <v>0</v>
      </c>
      <c r="BR152" s="2656">
        <f>0</f>
        <v>0</v>
      </c>
      <c r="BS152" s="2660">
        <f>0</f>
        <v>0</v>
      </c>
      <c r="BT152" s="2660">
        <f>0</f>
        <v>0</v>
      </c>
      <c r="BU152" s="2660">
        <f>0</f>
        <v>0</v>
      </c>
      <c r="BV152" s="2660">
        <f>0</f>
        <v>0</v>
      </c>
      <c r="BW152" s="2656">
        <f>0</f>
        <v>0</v>
      </c>
      <c r="BX152" s="2658">
        <f>0</f>
        <v>0</v>
      </c>
      <c r="BY152" s="2660">
        <f>0</f>
        <v>0</v>
      </c>
      <c r="BZ152" s="2656">
        <f>0</f>
        <v>0</v>
      </c>
      <c r="CA152" s="2656">
        <f>0</f>
        <v>0</v>
      </c>
      <c r="CB152" s="2656">
        <f>0</f>
        <v>0</v>
      </c>
      <c r="CC152" s="2656">
        <f>0</f>
        <v>0</v>
      </c>
      <c r="CD152" s="2656">
        <f>0</f>
        <v>0</v>
      </c>
      <c r="CE152" s="2656">
        <f>0</f>
        <v>0</v>
      </c>
      <c r="CF152" s="2656">
        <f>0</f>
        <v>0</v>
      </c>
      <c r="CG152" s="2656">
        <f>0</f>
        <v>0</v>
      </c>
      <c r="CH152" s="2656">
        <f>0</f>
        <v>0</v>
      </c>
      <c r="CI152" s="2656">
        <f>0</f>
        <v>0</v>
      </c>
      <c r="CJ152" s="2656">
        <f>0</f>
        <v>0</v>
      </c>
      <c r="CK152" s="2656">
        <f>0</f>
        <v>0</v>
      </c>
      <c r="CL152" s="2803">
        <f>q_PAO_PHA_T*X_CASTO*actsto_PAO_ORP*M_satSVFA_KVFA_CASTO*M_RsatXPP_XPAO_KPP*L_oginhXPHA_XPAO_max</f>
        <v>0.33972825925009087</v>
      </c>
      <c r="CN152" s="2295">
        <f>E236*E152+F236*F152+G236*G152+H236*H152+I236*I152+J236*J152+K236*K152+L236*L152+M236*M152+N236*N152+O236*O152+P236*P152+Q236*Q152+R236*R152+S236*S152+T236*T152+U236*U152+V236*V152+W236*W152+X236*X152+Y236*Y152+Z236*Z152+AA236*AA152+AB236*AB152+AC236*AC152+AD236*AD152+AE236*AE152+AF236*AF152+AG236*AG152+AH236*AH152+AI236*AI152+AJ236*AJ152+AK236*AK152+AL236*AL152+AM236*AM152+AN236*AN152+AO236*AO152+AP236*AP152+AQ236*AQ152+AR236*AR152+AS236*AS152+AT236*AT152+AU236*AU152+AV236*AV152+AW236*AW152+AX236*AX152+AY236*AY152+AZ236*AZ152+BA236*BA152+BB236*BB152+BC236*BC152+BD236*BD152+BE236*BE152+BF236*BF152+BG236*BG152+BH236*BH152+BI236*BI152+BJ236*BJ152+BK236*BK152+BL236*BL152+BM236*BM152+BN236*BN152+BO236*BO152+BP236*BP152+BQ236*BQ152+BR236*BR152+BS236*BS152+BT236*BT152+BU236*BU152+BV236*BV152+BW236*BW152+BX236*BX152+BY236*BY152+BZ236*BZ152+CA236*CA152+CB236*CB152+CC236*CC152+CD236*CD152+CE236*CE152+CF236*CF152+CG236*CG152+CH236*CH152+CI236*CI152+CJ236*CJ152+CK236*CK152</f>
        <v>0</v>
      </c>
      <c r="CO152" s="2295">
        <f>E237*E152+F237*F152+G237*G152+H237*H152+I237*I152+J237*J152+K237*K152+L237*L152+M237*M152+N237*N152+O237*O152+P237*P152+Q237*Q152+R237*R152+S237*S152+T237*T152+U237*U152+V237*V152+W237*W152+X237*X152+Y237*Y152+Z237*Z152+AA237*AA152+AB237*AB152+AC237*AC152+AD237*AD152+AE237*AE152+AF237*AF152+AG237*AG152+AH237*AH152+AI237*AI152+AJ237*AJ152+AK237*AK152+AL237*AL152+AM237*AM152+AN237*AN152+AO237*AO152+AP237*AP152+AQ237*AQ152+AR237*AR152+AS237*AS152+AT237*AT152+AU237*AU152+AV237*AV152+AW237*AW152+AX237*AX152+AY237*AY152+AZ237*AZ152+BA237*BA152+BB237*BB152+BC237*BC152+BD237*BD152+BE237*BE152+BF237*BF152+BG237*BG152+BH237*BH152+BI237*BI152+BJ237*BJ152+BK237*BK152+BL237*BL152+BM237*BM152+BN237*BN152+BO237*BO152+BP237*BP152+BQ237*BQ152+BR237*BR152+BS237*BS152+BT237*BT152+BU237*BU152+BV237*BV152+BW237*BW152+BX237*BX152+BY237*BY152+BZ237*BZ152+CA237*CA152+CB237*CB152+CC237*CC152+CD237*CD152+CE237*CE152+CF237*CF152+CG237*CG152+CH237*CH152+CI237*CI152+CJ237*CJ152+CK237*CK152</f>
        <v>0</v>
      </c>
      <c r="CP152" s="2296">
        <f>E238*E152+F238*F152+G238*G152+H238*H152+I238*I152+J238*J152+K238*K152+L238*L152+M238*M152+N238*N152+O238*O152+P238*P152+Q238*Q152+R238*R152+S238*S152+T238*T152+U238*U152+V238*V152+W238*W152+X238*X152+Y238*Y152+Z238*Z152+AA238*AA152+AB238*AB152+AC238*AC152+AD238*AD152+AE238*AE152+AF238*AF152+AG238*AG152+AH238*AH152+AI238*AI152+AJ238*AJ152+AK238*AK152+AL238*AL152+AM238*AM152+AN238*AN152+AO238*AO152+AP238*AP152+AQ238*AQ152+AR238*AR152+AS238*AS152+AT238*AT152+AU238*AU152+AV238*AV152+AW238*AW152+AX238*AX152+AY238*AY152+AZ238*AZ152+BA238*BA152+BB238*BB152+BC238*BC152+BD238*BD152+BE238*BE152+BF238*BF152+BG238*BG152+BH238*BH152+BI238*BI152+BJ238*BJ152+BK238*BK152+BL238*BL152+BM238*BM152+BN238*BN152+BO238*BO152+BP238*BP152+BQ238*BQ152+BR238*BR152+BS238*BS152+BT238*BT152+BU238*BU152+BV238*BV152+BW238*BW152+BX238*BX152+BY238*BY152+BZ238*BZ152+CA238*CA152+CB238*CB152+CC238*CC152+CD238*CD152+CE238*CE152+CF238*CF152+CG238*CG152+CH238*CH152+CI238*CI152+CJ238*CJ152+CK238*CK152</f>
        <v>0</v>
      </c>
      <c r="CQ152" s="2297">
        <f>E239*E152+F239*F152+G239*G152+H239*H152+I239*I152+J239*J152+K239*K152+L239*L152+M239*M152+N239*N152+O239*O152+P239*P152+Q239*Q152+R239*R152+S239*S152+T239*T152+U239*U152+V239*V152+W239*W152+X239*X152+Y239*Y152+Z239*Z152+AA239*AA152+AB239*AB152+AC239*AC152+AD239*AD152+AE239*AE152+AF239*AF152+AG239*AG152+AH239*AH152+AI239*AI152+AJ239*AJ152+AK239*AK152+AL239*AL152+AM239*AM152+AN239*AN152+AO239*AO152+AP239*AP152+AQ239*AQ152+AR239*AR152+AS239*AS152+AT239*AT152+AU239*AU152+AV239*AV152+AW239*AW152+AX239*AX152+AY239*AY152+AZ239*AZ152+BA239*BA152+BB239*BB152+BC239*BC152+BD239*BD152+BE239*BE152+BF239*BF152+BG239*BG152+BH239*BH152+BI239*BI152+BJ239*BJ152+BK239*BK152+BL239*BL152+BM239*BM152+BN239*BN152+BO239*BO152+BP239*BP152+BQ239*BQ152+BR239*BR152+BS239*BS152+BT239*BT152+BU239*BU152+BV239*BV152+BW239*BW152+BX239*BX152+BY239*BY152+BZ239*BZ152+CA239*CA152+CB239*CB152+CC239*CC152+CD239*CD152+CE239*CE152+CF239*CF152+CG239*CG152+CH239*CH152+CI239*CI152+CJ239*CJ152+CK239*CK152</f>
        <v>0</v>
      </c>
      <c r="CR152" s="2297">
        <f>E240*E152+F240*F152+G240*G152+H240*H152+I240*I152+J240*J152+K240*K152+L240*L152+M240*M152+N240*N152+O240*O152+P240*P152+Q240*Q152+R240*R152+S240*S152+T240*T152+U240*U152+V240*V152+W240*W152+X240*X152+Y240*Y152+Z240*Z152+AA240*AA152+AB240*AB152+AC240*AC152+AD240*AD152+AE240*AE152+AF240*AF152+AG240*AG152+AH240*AH152+AI240*AI152+AJ240*AJ152+AK240*AK152+AL240*AL152+AM240*AM152+AN240*AN152+AO240*AO152+AP240*AP152+AQ240*AQ152+AR240*AR152+AS240*AS152+AT240*AT152+AU240*AU152+AV240*AV152+AW240*AW152+AX240*AX152+AY240*AY152+AZ240*AZ152+BA240*BA152+BB240*BB152+BC240*BC152+BD240*BD152+BE240*BE152+BF240*BF152+BG240*BG152+BH240*BH152+BI240*BI152+BJ240*BJ152+BK240*BK152+BL240*BL152+BM240*BM152+BN240*BN152+BO240*BO152+BP240*BP152+BQ240*BQ152+BR240*BR152+BS240*BS152+BT240*BT152+BU240*BU152+BV240*BV152+BW240*BW152+BX240*BX152+BY240*BY152+BZ240*BZ152+CA240*CA152+CB240*CB152+CC240*CC152+CD240*CD152+CE240*CE152+CF240*CF152+CG240*CG152+CH240*CH152+CI240*CI152+CJ240*CJ152+CK240*CK152</f>
        <v>0</v>
      </c>
      <c r="CS152" s="2297">
        <f>E241*E152+F241*F152+G241*G152+H241*H152+I241*I152+J241*J152+K241*K152+L241*L152+M241*M152+N241*N152+O241*O152+P241*P152+Q241*Q152+R241*R152+S241*S152+T241*T152+U241*U152+V241*V152+W241*W152+X241*X152+Y241*Y152+Z241*Z152+AA241*AA152+AB241*AB152+AC241*AC152+AD241*AD152+AE241*AE152+AF241*AF152+AG241*AG152+AH241*AH152+AI241*AI152+AJ241*AJ152+AK241*AK152+AL241*AL152+AM241*AM152+AN241*AN152+AO241*AO152+AP241*AP152+AQ241*AQ152+AR241*AR152+AS241*AS152+AT241*AT152+AU241*AU152+AV241*AV152+AW241*AW152+AX241*AX152+AY241*AY152+AZ241*AZ152+BA241*BA152+BB241*BB152+BC241*BC152+BD241*BD152+BE241*BE152+BF241*BF152+BG241*BG152+BH241*BH152+BI241*BI152+BJ241*BJ152+BK241*BK152+BL241*BL152+BM241*BM152+BN241*BN152+BO241*BO152+BP241*BP152+BQ241*BQ152+BR241*BR152+BS241*BS152+BT241*BT152+BU241*BU152+BV241*BV152+BW241*BW152+BX241*BX152+BY241*BY152+BZ241*BZ152+CA241*CA152+CB241*CB152+CC241*CC152+CD241*CD152+CE241*CE152+CF241*CF152+CG241*CG152+CH241*CH152+CI241*CI152+CJ241*CJ152+CK241*CK152</f>
        <v>0</v>
      </c>
      <c r="CT152" s="2297">
        <f>E242*E152+F242*F152+G242*G152+H242*H152+I242*I152+J242*J152+K242*K152+L242*L152+M242*M152+N242*N152+O242*O152+P242*P152+Q242*Q152+R242*R152+S242*S152+T242*T152+U242*U152+V242*V152+W242*W152+X242*X152+Y242*Y152+Z242*Z152+AA242*AA152+AB242*AB152+AC242*AC152+AD242*AD152+AE242*AE152+AF242*AF152+AG242*AG152+AH242*AH152+AI242*AI152+AJ242*AJ152+AK242*AK152+AL242*AL152+AM242*AM152+AN242*AN152+AO242*AO152+AP242*AP152+AQ242*AQ152+AR242*AR152+AS242*AS152+AT242*AT152+AU242*AU152+AV242*AV152+AW242*AW152+AX242*AX152+AY242*AY152+AZ242*AZ152+BA242*BA152+BB242*BB152+BC242*BC152+BD242*BD152+BE242*BE152+BF242*BF152+BG242*BG152+BH242*BH152+BI242*BI152+BJ242*BJ152+BK242*BK152+BL242*BL152+BM242*BM152+BN242*BN152+BO242*BO152+BP242*BP152+BQ242*BQ152+BR242*BR152+BS242*BS152+BT242*BT152+BU242*BU152+BV242*BV152+BW242*BW152+BX242*BX152+BY242*BY152+BZ242*BZ152+CA242*CA152+CB242*CB152+CC242*CC152+CD242*CD152+CE242*CE152+CF242*CF152+CG242*CG152+CH242*CH152+CI242*CI152+CJ242*CJ152+CK242*CK152</f>
        <v>0</v>
      </c>
      <c r="CU152" s="2297">
        <f>E243*E152+F243*F152+G243*G152+H243*H152+I243*I152+J243*J152+K243*K152+L243*L152+M243*M152+N243*N152+O243*O152+P243*P152+Q243*Q152+R243*R152+S243*S152+T243*T152+U243*U152+V243*V152+W243*W152+X243*X152+Y243*Y152+Z243*Z152+AA243*AA152+AB243*AB152+AC243*AC152+AD243*AD152+AE243*AE152+AF243*AF152+AG243*AG152+AH243*AH152+AI243*AI152+AJ243*AJ152+AK243*AK152+AL243*AL152+AM243*AM152+AN243*AN152+AO243*AO152+AP243*AP152+AQ243*AQ152+AR243*AR152+AS243*AS152+AT243*AT152+AU243*AU152+AV243*AV152+AW243*AW152+AX243*AX152+AY243*AY152+AZ243*AZ152+BA243*BA152+BB243*BB152+BC243*BC152+BD243*BD152+BE243*BE152+BF243*BF152+BG243*BG152+BH243*BH152+BI243*BI152+BJ243*BJ152+BK243*BK152+BL243*BL152+BM243*BM152+BN243*BN152+BO243*BO152+BP243*BP152+BQ243*BQ152+BR243*BR152+BS243*BS152+BT243*BT152+BU243*BU152+BV243*BV152+BW243*BW152+BX243*BX152+BY243*BY152+BZ243*BZ152+CA243*CA152+CB243*CB152+CC243*CC152+CD243*CD152+CE243*CE152+CF243*CF152+CG243*CG152+CH243*CH152+CI243*CI152+CJ243*CJ152+CK243*CK152</f>
        <v>0</v>
      </c>
      <c r="CV152" s="2297">
        <f>E244*E152+F244*F152+G244*G152+H244*H152+I244*I152+J244*J152+K244*K152+L244*L152+M244*M152+N244*N152+O244*O152+P244*P152+Q244*Q152+R244*R152+S244*S152+T244*T152+U244*U152+V244*V152+W244*W152+X244*X152+Y244*Y152+Z244*Z152+AA244*AA152+AB244*AB152+AC244*AC152+AD244*AD152+AE244*AE152+AF244*AF152+AG244*AG152+AH244*AH152+AI244*AI152+AJ244*AJ152+AK244*AK152+AL244*AL152+AM244*AM152+AN244*AN152+AO244*AO152+AP244*AP152+AQ244*AQ152+AR244*AR152+AS244*AS152+AT244*AT152+AU244*AU152+AV244*AV152+AW244*AW152+AX244*AX152+AY244*AY152+AZ244*AZ152+BA244*BA152+BB244*BB152+BC244*BC152+BD244*BD152+BE244*BE152+BF244*BF152+BG244*BG152+BH244*BH152+BI244*BI152+BJ244*BJ152+BK244*BK152+BL244*BL152+BM244*BM152+BN244*BN152+BO244*BO152+BP244*BP152+BQ244*BQ152+BR244*BR152+BS244*BS152+BT244*BT152+BU244*BU152+BV244*BV152+BW244*BW152+BX244*BX152+BY244*BY152+BZ244*BZ152+CA244*CA152+CB244*CB152+CC244*CC152+CD244*CD152+CE244*CE152+CF244*CF152+CG244*CG152+CH244*CH152+CI244*CI152+CJ244*CJ152+CK244*CK152</f>
        <v>0</v>
      </c>
      <c r="CW152" s="2297">
        <f>E245*E152+F245*F152+G245*G152+H245*H152+I245*I152+J245*J152+K245*K152+L245*L152+M245*M152+N245*N152+O245*O152+P245*P152+Q245*Q152+R245*R152+S245*S152+T245*T152+U245*U152+V245*V152+W245*W152+X245*X152+Y245*Y152+Z245*Z152+AA245*AA152+AB245*AB152+AC245*AC152+AD245*AD152+AE245*AE152+AF245*AF152+AG245*AG152+AH245*AH152+AI245*AI152+AJ245*AJ152+AK245*AK152+AL245*AL152+AM245*AM152+AN245*AN152+AO245*AO152+AP245*AP152+AQ245*AQ152+AR245*AR152+AS245*AS152+AT245*AT152+AU245*AU152+AV245*AV152+AW245*AW152+AX245*AX152+AY245*AY152+AZ245*AZ152+BA245*BA152+BB245*BB152+BC245*BC152+BD245*BD152+BE245*BE152+BF245*BF152+BG245*BG152+BH245*BH152+BI245*BI152+BJ245*BJ152+BK245*BK152+BL245*BL152+BM245*BM152+BN245*BN152+BO245*BO152+BP245*BP152+BQ245*BQ152+BR245*BR152+BS245*BS152+BT245*BT152+BU245*BU152+BV245*BV152+BW245*BW152+BX245*BX152+BY245*BY152+BZ245*BZ152+CA245*CA152+CB245*CB152+CC245*CC152+CD245*CD152+CE245*CE152+CF245*CF152+CG245*CG152+CH245*CH152+CI245*CI152+CJ245*CJ152+CK245*CK152</f>
        <v>0</v>
      </c>
      <c r="CX152" s="2297">
        <f>E246*E152+F246*F152+G246*G152+H246*H152+I246*I152+J246*J152+K246*K152+L246*L152+M246*M152+N246*N152+O246*O152+P246*P152+Q246*Q152+R246*R152+S246*S152+T246*T152+U246*U152+V246*V152+W246*W152+X246*X152+Y246*Y152+Z246*Z152+AA246*AA152+AB246*AB152+AC246*AC152+AD246*AD152+AE246*AE152+AF246*AF152+AG246*AG152+AH246*AH152+AI246*AI152+AJ246*AJ152+AK246*AK152+AL246*AL152+AM246*AM152+AN246*AN152+AO246*AO152+AP246*AP152+AQ246*AQ152+AR246*AR152+AS246*AS152+AT246*AT152+AU246*AU152+AV246*AV152+AW246*AW152+AX246*AX152+AY246*AY152+AZ246*AZ152+BA246*BA152+BB246*BB152+BC246*BC152+BD246*BD152+BE246*BE152+BF246*BF152+BG246*BG152+BH246*BH152+BI246*BI152+BJ246*BJ152+BK246*BK152+BL246*BL152+BM246*BM152+BN246*BN152+BO246*BO152+BP246*BP152+BQ246*BQ152+BR246*BR152+BS246*BS152+BT246*BT152+BU246*BU152+BV246*BV152+BW246*BW152+BX246*BX152+BY246*BY152+BZ246*BZ152+CA246*CA152+CB246*CB152+CC246*CC152+CD246*CD152+CE246*CE152+CF246*CF152+CG246*CG152+CH246*CH152+CI246*CI152+CJ246*CJ152+CK246*CK152</f>
        <v>0</v>
      </c>
    </row>
    <row r="153" spans="2:102" ht="18" x14ac:dyDescent="0.25">
      <c r="B153" s="1245">
        <v>26</v>
      </c>
      <c r="C153" s="586" t="s">
        <v>248</v>
      </c>
      <c r="D153" s="587" t="s">
        <v>5216</v>
      </c>
      <c r="E153" s="2656">
        <f>-1</f>
        <v>-1</v>
      </c>
      <c r="F153" s="2656">
        <f>0</f>
        <v>0</v>
      </c>
      <c r="G153" s="2656">
        <f>0</f>
        <v>0</v>
      </c>
      <c r="H153" s="2656">
        <f>0</f>
        <v>0</v>
      </c>
      <c r="I153" s="2656">
        <f>0</f>
        <v>0</v>
      </c>
      <c r="J153" s="2692">
        <f>0</f>
        <v>0</v>
      </c>
      <c r="K153" s="2656">
        <f>0</f>
        <v>0</v>
      </c>
      <c r="L153" s="2656">
        <f>0</f>
        <v>0</v>
      </c>
      <c r="M153" s="2656">
        <f>0</f>
        <v>0</v>
      </c>
      <c r="N153" s="2656">
        <f>0</f>
        <v>0</v>
      </c>
      <c r="O153" s="2656">
        <f>1</f>
        <v>1</v>
      </c>
      <c r="P153" s="2656">
        <f>0</f>
        <v>0</v>
      </c>
      <c r="Q153" s="2656">
        <f>0</f>
        <v>0</v>
      </c>
      <c r="R153" s="2656">
        <f>0</f>
        <v>0</v>
      </c>
      <c r="S153" s="2656">
        <f>0</f>
        <v>0</v>
      </c>
      <c r="T153" s="2656">
        <f>0</f>
        <v>0</v>
      </c>
      <c r="U153" s="2656">
        <f>0</f>
        <v>0</v>
      </c>
      <c r="V153" s="2656">
        <f>0</f>
        <v>0</v>
      </c>
      <c r="W153" s="2656">
        <f>0</f>
        <v>0</v>
      </c>
      <c r="X153" s="2656">
        <f>0</f>
        <v>0</v>
      </c>
      <c r="Y153" s="2656">
        <f>0</f>
        <v>0</v>
      </c>
      <c r="Z153" s="2660">
        <f>0</f>
        <v>0</v>
      </c>
      <c r="AA153" s="2656">
        <f>0</f>
        <v>0</v>
      </c>
      <c r="AB153" s="2704">
        <f>0</f>
        <v>0</v>
      </c>
      <c r="AC153" s="2704">
        <f>0</f>
        <v>0</v>
      </c>
      <c r="AD153" s="2656">
        <f>0</f>
        <v>0</v>
      </c>
      <c r="AE153" s="2656">
        <f>0</f>
        <v>0</v>
      </c>
      <c r="AF153" s="2656">
        <f>0</f>
        <v>0</v>
      </c>
      <c r="AG153" s="2656">
        <f>0</f>
        <v>0</v>
      </c>
      <c r="AH153" s="2656">
        <f>0</f>
        <v>0</v>
      </c>
      <c r="AI153" s="2656">
        <f>0</f>
        <v>0</v>
      </c>
      <c r="AJ153" s="2704">
        <f>0</f>
        <v>0</v>
      </c>
      <c r="AK153" s="2656">
        <f>0</f>
        <v>0</v>
      </c>
      <c r="AL153" s="2656">
        <f>0</f>
        <v>0</v>
      </c>
      <c r="AM153" s="2656">
        <f>0</f>
        <v>0</v>
      </c>
      <c r="AN153" s="2656">
        <f>0</f>
        <v>0</v>
      </c>
      <c r="AO153" s="2656">
        <f>0</f>
        <v>0</v>
      </c>
      <c r="AP153" s="2656">
        <f>0</f>
        <v>0</v>
      </c>
      <c r="AQ153" s="2656">
        <f>0</f>
        <v>0</v>
      </c>
      <c r="AR153" s="2692">
        <f>i_CIT_VFA-i_CIT_PHA</f>
        <v>4.1999999999999982E-2</v>
      </c>
      <c r="AS153" s="2704">
        <f>0</f>
        <v>0</v>
      </c>
      <c r="AT153" s="2704">
        <f>0</f>
        <v>0</v>
      </c>
      <c r="AU153" s="2704">
        <f>0</f>
        <v>0</v>
      </c>
      <c r="AV153" s="2704">
        <f>0</f>
        <v>0</v>
      </c>
      <c r="AW153" s="2704">
        <f>0</f>
        <v>0</v>
      </c>
      <c r="AX153" s="2704">
        <f>0</f>
        <v>0</v>
      </c>
      <c r="AY153" s="2656">
        <f>0</f>
        <v>0</v>
      </c>
      <c r="AZ153" s="2656">
        <f>0</f>
        <v>0</v>
      </c>
      <c r="BA153" s="2656">
        <f>0</f>
        <v>0</v>
      </c>
      <c r="BB153" s="2656">
        <f>0</f>
        <v>0</v>
      </c>
      <c r="BC153" s="2656">
        <f>0</f>
        <v>0</v>
      </c>
      <c r="BD153" s="2656">
        <f>0</f>
        <v>0</v>
      </c>
      <c r="BE153" s="2656">
        <f>0</f>
        <v>0</v>
      </c>
      <c r="BF153" s="2656">
        <f>0</f>
        <v>0</v>
      </c>
      <c r="BG153" s="2656">
        <f>0</f>
        <v>0</v>
      </c>
      <c r="BH153" s="2656">
        <f>0</f>
        <v>0</v>
      </c>
      <c r="BI153" s="2656">
        <f>0</f>
        <v>0</v>
      </c>
      <c r="BJ153" s="2656">
        <f>0</f>
        <v>0</v>
      </c>
      <c r="BK153" s="2656">
        <f>0</f>
        <v>0</v>
      </c>
      <c r="BL153" s="2656">
        <f>0</f>
        <v>0</v>
      </c>
      <c r="BM153" s="2656">
        <f>0</f>
        <v>0</v>
      </c>
      <c r="BN153" s="2656">
        <f>0</f>
        <v>0</v>
      </c>
      <c r="BO153" s="2656">
        <f>0</f>
        <v>0</v>
      </c>
      <c r="BP153" s="2657">
        <f>0</f>
        <v>0</v>
      </c>
      <c r="BQ153" s="2656">
        <f>0</f>
        <v>0</v>
      </c>
      <c r="BR153" s="2656">
        <f>0</f>
        <v>0</v>
      </c>
      <c r="BS153" s="2660">
        <f>0</f>
        <v>0</v>
      </c>
      <c r="BT153" s="2660">
        <f>0</f>
        <v>0</v>
      </c>
      <c r="BU153" s="2660">
        <f>0</f>
        <v>0</v>
      </c>
      <c r="BV153" s="2660">
        <f>0</f>
        <v>0</v>
      </c>
      <c r="BW153" s="2656">
        <f>0</f>
        <v>0</v>
      </c>
      <c r="BX153" s="2658">
        <f>0</f>
        <v>0</v>
      </c>
      <c r="BY153" s="2660">
        <f>0</f>
        <v>0</v>
      </c>
      <c r="BZ153" s="2656">
        <f>0</f>
        <v>0</v>
      </c>
      <c r="CA153" s="2656">
        <f>0</f>
        <v>0</v>
      </c>
      <c r="CB153" s="2656">
        <f>0</f>
        <v>0</v>
      </c>
      <c r="CC153" s="2656">
        <f>0</f>
        <v>0</v>
      </c>
      <c r="CD153" s="2656">
        <f>0</f>
        <v>0</v>
      </c>
      <c r="CE153" s="2656">
        <f>0</f>
        <v>0</v>
      </c>
      <c r="CF153" s="2656">
        <f>0</f>
        <v>0</v>
      </c>
      <c r="CG153" s="2656">
        <f>0</f>
        <v>0</v>
      </c>
      <c r="CH153" s="2656">
        <f>0</f>
        <v>0</v>
      </c>
      <c r="CI153" s="2656">
        <f>0</f>
        <v>0</v>
      </c>
      <c r="CJ153" s="2656">
        <f>0</f>
        <v>0</v>
      </c>
      <c r="CK153" s="2656">
        <f>0</f>
        <v>0</v>
      </c>
      <c r="CL153" s="2803">
        <f>q_GAO_PHA_T*X_CASTO*actsto_GAO_ORP*M_satSVFA_KVFA_CASTO*L_oginhXPHA_XGAO_max</f>
        <v>3.7838181114634031</v>
      </c>
      <c r="CN153" s="2295">
        <f>E236*E153+F236*F153+G236*G153+H236*H153+I236*I153+J236*J153+K236*K153+L236*L153+M236*M153+N236*N153+O236*O153+P236*P153+Q236*Q153+R236*R153+S236*S153+T236*T153+U236*U153+V236*V153+W236*W153+X236*X153+Y236*Y153+Z236*Z153+AA236*AA153+AB236*AB153+AC236*AC153+AD236*AD153+AE236*AE153+AF236*AF153+AG236*AG153+AH236*AH153+AI236*AI153+AJ236*AJ153+AK236*AK153+AL236*AL153+AM236*AM153+AN236*AN153+AO236*AO153+AP236*AP153+AQ236*AQ153+AR236*AR153+AS236*AS153+AT236*AT153+AU236*AU153+AV236*AV153+AW236*AW153+AX236*AX153+AY236*AY153+AZ236*AZ153+BA236*BA153+BB236*BB153+BC236*BC153+BD236*BD153+BE236*BE153+BF236*BF153+BG236*BG153+BH236*BH153+BI236*BI153+BJ236*BJ153+BK236*BK153+BL236*BL153+BM236*BM153+BN236*BN153+BO236*BO153+BP236*BP153+BQ236*BQ153+BR236*BR153+BS236*BS153+BT236*BT153+BU236*BU153+BV236*BV153+BW236*BW153+BX236*BX153+BY236*BY153+BZ236*BZ153+CA236*CA153+CB236*CB153+CC236*CC153+CD236*CD153+CE236*CE153+CF236*CF153+CG236*CG153+CH236*CH153+CI236*CI153+CJ236*CJ153+CK236*CK153</f>
        <v>0</v>
      </c>
      <c r="CO153" s="2295">
        <f>E237*E153+F237*F153+G237*G153+H237*H153+I237*I153+J237*J153+K237*K153+L237*L153+M237*M153+N237*N153+O237*O153+P237*P153+Q237*Q153+R237*R153+S237*S153+T237*T153+U237*U153+V237*V153+W237*W153+X237*X153+Y237*Y153+Z237*Z153+AA237*AA153+AB237*AB153+AC237*AC153+AD237*AD153+AE237*AE153+AF237*AF153+AG237*AG153+AH237*AH153+AI237*AI153+AJ237*AJ153+AK237*AK153+AL237*AL153+AM237*AM153+AN237*AN153+AO237*AO153+AP237*AP153+AQ237*AQ153+AR237*AR153+AS237*AS153+AT237*AT153+AU237*AU153+AV237*AV153+AW237*AW153+AX237*AX153+AY237*AY153+AZ237*AZ153+BA237*BA153+BB237*BB153+BC237*BC153+BD237*BD153+BE237*BE153+BF237*BF153+BG237*BG153+BH237*BH153+BI237*BI153+BJ237*BJ153+BK237*BK153+BL237*BL153+BM237*BM153+BN237*BN153+BO237*BO153+BP237*BP153+BQ237*BQ153+BR237*BR153+BS237*BS153+BT237*BT153+BU237*BU153+BV237*BV153+BW237*BW153+BX237*BX153+BY237*BY153+BZ237*BZ153+CA237*CA153+CB237*CB153+CC237*CC153+CD237*CD153+CE237*CE153+CF237*CF153+CG237*CG153+CH237*CH153+CI237*CI153+CJ237*CJ153+CK237*CK153</f>
        <v>0</v>
      </c>
      <c r="CP153" s="2296">
        <f>E238*E153+F238*F153+G238*G153+H238*H153+I238*I153+J238*J153+K238*K153+L238*L153+M238*M153+N238*N153+O238*O153+P238*P153+Q238*Q153+R238*R153+S238*S153+T238*T153+U238*U153+V238*V153+W238*W153+X238*X153+Y238*Y153+Z238*Z153+AA238*AA153+AB238*AB153+AC238*AC153+AD238*AD153+AE238*AE153+AF238*AF153+AG238*AG153+AH238*AH153+AI238*AI153+AJ238*AJ153+AK238*AK153+AL238*AL153+AM238*AM153+AN238*AN153+AO238*AO153+AP238*AP153+AQ238*AQ153+AR238*AR153+AS238*AS153+AT238*AT153+AU238*AU153+AV238*AV153+AW238*AW153+AX238*AX153+AY238*AY153+AZ238*AZ153+BA238*BA153+BB238*BB153+BC238*BC153+BD238*BD153+BE238*BE153+BF238*BF153+BG238*BG153+BH238*BH153+BI238*BI153+BJ238*BJ153+BK238*BK153+BL238*BL153+BM238*BM153+BN238*BN153+BO238*BO153+BP238*BP153+BQ238*BQ153+BR238*BR153+BS238*BS153+BT238*BT153+BU238*BU153+BV238*BV153+BW238*BW153+BX238*BX153+BY238*BY153+BZ238*BZ153+CA238*CA153+CB238*CB153+CC238*CC153+CD238*CD153+CE238*CE153+CF238*CF153+CG238*CG153+CH238*CH153+CI238*CI153+CJ238*CJ153+CK238*CK153</f>
        <v>0</v>
      </c>
      <c r="CQ153" s="2297">
        <f>E239*E153+F239*F153+G239*G153+H239*H153+I239*I153+J239*J153+K239*K153+L239*L153+M239*M153+N239*N153+O239*O153+P239*P153+Q239*Q153+R239*R153+S239*S153+T239*T153+U239*U153+V239*V153+W239*W153+X239*X153+Y239*Y153+Z239*Z153+AA239*AA153+AB239*AB153+AC239*AC153+AD239*AD153+AE239*AE153+AF239*AF153+AG239*AG153+AH239*AH153+AI239*AI153+AJ239*AJ153+AK239*AK153+AL239*AL153+AM239*AM153+AN239*AN153+AO239*AO153+AP239*AP153+AQ239*AQ153+AR239*AR153+AS239*AS153+AT239*AT153+AU239*AU153+AV239*AV153+AW239*AW153+AX239*AX153+AY239*AY153+AZ239*AZ153+BA239*BA153+BB239*BB153+BC239*BC153+BD239*BD153+BE239*BE153+BF239*BF153+BG239*BG153+BH239*BH153+BI239*BI153+BJ239*BJ153+BK239*BK153+BL239*BL153+BM239*BM153+BN239*BN153+BO239*BO153+BP239*BP153+BQ239*BQ153+BR239*BR153+BS239*BS153+BT239*BT153+BU239*BU153+BV239*BV153+BW239*BW153+BX239*BX153+BY239*BY153+BZ239*BZ153+CA239*CA153+CB239*CB153+CC239*CC153+CD239*CD153+CE239*CE153+CF239*CF153+CG239*CG153+CH239*CH153+CI239*CI153+CJ239*CJ153+CK239*CK153</f>
        <v>0</v>
      </c>
      <c r="CR153" s="2297">
        <f>E240*E153+F240*F153+G240*G153+H240*H153+I240*I153+J240*J153+K240*K153+L240*L153+M240*M153+N240*N153+O240*O153+P240*P153+Q240*Q153+R240*R153+S240*S153+T240*T153+U240*U153+V240*V153+W240*W153+X240*X153+Y240*Y153+Z240*Z153+AA240*AA153+AB240*AB153+AC240*AC153+AD240*AD153+AE240*AE153+AF240*AF153+AG240*AG153+AH240*AH153+AI240*AI153+AJ240*AJ153+AK240*AK153+AL240*AL153+AM240*AM153+AN240*AN153+AO240*AO153+AP240*AP153+AQ240*AQ153+AR240*AR153+AS240*AS153+AT240*AT153+AU240*AU153+AV240*AV153+AW240*AW153+AX240*AX153+AY240*AY153+AZ240*AZ153+BA240*BA153+BB240*BB153+BC240*BC153+BD240*BD153+BE240*BE153+BF240*BF153+BG240*BG153+BH240*BH153+BI240*BI153+BJ240*BJ153+BK240*BK153+BL240*BL153+BM240*BM153+BN240*BN153+BO240*BO153+BP240*BP153+BQ240*BQ153+BR240*BR153+BS240*BS153+BT240*BT153+BU240*BU153+BV240*BV153+BW240*BW153+BX240*BX153+BY240*BY153+BZ240*BZ153+CA240*CA153+CB240*CB153+CC240*CC153+CD240*CD153+CE240*CE153+CF240*CF153+CG240*CG153+CH240*CH153+CI240*CI153+CJ240*CJ153+CK240*CK153</f>
        <v>0</v>
      </c>
      <c r="CS153" s="2297">
        <f>E241*E153+F241*F153+G241*G153+H241*H153+I241*I153+J241*J153+K241*K153+L241*L153+M241*M153+N241*N153+O241*O153+P241*P153+Q241*Q153+R241*R153+S241*S153+T241*T153+U241*U153+V241*V153+W241*W153+X241*X153+Y241*Y153+Z241*Z153+AA241*AA153+AB241*AB153+AC241*AC153+AD241*AD153+AE241*AE153+AF241*AF153+AG241*AG153+AH241*AH153+AI241*AI153+AJ241*AJ153+AK241*AK153+AL241*AL153+AM241*AM153+AN241*AN153+AO241*AO153+AP241*AP153+AQ241*AQ153+AR241*AR153+AS241*AS153+AT241*AT153+AU241*AU153+AV241*AV153+AW241*AW153+AX241*AX153+AY241*AY153+AZ241*AZ153+BA241*BA153+BB241*BB153+BC241*BC153+BD241*BD153+BE241*BE153+BF241*BF153+BG241*BG153+BH241*BH153+BI241*BI153+BJ241*BJ153+BK241*BK153+BL241*BL153+BM241*BM153+BN241*BN153+BO241*BO153+BP241*BP153+BQ241*BQ153+BR241*BR153+BS241*BS153+BT241*BT153+BU241*BU153+BV241*BV153+BW241*BW153+BX241*BX153+BY241*BY153+BZ241*BZ153+CA241*CA153+CB241*CB153+CC241*CC153+CD241*CD153+CE241*CE153+CF241*CF153+CG241*CG153+CH241*CH153+CI241*CI153+CJ241*CJ153+CK241*CK153</f>
        <v>0</v>
      </c>
      <c r="CT153" s="2297">
        <f>E242*E153+F242*F153+G242*G153+H242*H153+I242*I153+J242*J153+K242*K153+L242*L153+M242*M153+N242*N153+O242*O153+P242*P153+Q242*Q153+R242*R153+S242*S153+T242*T153+U242*U153+V242*V153+W242*W153+X242*X153+Y242*Y153+Z242*Z153+AA242*AA153+AB242*AB153+AC242*AC153+AD242*AD153+AE242*AE153+AF242*AF153+AG242*AG153+AH242*AH153+AI242*AI153+AJ242*AJ153+AK242*AK153+AL242*AL153+AM242*AM153+AN242*AN153+AO242*AO153+AP242*AP153+AQ242*AQ153+AR242*AR153+AS242*AS153+AT242*AT153+AU242*AU153+AV242*AV153+AW242*AW153+AX242*AX153+AY242*AY153+AZ242*AZ153+BA242*BA153+BB242*BB153+BC242*BC153+BD242*BD153+BE242*BE153+BF242*BF153+BG242*BG153+BH242*BH153+BI242*BI153+BJ242*BJ153+BK242*BK153+BL242*BL153+BM242*BM153+BN242*BN153+BO242*BO153+BP242*BP153+BQ242*BQ153+BR242*BR153+BS242*BS153+BT242*BT153+BU242*BU153+BV242*BV153+BW242*BW153+BX242*BX153+BY242*BY153+BZ242*BZ153+CA242*CA153+CB242*CB153+CC242*CC153+CD242*CD153+CE242*CE153+CF242*CF153+CG242*CG153+CH242*CH153+CI242*CI153+CJ242*CJ153+CK242*CK153</f>
        <v>0</v>
      </c>
      <c r="CU153" s="2297">
        <f>E243*E153+F243*F153+G243*G153+H243*H153+I243*I153+J243*J153+K243*K153+L243*L153+M243*M153+N243*N153+O243*O153+P243*P153+Q243*Q153+R243*R153+S243*S153+T243*T153+U243*U153+V243*V153+W243*W153+X243*X153+Y243*Y153+Z243*Z153+AA243*AA153+AB243*AB153+AC243*AC153+AD243*AD153+AE243*AE153+AF243*AF153+AG243*AG153+AH243*AH153+AI243*AI153+AJ243*AJ153+AK243*AK153+AL243*AL153+AM243*AM153+AN243*AN153+AO243*AO153+AP243*AP153+AQ243*AQ153+AR243*AR153+AS243*AS153+AT243*AT153+AU243*AU153+AV243*AV153+AW243*AW153+AX243*AX153+AY243*AY153+AZ243*AZ153+BA243*BA153+BB243*BB153+BC243*BC153+BD243*BD153+BE243*BE153+BF243*BF153+BG243*BG153+BH243*BH153+BI243*BI153+BJ243*BJ153+BK243*BK153+BL243*BL153+BM243*BM153+BN243*BN153+BO243*BO153+BP243*BP153+BQ243*BQ153+BR243*BR153+BS243*BS153+BT243*BT153+BU243*BU153+BV243*BV153+BW243*BW153+BX243*BX153+BY243*BY153+BZ243*BZ153+CA243*CA153+CB243*CB153+CC243*CC153+CD243*CD153+CE243*CE153+CF243*CF153+CG243*CG153+CH243*CH153+CI243*CI153+CJ243*CJ153+CK243*CK153</f>
        <v>0</v>
      </c>
      <c r="CV153" s="2297">
        <f>E244*E153+F244*F153+G244*G153+H244*H153+I244*I153+J244*J153+K244*K153+L244*L153+M244*M153+N244*N153+O244*O153+P244*P153+Q244*Q153+R244*R153+S244*S153+T244*T153+U244*U153+V244*V153+W244*W153+X244*X153+Y244*Y153+Z244*Z153+AA244*AA153+AB244*AB153+AC244*AC153+AD244*AD153+AE244*AE153+AF244*AF153+AG244*AG153+AH244*AH153+AI244*AI153+AJ244*AJ153+AK244*AK153+AL244*AL153+AM244*AM153+AN244*AN153+AO244*AO153+AP244*AP153+AQ244*AQ153+AR244*AR153+AS244*AS153+AT244*AT153+AU244*AU153+AV244*AV153+AW244*AW153+AX244*AX153+AY244*AY153+AZ244*AZ153+BA244*BA153+BB244*BB153+BC244*BC153+BD244*BD153+BE244*BE153+BF244*BF153+BG244*BG153+BH244*BH153+BI244*BI153+BJ244*BJ153+BK244*BK153+BL244*BL153+BM244*BM153+BN244*BN153+BO244*BO153+BP244*BP153+BQ244*BQ153+BR244*BR153+BS244*BS153+BT244*BT153+BU244*BU153+BV244*BV153+BW244*BW153+BX244*BX153+BY244*BY153+BZ244*BZ153+CA244*CA153+CB244*CB153+CC244*CC153+CD244*CD153+CE244*CE153+CF244*CF153+CG244*CG153+CH244*CH153+CI244*CI153+CJ244*CJ153+CK244*CK153</f>
        <v>0</v>
      </c>
      <c r="CW153" s="2297">
        <f>E245*E153+F245*F153+G245*G153+H245*H153+I245*I153+J245*J153+K245*K153+L245*L153+M245*M153+N245*N153+O245*O153+P245*P153+Q245*Q153+R245*R153+S245*S153+T245*T153+U245*U153+V245*V153+W245*W153+X245*X153+Y245*Y153+Z245*Z153+AA245*AA153+AB245*AB153+AC245*AC153+AD245*AD153+AE245*AE153+AF245*AF153+AG245*AG153+AH245*AH153+AI245*AI153+AJ245*AJ153+AK245*AK153+AL245*AL153+AM245*AM153+AN245*AN153+AO245*AO153+AP245*AP153+AQ245*AQ153+AR245*AR153+AS245*AS153+AT245*AT153+AU245*AU153+AV245*AV153+AW245*AW153+AX245*AX153+AY245*AY153+AZ245*AZ153+BA245*BA153+BB245*BB153+BC245*BC153+BD245*BD153+BE245*BE153+BF245*BF153+BG245*BG153+BH245*BH153+BI245*BI153+BJ245*BJ153+BK245*BK153+BL245*BL153+BM245*BM153+BN245*BN153+BO245*BO153+BP245*BP153+BQ245*BQ153+BR245*BR153+BS245*BS153+BT245*BT153+BU245*BU153+BV245*BV153+BW245*BW153+BX245*BX153+BY245*BY153+BZ245*BZ153+CA245*CA153+CB245*CB153+CC245*CC153+CD245*CD153+CE245*CE153+CF245*CF153+CG245*CG153+CH245*CH153+CI245*CI153+CJ245*CJ153+CK245*CK153</f>
        <v>0</v>
      </c>
      <c r="CX153" s="2297">
        <f>E246*E153+F246*F153+G246*G153+H246*H153+I246*I153+J246*J153+K246*K153+L246*L153+M246*M153+N246*N153+O246*O153+P246*P153+Q246*Q153+R246*R153+S246*S153+T246*T153+U246*U153+V246*V153+W246*W153+X246*X153+Y246*Y153+Z246*Z153+AA246*AA153+AB246*AB153+AC246*AC153+AD246*AD153+AE246*AE153+AF246*AF153+AG246*AG153+AH246*AH153+AI246*AI153+AJ246*AJ153+AK246*AK153+AL246*AL153+AM246*AM153+AN246*AN153+AO246*AO153+AP246*AP153+AQ246*AQ153+AR246*AR153+AS246*AS153+AT246*AT153+AU246*AU153+AV246*AV153+AW246*AW153+AX246*AX153+AY246*AY153+AZ246*AZ153+BA246*BA153+BB246*BB153+BC246*BC153+BD246*BD153+BE246*BE153+BF246*BF153+BG246*BG153+BH246*BH153+BI246*BI153+BJ246*BJ153+BK246*BK153+BL246*BL153+BM246*BM153+BN246*BN153+BO246*BO153+BP246*BP153+BQ246*BQ153+BR246*BR153+BS246*BS153+BT246*BT153+BU246*BU153+BV246*BV153+BW246*BW153+BX246*BX153+BY246*BY153+BZ246*BZ153+CA246*CA153+CB246*CB153+CC246*CC153+CD246*CD153+CE246*CE153+CF246*CF153+CG246*CG153+CH246*CH153+CI246*CI153+CJ246*CJ153+CK246*CK153</f>
        <v>0</v>
      </c>
    </row>
    <row r="154" spans="2:102" ht="18" x14ac:dyDescent="0.25">
      <c r="B154" s="1245">
        <v>27</v>
      </c>
      <c r="C154" s="586" t="s">
        <v>249</v>
      </c>
      <c r="D154" s="587" t="s">
        <v>4216</v>
      </c>
      <c r="E154" s="2656">
        <f>0</f>
        <v>0</v>
      </c>
      <c r="F154" s="2656">
        <f>0</f>
        <v>0</v>
      </c>
      <c r="G154" s="2656">
        <f>0</f>
        <v>0</v>
      </c>
      <c r="H154" s="2656">
        <f>0</f>
        <v>0</v>
      </c>
      <c r="I154" s="2656">
        <f>0</f>
        <v>0</v>
      </c>
      <c r="J154" s="2692">
        <f>0</f>
        <v>0</v>
      </c>
      <c r="K154" s="2656">
        <f>0</f>
        <v>0</v>
      </c>
      <c r="L154" s="2656">
        <f>0</f>
        <v>0</v>
      </c>
      <c r="M154" s="2656">
        <f>0</f>
        <v>0</v>
      </c>
      <c r="N154" s="2659">
        <f>-X_PHA_PAO/X_STC</f>
        <v>-0.86956521739130432</v>
      </c>
      <c r="O154" s="2659">
        <f>-X_PHA_GAO/X_STC</f>
        <v>-0.13043478260869565</v>
      </c>
      <c r="P154" s="2656">
        <f>0</f>
        <v>0</v>
      </c>
      <c r="Q154" s="2656">
        <f>0</f>
        <v>0</v>
      </c>
      <c r="R154" s="2656">
        <f>0</f>
        <v>0</v>
      </c>
      <c r="S154" s="2656">
        <f>0</f>
        <v>0</v>
      </c>
      <c r="T154" s="2656">
        <f>0</f>
        <v>0</v>
      </c>
      <c r="U154" s="2656">
        <f>0</f>
        <v>0</v>
      </c>
      <c r="V154" s="2656">
        <f>0</f>
        <v>0</v>
      </c>
      <c r="W154" s="2656">
        <f>0</f>
        <v>0</v>
      </c>
      <c r="X154" s="2656">
        <f>0</f>
        <v>0</v>
      </c>
      <c r="Y154" s="2656">
        <f>0</f>
        <v>0</v>
      </c>
      <c r="Z154" s="2660">
        <f>0</f>
        <v>0</v>
      </c>
      <c r="AA154" s="2656">
        <f>0</f>
        <v>0</v>
      </c>
      <c r="AB154" s="2656">
        <f>0</f>
        <v>0</v>
      </c>
      <c r="AC154" s="2656">
        <f>0</f>
        <v>0</v>
      </c>
      <c r="AD154" s="2656">
        <f>0</f>
        <v>0</v>
      </c>
      <c r="AE154" s="2656">
        <f>0</f>
        <v>0</v>
      </c>
      <c r="AF154" s="2656">
        <f>0</f>
        <v>0</v>
      </c>
      <c r="AG154" s="2656">
        <f>0</f>
        <v>0</v>
      </c>
      <c r="AH154" s="2656">
        <f>0</f>
        <v>0</v>
      </c>
      <c r="AI154" s="2656">
        <f>0</f>
        <v>0</v>
      </c>
      <c r="AJ154" s="2704">
        <f>0</f>
        <v>0</v>
      </c>
      <c r="AK154" s="2656">
        <f>0</f>
        <v>0</v>
      </c>
      <c r="AL154" s="2656">
        <f>0</f>
        <v>0</v>
      </c>
      <c r="AM154" s="2656">
        <f>0</f>
        <v>0</v>
      </c>
      <c r="AN154" s="2656">
        <f>0</f>
        <v>0</v>
      </c>
      <c r="AO154" s="2656">
        <f>-1</f>
        <v>-1</v>
      </c>
      <c r="AP154" s="2656">
        <f>0</f>
        <v>0</v>
      </c>
      <c r="AQ154" s="2656">
        <f>0</f>
        <v>0</v>
      </c>
      <c r="AR154" s="2658">
        <f>i_CIT_STC</f>
        <v>0.33300000000000002</v>
      </c>
      <c r="AS154" s="2656">
        <f>0</f>
        <v>0</v>
      </c>
      <c r="AT154" s="2656">
        <f>0</f>
        <v>0</v>
      </c>
      <c r="AU154" s="2656">
        <f>0</f>
        <v>0</v>
      </c>
      <c r="AV154" s="2704">
        <f>0</f>
        <v>0</v>
      </c>
      <c r="AW154" s="2704">
        <f>0</f>
        <v>0</v>
      </c>
      <c r="AX154" s="2704">
        <f>0</f>
        <v>0</v>
      </c>
      <c r="AY154" s="2656">
        <f>0</f>
        <v>0</v>
      </c>
      <c r="AZ154" s="2656">
        <f>0</f>
        <v>0</v>
      </c>
      <c r="BA154" s="2656">
        <f>0</f>
        <v>0</v>
      </c>
      <c r="BB154" s="2656">
        <f>0</f>
        <v>0</v>
      </c>
      <c r="BC154" s="2656">
        <f>0</f>
        <v>0</v>
      </c>
      <c r="BD154" s="2656">
        <f>0</f>
        <v>0</v>
      </c>
      <c r="BE154" s="2656">
        <f>0</f>
        <v>0</v>
      </c>
      <c r="BF154" s="2656">
        <f>0</f>
        <v>0</v>
      </c>
      <c r="BG154" s="2656">
        <f>0</f>
        <v>0</v>
      </c>
      <c r="BH154" s="2656">
        <f>0</f>
        <v>0</v>
      </c>
      <c r="BI154" s="2656">
        <f>0</f>
        <v>0</v>
      </c>
      <c r="BJ154" s="2656">
        <f>0</f>
        <v>0</v>
      </c>
      <c r="BK154" s="2656">
        <f>0</f>
        <v>0</v>
      </c>
      <c r="BL154" s="2656">
        <f>0</f>
        <v>0</v>
      </c>
      <c r="BM154" s="2656">
        <f>0</f>
        <v>0</v>
      </c>
      <c r="BN154" s="2656">
        <f>0</f>
        <v>0</v>
      </c>
      <c r="BO154" s="2656">
        <f>0</f>
        <v>0</v>
      </c>
      <c r="BP154" s="2657">
        <f>0</f>
        <v>0</v>
      </c>
      <c r="BQ154" s="2656">
        <f>0</f>
        <v>0</v>
      </c>
      <c r="BR154" s="2656">
        <f>0</f>
        <v>0</v>
      </c>
      <c r="BS154" s="2660">
        <f>0</f>
        <v>0</v>
      </c>
      <c r="BT154" s="2660">
        <f>0</f>
        <v>0</v>
      </c>
      <c r="BU154" s="2660">
        <f>0</f>
        <v>0</v>
      </c>
      <c r="BV154" s="2660">
        <f>0</f>
        <v>0</v>
      </c>
      <c r="BW154" s="2656">
        <f>0</f>
        <v>0</v>
      </c>
      <c r="BX154" s="2658">
        <f>0</f>
        <v>0</v>
      </c>
      <c r="BY154" s="2660">
        <f>0</f>
        <v>0</v>
      </c>
      <c r="BZ154" s="2656">
        <f>0</f>
        <v>0</v>
      </c>
      <c r="CA154" s="2656">
        <f>0</f>
        <v>0</v>
      </c>
      <c r="CB154" s="2656">
        <f>0</f>
        <v>0</v>
      </c>
      <c r="CC154" s="2656">
        <f>0</f>
        <v>0</v>
      </c>
      <c r="CD154" s="2656">
        <f>0</f>
        <v>0</v>
      </c>
      <c r="CE154" s="2656">
        <f>0</f>
        <v>0</v>
      </c>
      <c r="CF154" s="2656">
        <f>0</f>
        <v>0</v>
      </c>
      <c r="CG154" s="2656">
        <f>0</f>
        <v>0</v>
      </c>
      <c r="CH154" s="2656">
        <f>0</f>
        <v>0</v>
      </c>
      <c r="CI154" s="2656">
        <f>0</f>
        <v>0</v>
      </c>
      <c r="CJ154" s="2656">
        <f>0</f>
        <v>0</v>
      </c>
      <c r="CK154" s="2656">
        <f>0</f>
        <v>0</v>
      </c>
      <c r="CL154" s="2803">
        <f>b_STC_T*X_CASTO*M_satSO2_KO2_CASTO*M_RsatXSTC_XCASTO_KSTC</f>
        <v>10.7584363514868</v>
      </c>
      <c r="CN154" s="2295">
        <f>E236*E154+F236*F154+G236*G154+H236*H154+I236*I154+J236*J154+K236*K154+L236*L154+M236*M154+N236*N154+O236*O154+P236*P154+Q236*Q154+R236*R154+S236*S154+T236*T154+U236*U154+V236*V154+W236*W154+X236*X154+Y236*Y154+Z236*Z154+AA236*AA154+AB236*AB154+AC236*AC154+AD236*AD154+AE236*AE154+AF236*AF154+AG236*AG154+AH236*AH154+AI236*AI154+AJ236*AJ154+AK236*AK154+AL236*AL154+AM236*AM154+AN236*AN154+AO236*AO154+AP236*AP154+AQ236*AQ154+AR236*AR154+AS236*AS154+AT236*AT154+AU236*AU154+AV236*AV154+AW236*AW154+AX236*AX154+AY236*AY154+AZ236*AZ154+BA236*BA154+BB236*BB154+BC236*BC154+BD236*BD154+BE236*BE154+BF236*BF154+BG236*BG154+BH236*BH154+BI236*BI154+BJ236*BJ154+BK236*BK154+BL236*BL154+BM236*BM154+BN236*BN154+BO236*BO154+BP236*BP154+BQ236*BQ154+BR236*BR154+BS236*BS154+BT236*BT154+BU236*BU154+BV236*BV154+BW236*BW154+BX236*BX154+BY236*BY154+BZ236*BZ154+CA236*CA154+CB236*CB154+CC236*CC154+CD236*CD154+CE236*CE154+CF236*CF154+CG236*CG154+CH236*CH154+CI236*CI154+CJ236*CJ154+CK236*CK154</f>
        <v>0</v>
      </c>
      <c r="CO154" s="2295">
        <f>E237*E154+F237*F154+G237*G154+H237*H154+I237*I154+J237*J154+K237*K154+L237*L154+M237*M154+N237*N154+O237*O154+P237*P154+Q237*Q154+R237*R154+S237*S154+T237*T154+U237*U154+V237*V154+W237*W154+X237*X154+Y237*Y154+Z237*Z154+AA237*AA154+AB237*AB154+AC237*AC154+AD237*AD154+AE237*AE154+AF237*AF154+AG237*AG154+AH237*AH154+AI237*AI154+AJ237*AJ154+AK237*AK154+AL237*AL154+AM237*AM154+AN237*AN154+AO237*AO154+AP237*AP154+AQ237*AQ154+AR237*AR154+AS237*AS154+AT237*AT154+AU237*AU154+AV237*AV154+AW237*AW154+AX237*AX154+AY237*AY154+AZ237*AZ154+BA237*BA154+BB237*BB154+BC237*BC154+BD237*BD154+BE237*BE154+BF237*BF154+BG237*BG154+BH237*BH154+BI237*BI154+BJ237*BJ154+BK237*BK154+BL237*BL154+BM237*BM154+BN237*BN154+BO237*BO154+BP237*BP154+BQ237*BQ154+BR237*BR154+BS237*BS154+BT237*BT154+BU237*BU154+BV237*BV154+BW237*BW154+BX237*BX154+BY237*BY154+BZ237*BZ154+CA237*CA154+CB237*CB154+CC237*CC154+CD237*CD154+CE237*CE154+CF237*CF154+CG237*CG154+CH237*CH154+CI237*CI154+CJ237*CJ154+CK237*CK154</f>
        <v>0</v>
      </c>
      <c r="CP154" s="2296">
        <f>E238*E154+F238*F154+G238*G154+H238*H154+I238*I154+J238*J154+K238*K154+L238*L154+M238*M154+N238*N154+O238*O154+P238*P154+Q238*Q154+R238*R154+S238*S154+T238*T154+U238*U154+V238*V154+W238*W154+X238*X154+Y238*Y154+Z238*Z154+AA238*AA154+AB238*AB154+AC238*AC154+AD238*AD154+AE238*AE154+AF238*AF154+AG238*AG154+AH238*AH154+AI238*AI154+AJ238*AJ154+AK238*AK154+AL238*AL154+AM238*AM154+AN238*AN154+AO238*AO154+AP238*AP154+AQ238*AQ154+AR238*AR154+AS238*AS154+AT238*AT154+AU238*AU154+AV238*AV154+AW238*AW154+AX238*AX154+AY238*AY154+AZ238*AZ154+BA238*BA154+BB238*BB154+BC238*BC154+BD238*BD154+BE238*BE154+BF238*BF154+BG238*BG154+BH238*BH154+BI238*BI154+BJ238*BJ154+BK238*BK154+BL238*BL154+BM238*BM154+BN238*BN154+BO238*BO154+BP238*BP154+BQ238*BQ154+BR238*BR154+BS238*BS154+BT238*BT154+BU238*BU154+BV238*BV154+BW238*BW154+BX238*BX154+BY238*BY154+BZ238*BZ154+CA238*CA154+CB238*CB154+CC238*CC154+CD238*CD154+CE238*CE154+CF238*CF154+CG238*CG154+CH238*CH154+CI238*CI154+CJ238*CJ154+CK238*CK154</f>
        <v>0</v>
      </c>
      <c r="CQ154" s="2297">
        <f>E239*E154+F239*F154+G239*G154+H239*H154+I239*I154+J239*J154+K239*K154+L239*L154+M239*M154+N239*N154+O239*O154+P239*P154+Q239*Q154+R239*R154+S239*S154+T239*T154+U239*U154+V239*V154+W239*W154+X239*X154+Y239*Y154+Z239*Z154+AA239*AA154+AB239*AB154+AC239*AC154+AD239*AD154+AE239*AE154+AF239*AF154+AG239*AG154+AH239*AH154+AI239*AI154+AJ239*AJ154+AK239*AK154+AL239*AL154+AM239*AM154+AN239*AN154+AO239*AO154+AP239*AP154+AQ239*AQ154+AR239*AR154+AS239*AS154+AT239*AT154+AU239*AU154+AV239*AV154+AW239*AW154+AX239*AX154+AY239*AY154+AZ239*AZ154+BA239*BA154+BB239*BB154+BC239*BC154+BD239*BD154+BE239*BE154+BF239*BF154+BG239*BG154+BH239*BH154+BI239*BI154+BJ239*BJ154+BK239*BK154+BL239*BL154+BM239*BM154+BN239*BN154+BO239*BO154+BP239*BP154+BQ239*BQ154+BR239*BR154+BS239*BS154+BT239*BT154+BU239*BU154+BV239*BV154+BW239*BW154+BX239*BX154+BY239*BY154+BZ239*BZ154+CA239*CA154+CB239*CB154+CC239*CC154+CD239*CD154+CE239*CE154+CF239*CF154+CG239*CG154+CH239*CH154+CI239*CI154+CJ239*CJ154+CK239*CK154</f>
        <v>0</v>
      </c>
      <c r="CR154" s="2297">
        <f>E240*E154+F240*F154+G240*G154+H240*H154+I240*I154+J240*J154+K240*K154+L240*L154+M240*M154+N240*N154+O240*O154+P240*P154+Q240*Q154+R240*R154+S240*S154+T240*T154+U240*U154+V240*V154+W240*W154+X240*X154+Y240*Y154+Z240*Z154+AA240*AA154+AB240*AB154+AC240*AC154+AD240*AD154+AE240*AE154+AF240*AF154+AG240*AG154+AH240*AH154+AI240*AI154+AJ240*AJ154+AK240*AK154+AL240*AL154+AM240*AM154+AN240*AN154+AO240*AO154+AP240*AP154+AQ240*AQ154+AR240*AR154+AS240*AS154+AT240*AT154+AU240*AU154+AV240*AV154+AW240*AW154+AX240*AX154+AY240*AY154+AZ240*AZ154+BA240*BA154+BB240*BB154+BC240*BC154+BD240*BD154+BE240*BE154+BF240*BF154+BG240*BG154+BH240*BH154+BI240*BI154+BJ240*BJ154+BK240*BK154+BL240*BL154+BM240*BM154+BN240*BN154+BO240*BO154+BP240*BP154+BQ240*BQ154+BR240*BR154+BS240*BS154+BT240*BT154+BU240*BU154+BV240*BV154+BW240*BW154+BX240*BX154+BY240*BY154+BZ240*BZ154+CA240*CA154+CB240*CB154+CC240*CC154+CD240*CD154+CE240*CE154+CF240*CF154+CG240*CG154+CH240*CH154+CI240*CI154+CJ240*CJ154+CK240*CK154</f>
        <v>0</v>
      </c>
      <c r="CS154" s="2297">
        <f>E241*E154+F241*F154+G241*G154+H241*H154+I241*I154+J241*J154+K241*K154+L241*L154+M241*M154+N241*N154+O241*O154+P241*P154+Q241*Q154+R241*R154+S241*S154+T241*T154+U241*U154+V241*V154+W241*W154+X241*X154+Y241*Y154+Z241*Z154+AA241*AA154+AB241*AB154+AC241*AC154+AD241*AD154+AE241*AE154+AF241*AF154+AG241*AG154+AH241*AH154+AI241*AI154+AJ241*AJ154+AK241*AK154+AL241*AL154+AM241*AM154+AN241*AN154+AO241*AO154+AP241*AP154+AQ241*AQ154+AR241*AR154+AS241*AS154+AT241*AT154+AU241*AU154+AV241*AV154+AW241*AW154+AX241*AX154+AY241*AY154+AZ241*AZ154+BA241*BA154+BB241*BB154+BC241*BC154+BD241*BD154+BE241*BE154+BF241*BF154+BG241*BG154+BH241*BH154+BI241*BI154+BJ241*BJ154+BK241*BK154+BL241*BL154+BM241*BM154+BN241*BN154+BO241*BO154+BP241*BP154+BQ241*BQ154+BR241*BR154+BS241*BS154+BT241*BT154+BU241*BU154+BV241*BV154+BW241*BW154+BX241*BX154+BY241*BY154+BZ241*BZ154+CA241*CA154+CB241*CB154+CC241*CC154+CD241*CD154+CE241*CE154+CF241*CF154+CG241*CG154+CH241*CH154+CI241*CI154+CJ241*CJ154+CK241*CK154</f>
        <v>0</v>
      </c>
      <c r="CT154" s="2297">
        <f>E242*E154+F242*F154+G242*G154+H242*H154+I242*I154+J242*J154+K242*K154+L242*L154+M242*M154+N242*N154+O242*O154+P242*P154+Q242*Q154+R242*R154+S242*S154+T242*T154+U242*U154+V242*V154+W242*W154+X242*X154+Y242*Y154+Z242*Z154+AA242*AA154+AB242*AB154+AC242*AC154+AD242*AD154+AE242*AE154+AF242*AF154+AG242*AG154+AH242*AH154+AI242*AI154+AJ242*AJ154+AK242*AK154+AL242*AL154+AM242*AM154+AN242*AN154+AO242*AO154+AP242*AP154+AQ242*AQ154+AR242*AR154+AS242*AS154+AT242*AT154+AU242*AU154+AV242*AV154+AW242*AW154+AX242*AX154+AY242*AY154+AZ242*AZ154+BA242*BA154+BB242*BB154+BC242*BC154+BD242*BD154+BE242*BE154+BF242*BF154+BG242*BG154+BH242*BH154+BI242*BI154+BJ242*BJ154+BK242*BK154+BL242*BL154+BM242*BM154+BN242*BN154+BO242*BO154+BP242*BP154+BQ242*BQ154+BR242*BR154+BS242*BS154+BT242*BT154+BU242*BU154+BV242*BV154+BW242*BW154+BX242*BX154+BY242*BY154+BZ242*BZ154+CA242*CA154+CB242*CB154+CC242*CC154+CD242*CD154+CE242*CE154+CF242*CF154+CG242*CG154+CH242*CH154+CI242*CI154+CJ242*CJ154+CK242*CK154</f>
        <v>0</v>
      </c>
      <c r="CU154" s="2297">
        <f>E243*E154+F243*F154+G243*G154+H243*H154+I243*I154+J243*J154+K243*K154+L243*L154+M243*M154+N243*N154+O243*O154+P243*P154+Q243*Q154+R243*R154+S243*S154+T243*T154+U243*U154+V243*V154+W243*W154+X243*X154+Y243*Y154+Z243*Z154+AA243*AA154+AB243*AB154+AC243*AC154+AD243*AD154+AE243*AE154+AF243*AF154+AG243*AG154+AH243*AH154+AI243*AI154+AJ243*AJ154+AK243*AK154+AL243*AL154+AM243*AM154+AN243*AN154+AO243*AO154+AP243*AP154+AQ243*AQ154+AR243*AR154+AS243*AS154+AT243*AT154+AU243*AU154+AV243*AV154+AW243*AW154+AX243*AX154+AY243*AY154+AZ243*AZ154+BA243*BA154+BB243*BB154+BC243*BC154+BD243*BD154+BE243*BE154+BF243*BF154+BG243*BG154+BH243*BH154+BI243*BI154+BJ243*BJ154+BK243*BK154+BL243*BL154+BM243*BM154+BN243*BN154+BO243*BO154+BP243*BP154+BQ243*BQ154+BR243*BR154+BS243*BS154+BT243*BT154+BU243*BU154+BV243*BV154+BW243*BW154+BX243*BX154+BY243*BY154+BZ243*BZ154+CA243*CA154+CB243*CB154+CC243*CC154+CD243*CD154+CE243*CE154+CF243*CF154+CG243*CG154+CH243*CH154+CI243*CI154+CJ243*CJ154+CK243*CK154</f>
        <v>0</v>
      </c>
      <c r="CV154" s="2297">
        <f>E244*E154+F244*F154+G244*G154+H244*H154+I244*I154+J244*J154+K244*K154+L244*L154+M244*M154+N244*N154+O244*O154+P244*P154+Q244*Q154+R244*R154+S244*S154+T244*T154+U244*U154+V244*V154+W244*W154+X244*X154+Y244*Y154+Z244*Z154+AA244*AA154+AB244*AB154+AC244*AC154+AD244*AD154+AE244*AE154+AF244*AF154+AG244*AG154+AH244*AH154+AI244*AI154+AJ244*AJ154+AK244*AK154+AL244*AL154+AM244*AM154+AN244*AN154+AO244*AO154+AP244*AP154+AQ244*AQ154+AR244*AR154+AS244*AS154+AT244*AT154+AU244*AU154+AV244*AV154+AW244*AW154+AX244*AX154+AY244*AY154+AZ244*AZ154+BA244*BA154+BB244*BB154+BC244*BC154+BD244*BD154+BE244*BE154+BF244*BF154+BG244*BG154+BH244*BH154+BI244*BI154+BJ244*BJ154+BK244*BK154+BL244*BL154+BM244*BM154+BN244*BN154+BO244*BO154+BP244*BP154+BQ244*BQ154+BR244*BR154+BS244*BS154+BT244*BT154+BU244*BU154+BV244*BV154+BW244*BW154+BX244*BX154+BY244*BY154+BZ244*BZ154+CA244*CA154+CB244*CB154+CC244*CC154+CD244*CD154+CE244*CE154+CF244*CF154+CG244*CG154+CH244*CH154+CI244*CI154+CJ244*CJ154+CK244*CK154</f>
        <v>0</v>
      </c>
      <c r="CW154" s="2297">
        <f>E245*E154+F245*F154+G245*G154+H245*H154+I245*I154+J245*J154+K245*K154+L245*L154+M245*M154+N245*N154+O245*O154+P245*P154+Q245*Q154+R245*R154+S245*S154+T245*T154+U245*U154+V245*V154+W245*W154+X245*X154+Y245*Y154+Z245*Z154+AA245*AA154+AB245*AB154+AC245*AC154+AD245*AD154+AE245*AE154+AF245*AF154+AG245*AG154+AH245*AH154+AI245*AI154+AJ245*AJ154+AK245*AK154+AL245*AL154+AM245*AM154+AN245*AN154+AO245*AO154+AP245*AP154+AQ245*AQ154+AR245*AR154+AS245*AS154+AT245*AT154+AU245*AU154+AV245*AV154+AW245*AW154+AX245*AX154+AY245*AY154+AZ245*AZ154+BA245*BA154+BB245*BB154+BC245*BC154+BD245*BD154+BE245*BE154+BF245*BF154+BG245*BG154+BH245*BH154+BI245*BI154+BJ245*BJ154+BK245*BK154+BL245*BL154+BM245*BM154+BN245*BN154+BO245*BO154+BP245*BP154+BQ245*BQ154+BR245*BR154+BS245*BS154+BT245*BT154+BU245*BU154+BV245*BV154+BW245*BW154+BX245*BX154+BY245*BY154+BZ245*BZ154+CA245*CA154+CB245*CB154+CC245*CC154+CD245*CD154+CE245*CE154+CF245*CF154+CG245*CG154+CH245*CH154+CI245*CI154+CJ245*CJ154+CK245*CK154</f>
        <v>0</v>
      </c>
      <c r="CX154" s="2297">
        <f>E246*E154+F246*F154+G246*G154+H246*H154+I246*I154+J246*J154+K246*K154+L246*L154+M246*M154+N246*N154+O246*O154+P246*P154+Q246*Q154+R246*R154+S246*S154+T246*T154+U246*U154+V246*V154+W246*W154+X246*X154+Y246*Y154+Z246*Z154+AA246*AA154+AB246*AB154+AC246*AC154+AD246*AD154+AE246*AE154+AF246*AF154+AG246*AG154+AH246*AH154+AI246*AI154+AJ246*AJ154+AK246*AK154+AL246*AL154+AM246*AM154+AN246*AN154+AO246*AO154+AP246*AP154+AQ246*AQ154+AR246*AR154+AS246*AS154+AT246*AT154+AU246*AU154+AV246*AV154+AW246*AW154+AX246*AX154+AY246*AY154+AZ246*AZ154+BA246*BA154+BB246*BB154+BC246*BC154+BD246*BD154+BE246*BE154+BF246*BF154+BG246*BG154+BH246*BH154+BI246*BI154+BJ246*BJ154+BK246*BK154+BL246*BL154+BM246*BM154+BN246*BN154+BO246*BO154+BP246*BP154+BQ246*BQ154+BR246*BR154+BS246*BS154+BT246*BT154+BU246*BU154+BV246*BV154+BW246*BW154+BX246*BX154+BY246*BY154+BZ246*BZ154+CA246*CA154+CB246*CB154+CC246*CC154+CD246*CD154+CE246*CE154+CF246*CF154+CG246*CG154+CH246*CH154+CI246*CI154+CJ246*CJ154+CK246*CK154</f>
        <v>0</v>
      </c>
    </row>
    <row r="155" spans="2:102" ht="18" x14ac:dyDescent="0.25">
      <c r="B155" s="1245">
        <v>28</v>
      </c>
      <c r="C155" s="586" t="s">
        <v>250</v>
      </c>
      <c r="D155" s="587" t="s">
        <v>4217</v>
      </c>
      <c r="E155" s="2656">
        <f>0</f>
        <v>0</v>
      </c>
      <c r="F155" s="2656">
        <f>0</f>
        <v>0</v>
      </c>
      <c r="G155" s="2656">
        <f>0</f>
        <v>0</v>
      </c>
      <c r="H155" s="2656">
        <f>0</f>
        <v>0</v>
      </c>
      <c r="I155" s="2656">
        <f>0</f>
        <v>0</v>
      </c>
      <c r="J155" s="2692">
        <f>0</f>
        <v>0</v>
      </c>
      <c r="K155" s="2656">
        <f>0</f>
        <v>0</v>
      </c>
      <c r="L155" s="2656">
        <f>0</f>
        <v>0</v>
      </c>
      <c r="M155" s="2656">
        <f>0</f>
        <v>0</v>
      </c>
      <c r="N155" s="2659">
        <f>-X_PHA_PAO/X_STC</f>
        <v>-0.86956521739130432</v>
      </c>
      <c r="O155" s="2659">
        <f>-X_PHA_GAO/X_STC</f>
        <v>-0.13043478260869565</v>
      </c>
      <c r="P155" s="2656">
        <f>0</f>
        <v>0</v>
      </c>
      <c r="Q155" s="2656">
        <f>0</f>
        <v>0</v>
      </c>
      <c r="R155" s="2656">
        <f>0</f>
        <v>0</v>
      </c>
      <c r="S155" s="2656">
        <f>0</f>
        <v>0</v>
      </c>
      <c r="T155" s="2656">
        <f>0</f>
        <v>0</v>
      </c>
      <c r="U155" s="2656">
        <f>0</f>
        <v>0</v>
      </c>
      <c r="V155" s="2656">
        <f>0</f>
        <v>0</v>
      </c>
      <c r="W155" s="2656">
        <f>0</f>
        <v>0</v>
      </c>
      <c r="X155" s="2656">
        <f>0</f>
        <v>0</v>
      </c>
      <c r="Y155" s="2656">
        <f>0</f>
        <v>0</v>
      </c>
      <c r="Z155" s="2660">
        <f>0</f>
        <v>0</v>
      </c>
      <c r="AA155" s="2656">
        <f>0</f>
        <v>0</v>
      </c>
      <c r="AB155" s="2704">
        <f>-1/E_EQN2_NO2</f>
        <v>-0.58363438628948594</v>
      </c>
      <c r="AC155" s="2704">
        <f>0</f>
        <v>0</v>
      </c>
      <c r="AD155" s="2704">
        <f>1/E_EQN2_NO2</f>
        <v>0.58363438628948594</v>
      </c>
      <c r="AE155" s="2656">
        <f>0</f>
        <v>0</v>
      </c>
      <c r="AF155" s="2656">
        <f>0</f>
        <v>0</v>
      </c>
      <c r="AG155" s="2656">
        <f>0</f>
        <v>0</v>
      </c>
      <c r="AH155" s="2656">
        <f>0</f>
        <v>0</v>
      </c>
      <c r="AI155" s="2656">
        <f>0</f>
        <v>0</v>
      </c>
      <c r="AJ155" s="2704">
        <f>0</f>
        <v>0</v>
      </c>
      <c r="AK155" s="2656">
        <f>0</f>
        <v>0</v>
      </c>
      <c r="AL155" s="2656">
        <f>0</f>
        <v>0</v>
      </c>
      <c r="AM155" s="2656">
        <f>0</f>
        <v>0</v>
      </c>
      <c r="AN155" s="2656">
        <f>0</f>
        <v>0</v>
      </c>
      <c r="AO155" s="2656">
        <f>0</f>
        <v>0</v>
      </c>
      <c r="AP155" s="2656">
        <f>0</f>
        <v>0</v>
      </c>
      <c r="AQ155" s="2656">
        <f>0</f>
        <v>0</v>
      </c>
      <c r="AR155" s="2658">
        <f>i_CIT_STC</f>
        <v>0.33300000000000002</v>
      </c>
      <c r="AS155" s="2656">
        <f>0</f>
        <v>0</v>
      </c>
      <c r="AT155" s="2656">
        <f>0</f>
        <v>0</v>
      </c>
      <c r="AU155" s="2656">
        <f>0</f>
        <v>0</v>
      </c>
      <c r="AV155" s="2704">
        <f>0</f>
        <v>0</v>
      </c>
      <c r="AW155" s="2704">
        <f>0</f>
        <v>0</v>
      </c>
      <c r="AX155" s="2704">
        <f>0</f>
        <v>0</v>
      </c>
      <c r="AY155" s="2656">
        <f>0</f>
        <v>0</v>
      </c>
      <c r="AZ155" s="2656">
        <f>0</f>
        <v>0</v>
      </c>
      <c r="BA155" s="2656">
        <f>0</f>
        <v>0</v>
      </c>
      <c r="BB155" s="2656">
        <f>0</f>
        <v>0</v>
      </c>
      <c r="BC155" s="2656">
        <f>0</f>
        <v>0</v>
      </c>
      <c r="BD155" s="2656">
        <f>0</f>
        <v>0</v>
      </c>
      <c r="BE155" s="2656">
        <f>0</f>
        <v>0</v>
      </c>
      <c r="BF155" s="2656">
        <f>0</f>
        <v>0</v>
      </c>
      <c r="BG155" s="2656">
        <f>0</f>
        <v>0</v>
      </c>
      <c r="BH155" s="2656">
        <f>0</f>
        <v>0</v>
      </c>
      <c r="BI155" s="2656">
        <f>0</f>
        <v>0</v>
      </c>
      <c r="BJ155" s="2656">
        <f>0</f>
        <v>0</v>
      </c>
      <c r="BK155" s="2656">
        <f>0</f>
        <v>0</v>
      </c>
      <c r="BL155" s="2656">
        <f>0</f>
        <v>0</v>
      </c>
      <c r="BM155" s="2656">
        <f>0</f>
        <v>0</v>
      </c>
      <c r="BN155" s="2656">
        <f>0</f>
        <v>0</v>
      </c>
      <c r="BO155" s="2656">
        <f>0</f>
        <v>0</v>
      </c>
      <c r="BP155" s="2657">
        <f>0</f>
        <v>0</v>
      </c>
      <c r="BQ155" s="2656">
        <f>0</f>
        <v>0</v>
      </c>
      <c r="BR155" s="2656">
        <f>0</f>
        <v>0</v>
      </c>
      <c r="BS155" s="2660">
        <f>0</f>
        <v>0</v>
      </c>
      <c r="BT155" s="2660">
        <f>0</f>
        <v>0</v>
      </c>
      <c r="BU155" s="2660">
        <f>0</f>
        <v>0</v>
      </c>
      <c r="BV155" s="2660">
        <f>0</f>
        <v>0</v>
      </c>
      <c r="BW155" s="2656">
        <f>0</f>
        <v>0</v>
      </c>
      <c r="BX155" s="2658">
        <f>0</f>
        <v>0</v>
      </c>
      <c r="BY155" s="2660">
        <f>0</f>
        <v>0</v>
      </c>
      <c r="BZ155" s="2656">
        <f>0</f>
        <v>0</v>
      </c>
      <c r="CA155" s="2656">
        <f>0</f>
        <v>0</v>
      </c>
      <c r="CB155" s="2656">
        <f>0</f>
        <v>0</v>
      </c>
      <c r="CC155" s="2656">
        <f>0</f>
        <v>0</v>
      </c>
      <c r="CD155" s="2656">
        <f>0</f>
        <v>0</v>
      </c>
      <c r="CE155" s="2656">
        <f>0</f>
        <v>0</v>
      </c>
      <c r="CF155" s="2656">
        <f>0</f>
        <v>0</v>
      </c>
      <c r="CG155" s="2656">
        <f>0</f>
        <v>0</v>
      </c>
      <c r="CH155" s="2656">
        <f>0</f>
        <v>0</v>
      </c>
      <c r="CI155" s="2656">
        <f>0</f>
        <v>0</v>
      </c>
      <c r="CJ155" s="2656">
        <f>0</f>
        <v>0</v>
      </c>
      <c r="CK155" s="2656">
        <f>0</f>
        <v>0</v>
      </c>
      <c r="CL155" s="2803">
        <f>b_STC_T*η_bSTC_anox*X_CASTO*M_inhSO2_KO2_CASTO*M_satSNO2_KNO2_CASTO*M_RsatXSTC_XCASTO_KSTC</f>
        <v>0.11834279986635483</v>
      </c>
      <c r="CN155" s="2295">
        <f>E236*E155+F236*F155+G236*G155+H236*H155+I236*I155+J236*J155+K236*K155+L236*L155+M236*M155+N236*N155+O236*O155+P236*P155+Q236*Q155+R236*R155+S236*S155+T236*T155+U236*U155+V236*V155+W236*W155+X236*X155+Y236*Y155+Z236*Z155+AA236*AA155+AB236*AB155+AC236*AC155+AD236*AD155+AE236*AE155+AF236*AF155+AG236*AG155+AH236*AH155+AI236*AI155+AJ236*AJ155+AK236*AK155+AL236*AL155+AM236*AM155+AN236*AN155+AO236*AO155+AP236*AP155+AQ236*AQ155+AR236*AR155+AS236*AS155+AT236*AT155+AU236*AU155+AV236*AV155+AW236*AW155+AX236*AX155+AY236*AY155+AZ236*AZ155+BA236*BA155+BB236*BB155+BC236*BC155+BD236*BD155+BE236*BE155+BF236*BF155+BG236*BG155+BH236*BH155+BI236*BI155+BJ236*BJ155+BK236*BK155+BL236*BL155+BM236*BM155+BN236*BN155+BO236*BO155+BP236*BP155+BQ236*BQ155+BR236*BR155+BS236*BS155+BT236*BT155+BU236*BU155+BV236*BV155+BW236*BW155+BX236*BX155+BY236*BY155+BZ236*BZ155+CA236*CA155+CB236*CB155+CC236*CC155+CD236*CD155+CE236*CE155+CF236*CF155+CG236*CG155+CH236*CH155+CI236*CI155+CJ236*CJ155+CK236*CK155</f>
        <v>0</v>
      </c>
      <c r="CO155" s="2295">
        <f>E237*E155+F237*F155+G237*G155+H237*H155+I237*I155+J237*J155+K237*K155+L237*L155+M237*M155+N237*N155+O237*O155+P237*P155+Q237*Q155+R237*R155+S237*S155+T237*T155+U237*U155+V237*V155+W237*W155+X237*X155+Y237*Y155+Z237*Z155+AA237*AA155+AB237*AB155+AC237*AC155+AD237*AD155+AE237*AE155+AF237*AF155+AG237*AG155+AH237*AH155+AI237*AI155+AJ237*AJ155+AK237*AK155+AL237*AL155+AM237*AM155+AN237*AN155+AO237*AO155+AP237*AP155+AQ237*AQ155+AR237*AR155+AS237*AS155+AT237*AT155+AU237*AU155+AV237*AV155+AW237*AW155+AX237*AX155+AY237*AY155+AZ237*AZ155+BA237*BA155+BB237*BB155+BC237*BC155+BD237*BD155+BE237*BE155+BF237*BF155+BG237*BG155+BH237*BH155+BI237*BI155+BJ237*BJ155+BK237*BK155+BL237*BL155+BM237*BM155+BN237*BN155+BO237*BO155+BP237*BP155+BQ237*BQ155+BR237*BR155+BS237*BS155+BT237*BT155+BU237*BU155+BV237*BV155+BW237*BW155+BX237*BX155+BY237*BY155+BZ237*BZ155+CA237*CA155+CB237*CB155+CC237*CC155+CD237*CD155+CE237*CE155+CF237*CF155+CG237*CG155+CH237*CH155+CI237*CI155+CJ237*CJ155+CK237*CK155</f>
        <v>0</v>
      </c>
      <c r="CP155" s="2296">
        <f>E238*E155+F238*F155+G238*G155+H238*H155+I238*I155+J238*J155+K238*K155+L238*L155+M238*M155+N238*N155+O238*O155+P238*P155+Q238*Q155+R238*R155+S238*S155+T238*T155+U238*U155+V238*V155+W238*W155+X238*X155+Y238*Y155+Z238*Z155+AA238*AA155+AB238*AB155+AC238*AC155+AD238*AD155+AE238*AE155+AF238*AF155+AG238*AG155+AH238*AH155+AI238*AI155+AJ238*AJ155+AK238*AK155+AL238*AL155+AM238*AM155+AN238*AN155+AO238*AO155+AP238*AP155+AQ238*AQ155+AR238*AR155+AS238*AS155+AT238*AT155+AU238*AU155+AV238*AV155+AW238*AW155+AX238*AX155+AY238*AY155+AZ238*AZ155+BA238*BA155+BB238*BB155+BC238*BC155+BD238*BD155+BE238*BE155+BF238*BF155+BG238*BG155+BH238*BH155+BI238*BI155+BJ238*BJ155+BK238*BK155+BL238*BL155+BM238*BM155+BN238*BN155+BO238*BO155+BP238*BP155+BQ238*BQ155+BR238*BR155+BS238*BS155+BT238*BT155+BU238*BU155+BV238*BV155+BW238*BW155+BX238*BX155+BY238*BY155+BZ238*BZ155+CA238*CA155+CB238*CB155+CC238*CC155+CD238*CD155+CE238*CE155+CF238*CF155+CG238*CG155+CH238*CH155+CI238*CI155+CJ238*CJ155+CK238*CK155</f>
        <v>0</v>
      </c>
      <c r="CQ155" s="2297">
        <f>E239*E155+F239*F155+G239*G155+H239*H155+I239*I155+J239*J155+K239*K155+L239*L155+M239*M155+N239*N155+O239*O155+P239*P155+Q239*Q155+R239*R155+S239*S155+T239*T155+U239*U155+V239*V155+W239*W155+X239*X155+Y239*Y155+Z239*Z155+AA239*AA155+AB239*AB155+AC239*AC155+AD239*AD155+AE239*AE155+AF239*AF155+AG239*AG155+AH239*AH155+AI239*AI155+AJ239*AJ155+AK239*AK155+AL239*AL155+AM239*AM155+AN239*AN155+AO239*AO155+AP239*AP155+AQ239*AQ155+AR239*AR155+AS239*AS155+AT239*AT155+AU239*AU155+AV239*AV155+AW239*AW155+AX239*AX155+AY239*AY155+AZ239*AZ155+BA239*BA155+BB239*BB155+BC239*BC155+BD239*BD155+BE239*BE155+BF239*BF155+BG239*BG155+BH239*BH155+BI239*BI155+BJ239*BJ155+BK239*BK155+BL239*BL155+BM239*BM155+BN239*BN155+BO239*BO155+BP239*BP155+BQ239*BQ155+BR239*BR155+BS239*BS155+BT239*BT155+BU239*BU155+BV239*BV155+BW239*BW155+BX239*BX155+BY239*BY155+BZ239*BZ155+CA239*CA155+CB239*CB155+CC239*CC155+CD239*CD155+CE239*CE155+CF239*CF155+CG239*CG155+CH239*CH155+CI239*CI155+CJ239*CJ155+CK239*CK155</f>
        <v>0</v>
      </c>
      <c r="CR155" s="2297">
        <f>E240*E155+F240*F155+G240*G155+H240*H155+I240*I155+J240*J155+K240*K155+L240*L155+M240*M155+N240*N155+O240*O155+P240*P155+Q240*Q155+R240*R155+S240*S155+T240*T155+U240*U155+V240*V155+W240*W155+X240*X155+Y240*Y155+Z240*Z155+AA240*AA155+AB240*AB155+AC240*AC155+AD240*AD155+AE240*AE155+AF240*AF155+AG240*AG155+AH240*AH155+AI240*AI155+AJ240*AJ155+AK240*AK155+AL240*AL155+AM240*AM155+AN240*AN155+AO240*AO155+AP240*AP155+AQ240*AQ155+AR240*AR155+AS240*AS155+AT240*AT155+AU240*AU155+AV240*AV155+AW240*AW155+AX240*AX155+AY240*AY155+AZ240*AZ155+BA240*BA155+BB240*BB155+BC240*BC155+BD240*BD155+BE240*BE155+BF240*BF155+BG240*BG155+BH240*BH155+BI240*BI155+BJ240*BJ155+BK240*BK155+BL240*BL155+BM240*BM155+BN240*BN155+BO240*BO155+BP240*BP155+BQ240*BQ155+BR240*BR155+BS240*BS155+BT240*BT155+BU240*BU155+BV240*BV155+BW240*BW155+BX240*BX155+BY240*BY155+BZ240*BZ155+CA240*CA155+CB240*CB155+CC240*CC155+CD240*CD155+CE240*CE155+CF240*CF155+CG240*CG155+CH240*CH155+CI240*CI155+CJ240*CJ155+CK240*CK155</f>
        <v>0</v>
      </c>
      <c r="CS155" s="2297">
        <f>E241*E155+F241*F155+G241*G155+H241*H155+I241*I155+J241*J155+K241*K155+L241*L155+M241*M155+N241*N155+O241*O155+P241*P155+Q241*Q155+R241*R155+S241*S155+T241*T155+U241*U155+V241*V155+W241*W155+X241*X155+Y241*Y155+Z241*Z155+AA241*AA155+AB241*AB155+AC241*AC155+AD241*AD155+AE241*AE155+AF241*AF155+AG241*AG155+AH241*AH155+AI241*AI155+AJ241*AJ155+AK241*AK155+AL241*AL155+AM241*AM155+AN241*AN155+AO241*AO155+AP241*AP155+AQ241*AQ155+AR241*AR155+AS241*AS155+AT241*AT155+AU241*AU155+AV241*AV155+AW241*AW155+AX241*AX155+AY241*AY155+AZ241*AZ155+BA241*BA155+BB241*BB155+BC241*BC155+BD241*BD155+BE241*BE155+BF241*BF155+BG241*BG155+BH241*BH155+BI241*BI155+BJ241*BJ155+BK241*BK155+BL241*BL155+BM241*BM155+BN241*BN155+BO241*BO155+BP241*BP155+BQ241*BQ155+BR241*BR155+BS241*BS155+BT241*BT155+BU241*BU155+BV241*BV155+BW241*BW155+BX241*BX155+BY241*BY155+BZ241*BZ155+CA241*CA155+CB241*CB155+CC241*CC155+CD241*CD155+CE241*CE155+CF241*CF155+CG241*CG155+CH241*CH155+CI241*CI155+CJ241*CJ155+CK241*CK155</f>
        <v>0</v>
      </c>
      <c r="CT155" s="2297">
        <f>E242*E155+F242*F155+G242*G155+H242*H155+I242*I155+J242*J155+K242*K155+L242*L155+M242*M155+N242*N155+O242*O155+P242*P155+Q242*Q155+R242*R155+S242*S155+T242*T155+U242*U155+V242*V155+W242*W155+X242*X155+Y242*Y155+Z242*Z155+AA242*AA155+AB242*AB155+AC242*AC155+AD242*AD155+AE242*AE155+AF242*AF155+AG242*AG155+AH242*AH155+AI242*AI155+AJ242*AJ155+AK242*AK155+AL242*AL155+AM242*AM155+AN242*AN155+AO242*AO155+AP242*AP155+AQ242*AQ155+AR242*AR155+AS242*AS155+AT242*AT155+AU242*AU155+AV242*AV155+AW242*AW155+AX242*AX155+AY242*AY155+AZ242*AZ155+BA242*BA155+BB242*BB155+BC242*BC155+BD242*BD155+BE242*BE155+BF242*BF155+BG242*BG155+BH242*BH155+BI242*BI155+BJ242*BJ155+BK242*BK155+BL242*BL155+BM242*BM155+BN242*BN155+BO242*BO155+BP242*BP155+BQ242*BQ155+BR242*BR155+BS242*BS155+BT242*BT155+BU242*BU155+BV242*BV155+BW242*BW155+BX242*BX155+BY242*BY155+BZ242*BZ155+CA242*CA155+CB242*CB155+CC242*CC155+CD242*CD155+CE242*CE155+CF242*CF155+CG242*CG155+CH242*CH155+CI242*CI155+CJ242*CJ155+CK242*CK155</f>
        <v>0</v>
      </c>
      <c r="CU155" s="2297">
        <f>E243*E155+F243*F155+G243*G155+H243*H155+I243*I155+J243*J155+K243*K155+L243*L155+M243*M155+N243*N155+O243*O155+P243*P155+Q243*Q155+R243*R155+S243*S155+T243*T155+U243*U155+V243*V155+W243*W155+X243*X155+Y243*Y155+Z243*Z155+AA243*AA155+AB243*AB155+AC243*AC155+AD243*AD155+AE243*AE155+AF243*AF155+AG243*AG155+AH243*AH155+AI243*AI155+AJ243*AJ155+AK243*AK155+AL243*AL155+AM243*AM155+AN243*AN155+AO243*AO155+AP243*AP155+AQ243*AQ155+AR243*AR155+AS243*AS155+AT243*AT155+AU243*AU155+AV243*AV155+AW243*AW155+AX243*AX155+AY243*AY155+AZ243*AZ155+BA243*BA155+BB243*BB155+BC243*BC155+BD243*BD155+BE243*BE155+BF243*BF155+BG243*BG155+BH243*BH155+BI243*BI155+BJ243*BJ155+BK243*BK155+BL243*BL155+BM243*BM155+BN243*BN155+BO243*BO155+BP243*BP155+BQ243*BQ155+BR243*BR155+BS243*BS155+BT243*BT155+BU243*BU155+BV243*BV155+BW243*BW155+BX243*BX155+BY243*BY155+BZ243*BZ155+CA243*CA155+CB243*CB155+CC243*CC155+CD243*CD155+CE243*CE155+CF243*CF155+CG243*CG155+CH243*CH155+CI243*CI155+CJ243*CJ155+CK243*CK155</f>
        <v>0</v>
      </c>
      <c r="CV155" s="2297">
        <f>E244*E155+F244*F155+G244*G155+H244*H155+I244*I155+J244*J155+K244*K155+L244*L155+M244*M155+N244*N155+O244*O155+P244*P155+Q244*Q155+R244*R155+S244*S155+T244*T155+U244*U155+V244*V155+W244*W155+X244*X155+Y244*Y155+Z244*Z155+AA244*AA155+AB244*AB155+AC244*AC155+AD244*AD155+AE244*AE155+AF244*AF155+AG244*AG155+AH244*AH155+AI244*AI155+AJ244*AJ155+AK244*AK155+AL244*AL155+AM244*AM155+AN244*AN155+AO244*AO155+AP244*AP155+AQ244*AQ155+AR244*AR155+AS244*AS155+AT244*AT155+AU244*AU155+AV244*AV155+AW244*AW155+AX244*AX155+AY244*AY155+AZ244*AZ155+BA244*BA155+BB244*BB155+BC244*BC155+BD244*BD155+BE244*BE155+BF244*BF155+BG244*BG155+BH244*BH155+BI244*BI155+BJ244*BJ155+BK244*BK155+BL244*BL155+BM244*BM155+BN244*BN155+BO244*BO155+BP244*BP155+BQ244*BQ155+BR244*BR155+BS244*BS155+BT244*BT155+BU244*BU155+BV244*BV155+BW244*BW155+BX244*BX155+BY244*BY155+BZ244*BZ155+CA244*CA155+CB244*CB155+CC244*CC155+CD244*CD155+CE244*CE155+CF244*CF155+CG244*CG155+CH244*CH155+CI244*CI155+CJ244*CJ155+CK244*CK155</f>
        <v>0</v>
      </c>
      <c r="CW155" s="2297">
        <f>E245*E155+F245*F155+G245*G155+H245*H155+I245*I155+J245*J155+K245*K155+L245*L155+M245*M155+N245*N155+O245*O155+P245*P155+Q245*Q155+R245*R155+S245*S155+T245*T155+U245*U155+V245*V155+W245*W155+X245*X155+Y245*Y155+Z245*Z155+AA245*AA155+AB245*AB155+AC245*AC155+AD245*AD155+AE245*AE155+AF245*AF155+AG245*AG155+AH245*AH155+AI245*AI155+AJ245*AJ155+AK245*AK155+AL245*AL155+AM245*AM155+AN245*AN155+AO245*AO155+AP245*AP155+AQ245*AQ155+AR245*AR155+AS245*AS155+AT245*AT155+AU245*AU155+AV245*AV155+AW245*AW155+AX245*AX155+AY245*AY155+AZ245*AZ155+BA245*BA155+BB245*BB155+BC245*BC155+BD245*BD155+BE245*BE155+BF245*BF155+BG245*BG155+BH245*BH155+BI245*BI155+BJ245*BJ155+BK245*BK155+BL245*BL155+BM245*BM155+BN245*BN155+BO245*BO155+BP245*BP155+BQ245*BQ155+BR245*BR155+BS245*BS155+BT245*BT155+BU245*BU155+BV245*BV155+BW245*BW155+BX245*BX155+BY245*BY155+BZ245*BZ155+CA245*CA155+CB245*CB155+CC245*CC155+CD245*CD155+CE245*CE155+CF245*CF155+CG245*CG155+CH245*CH155+CI245*CI155+CJ245*CJ155+CK245*CK155</f>
        <v>0</v>
      </c>
      <c r="CX155" s="2297">
        <f>E246*E155+F246*F155+G246*G155+H246*H155+I246*I155+J246*J155+K246*K155+L246*L155+M246*M155+N246*N155+O246*O155+P246*P155+Q246*Q155+R246*R155+S246*S155+T246*T155+U246*U155+V246*V155+W246*W155+X246*X155+Y246*Y155+Z246*Z155+AA246*AA155+AB246*AB155+AC246*AC155+AD246*AD155+AE246*AE155+AF246*AF155+AG246*AG155+AH246*AH155+AI246*AI155+AJ246*AJ155+AK246*AK155+AL246*AL155+AM246*AM155+AN246*AN155+AO246*AO155+AP246*AP155+AQ246*AQ155+AR246*AR155+AS246*AS155+AT246*AT155+AU246*AU155+AV246*AV155+AW246*AW155+AX246*AX155+AY246*AY155+AZ246*AZ155+BA246*BA155+BB246*BB155+BC246*BC155+BD246*BD155+BE246*BE155+BF246*BF155+BG246*BG155+BH246*BH155+BI246*BI155+BJ246*BJ155+BK246*BK155+BL246*BL155+BM246*BM155+BN246*BN155+BO246*BO155+BP246*BP155+BQ246*BQ155+BR246*BR155+BS246*BS155+BT246*BT155+BU246*BU155+BV246*BV155+BW246*BW155+BX246*BX155+BY246*BY155+BZ246*BZ155+CA246*CA155+CB246*CB155+CC246*CC155+CD246*CD155+CE246*CE155+CF246*CF155+CG246*CG155+CH246*CH155+CI246*CI155+CJ246*CJ155+CK246*CK155</f>
        <v>0</v>
      </c>
    </row>
    <row r="156" spans="2:102" ht="18" x14ac:dyDescent="0.25">
      <c r="B156" s="1245">
        <v>29</v>
      </c>
      <c r="C156" s="586" t="s">
        <v>251</v>
      </c>
      <c r="D156" s="587" t="s">
        <v>4218</v>
      </c>
      <c r="E156" s="2656">
        <f>0</f>
        <v>0</v>
      </c>
      <c r="F156" s="2656">
        <f>0</f>
        <v>0</v>
      </c>
      <c r="G156" s="2656">
        <f>0</f>
        <v>0</v>
      </c>
      <c r="H156" s="2656">
        <f>0</f>
        <v>0</v>
      </c>
      <c r="I156" s="2656">
        <f>0</f>
        <v>0</v>
      </c>
      <c r="J156" s="2692">
        <f>0</f>
        <v>0</v>
      </c>
      <c r="K156" s="2656">
        <f>0</f>
        <v>0</v>
      </c>
      <c r="L156" s="2656">
        <f>0</f>
        <v>0</v>
      </c>
      <c r="M156" s="2656">
        <f>0</f>
        <v>0</v>
      </c>
      <c r="N156" s="2659">
        <f>-X_PHA_PAO/X_STC</f>
        <v>-0.86956521739130432</v>
      </c>
      <c r="O156" s="2659">
        <f>-X_PHA_GAO/X_STC</f>
        <v>-0.13043478260869565</v>
      </c>
      <c r="P156" s="2656">
        <f>0</f>
        <v>0</v>
      </c>
      <c r="Q156" s="2656">
        <f>0</f>
        <v>0</v>
      </c>
      <c r="R156" s="2656">
        <f>0</f>
        <v>0</v>
      </c>
      <c r="S156" s="2656">
        <f>0</f>
        <v>0</v>
      </c>
      <c r="T156" s="2656">
        <f>0</f>
        <v>0</v>
      </c>
      <c r="U156" s="2656">
        <f>0</f>
        <v>0</v>
      </c>
      <c r="V156" s="2656">
        <f>0</f>
        <v>0</v>
      </c>
      <c r="W156" s="2656">
        <f>0</f>
        <v>0</v>
      </c>
      <c r="X156" s="2656">
        <f>0</f>
        <v>0</v>
      </c>
      <c r="Y156" s="2656">
        <f>0</f>
        <v>0</v>
      </c>
      <c r="Z156" s="2660">
        <f>0</f>
        <v>0</v>
      </c>
      <c r="AA156" s="2656">
        <f>0</f>
        <v>0</v>
      </c>
      <c r="AB156" s="2704">
        <f>1/E_EQNO2_NO3</f>
        <v>0.87545157943422891</v>
      </c>
      <c r="AC156" s="2704">
        <f>-1/E_EQNO2_NO3</f>
        <v>-0.87545157943422891</v>
      </c>
      <c r="AD156" s="2704">
        <f>0</f>
        <v>0</v>
      </c>
      <c r="AE156" s="2656">
        <f>0</f>
        <v>0</v>
      </c>
      <c r="AF156" s="2656">
        <f>0</f>
        <v>0</v>
      </c>
      <c r="AG156" s="2656">
        <f>0</f>
        <v>0</v>
      </c>
      <c r="AH156" s="2656">
        <f>0</f>
        <v>0</v>
      </c>
      <c r="AI156" s="2656">
        <f>0</f>
        <v>0</v>
      </c>
      <c r="AJ156" s="2704">
        <f>0</f>
        <v>0</v>
      </c>
      <c r="AK156" s="2656">
        <f>0</f>
        <v>0</v>
      </c>
      <c r="AL156" s="2656">
        <f>0</f>
        <v>0</v>
      </c>
      <c r="AM156" s="2656">
        <f>0</f>
        <v>0</v>
      </c>
      <c r="AN156" s="2656">
        <f>0</f>
        <v>0</v>
      </c>
      <c r="AO156" s="2656">
        <f>0</f>
        <v>0</v>
      </c>
      <c r="AP156" s="2656">
        <f>0</f>
        <v>0</v>
      </c>
      <c r="AQ156" s="2656">
        <f>0</f>
        <v>0</v>
      </c>
      <c r="AR156" s="2658">
        <f>i_CIT_STC</f>
        <v>0.33300000000000002</v>
      </c>
      <c r="AS156" s="2656">
        <f>0</f>
        <v>0</v>
      </c>
      <c r="AT156" s="2656">
        <f>0</f>
        <v>0</v>
      </c>
      <c r="AU156" s="2656">
        <f>0</f>
        <v>0</v>
      </c>
      <c r="AV156" s="2704">
        <f>0</f>
        <v>0</v>
      </c>
      <c r="AW156" s="2704">
        <f>0</f>
        <v>0</v>
      </c>
      <c r="AX156" s="2704">
        <f>0</f>
        <v>0</v>
      </c>
      <c r="AY156" s="2656">
        <f>0</f>
        <v>0</v>
      </c>
      <c r="AZ156" s="2656">
        <f>0</f>
        <v>0</v>
      </c>
      <c r="BA156" s="2656">
        <f>0</f>
        <v>0</v>
      </c>
      <c r="BB156" s="2656">
        <f>0</f>
        <v>0</v>
      </c>
      <c r="BC156" s="2656">
        <f>0</f>
        <v>0</v>
      </c>
      <c r="BD156" s="2656">
        <f>0</f>
        <v>0</v>
      </c>
      <c r="BE156" s="2656">
        <f>0</f>
        <v>0</v>
      </c>
      <c r="BF156" s="2656">
        <f>0</f>
        <v>0</v>
      </c>
      <c r="BG156" s="2656">
        <f>0</f>
        <v>0</v>
      </c>
      <c r="BH156" s="2656">
        <f>0</f>
        <v>0</v>
      </c>
      <c r="BI156" s="2656">
        <f>0</f>
        <v>0</v>
      </c>
      <c r="BJ156" s="2656">
        <f>0</f>
        <v>0</v>
      </c>
      <c r="BK156" s="2656">
        <f>0</f>
        <v>0</v>
      </c>
      <c r="BL156" s="2656">
        <f>0</f>
        <v>0</v>
      </c>
      <c r="BM156" s="2656">
        <f>0</f>
        <v>0</v>
      </c>
      <c r="BN156" s="2656">
        <f>0</f>
        <v>0</v>
      </c>
      <c r="BO156" s="2656">
        <f>0</f>
        <v>0</v>
      </c>
      <c r="BP156" s="2657">
        <f>0</f>
        <v>0</v>
      </c>
      <c r="BQ156" s="2656">
        <f>0</f>
        <v>0</v>
      </c>
      <c r="BR156" s="2656">
        <f>0</f>
        <v>0</v>
      </c>
      <c r="BS156" s="2660">
        <f>0</f>
        <v>0</v>
      </c>
      <c r="BT156" s="2660">
        <f>0</f>
        <v>0</v>
      </c>
      <c r="BU156" s="2660">
        <f>0</f>
        <v>0</v>
      </c>
      <c r="BV156" s="2660">
        <f>0</f>
        <v>0</v>
      </c>
      <c r="BW156" s="2656">
        <f>0</f>
        <v>0</v>
      </c>
      <c r="BX156" s="2658">
        <f>0</f>
        <v>0</v>
      </c>
      <c r="BY156" s="2660">
        <f>0</f>
        <v>0</v>
      </c>
      <c r="BZ156" s="2656">
        <f>0</f>
        <v>0</v>
      </c>
      <c r="CA156" s="2656">
        <f>0</f>
        <v>0</v>
      </c>
      <c r="CB156" s="2656">
        <f>0</f>
        <v>0</v>
      </c>
      <c r="CC156" s="2656">
        <f>0</f>
        <v>0</v>
      </c>
      <c r="CD156" s="2656">
        <f>0</f>
        <v>0</v>
      </c>
      <c r="CE156" s="2656">
        <f>0</f>
        <v>0</v>
      </c>
      <c r="CF156" s="2656">
        <f>0</f>
        <v>0</v>
      </c>
      <c r="CG156" s="2656">
        <f>0</f>
        <v>0</v>
      </c>
      <c r="CH156" s="2656">
        <f>0</f>
        <v>0</v>
      </c>
      <c r="CI156" s="2656">
        <f>0</f>
        <v>0</v>
      </c>
      <c r="CJ156" s="2656">
        <f>0</f>
        <v>0</v>
      </c>
      <c r="CK156" s="2656">
        <f>0</f>
        <v>0</v>
      </c>
      <c r="CL156" s="2803">
        <f>b_STC_T*η_bSTC_anox*X_CASTO*M_inhSO2_KO2_CASTO*M_satSNO3_KNO3_CASTO*M_inhSNO2_KNO2_CASTO*M_RsatXSTC_XCASTO_KSTC</f>
        <v>5.8011176405075908E-2</v>
      </c>
      <c r="CN156" s="2295">
        <f>E236*E156+F236*F156+G236*G156+H236*H156+I236*I156+J236*J156+K236*K156+L236*L156+M236*M156+N236*N156+O236*O156+P236*P156+Q236*Q156+R236*R156+S236*S156+T236*T156+U236*U156+V236*V156+W236*W156+X236*X156+Y236*Y156+Z236*Z156+AA236*AA156+AB236*AB156+AC236*AC156+AD236*AD156+AE236*AE156+AF236*AF156+AG236*AG156+AH236*AH156+AI236*AI156+AJ236*AJ156+AK236*AK156+AL236*AL156+AM236*AM156+AN236*AN156+AO236*AO156+AP236*AP156+AQ236*AQ156+AR236*AR156+AS236*AS156+AT236*AT156+AU236*AU156+AV236*AV156+AW236*AW156+AX236*AX156+AY236*AY156+AZ236*AZ156+BA236*BA156+BB236*BB156+BC236*BC156+BD236*BD156+BE236*BE156+BF236*BF156+BG236*BG156+BH236*BH156+BI236*BI156+BJ236*BJ156+BK236*BK156+BL236*BL156+BM236*BM156+BN236*BN156+BO236*BO156+BP236*BP156+BQ236*BQ156+BR236*BR156+BS236*BS156+BT236*BT156+BU236*BU156+BV236*BV156+BW236*BW156+BX236*BX156+BY236*BY156+BZ236*BZ156+CA236*CA156+CB236*CB156+CC236*CC156+CD236*CD156+CE236*CE156+CF236*CF156+CG236*CG156+CH236*CH156+CI236*CI156+CJ236*CJ156+CK236*CK156</f>
        <v>0</v>
      </c>
      <c r="CO156" s="2295">
        <f>E237*E156+F237*F156+G237*G156+H237*H156+I237*I156+J237*J156+K237*K156+L237*L156+M237*M156+N237*N156+O237*O156+P237*P156+Q237*Q156+R237*R156+S237*S156+T237*T156+U237*U156+V237*V156+W237*W156+X237*X156+Y237*Y156+Z237*Z156+AA237*AA156+AB237*AB156+AC237*AC156+AD237*AD156+AE237*AE156+AF237*AF156+AG237*AG156+AH237*AH156+AI237*AI156+AJ237*AJ156+AK237*AK156+AL237*AL156+AM237*AM156+AN237*AN156+AO237*AO156+AP237*AP156+AQ237*AQ156+AR237*AR156+AS237*AS156+AT237*AT156+AU237*AU156+AV237*AV156+AW237*AW156+AX237*AX156+AY237*AY156+AZ237*AZ156+BA237*BA156+BB237*BB156+BC237*BC156+BD237*BD156+BE237*BE156+BF237*BF156+BG237*BG156+BH237*BH156+BI237*BI156+BJ237*BJ156+BK237*BK156+BL237*BL156+BM237*BM156+BN237*BN156+BO237*BO156+BP237*BP156+BQ237*BQ156+BR237*BR156+BS237*BS156+BT237*BT156+BU237*BU156+BV237*BV156+BW237*BW156+BX237*BX156+BY237*BY156+BZ237*BZ156+CA237*CA156+CB237*CB156+CC237*CC156+CD237*CD156+CE237*CE156+CF237*CF156+CG237*CG156+CH237*CH156+CI237*CI156+CJ237*CJ156+CK237*CK156</f>
        <v>0</v>
      </c>
      <c r="CP156" s="2296">
        <f>E238*E156+F238*F156+G238*G156+H238*H156+I238*I156+J238*J156+K238*K156+L238*L156+M238*M156+N238*N156+O238*O156+P238*P156+Q238*Q156+R238*R156+S238*S156+T238*T156+U238*U156+V238*V156+W238*W156+X238*X156+Y238*Y156+Z238*Z156+AA238*AA156+AB238*AB156+AC238*AC156+AD238*AD156+AE238*AE156+AF238*AF156+AG238*AG156+AH238*AH156+AI238*AI156+AJ238*AJ156+AK238*AK156+AL238*AL156+AM238*AM156+AN238*AN156+AO238*AO156+AP238*AP156+AQ238*AQ156+AR238*AR156+AS238*AS156+AT238*AT156+AU238*AU156+AV238*AV156+AW238*AW156+AX238*AX156+AY238*AY156+AZ238*AZ156+BA238*BA156+BB238*BB156+BC238*BC156+BD238*BD156+BE238*BE156+BF238*BF156+BG238*BG156+BH238*BH156+BI238*BI156+BJ238*BJ156+BK238*BK156+BL238*BL156+BM238*BM156+BN238*BN156+BO238*BO156+BP238*BP156+BQ238*BQ156+BR238*BR156+BS238*BS156+BT238*BT156+BU238*BU156+BV238*BV156+BW238*BW156+BX238*BX156+BY238*BY156+BZ238*BZ156+CA238*CA156+CB238*CB156+CC238*CC156+CD238*CD156+CE238*CE156+CF238*CF156+CG238*CG156+CH238*CH156+CI238*CI156+CJ238*CJ156+CK238*CK156</f>
        <v>0</v>
      </c>
      <c r="CQ156" s="2297">
        <f>E239*E156+F239*F156+G239*G156+H239*H156+I239*I156+J239*J156+K239*K156+L239*L156+M239*M156+N239*N156+O239*O156+P239*P156+Q239*Q156+R239*R156+S239*S156+T239*T156+U239*U156+V239*V156+W239*W156+X239*X156+Y239*Y156+Z239*Z156+AA239*AA156+AB239*AB156+AC239*AC156+AD239*AD156+AE239*AE156+AF239*AF156+AG239*AG156+AH239*AH156+AI239*AI156+AJ239*AJ156+AK239*AK156+AL239*AL156+AM239*AM156+AN239*AN156+AO239*AO156+AP239*AP156+AQ239*AQ156+AR239*AR156+AS239*AS156+AT239*AT156+AU239*AU156+AV239*AV156+AW239*AW156+AX239*AX156+AY239*AY156+AZ239*AZ156+BA239*BA156+BB239*BB156+BC239*BC156+BD239*BD156+BE239*BE156+BF239*BF156+BG239*BG156+BH239*BH156+BI239*BI156+BJ239*BJ156+BK239*BK156+BL239*BL156+BM239*BM156+BN239*BN156+BO239*BO156+BP239*BP156+BQ239*BQ156+BR239*BR156+BS239*BS156+BT239*BT156+BU239*BU156+BV239*BV156+BW239*BW156+BX239*BX156+BY239*BY156+BZ239*BZ156+CA239*CA156+CB239*CB156+CC239*CC156+CD239*CD156+CE239*CE156+CF239*CF156+CG239*CG156+CH239*CH156+CI239*CI156+CJ239*CJ156+CK239*CK156</f>
        <v>0</v>
      </c>
      <c r="CR156" s="2297">
        <f>E240*E156+F240*F156+G240*G156+H240*H156+I240*I156+J240*J156+K240*K156+L240*L156+M240*M156+N240*N156+O240*O156+P240*P156+Q240*Q156+R240*R156+S240*S156+T240*T156+U240*U156+V240*V156+W240*W156+X240*X156+Y240*Y156+Z240*Z156+AA240*AA156+AB240*AB156+AC240*AC156+AD240*AD156+AE240*AE156+AF240*AF156+AG240*AG156+AH240*AH156+AI240*AI156+AJ240*AJ156+AK240*AK156+AL240*AL156+AM240*AM156+AN240*AN156+AO240*AO156+AP240*AP156+AQ240*AQ156+AR240*AR156+AS240*AS156+AT240*AT156+AU240*AU156+AV240*AV156+AW240*AW156+AX240*AX156+AY240*AY156+AZ240*AZ156+BA240*BA156+BB240*BB156+BC240*BC156+BD240*BD156+BE240*BE156+BF240*BF156+BG240*BG156+BH240*BH156+BI240*BI156+BJ240*BJ156+BK240*BK156+BL240*BL156+BM240*BM156+BN240*BN156+BO240*BO156+BP240*BP156+BQ240*BQ156+BR240*BR156+BS240*BS156+BT240*BT156+BU240*BU156+BV240*BV156+BW240*BW156+BX240*BX156+BY240*BY156+BZ240*BZ156+CA240*CA156+CB240*CB156+CC240*CC156+CD240*CD156+CE240*CE156+CF240*CF156+CG240*CG156+CH240*CH156+CI240*CI156+CJ240*CJ156+CK240*CK156</f>
        <v>0</v>
      </c>
      <c r="CS156" s="2297">
        <f>E241*E156+F241*F156+G241*G156+H241*H156+I241*I156+J241*J156+K241*K156+L241*L156+M241*M156+N241*N156+O241*O156+P241*P156+Q241*Q156+R241*R156+S241*S156+T241*T156+U241*U156+V241*V156+W241*W156+X241*X156+Y241*Y156+Z241*Z156+AA241*AA156+AB241*AB156+AC241*AC156+AD241*AD156+AE241*AE156+AF241*AF156+AG241*AG156+AH241*AH156+AI241*AI156+AJ241*AJ156+AK241*AK156+AL241*AL156+AM241*AM156+AN241*AN156+AO241*AO156+AP241*AP156+AQ241*AQ156+AR241*AR156+AS241*AS156+AT241*AT156+AU241*AU156+AV241*AV156+AW241*AW156+AX241*AX156+AY241*AY156+AZ241*AZ156+BA241*BA156+BB241*BB156+BC241*BC156+BD241*BD156+BE241*BE156+BF241*BF156+BG241*BG156+BH241*BH156+BI241*BI156+BJ241*BJ156+BK241*BK156+BL241*BL156+BM241*BM156+BN241*BN156+BO241*BO156+BP241*BP156+BQ241*BQ156+BR241*BR156+BS241*BS156+BT241*BT156+BU241*BU156+BV241*BV156+BW241*BW156+BX241*BX156+BY241*BY156+BZ241*BZ156+CA241*CA156+CB241*CB156+CC241*CC156+CD241*CD156+CE241*CE156+CF241*CF156+CG241*CG156+CH241*CH156+CI241*CI156+CJ241*CJ156+CK241*CK156</f>
        <v>0</v>
      </c>
      <c r="CT156" s="2297">
        <f>E242*E156+F242*F156+G242*G156+H242*H156+I242*I156+J242*J156+K242*K156+L242*L156+M242*M156+N242*N156+O242*O156+P242*P156+Q242*Q156+R242*R156+S242*S156+T242*T156+U242*U156+V242*V156+W242*W156+X242*X156+Y242*Y156+Z242*Z156+AA242*AA156+AB242*AB156+AC242*AC156+AD242*AD156+AE242*AE156+AF242*AF156+AG242*AG156+AH242*AH156+AI242*AI156+AJ242*AJ156+AK242*AK156+AL242*AL156+AM242*AM156+AN242*AN156+AO242*AO156+AP242*AP156+AQ242*AQ156+AR242*AR156+AS242*AS156+AT242*AT156+AU242*AU156+AV242*AV156+AW242*AW156+AX242*AX156+AY242*AY156+AZ242*AZ156+BA242*BA156+BB242*BB156+BC242*BC156+BD242*BD156+BE242*BE156+BF242*BF156+BG242*BG156+BH242*BH156+BI242*BI156+BJ242*BJ156+BK242*BK156+BL242*BL156+BM242*BM156+BN242*BN156+BO242*BO156+BP242*BP156+BQ242*BQ156+BR242*BR156+BS242*BS156+BT242*BT156+BU242*BU156+BV242*BV156+BW242*BW156+BX242*BX156+BY242*BY156+BZ242*BZ156+CA242*CA156+CB242*CB156+CC242*CC156+CD242*CD156+CE242*CE156+CF242*CF156+CG242*CG156+CH242*CH156+CI242*CI156+CJ242*CJ156+CK242*CK156</f>
        <v>0</v>
      </c>
      <c r="CU156" s="2297">
        <f>E243*E156+F243*F156+G243*G156+H243*H156+I243*I156+J243*J156+K243*K156+L243*L156+M243*M156+N243*N156+O243*O156+P243*P156+Q243*Q156+R243*R156+S243*S156+T243*T156+U243*U156+V243*V156+W243*W156+X243*X156+Y243*Y156+Z243*Z156+AA243*AA156+AB243*AB156+AC243*AC156+AD243*AD156+AE243*AE156+AF243*AF156+AG243*AG156+AH243*AH156+AI243*AI156+AJ243*AJ156+AK243*AK156+AL243*AL156+AM243*AM156+AN243*AN156+AO243*AO156+AP243*AP156+AQ243*AQ156+AR243*AR156+AS243*AS156+AT243*AT156+AU243*AU156+AV243*AV156+AW243*AW156+AX243*AX156+AY243*AY156+AZ243*AZ156+BA243*BA156+BB243*BB156+BC243*BC156+BD243*BD156+BE243*BE156+BF243*BF156+BG243*BG156+BH243*BH156+BI243*BI156+BJ243*BJ156+BK243*BK156+BL243*BL156+BM243*BM156+BN243*BN156+BO243*BO156+BP243*BP156+BQ243*BQ156+BR243*BR156+BS243*BS156+BT243*BT156+BU243*BU156+BV243*BV156+BW243*BW156+BX243*BX156+BY243*BY156+BZ243*BZ156+CA243*CA156+CB243*CB156+CC243*CC156+CD243*CD156+CE243*CE156+CF243*CF156+CG243*CG156+CH243*CH156+CI243*CI156+CJ243*CJ156+CK243*CK156</f>
        <v>0</v>
      </c>
      <c r="CV156" s="2297">
        <f>E244*E156+F244*F156+G244*G156+H244*H156+I244*I156+J244*J156+K244*K156+L244*L156+M244*M156+N244*N156+O244*O156+P244*P156+Q244*Q156+R244*R156+S244*S156+T244*T156+U244*U156+V244*V156+W244*W156+X244*X156+Y244*Y156+Z244*Z156+AA244*AA156+AB244*AB156+AC244*AC156+AD244*AD156+AE244*AE156+AF244*AF156+AG244*AG156+AH244*AH156+AI244*AI156+AJ244*AJ156+AK244*AK156+AL244*AL156+AM244*AM156+AN244*AN156+AO244*AO156+AP244*AP156+AQ244*AQ156+AR244*AR156+AS244*AS156+AT244*AT156+AU244*AU156+AV244*AV156+AW244*AW156+AX244*AX156+AY244*AY156+AZ244*AZ156+BA244*BA156+BB244*BB156+BC244*BC156+BD244*BD156+BE244*BE156+BF244*BF156+BG244*BG156+BH244*BH156+BI244*BI156+BJ244*BJ156+BK244*BK156+BL244*BL156+BM244*BM156+BN244*BN156+BO244*BO156+BP244*BP156+BQ244*BQ156+BR244*BR156+BS244*BS156+BT244*BT156+BU244*BU156+BV244*BV156+BW244*BW156+BX244*BX156+BY244*BY156+BZ244*BZ156+CA244*CA156+CB244*CB156+CC244*CC156+CD244*CD156+CE244*CE156+CF244*CF156+CG244*CG156+CH244*CH156+CI244*CI156+CJ244*CJ156+CK244*CK156</f>
        <v>0</v>
      </c>
      <c r="CW156" s="2297">
        <f>E245*E156+F245*F156+G245*G156+H245*H156+I245*I156+J245*J156+K245*K156+L245*L156+M245*M156+N245*N156+O245*O156+P245*P156+Q245*Q156+R245*R156+S245*S156+T245*T156+U245*U156+V245*V156+W245*W156+X245*X156+Y245*Y156+Z245*Z156+AA245*AA156+AB245*AB156+AC245*AC156+AD245*AD156+AE245*AE156+AF245*AF156+AG245*AG156+AH245*AH156+AI245*AI156+AJ245*AJ156+AK245*AK156+AL245*AL156+AM245*AM156+AN245*AN156+AO245*AO156+AP245*AP156+AQ245*AQ156+AR245*AR156+AS245*AS156+AT245*AT156+AU245*AU156+AV245*AV156+AW245*AW156+AX245*AX156+AY245*AY156+AZ245*AZ156+BA245*BA156+BB245*BB156+BC245*BC156+BD245*BD156+BE245*BE156+BF245*BF156+BG245*BG156+BH245*BH156+BI245*BI156+BJ245*BJ156+BK245*BK156+BL245*BL156+BM245*BM156+BN245*BN156+BO245*BO156+BP245*BP156+BQ245*BQ156+BR245*BR156+BS245*BS156+BT245*BT156+BU245*BU156+BV245*BV156+BW245*BW156+BX245*BX156+BY245*BY156+BZ245*BZ156+CA245*CA156+CB245*CB156+CC245*CC156+CD245*CD156+CE245*CE156+CF245*CF156+CG245*CG156+CH245*CH156+CI245*CI156+CJ245*CJ156+CK245*CK156</f>
        <v>0</v>
      </c>
      <c r="CX156" s="2297">
        <f>E246*E156+F246*F156+G246*G156+H246*H156+I246*I156+J246*J156+K246*K156+L246*L156+M246*M156+N246*N156+O246*O156+P246*P156+Q246*Q156+R246*R156+S246*S156+T246*T156+U246*U156+V246*V156+W246*W156+X246*X156+Y246*Y156+Z246*Z156+AA246*AA156+AB246*AB156+AC246*AC156+AD246*AD156+AE246*AE156+AF246*AF156+AG246*AG156+AH246*AH156+AI246*AI156+AJ246*AJ156+AK246*AK156+AL246*AL156+AM246*AM156+AN246*AN156+AO246*AO156+AP246*AP156+AQ246*AQ156+AR246*AR156+AS246*AS156+AT246*AT156+AU246*AU156+AV246*AV156+AW246*AW156+AX246*AX156+AY246*AY156+AZ246*AZ156+BA246*BA156+BB246*BB156+BC246*BC156+BD246*BD156+BE246*BE156+BF246*BF156+BG246*BG156+BH246*BH156+BI246*BI156+BJ246*BJ156+BK246*BK156+BL246*BL156+BM246*BM156+BN246*BN156+BO246*BO156+BP246*BP156+BQ246*BQ156+BR246*BR156+BS246*BS156+BT246*BT156+BU246*BU156+BV246*BV156+BW246*BW156+BX246*BX156+BY246*BY156+BZ246*BZ156+CA246*CA156+CB246*CB156+CC246*CC156+CD246*CD156+CE246*CE156+CF246*CF156+CG246*CG156+CH246*CH156+CI246*CI156+CJ246*CJ156+CK246*CK156</f>
        <v>0</v>
      </c>
    </row>
    <row r="157" spans="2:102" ht="18" x14ac:dyDescent="0.25">
      <c r="B157" s="1245">
        <v>30</v>
      </c>
      <c r="C157" s="586" t="s">
        <v>1360</v>
      </c>
      <c r="D157" s="587" t="s">
        <v>2178</v>
      </c>
      <c r="E157" s="2656">
        <f>1</f>
        <v>1</v>
      </c>
      <c r="F157" s="2656">
        <f>0</f>
        <v>0</v>
      </c>
      <c r="G157" s="2656">
        <f>0</f>
        <v>0</v>
      </c>
      <c r="H157" s="2656">
        <f>0</f>
        <v>0</v>
      </c>
      <c r="I157" s="2656">
        <f>0</f>
        <v>0</v>
      </c>
      <c r="J157" s="2692">
        <f>0</f>
        <v>0</v>
      </c>
      <c r="K157" s="2656">
        <f>0</f>
        <v>0</v>
      </c>
      <c r="L157" s="2656">
        <f>0</f>
        <v>0</v>
      </c>
      <c r="M157" s="2656">
        <f>0</f>
        <v>0</v>
      </c>
      <c r="N157" s="2656">
        <f>0</f>
        <v>0</v>
      </c>
      <c r="O157" s="2656">
        <f>-1</f>
        <v>-1</v>
      </c>
      <c r="P157" s="2656">
        <f>0</f>
        <v>0</v>
      </c>
      <c r="Q157" s="2656">
        <f>0</f>
        <v>0</v>
      </c>
      <c r="R157" s="2656">
        <f>0</f>
        <v>0</v>
      </c>
      <c r="S157" s="2656">
        <f>0</f>
        <v>0</v>
      </c>
      <c r="T157" s="2656">
        <f>0</f>
        <v>0</v>
      </c>
      <c r="U157" s="2656">
        <f>0</f>
        <v>0</v>
      </c>
      <c r="V157" s="2656">
        <f>0</f>
        <v>0</v>
      </c>
      <c r="W157" s="2656">
        <f>0</f>
        <v>0</v>
      </c>
      <c r="X157" s="2656">
        <f>0</f>
        <v>0</v>
      </c>
      <c r="Y157" s="2656">
        <f>0</f>
        <v>0</v>
      </c>
      <c r="Z157" s="2660">
        <f>0</f>
        <v>0</v>
      </c>
      <c r="AA157" s="2656">
        <f>0</f>
        <v>0</v>
      </c>
      <c r="AB157" s="2704">
        <f>0</f>
        <v>0</v>
      </c>
      <c r="AC157" s="2704">
        <f>0</f>
        <v>0</v>
      </c>
      <c r="AD157" s="2704">
        <f>0</f>
        <v>0</v>
      </c>
      <c r="AE157" s="2656">
        <f>0</f>
        <v>0</v>
      </c>
      <c r="AF157" s="2656">
        <f>0</f>
        <v>0</v>
      </c>
      <c r="AG157" s="2656">
        <f>0</f>
        <v>0</v>
      </c>
      <c r="AH157" s="2656">
        <f>0</f>
        <v>0</v>
      </c>
      <c r="AI157" s="2656">
        <f>0</f>
        <v>0</v>
      </c>
      <c r="AJ157" s="2704">
        <f>0</f>
        <v>0</v>
      </c>
      <c r="AK157" s="2656">
        <f>0</f>
        <v>0</v>
      </c>
      <c r="AL157" s="2656">
        <f>0</f>
        <v>0</v>
      </c>
      <c r="AM157" s="2656">
        <f>0</f>
        <v>0</v>
      </c>
      <c r="AN157" s="2656">
        <f>0</f>
        <v>0</v>
      </c>
      <c r="AO157" s="2656">
        <f>0</f>
        <v>0</v>
      </c>
      <c r="AP157" s="2656">
        <f>0</f>
        <v>0</v>
      </c>
      <c r="AQ157" s="2656">
        <f>0</f>
        <v>0</v>
      </c>
      <c r="AR157" s="2794">
        <f>i_CIT_PHA-i_CIT_VFA</f>
        <v>-4.1999999999999982E-2</v>
      </c>
      <c r="AS157" s="2704">
        <f>0</f>
        <v>0</v>
      </c>
      <c r="AT157" s="2704">
        <f>0</f>
        <v>0</v>
      </c>
      <c r="AU157" s="2704">
        <f>0</f>
        <v>0</v>
      </c>
      <c r="AV157" s="2704">
        <f>0</f>
        <v>0</v>
      </c>
      <c r="AW157" s="2704">
        <f>0</f>
        <v>0</v>
      </c>
      <c r="AX157" s="2704">
        <f>0</f>
        <v>0</v>
      </c>
      <c r="AY157" s="2656">
        <f>0</f>
        <v>0</v>
      </c>
      <c r="AZ157" s="2656">
        <f>0</f>
        <v>0</v>
      </c>
      <c r="BA157" s="2656">
        <f>0</f>
        <v>0</v>
      </c>
      <c r="BB157" s="2656">
        <f>0</f>
        <v>0</v>
      </c>
      <c r="BC157" s="2656">
        <f>0</f>
        <v>0</v>
      </c>
      <c r="BD157" s="2656">
        <f>0</f>
        <v>0</v>
      </c>
      <c r="BE157" s="2656">
        <f>0</f>
        <v>0</v>
      </c>
      <c r="BF157" s="2656">
        <f>0</f>
        <v>0</v>
      </c>
      <c r="BG157" s="2656">
        <f>0</f>
        <v>0</v>
      </c>
      <c r="BH157" s="2656">
        <f>0</f>
        <v>0</v>
      </c>
      <c r="BI157" s="2656">
        <f>0</f>
        <v>0</v>
      </c>
      <c r="BJ157" s="2656">
        <f>0</f>
        <v>0</v>
      </c>
      <c r="BK157" s="2656">
        <f>0</f>
        <v>0</v>
      </c>
      <c r="BL157" s="2656">
        <f>0</f>
        <v>0</v>
      </c>
      <c r="BM157" s="2656">
        <f>0</f>
        <v>0</v>
      </c>
      <c r="BN157" s="2656">
        <f>0</f>
        <v>0</v>
      </c>
      <c r="BO157" s="2656">
        <f>0</f>
        <v>0</v>
      </c>
      <c r="BP157" s="2657">
        <f>0</f>
        <v>0</v>
      </c>
      <c r="BQ157" s="2656">
        <f>0</f>
        <v>0</v>
      </c>
      <c r="BR157" s="2656">
        <f>0</f>
        <v>0</v>
      </c>
      <c r="BS157" s="2660">
        <f>0</f>
        <v>0</v>
      </c>
      <c r="BT157" s="2660">
        <f>0</f>
        <v>0</v>
      </c>
      <c r="BU157" s="2660">
        <f>0</f>
        <v>0</v>
      </c>
      <c r="BV157" s="2660">
        <f>0</f>
        <v>0</v>
      </c>
      <c r="BW157" s="2656">
        <f>0</f>
        <v>0</v>
      </c>
      <c r="BX157" s="2658">
        <f>0</f>
        <v>0</v>
      </c>
      <c r="BY157" s="2660">
        <f>0</f>
        <v>0</v>
      </c>
      <c r="BZ157" s="2656">
        <f>0</f>
        <v>0</v>
      </c>
      <c r="CA157" s="2656">
        <f>0</f>
        <v>0</v>
      </c>
      <c r="CB157" s="2656">
        <f>0</f>
        <v>0</v>
      </c>
      <c r="CC157" s="2656">
        <f>0</f>
        <v>0</v>
      </c>
      <c r="CD157" s="2656">
        <f>0</f>
        <v>0</v>
      </c>
      <c r="CE157" s="2656">
        <f>0</f>
        <v>0</v>
      </c>
      <c r="CF157" s="2656">
        <f>0</f>
        <v>0</v>
      </c>
      <c r="CG157" s="2656">
        <f>0</f>
        <v>0</v>
      </c>
      <c r="CH157" s="2656">
        <f>0</f>
        <v>0</v>
      </c>
      <c r="CI157" s="2656">
        <f>0</f>
        <v>0</v>
      </c>
      <c r="CJ157" s="2656">
        <f>0</f>
        <v>0</v>
      </c>
      <c r="CK157" s="2656">
        <f>0</f>
        <v>0</v>
      </c>
      <c r="CL157" s="2803">
        <f>b_STC_T*η_bPHA_ana*X_GAO*M_inhSO2_KO2_CASTO*M_inhSNO3_KNO3_CASTO*M_inhSNO2_KNO2_CASTO*M_RsatXPHA_XGAO_KPHA</f>
        <v>3.4871672246134239E-5</v>
      </c>
      <c r="CN157" s="2295">
        <f>E236*E157+F236*F157+G236*G157+H236*H157+I236*I157+J236*J157+K236*K157+L236*L157+M236*M157+N236*N157+O236*O157+P236*P157+Q236*Q157+R236*R157+S236*S157+T236*T157+U236*U157+V236*V157+W236*W157+X236*X157+Y236*Y157+Z236*Z157+AA236*AA157+AB236*AB157+AC236*AC157+AD236*AD157+AE236*AE157+AF236*AF157+AG236*AG157+AH236*AH157+AI236*AI157+AJ236*AJ157+AK236*AK157+AL236*AL157+AM236*AM157+AN236*AN157+AO236*AO157+AP236*AP157+AQ236*AQ157+AR236*AR157+AS236*AS157+AT236*AT157+AU236*AU157+AV236*AV157+AW236*AW157+AX236*AX157+AY236*AY157+AZ236*AZ157+BA236*BA157+BB236*BB157+BC236*BC157+BD236*BD157+BE236*BE157+BF236*BF157+BG236*BG157+BH236*BH157+BI236*BI157+BJ236*BJ157+BK236*BK157+BL236*BL157+BM236*BM157+BN236*BN157+BO236*BO157+BP236*BP157+BQ236*BQ157+BR236*BR157+BS236*BS157+BT236*BT157+BU236*BU157+BV236*BV157+BW236*BW157+BX236*BX157+BY236*BY157+BZ236*BZ157+CA236*CA157+CB236*CB157+CC236*CC157+CD236*CD157+CE236*CE157+CF236*CF157+CG236*CG157+CH236*CH157+CI236*CI157+CJ236*CJ157+CK236*CK157</f>
        <v>0</v>
      </c>
      <c r="CO157" s="2295">
        <f>E237*E157+F237*F157+G237*G157+H237*H157+I237*I157+J237*J157+K237*K157+L237*L157+M237*M157+N237*N157+O237*O157+P237*P157+Q237*Q157+R237*R157+S237*S157+T237*T157+U237*U157+V237*V157+W237*W157+X237*X157+Y237*Y157+Z237*Z157+AA237*AA157+AB237*AB157+AC237*AC157+AD237*AD157+AE237*AE157+AF237*AF157+AG237*AG157+AH237*AH157+AI237*AI157+AJ237*AJ157+AK237*AK157+AL237*AL157+AM237*AM157+AN237*AN157+AO237*AO157+AP237*AP157+AQ237*AQ157+AR237*AR157+AS237*AS157+AT237*AT157+AU237*AU157+AV237*AV157+AW237*AW157+AX237*AX157+AY237*AY157+AZ237*AZ157+BA237*BA157+BB237*BB157+BC237*BC157+BD237*BD157+BE237*BE157+BF237*BF157+BG237*BG157+BH237*BH157+BI237*BI157+BJ237*BJ157+BK237*BK157+BL237*BL157+BM237*BM157+BN237*BN157+BO237*BO157+BP237*BP157+BQ237*BQ157+BR237*BR157+BS237*BS157+BT237*BT157+BU237*BU157+BV237*BV157+BW237*BW157+BX237*BX157+BY237*BY157+BZ237*BZ157+CA237*CA157+CB237*CB157+CC237*CC157+CD237*CD157+CE237*CE157+CF237*CF157+CG237*CG157+CH237*CH157+CI237*CI157+CJ237*CJ157+CK237*CK157</f>
        <v>0</v>
      </c>
      <c r="CP157" s="2296">
        <f>E238*E157+F238*F157+G238*G157+H238*H157+I238*I157+J238*J157+K238*K157+L238*L157+M238*M157+N238*N157+O238*O157+P238*P157+Q238*Q157+R238*R157+S238*S157+T238*T157+U238*U157+V238*V157+W238*W157+X238*X157+Y238*Y157+Z238*Z157+AA238*AA157+AB238*AB157+AC238*AC157+AD238*AD157+AE238*AE157+AF238*AF157+AG238*AG157+AH238*AH157+AI238*AI157+AJ238*AJ157+AK238*AK157+AL238*AL157+AM238*AM157+AN238*AN157+AO238*AO157+AP238*AP157+AQ238*AQ157+AR238*AR157+AS238*AS157+AT238*AT157+AU238*AU157+AV238*AV157+AW238*AW157+AX238*AX157+AY238*AY157+AZ238*AZ157+BA238*BA157+BB238*BB157+BC238*BC157+BD238*BD157+BE238*BE157+BF238*BF157+BG238*BG157+BH238*BH157+BI238*BI157+BJ238*BJ157+BK238*BK157+BL238*BL157+BM238*BM157+BN238*BN157+BO238*BO157+BP238*BP157+BQ238*BQ157+BR238*BR157+BS238*BS157+BT238*BT157+BU238*BU157+BV238*BV157+BW238*BW157+BX238*BX157+BY238*BY157+BZ238*BZ157+CA238*CA157+CB238*CB157+CC238*CC157+CD238*CD157+CE238*CE157+CF238*CF157+CG238*CG157+CH238*CH157+CI238*CI157+CJ238*CJ157+CK238*CK157</f>
        <v>0</v>
      </c>
      <c r="CQ157" s="2297">
        <f>E239*E157+F239*F157+G239*G157+H239*H157+I239*I157+J239*J157+K239*K157+L239*L157+M239*M157+N239*N157+O239*O157+P239*P157+Q239*Q157+R239*R157+S239*S157+T239*T157+U239*U157+V239*V157+W239*W157+X239*X157+Y239*Y157+Z239*Z157+AA239*AA157+AB239*AB157+AC239*AC157+AD239*AD157+AE239*AE157+AF239*AF157+AG239*AG157+AH239*AH157+AI239*AI157+AJ239*AJ157+AK239*AK157+AL239*AL157+AM239*AM157+AN239*AN157+AO239*AO157+AP239*AP157+AQ239*AQ157+AR239*AR157+AS239*AS157+AT239*AT157+AU239*AU157+AV239*AV157+AW239*AW157+AX239*AX157+AY239*AY157+AZ239*AZ157+BA239*BA157+BB239*BB157+BC239*BC157+BD239*BD157+BE239*BE157+BF239*BF157+BG239*BG157+BH239*BH157+BI239*BI157+BJ239*BJ157+BK239*BK157+BL239*BL157+BM239*BM157+BN239*BN157+BO239*BO157+BP239*BP157+BQ239*BQ157+BR239*BR157+BS239*BS157+BT239*BT157+BU239*BU157+BV239*BV157+BW239*BW157+BX239*BX157+BY239*BY157+BZ239*BZ157+CA239*CA157+CB239*CB157+CC239*CC157+CD239*CD157+CE239*CE157+CF239*CF157+CG239*CG157+CH239*CH157+CI239*CI157+CJ239*CJ157+CK239*CK157</f>
        <v>0</v>
      </c>
      <c r="CR157" s="2297">
        <f>E240*E157+F240*F157+G240*G157+H240*H157+I240*I157+J240*J157+K240*K157+L240*L157+M240*M157+N240*N157+O240*O157+P240*P157+Q240*Q157+R240*R157+S240*S157+T240*T157+U240*U157+V240*V157+W240*W157+X240*X157+Y240*Y157+Z240*Z157+AA240*AA157+AB240*AB157+AC240*AC157+AD240*AD157+AE240*AE157+AF240*AF157+AG240*AG157+AH240*AH157+AI240*AI157+AJ240*AJ157+AK240*AK157+AL240*AL157+AM240*AM157+AN240*AN157+AO240*AO157+AP240*AP157+AQ240*AQ157+AR240*AR157+AS240*AS157+AT240*AT157+AU240*AU157+AV240*AV157+AW240*AW157+AX240*AX157+AY240*AY157+AZ240*AZ157+BA240*BA157+BB240*BB157+BC240*BC157+BD240*BD157+BE240*BE157+BF240*BF157+BG240*BG157+BH240*BH157+BI240*BI157+BJ240*BJ157+BK240*BK157+BL240*BL157+BM240*BM157+BN240*BN157+BO240*BO157+BP240*BP157+BQ240*BQ157+BR240*BR157+BS240*BS157+BT240*BT157+BU240*BU157+BV240*BV157+BW240*BW157+BX240*BX157+BY240*BY157+BZ240*BZ157+CA240*CA157+CB240*CB157+CC240*CC157+CD240*CD157+CE240*CE157+CF240*CF157+CG240*CG157+CH240*CH157+CI240*CI157+CJ240*CJ157+CK240*CK157</f>
        <v>0</v>
      </c>
      <c r="CS157" s="2297">
        <f>E241*E157+F241*F157+G241*G157+H241*H157+I241*I157+J241*J157+K241*K157+L241*L157+M241*M157+N241*N157+O241*O157+P241*P157+Q241*Q157+R241*R157+S241*S157+T241*T157+U241*U157+V241*V157+W241*W157+X241*X157+Y241*Y157+Z241*Z157+AA241*AA157+AB241*AB157+AC241*AC157+AD241*AD157+AE241*AE157+AF241*AF157+AG241*AG157+AH241*AH157+AI241*AI157+AJ241*AJ157+AK241*AK157+AL241*AL157+AM241*AM157+AN241*AN157+AO241*AO157+AP241*AP157+AQ241*AQ157+AR241*AR157+AS241*AS157+AT241*AT157+AU241*AU157+AV241*AV157+AW241*AW157+AX241*AX157+AY241*AY157+AZ241*AZ157+BA241*BA157+BB241*BB157+BC241*BC157+BD241*BD157+BE241*BE157+BF241*BF157+BG241*BG157+BH241*BH157+BI241*BI157+BJ241*BJ157+BK241*BK157+BL241*BL157+BM241*BM157+BN241*BN157+BO241*BO157+BP241*BP157+BQ241*BQ157+BR241*BR157+BS241*BS157+BT241*BT157+BU241*BU157+BV241*BV157+BW241*BW157+BX241*BX157+BY241*BY157+BZ241*BZ157+CA241*CA157+CB241*CB157+CC241*CC157+CD241*CD157+CE241*CE157+CF241*CF157+CG241*CG157+CH241*CH157+CI241*CI157+CJ241*CJ157+CK241*CK157</f>
        <v>0</v>
      </c>
      <c r="CT157" s="2297">
        <f>E242*E157+F242*F157+G242*G157+H242*H157+I242*I157+J242*J157+K242*K157+L242*L157+M242*M157+N242*N157+O242*O157+P242*P157+Q242*Q157+R242*R157+S242*S157+T242*T157+U242*U157+V242*V157+W242*W157+X242*X157+Y242*Y157+Z242*Z157+AA242*AA157+AB242*AB157+AC242*AC157+AD242*AD157+AE242*AE157+AF242*AF157+AG242*AG157+AH242*AH157+AI242*AI157+AJ242*AJ157+AK242*AK157+AL242*AL157+AM242*AM157+AN242*AN157+AO242*AO157+AP242*AP157+AQ242*AQ157+AR242*AR157+AS242*AS157+AT242*AT157+AU242*AU157+AV242*AV157+AW242*AW157+AX242*AX157+AY242*AY157+AZ242*AZ157+BA242*BA157+BB242*BB157+BC242*BC157+BD242*BD157+BE242*BE157+BF242*BF157+BG242*BG157+BH242*BH157+BI242*BI157+BJ242*BJ157+BK242*BK157+BL242*BL157+BM242*BM157+BN242*BN157+BO242*BO157+BP242*BP157+BQ242*BQ157+BR242*BR157+BS242*BS157+BT242*BT157+BU242*BU157+BV242*BV157+BW242*BW157+BX242*BX157+BY242*BY157+BZ242*BZ157+CA242*CA157+CB242*CB157+CC242*CC157+CD242*CD157+CE242*CE157+CF242*CF157+CG242*CG157+CH242*CH157+CI242*CI157+CJ242*CJ157+CK242*CK157</f>
        <v>0</v>
      </c>
      <c r="CU157" s="2297">
        <f>E243*E157+F243*F157+G243*G157+H243*H157+I243*I157+J243*J157+K243*K157+L243*L157+M243*M157+N243*N157+O243*O157+P243*P157+Q243*Q157+R243*R157+S243*S157+T243*T157+U243*U157+V243*V157+W243*W157+X243*X157+Y243*Y157+Z243*Z157+AA243*AA157+AB243*AB157+AC243*AC157+AD243*AD157+AE243*AE157+AF243*AF157+AG243*AG157+AH243*AH157+AI243*AI157+AJ243*AJ157+AK243*AK157+AL243*AL157+AM243*AM157+AN243*AN157+AO243*AO157+AP243*AP157+AQ243*AQ157+AR243*AR157+AS243*AS157+AT243*AT157+AU243*AU157+AV243*AV157+AW243*AW157+AX243*AX157+AY243*AY157+AZ243*AZ157+BA243*BA157+BB243*BB157+BC243*BC157+BD243*BD157+BE243*BE157+BF243*BF157+BG243*BG157+BH243*BH157+BI243*BI157+BJ243*BJ157+BK243*BK157+BL243*BL157+BM243*BM157+BN243*BN157+BO243*BO157+BP243*BP157+BQ243*BQ157+BR243*BR157+BS243*BS157+BT243*BT157+BU243*BU157+BV243*BV157+BW243*BW157+BX243*BX157+BY243*BY157+BZ243*BZ157+CA243*CA157+CB243*CB157+CC243*CC157+CD243*CD157+CE243*CE157+CF243*CF157+CG243*CG157+CH243*CH157+CI243*CI157+CJ243*CJ157+CK243*CK157</f>
        <v>0</v>
      </c>
      <c r="CV157" s="2297">
        <f>E244*E157+F244*F157+G244*G157+H244*H157+I244*I157+J244*J157+K244*K157+L244*L157+M244*M157+N244*N157+O244*O157+P244*P157+Q244*Q157+R244*R157+S244*S157+T244*T157+U244*U157+V244*V157+W244*W157+X244*X157+Y244*Y157+Z244*Z157+AA244*AA157+AB244*AB157+AC244*AC157+AD244*AD157+AE244*AE157+AF244*AF157+AG244*AG157+AH244*AH157+AI244*AI157+AJ244*AJ157+AK244*AK157+AL244*AL157+AM244*AM157+AN244*AN157+AO244*AO157+AP244*AP157+AQ244*AQ157+AR244*AR157+AS244*AS157+AT244*AT157+AU244*AU157+AV244*AV157+AW244*AW157+AX244*AX157+AY244*AY157+AZ244*AZ157+BA244*BA157+BB244*BB157+BC244*BC157+BD244*BD157+BE244*BE157+BF244*BF157+BG244*BG157+BH244*BH157+BI244*BI157+BJ244*BJ157+BK244*BK157+BL244*BL157+BM244*BM157+BN244*BN157+BO244*BO157+BP244*BP157+BQ244*BQ157+BR244*BR157+BS244*BS157+BT244*BT157+BU244*BU157+BV244*BV157+BW244*BW157+BX244*BX157+BY244*BY157+BZ244*BZ157+CA244*CA157+CB244*CB157+CC244*CC157+CD244*CD157+CE244*CE157+CF244*CF157+CG244*CG157+CH244*CH157+CI244*CI157+CJ244*CJ157+CK244*CK157</f>
        <v>0</v>
      </c>
      <c r="CW157" s="2297">
        <f>E245*E157+F245*F157+G245*G157+H245*H157+I245*I157+J245*J157+K245*K157+L245*L157+M245*M157+N245*N157+O245*O157+P245*P157+Q245*Q157+R245*R157+S245*S157+T245*T157+U245*U157+V245*V157+W245*W157+X245*X157+Y245*Y157+Z245*Z157+AA245*AA157+AB245*AB157+AC245*AC157+AD245*AD157+AE245*AE157+AF245*AF157+AG245*AG157+AH245*AH157+AI245*AI157+AJ245*AJ157+AK245*AK157+AL245*AL157+AM245*AM157+AN245*AN157+AO245*AO157+AP245*AP157+AQ245*AQ157+AR245*AR157+AS245*AS157+AT245*AT157+AU245*AU157+AV245*AV157+AW245*AW157+AX245*AX157+AY245*AY157+AZ245*AZ157+BA245*BA157+BB245*BB157+BC245*BC157+BD245*BD157+BE245*BE157+BF245*BF157+BG245*BG157+BH245*BH157+BI245*BI157+BJ245*BJ157+BK245*BK157+BL245*BL157+BM245*BM157+BN245*BN157+BO245*BO157+BP245*BP157+BQ245*BQ157+BR245*BR157+BS245*BS157+BT245*BT157+BU245*BU157+BV245*BV157+BW245*BW157+BX245*BX157+BY245*BY157+BZ245*BZ157+CA245*CA157+CB245*CB157+CC245*CC157+CD245*CD157+CE245*CE157+CF245*CF157+CG245*CG157+CH245*CH157+CI245*CI157+CJ245*CJ157+CK245*CK157</f>
        <v>0</v>
      </c>
      <c r="CX157" s="2297">
        <f>E246*E157+F246*F157+G246*G157+H246*H157+I246*I157+J246*J157+K246*K157+L246*L157+M246*M157+N246*N157+O246*O157+P246*P157+Q246*Q157+R246*R157+S246*S157+T246*T157+U246*U157+V246*V157+W246*W157+X246*X157+Y246*Y157+Z246*Z157+AA246*AA157+AB246*AB157+AC246*AC157+AD246*AD157+AE246*AE157+AF246*AF157+AG246*AG157+AH246*AH157+AI246*AI157+AJ246*AJ157+AK246*AK157+AL246*AL157+AM246*AM157+AN246*AN157+AO246*AO157+AP246*AP157+AQ246*AQ157+AR246*AR157+AS246*AS157+AT246*AT157+AU246*AU157+AV246*AV157+AW246*AW157+AX246*AX157+AY246*AY157+AZ246*AZ157+BA246*BA157+BB246*BB157+BC246*BC157+BD246*BD157+BE246*BE157+BF246*BF157+BG246*BG157+BH246*BH157+BI246*BI157+BJ246*BJ157+BK246*BK157+BL246*BL157+BM246*BM157+BN246*BN157+BO246*BO157+BP246*BP157+BQ246*BQ157+BR246*BR157+BS246*BS157+BT246*BT157+BU246*BU157+BV246*BV157+BW246*BW157+BX246*BX157+BY246*BY157+BZ246*BZ157+CA246*CA157+CB246*CB157+CC246*CC157+CD246*CD157+CE246*CE157+CF246*CF157+CG246*CG157+CH246*CH157+CI246*CI157+CJ246*CJ157+CK246*CK157</f>
        <v>0</v>
      </c>
    </row>
    <row r="158" spans="2:102" ht="18" x14ac:dyDescent="0.25">
      <c r="B158" s="1245">
        <v>31</v>
      </c>
      <c r="C158" s="586" t="s">
        <v>1361</v>
      </c>
      <c r="D158" s="587" t="s">
        <v>2181</v>
      </c>
      <c r="E158" s="2656">
        <f>0</f>
        <v>0</v>
      </c>
      <c r="F158" s="2656">
        <f>0</f>
        <v>0</v>
      </c>
      <c r="G158" s="2656">
        <f>0</f>
        <v>0</v>
      </c>
      <c r="H158" s="2656">
        <f>0</f>
        <v>0</v>
      </c>
      <c r="I158" s="2656">
        <f>0</f>
        <v>0</v>
      </c>
      <c r="J158" s="2692">
        <f>0</f>
        <v>0</v>
      </c>
      <c r="K158" s="2656">
        <f>0</f>
        <v>0</v>
      </c>
      <c r="L158" s="2656">
        <f>0</f>
        <v>0</v>
      </c>
      <c r="M158" s="2656">
        <f>0</f>
        <v>0</v>
      </c>
      <c r="N158" s="2656">
        <f>0</f>
        <v>0</v>
      </c>
      <c r="O158" s="2656">
        <f>0</f>
        <v>0</v>
      </c>
      <c r="P158" s="2656">
        <f>0</f>
        <v>0</v>
      </c>
      <c r="Q158" s="2656">
        <f>0</f>
        <v>0</v>
      </c>
      <c r="R158" s="2656">
        <f>0</f>
        <v>0</v>
      </c>
      <c r="S158" s="2656">
        <f>0</f>
        <v>0</v>
      </c>
      <c r="T158" s="2656">
        <f>0</f>
        <v>0</v>
      </c>
      <c r="U158" s="2656">
        <f>0</f>
        <v>0</v>
      </c>
      <c r="V158" s="2656">
        <f>0</f>
        <v>0</v>
      </c>
      <c r="W158" s="2656">
        <f>0</f>
        <v>0</v>
      </c>
      <c r="X158" s="2656">
        <f>0</f>
        <v>0</v>
      </c>
      <c r="Y158" s="2656">
        <f>0</f>
        <v>0</v>
      </c>
      <c r="Z158" s="2660">
        <f>0</f>
        <v>0</v>
      </c>
      <c r="AA158" s="2656">
        <f>0</f>
        <v>0</v>
      </c>
      <c r="AB158" s="2656">
        <f>0</f>
        <v>0</v>
      </c>
      <c r="AC158" s="2656">
        <f>0</f>
        <v>0</v>
      </c>
      <c r="AD158" s="2656">
        <f>0</f>
        <v>0</v>
      </c>
      <c r="AE158" s="2656">
        <f>0</f>
        <v>0</v>
      </c>
      <c r="AF158" s="2656">
        <f>0</f>
        <v>0</v>
      </c>
      <c r="AG158" s="2656">
        <f>0</f>
        <v>0</v>
      </c>
      <c r="AH158" s="2656">
        <f>0</f>
        <v>0</v>
      </c>
      <c r="AI158" s="2656">
        <f>1</f>
        <v>1</v>
      </c>
      <c r="AJ158" s="2656">
        <f>-1</f>
        <v>-1</v>
      </c>
      <c r="AK158" s="2656">
        <f>0</f>
        <v>0</v>
      </c>
      <c r="AL158" s="2656">
        <f>0</f>
        <v>0</v>
      </c>
      <c r="AM158" s="2656">
        <f>0</f>
        <v>0</v>
      </c>
      <c r="AN158" s="2656">
        <f>0</f>
        <v>0</v>
      </c>
      <c r="AO158" s="2656">
        <f>0</f>
        <v>0</v>
      </c>
      <c r="AP158" s="2656">
        <f>0</f>
        <v>0</v>
      </c>
      <c r="AQ158" s="2656">
        <f>0</f>
        <v>0</v>
      </c>
      <c r="AR158" s="2656">
        <f>0</f>
        <v>0</v>
      </c>
      <c r="AS158" s="2656">
        <f>0</f>
        <v>0</v>
      </c>
      <c r="AT158" s="2656">
        <f>0</f>
        <v>0</v>
      </c>
      <c r="AU158" s="2656">
        <f>0</f>
        <v>0</v>
      </c>
      <c r="AV158" s="2704">
        <f>i_Ca_PP*A_MCa/A_MP</f>
        <v>0.12939338702613273</v>
      </c>
      <c r="AW158" s="2704">
        <f>i_Mg_PP*A_MMg/A_MP</f>
        <v>0.27464374347136938</v>
      </c>
      <c r="AX158" s="2704">
        <f>i_K_PP*A_MK/A_MP</f>
        <v>0.12623038734377579</v>
      </c>
      <c r="AY158" s="2656">
        <f>0</f>
        <v>0</v>
      </c>
      <c r="AZ158" s="2656">
        <f>0</f>
        <v>0</v>
      </c>
      <c r="BA158" s="2656">
        <f>0</f>
        <v>0</v>
      </c>
      <c r="BB158" s="2656">
        <f>0</f>
        <v>0</v>
      </c>
      <c r="BC158" s="2656">
        <f>0</f>
        <v>0</v>
      </c>
      <c r="BD158" s="2656">
        <f>0</f>
        <v>0</v>
      </c>
      <c r="BE158" s="2656">
        <f>0</f>
        <v>0</v>
      </c>
      <c r="BF158" s="2656">
        <f>0</f>
        <v>0</v>
      </c>
      <c r="BG158" s="2656">
        <f>0</f>
        <v>0</v>
      </c>
      <c r="BH158" s="2656">
        <f>0</f>
        <v>0</v>
      </c>
      <c r="BI158" s="2656">
        <f>0</f>
        <v>0</v>
      </c>
      <c r="BJ158" s="2656">
        <f>0</f>
        <v>0</v>
      </c>
      <c r="BK158" s="2656">
        <f>0</f>
        <v>0</v>
      </c>
      <c r="BL158" s="2656">
        <f>0</f>
        <v>0</v>
      </c>
      <c r="BM158" s="2656">
        <f>0</f>
        <v>0</v>
      </c>
      <c r="BN158" s="2656">
        <f>0</f>
        <v>0</v>
      </c>
      <c r="BO158" s="2656">
        <f>0</f>
        <v>0</v>
      </c>
      <c r="BP158" s="2657">
        <f>0</f>
        <v>0</v>
      </c>
      <c r="BQ158" s="2656">
        <f>0</f>
        <v>0</v>
      </c>
      <c r="BR158" s="2656">
        <f>0</f>
        <v>0</v>
      </c>
      <c r="BS158" s="2660">
        <f>0</f>
        <v>0</v>
      </c>
      <c r="BT158" s="2660">
        <f>0</f>
        <v>0</v>
      </c>
      <c r="BU158" s="2660">
        <f>0</f>
        <v>0</v>
      </c>
      <c r="BV158" s="2660">
        <f>0</f>
        <v>0</v>
      </c>
      <c r="BW158" s="2656">
        <f>0</f>
        <v>0</v>
      </c>
      <c r="BX158" s="2658">
        <f>0</f>
        <v>0</v>
      </c>
      <c r="BY158" s="2660">
        <f>0</f>
        <v>0</v>
      </c>
      <c r="BZ158" s="2656">
        <f>0</f>
        <v>0</v>
      </c>
      <c r="CA158" s="2656">
        <f>0</f>
        <v>0</v>
      </c>
      <c r="CB158" s="2656">
        <f>0</f>
        <v>0</v>
      </c>
      <c r="CC158" s="2656">
        <f>0</f>
        <v>0</v>
      </c>
      <c r="CD158" s="2656">
        <f>0</f>
        <v>0</v>
      </c>
      <c r="CE158" s="2656">
        <f>0</f>
        <v>0</v>
      </c>
      <c r="CF158" s="2656">
        <f>0</f>
        <v>0</v>
      </c>
      <c r="CG158" s="2656">
        <f>0</f>
        <v>0</v>
      </c>
      <c r="CH158" s="2656">
        <f>0</f>
        <v>0</v>
      </c>
      <c r="CI158" s="2656">
        <f>0</f>
        <v>0</v>
      </c>
      <c r="CJ158" s="2656">
        <f>0</f>
        <v>0</v>
      </c>
      <c r="CK158" s="2656">
        <f>0</f>
        <v>0</v>
      </c>
      <c r="CL158" s="2803">
        <f>b_PP_ana_T*X_PAO*L_ogsatXPP_KPO4_PAO*(η_bPP_aer*M_RinhXPHA_XPAO_KPHA_cle*M_satSO2_KO2_CASTO+η_bPP_anox*M_inhSO2_KO2_CASTO*M_satSNO2_KNO2_CASTO+η_bPP_anox*M_inhSO2_KO2_CASTO*M_satSNO3_KNO3_CASTO*M_inhSNO2_KNO2_CASTO+M_inhSO2_KO2_CASTO*M_inhSNO3_KNO3_CASTO*M_inhSNO2_KNO2_CASTO)</f>
        <v>0.38985063851269147</v>
      </c>
      <c r="CN158" s="2295">
        <f>E236*E158+F236*F158+G236*G158+H236*H158+I236*I158+J236*J158+K236*K158+L236*L158+M236*M158+N236*N158+O236*O158+P236*P158+Q236*Q158+R236*R158+S236*S158+T236*T158+U236*U158+V236*V158+W236*W158+X236*X158+Y236*Y158+Z236*Z158+AA236*AA158+AB236*AB158+AC236*AC158+AD236*AD158+AE236*AE158+AF236*AF158+AG236*AG158+AH236*AH158+AI236*AI158+AJ236*AJ158+AK236*AK158+AL236*AL158+AM236*AM158+AN236*AN158+AO236*AO158+AP236*AP158+AQ236*AQ158+AR236*AR158+AS236*AS158+AT236*AT158+AU236*AU158+AV236*AV158+AW236*AW158+AX236*AX158+AY236*AY158+AZ236*AZ158+BA236*BA158+BB236*BB158+BC236*BC158+BD236*BD158+BE236*BE158+BF236*BF158+BG236*BG158+BH236*BH158+BI236*BI158+BJ236*BJ158+BK236*BK158+BL236*BL158+BM236*BM158+BN236*BN158+BO236*BO158+BP236*BP158+BQ236*BQ158+BR236*BR158+BS236*BS158+BT236*BT158+BU236*BU158+BV236*BV158+BW236*BW158+BX236*BX158+BY236*BY158+BZ236*BZ158+CA236*CA158+CB236*CB158+CC236*CC158+CD236*CD158+CE236*CE158+CF236*CF158+CG236*CG158+CH236*CH158+CI236*CI158+CJ236*CJ158+CK236*CK158</f>
        <v>0</v>
      </c>
      <c r="CO158" s="2295">
        <f>E237*E158+F237*F158+G237*G158+H237*H158+I237*I158+J237*J158+K237*K158+L237*L158+M237*M158+N237*N158+O237*O158+P237*P158+Q237*Q158+R237*R158+S237*S158+T237*T158+U237*U158+V237*V158+W237*W158+X237*X158+Y237*Y158+Z237*Z158+AA237*AA158+AB237*AB158+AC237*AC158+AD237*AD158+AE237*AE158+AF237*AF158+AG237*AG158+AH237*AH158+AI237*AI158+AJ237*AJ158+AK237*AK158+AL237*AL158+AM237*AM158+AN237*AN158+AO237*AO158+AP237*AP158+AQ237*AQ158+AR237*AR158+AS237*AS158+AT237*AT158+AU237*AU158+AV237*AV158+AW237*AW158+AX237*AX158+AY237*AY158+AZ237*AZ158+BA237*BA158+BB237*BB158+BC237*BC158+BD237*BD158+BE237*BE158+BF237*BF158+BG237*BG158+BH237*BH158+BI237*BI158+BJ237*BJ158+BK237*BK158+BL237*BL158+BM237*BM158+BN237*BN158+BO237*BO158+BP237*BP158+BQ237*BQ158+BR237*BR158+BS237*BS158+BT237*BT158+BU237*BU158+BV237*BV158+BW237*BW158+BX237*BX158+BY237*BY158+BZ237*BZ158+CA237*CA158+CB237*CB158+CC237*CC158+CD237*CD158+CE237*CE158+CF237*CF158+CG237*CG158+CH237*CH158+CI237*CI158+CJ237*CJ158+CK237*CK158</f>
        <v>0</v>
      </c>
      <c r="CP158" s="2296">
        <f>E238*E158+F238*F158+G238*G158+H238*H158+I238*I158+J238*J158+K238*K158+L238*L158+M238*M158+N238*N158+O238*O158+P238*P158+Q238*Q158+R238*R158+S238*S158+T238*T158+U238*U158+V238*V158+W238*W158+X238*X158+Y238*Y158+Z238*Z158+AA238*AA158+AB238*AB158+AC238*AC158+AD238*AD158+AE238*AE158+AF238*AF158+AG238*AG158+AH238*AH158+AI238*AI158+AJ238*AJ158+AK238*AK158+AL238*AL158+AM238*AM158+AN238*AN158+AO238*AO158+AP238*AP158+AQ238*AQ158+AR238*AR158+AS238*AS158+AT238*AT158+AU238*AU158+AV238*AV158+AW238*AW158+AX238*AX158+AY238*AY158+AZ238*AZ158+BA238*BA158+BB238*BB158+BC238*BC158+BD238*BD158+BE238*BE158+BF238*BF158+BG238*BG158+BH238*BH158+BI238*BI158+BJ238*BJ158+BK238*BK158+BL238*BL158+BM238*BM158+BN238*BN158+BO238*BO158+BP238*BP158+BQ238*BQ158+BR238*BR158+BS238*BS158+BT238*BT158+BU238*BU158+BV238*BV158+BW238*BW158+BX238*BX158+BY238*BY158+BZ238*BZ158+CA238*CA158+CB238*CB158+CC238*CC158+CD238*CD158+CE238*CE158+CF238*CF158+CG238*CG158+CH238*CH158+CI238*CI158+CJ238*CJ158+CK238*CK158</f>
        <v>0</v>
      </c>
      <c r="CQ158" s="2297">
        <f>E239*E158+F239*F158+G239*G158+H239*H158+I239*I158+J239*J158+K239*K158+L239*L158+M239*M158+N239*N158+O239*O158+P239*P158+Q239*Q158+R239*R158+S239*S158+T239*T158+U239*U158+V239*V158+W239*W158+X239*X158+Y239*Y158+Z239*Z158+AA239*AA158+AB239*AB158+AC239*AC158+AD239*AD158+AE239*AE158+AF239*AF158+AG239*AG158+AH239*AH158+AI239*AI158+AJ239*AJ158+AK239*AK158+AL239*AL158+AM239*AM158+AN239*AN158+AO239*AO158+AP239*AP158+AQ239*AQ158+AR239*AR158+AS239*AS158+AT239*AT158+AU239*AU158+AV239*AV158+AW239*AW158+AX239*AX158+AY239*AY158+AZ239*AZ158+BA239*BA158+BB239*BB158+BC239*BC158+BD239*BD158+BE239*BE158+BF239*BF158+BG239*BG158+BH239*BH158+BI239*BI158+BJ239*BJ158+BK239*BK158+BL239*BL158+BM239*BM158+BN239*BN158+BO239*BO158+BP239*BP158+BQ239*BQ158+BR239*BR158+BS239*BS158+BT239*BT158+BU239*BU158+BV239*BV158+BW239*BW158+BX239*BX158+BY239*BY158+BZ239*BZ158+CA239*CA158+CB239*CB158+CC239*CC158+CD239*CD158+CE239*CE158+CF239*CF158+CG239*CG158+CH239*CH158+CI239*CI158+CJ239*CJ158+CK239*CK158</f>
        <v>0</v>
      </c>
      <c r="CR158" s="2297">
        <f>E240*E158+F240*F158+G240*G158+H240*H158+I240*I158+J240*J158+K240*K158+L240*L158+M240*M158+N240*N158+O240*O158+P240*P158+Q240*Q158+R240*R158+S240*S158+T240*T158+U240*U158+V240*V158+W240*W158+X240*X158+Y240*Y158+Z240*Z158+AA240*AA158+AB240*AB158+AC240*AC158+AD240*AD158+AE240*AE158+AF240*AF158+AG240*AG158+AH240*AH158+AI240*AI158+AJ240*AJ158+AK240*AK158+AL240*AL158+AM240*AM158+AN240*AN158+AO240*AO158+AP240*AP158+AQ240*AQ158+AR240*AR158+AS240*AS158+AT240*AT158+AU240*AU158+AV240*AV158+AW240*AW158+AX240*AX158+AY240*AY158+AZ240*AZ158+BA240*BA158+BB240*BB158+BC240*BC158+BD240*BD158+BE240*BE158+BF240*BF158+BG240*BG158+BH240*BH158+BI240*BI158+BJ240*BJ158+BK240*BK158+BL240*BL158+BM240*BM158+BN240*BN158+BO240*BO158+BP240*BP158+BQ240*BQ158+BR240*BR158+BS240*BS158+BT240*BT158+BU240*BU158+BV240*BV158+BW240*BW158+BX240*BX158+BY240*BY158+BZ240*BZ158+CA240*CA158+CB240*CB158+CC240*CC158+CD240*CD158+CE240*CE158+CF240*CF158+CG240*CG158+CH240*CH158+CI240*CI158+CJ240*CJ158+CK240*CK158</f>
        <v>0</v>
      </c>
      <c r="CS158" s="2297">
        <f>E241*E158+F241*F158+G241*G158+H241*H158+I241*I158+J241*J158+K241*K158+L241*L158+M241*M158+N241*N158+O241*O158+P241*P158+Q241*Q158+R241*R158+S241*S158+T241*T158+U241*U158+V241*V158+W241*W158+X241*X158+Y241*Y158+Z241*Z158+AA241*AA158+AB241*AB158+AC241*AC158+AD241*AD158+AE241*AE158+AF241*AF158+AG241*AG158+AH241*AH158+AI241*AI158+AJ241*AJ158+AK241*AK158+AL241*AL158+AM241*AM158+AN241*AN158+AO241*AO158+AP241*AP158+AQ241*AQ158+AR241*AR158+AS241*AS158+AT241*AT158+AU241*AU158+AV241*AV158+AW241*AW158+AX241*AX158+AY241*AY158+AZ241*AZ158+BA241*BA158+BB241*BB158+BC241*BC158+BD241*BD158+BE241*BE158+BF241*BF158+BG241*BG158+BH241*BH158+BI241*BI158+BJ241*BJ158+BK241*BK158+BL241*BL158+BM241*BM158+BN241*BN158+BO241*BO158+BP241*BP158+BQ241*BQ158+BR241*BR158+BS241*BS158+BT241*BT158+BU241*BU158+BV241*BV158+BW241*BW158+BX241*BX158+BY241*BY158+BZ241*BZ158+CA241*CA158+CB241*CB158+CC241*CC158+CD241*CD158+CE241*CE158+CF241*CF158+CG241*CG158+CH241*CH158+CI241*CI158+CJ241*CJ158+CK241*CK158</f>
        <v>0</v>
      </c>
      <c r="CT158" s="2297">
        <f>E242*E158+F242*F158+G242*G158+H242*H158+I242*I158+J242*J158+K242*K158+L242*L158+M242*M158+N242*N158+O242*O158+P242*P158+Q242*Q158+R242*R158+S242*S158+T242*T158+U242*U158+V242*V158+W242*W158+X242*X158+Y242*Y158+Z242*Z158+AA242*AA158+AB242*AB158+AC242*AC158+AD242*AD158+AE242*AE158+AF242*AF158+AG242*AG158+AH242*AH158+AI242*AI158+AJ242*AJ158+AK242*AK158+AL242*AL158+AM242*AM158+AN242*AN158+AO242*AO158+AP242*AP158+AQ242*AQ158+AR242*AR158+AS242*AS158+AT242*AT158+AU242*AU158+AV242*AV158+AW242*AW158+AX242*AX158+AY242*AY158+AZ242*AZ158+BA242*BA158+BB242*BB158+BC242*BC158+BD242*BD158+BE242*BE158+BF242*BF158+BG242*BG158+BH242*BH158+BI242*BI158+BJ242*BJ158+BK242*BK158+BL242*BL158+BM242*BM158+BN242*BN158+BO242*BO158+BP242*BP158+BQ242*BQ158+BR242*BR158+BS242*BS158+BT242*BT158+BU242*BU158+BV242*BV158+BW242*BW158+BX242*BX158+BY242*BY158+BZ242*BZ158+CA242*CA158+CB242*CB158+CC242*CC158+CD242*CD158+CE242*CE158+CF242*CF158+CG242*CG158+CH242*CH158+CI242*CI158+CJ242*CJ158+CK242*CK158</f>
        <v>0</v>
      </c>
      <c r="CU158" s="2297">
        <f>E243*E158+F243*F158+G243*G158+H243*H158+I243*I158+J243*J158+K243*K158+L243*L158+M243*M158+N243*N158+O243*O158+P243*P158+Q243*Q158+R243*R158+S243*S158+T243*T158+U243*U158+V243*V158+W243*W158+X243*X158+Y243*Y158+Z243*Z158+AA243*AA158+AB243*AB158+AC243*AC158+AD243*AD158+AE243*AE158+AF243*AF158+AG243*AG158+AH243*AH158+AI243*AI158+AJ243*AJ158+AK243*AK158+AL243*AL158+AM243*AM158+AN243*AN158+AO243*AO158+AP243*AP158+AQ243*AQ158+AR243*AR158+AS243*AS158+AT243*AT158+AU243*AU158+AV243*AV158+AW243*AW158+AX243*AX158+AY243*AY158+AZ243*AZ158+BA243*BA158+BB243*BB158+BC243*BC158+BD243*BD158+BE243*BE158+BF243*BF158+BG243*BG158+BH243*BH158+BI243*BI158+BJ243*BJ158+BK243*BK158+BL243*BL158+BM243*BM158+BN243*BN158+BO243*BO158+BP243*BP158+BQ243*BQ158+BR243*BR158+BS243*BS158+BT243*BT158+BU243*BU158+BV243*BV158+BW243*BW158+BX243*BX158+BY243*BY158+BZ243*BZ158+CA243*CA158+CB243*CB158+CC243*CC158+CD243*CD158+CE243*CE158+CF243*CF158+CG243*CG158+CH243*CH158+CI243*CI158+CJ243*CJ158+CK243*CK158</f>
        <v>0</v>
      </c>
      <c r="CV158" s="2297">
        <f>E244*E158+F244*F158+G244*G158+H244*H158+I244*I158+J244*J158+K244*K158+L244*L158+M244*M158+N244*N158+O244*O158+P244*P158+Q244*Q158+R244*R158+S244*S158+T244*T158+U244*U158+V244*V158+W244*W158+X244*X158+Y244*Y158+Z244*Z158+AA244*AA158+AB244*AB158+AC244*AC158+AD244*AD158+AE244*AE158+AF244*AF158+AG244*AG158+AH244*AH158+AI244*AI158+AJ244*AJ158+AK244*AK158+AL244*AL158+AM244*AM158+AN244*AN158+AO244*AO158+AP244*AP158+AQ244*AQ158+AR244*AR158+AS244*AS158+AT244*AT158+AU244*AU158+AV244*AV158+AW244*AW158+AX244*AX158+AY244*AY158+AZ244*AZ158+BA244*BA158+BB244*BB158+BC244*BC158+BD244*BD158+BE244*BE158+BF244*BF158+BG244*BG158+BH244*BH158+BI244*BI158+BJ244*BJ158+BK244*BK158+BL244*BL158+BM244*BM158+BN244*BN158+BO244*BO158+BP244*BP158+BQ244*BQ158+BR244*BR158+BS244*BS158+BT244*BT158+BU244*BU158+BV244*BV158+BW244*BW158+BX244*BX158+BY244*BY158+BZ244*BZ158+CA244*CA158+CB244*CB158+CC244*CC158+CD244*CD158+CE244*CE158+CF244*CF158+CG244*CG158+CH244*CH158+CI244*CI158+CJ244*CJ158+CK244*CK158</f>
        <v>0</v>
      </c>
      <c r="CW158" s="2297">
        <f>E245*E158+F245*F158+G245*G158+H245*H158+I245*I158+J245*J158+K245*K158+L245*L158+M245*M158+N245*N158+O245*O158+P245*P158+Q245*Q158+R245*R158+S245*S158+T245*T158+U245*U158+V245*V158+W245*W158+X245*X158+Y245*Y158+Z245*Z158+AA245*AA158+AB245*AB158+AC245*AC158+AD245*AD158+AE245*AE158+AF245*AF158+AG245*AG158+AH245*AH158+AI245*AI158+AJ245*AJ158+AK245*AK158+AL245*AL158+AM245*AM158+AN245*AN158+AO245*AO158+AP245*AP158+AQ245*AQ158+AR245*AR158+AS245*AS158+AT245*AT158+AU245*AU158+AV245*AV158+AW245*AW158+AX245*AX158+AY245*AY158+AZ245*AZ158+BA245*BA158+BB245*BB158+BC245*BC158+BD245*BD158+BE245*BE158+BF245*BF158+BG245*BG158+BH245*BH158+BI245*BI158+BJ245*BJ158+BK245*BK158+BL245*BL158+BM245*BM158+BN245*BN158+BO245*BO158+BP245*BP158+BQ245*BQ158+BR245*BR158+BS245*BS158+BT245*BT158+BU245*BU158+BV245*BV158+BW245*BW158+BX245*BX158+BY245*BY158+BZ245*BZ158+CA245*CA158+CB245*CB158+CC245*CC158+CD245*CD158+CE245*CE158+CF245*CF158+CG245*CG158+CH245*CH158+CI245*CI158+CJ245*CJ158+CK245*CK158</f>
        <v>0</v>
      </c>
      <c r="CX158" s="2297">
        <f>E246*E158+F246*F158+G246*G158+H246*H158+I246*I158+J246*J158+K246*K158+L246*L158+M246*M158+N246*N158+O246*O158+P246*P158+Q246*Q158+R246*R158+S246*S158+T246*T158+U246*U158+V246*V158+W246*W158+X246*X158+Y246*Y158+Z246*Z158+AA246*AA158+AB246*AB158+AC246*AC158+AD246*AD158+AE246*AE158+AF246*AF158+AG246*AG158+AH246*AH158+AI246*AI158+AJ246*AJ158+AK246*AK158+AL246*AL158+AM246*AM158+AN246*AN158+AO246*AO158+AP246*AP158+AQ246*AQ158+AR246*AR158+AS246*AS158+AT246*AT158+AU246*AU158+AV246*AV158+AW246*AW158+AX246*AX158+AY246*AY158+AZ246*AZ158+BA246*BA158+BB246*BB158+BC246*BC158+BD246*BD158+BE246*BE158+BF246*BF158+BG246*BG158+BH246*BH158+BI246*BI158+BJ246*BJ158+BK246*BK158+BL246*BL158+BM246*BM158+BN246*BN158+BO246*BO158+BP246*BP158+BQ246*BQ158+BR246*BR158+BS246*BS158+BT246*BT158+BU246*BU158+BV246*BV158+BW246*BW158+BX246*BX158+BY246*BY158+BZ246*BZ158+CA246*CA158+CB246*CB158+CC246*CC158+CD246*CD158+CE246*CE158+CF246*CF158+CG246*CG158+CH246*CH158+CI246*CI158+CJ246*CJ158+CK246*CK158</f>
        <v>0</v>
      </c>
    </row>
    <row r="159" spans="2:102" ht="18" x14ac:dyDescent="0.25">
      <c r="B159" s="1245">
        <v>32</v>
      </c>
      <c r="C159" s="586" t="s">
        <v>252</v>
      </c>
      <c r="D159" s="587" t="s">
        <v>3068</v>
      </c>
      <c r="E159" s="2658">
        <f>(1-Y_CASTO_SB_ana-Y_CASTO_H2_ana_high)/Y_CASTO_SB_ana</f>
        <v>5.5</v>
      </c>
      <c r="F159" s="2659">
        <f>-1/Y_CASTO_SB_ana</f>
        <v>-10</v>
      </c>
      <c r="G159" s="2656">
        <f>0</f>
        <v>0</v>
      </c>
      <c r="H159" s="2656">
        <f>0</f>
        <v>0</v>
      </c>
      <c r="I159" s="2656">
        <f>0</f>
        <v>0</v>
      </c>
      <c r="J159" s="2692">
        <f>0</f>
        <v>0</v>
      </c>
      <c r="K159" s="2656">
        <f>0</f>
        <v>0</v>
      </c>
      <c r="L159" s="2656">
        <f>0</f>
        <v>0</v>
      </c>
      <c r="M159" s="2656">
        <f>0</f>
        <v>0</v>
      </c>
      <c r="N159" s="2704">
        <f>1</f>
        <v>1</v>
      </c>
      <c r="O159" s="2704">
        <f>0</f>
        <v>0</v>
      </c>
      <c r="P159" s="2656">
        <f>0</f>
        <v>0</v>
      </c>
      <c r="Q159" s="2656">
        <f>0</f>
        <v>0</v>
      </c>
      <c r="R159" s="2656">
        <f>0</f>
        <v>0</v>
      </c>
      <c r="S159" s="2656">
        <f>0</f>
        <v>0</v>
      </c>
      <c r="T159" s="2656">
        <f>0</f>
        <v>0</v>
      </c>
      <c r="U159" s="2656">
        <f>0</f>
        <v>0</v>
      </c>
      <c r="V159" s="2656">
        <f>0</f>
        <v>0</v>
      </c>
      <c r="W159" s="2656">
        <f>0</f>
        <v>0</v>
      </c>
      <c r="X159" s="2656">
        <f>0</f>
        <v>0</v>
      </c>
      <c r="Y159" s="2656">
        <f>0</f>
        <v>0</v>
      </c>
      <c r="Z159" s="2660">
        <f>0</f>
        <v>0</v>
      </c>
      <c r="AA159" s="2656">
        <f>0</f>
        <v>0</v>
      </c>
      <c r="AB159" s="2704">
        <f>0</f>
        <v>0</v>
      </c>
      <c r="AC159" s="2704">
        <f>0</f>
        <v>0</v>
      </c>
      <c r="AD159" s="2704">
        <f>0</f>
        <v>0</v>
      </c>
      <c r="AE159" s="2656">
        <f>0</f>
        <v>0</v>
      </c>
      <c r="AF159" s="2656">
        <f>0</f>
        <v>0</v>
      </c>
      <c r="AG159" s="2656">
        <f>0</f>
        <v>0</v>
      </c>
      <c r="AH159" s="2656">
        <f>0</f>
        <v>0</v>
      </c>
      <c r="AI159" s="2656">
        <f>0</f>
        <v>0</v>
      </c>
      <c r="AJ159" s="2704">
        <f>0</f>
        <v>0</v>
      </c>
      <c r="AK159" s="2656">
        <f>0</f>
        <v>0</v>
      </c>
      <c r="AL159" s="2656">
        <f>0</f>
        <v>0</v>
      </c>
      <c r="AM159" s="2656">
        <f>0</f>
        <v>0</v>
      </c>
      <c r="AN159" s="2656">
        <f>0</f>
        <v>0</v>
      </c>
      <c r="AO159" s="2656">
        <f>0</f>
        <v>0</v>
      </c>
      <c r="AP159" s="2656">
        <f>0</f>
        <v>0</v>
      </c>
      <c r="AQ159" s="2658">
        <f>Y_CASTO_H2_ana_high/Y_CASTO_SB_ana</f>
        <v>3.4999999999999996</v>
      </c>
      <c r="AR159" s="2658">
        <f>(i_CIT_SB-i_CIT_VFA*(1-Y_CASTO_SB_ana-Y_CASTO_H2_ana_high)-i_CIT_PHA*Y_CASTO_SB_ana)/Y_CASTO_SB_ana</f>
        <v>0.46449999999999952</v>
      </c>
      <c r="AS159" s="2743">
        <f>i_INORG</f>
        <v>0.11</v>
      </c>
      <c r="AT159" s="2743">
        <f>-i_INORG*(1-i_Ca_INORG*(A_MCa+2*A_MCl)/A_MCa-i_Mg_INORG*(A_MMg+2*A_MCl)/A_MMg)*f_Na</f>
        <v>-2.8804303582798466E-2</v>
      </c>
      <c r="AU159" s="2743">
        <f>-i_INORG*(i_Ca_INORG*(2*A_MCl)/A_MCa+i_Mg_INORG*(2*A_MCl)/A_MMg)-i_INORG*(1-i_Ca_INORG*(A_MCa+2*A_MCl)/A_MCa-i_Mg_INORG*(A_MMg+2*A_MCl)/A_MMg)*(1-f_Na)</f>
        <v>-7.0195696417201539E-2</v>
      </c>
      <c r="AV159" s="2743">
        <f>-i_INORG*i_Ca_INORG</f>
        <v>-5.5000000000000005E-3</v>
      </c>
      <c r="AW159" s="2743">
        <f>-i_INORG*i_Mg_INORG</f>
        <v>-5.5000000000000005E-3</v>
      </c>
      <c r="AX159" s="2704">
        <f>0</f>
        <v>0</v>
      </c>
      <c r="AY159" s="2704">
        <f>0</f>
        <v>0</v>
      </c>
      <c r="AZ159" s="2704">
        <f>0</f>
        <v>0</v>
      </c>
      <c r="BA159" s="2704">
        <f>0</f>
        <v>0</v>
      </c>
      <c r="BB159" s="2704">
        <f>0</f>
        <v>0</v>
      </c>
      <c r="BC159" s="2704">
        <f>0</f>
        <v>0</v>
      </c>
      <c r="BD159" s="2704">
        <f>0</f>
        <v>0</v>
      </c>
      <c r="BE159" s="2704">
        <f>0</f>
        <v>0</v>
      </c>
      <c r="BF159" s="2704">
        <f>0</f>
        <v>0</v>
      </c>
      <c r="BG159" s="2704">
        <f>0</f>
        <v>0</v>
      </c>
      <c r="BH159" s="2704">
        <f>0</f>
        <v>0</v>
      </c>
      <c r="BI159" s="2704">
        <f>0</f>
        <v>0</v>
      </c>
      <c r="BJ159" s="2704">
        <f>0</f>
        <v>0</v>
      </c>
      <c r="BK159" s="2704">
        <f>0</f>
        <v>0</v>
      </c>
      <c r="BL159" s="2704">
        <f>0</f>
        <v>0</v>
      </c>
      <c r="BM159" s="2704">
        <f>0</f>
        <v>0</v>
      </c>
      <c r="BN159" s="2704">
        <f>0</f>
        <v>0</v>
      </c>
      <c r="BO159" s="2704">
        <f>0</f>
        <v>0</v>
      </c>
      <c r="BP159" s="2657">
        <f>0</f>
        <v>0</v>
      </c>
      <c r="BQ159" s="2704">
        <f>0</f>
        <v>0</v>
      </c>
      <c r="BR159" s="2704">
        <f>0</f>
        <v>0</v>
      </c>
      <c r="BS159" s="2705">
        <f>0</f>
        <v>0</v>
      </c>
      <c r="BT159" s="2705">
        <f>0</f>
        <v>0</v>
      </c>
      <c r="BU159" s="2705">
        <f>0</f>
        <v>0</v>
      </c>
      <c r="BV159" s="2705">
        <f>0</f>
        <v>0</v>
      </c>
      <c r="BW159" s="2704">
        <f>0</f>
        <v>0</v>
      </c>
      <c r="BX159" s="2659">
        <f>0</f>
        <v>0</v>
      </c>
      <c r="BY159" s="2705">
        <f>0</f>
        <v>0</v>
      </c>
      <c r="BZ159" s="2704">
        <f>0</f>
        <v>0</v>
      </c>
      <c r="CA159" s="2704">
        <f>0</f>
        <v>0</v>
      </c>
      <c r="CB159" s="2704">
        <f>0</f>
        <v>0</v>
      </c>
      <c r="CC159" s="2704">
        <f>0</f>
        <v>0</v>
      </c>
      <c r="CD159" s="2704">
        <f>0</f>
        <v>0</v>
      </c>
      <c r="CE159" s="2704">
        <f>0</f>
        <v>0</v>
      </c>
      <c r="CF159" s="2704">
        <f>0</f>
        <v>0</v>
      </c>
      <c r="CG159" s="2704">
        <f>0</f>
        <v>0</v>
      </c>
      <c r="CH159" s="2704">
        <f>0</f>
        <v>0</v>
      </c>
      <c r="CI159" s="2704">
        <f>0</f>
        <v>0</v>
      </c>
      <c r="CJ159" s="2704">
        <f>0</f>
        <v>0</v>
      </c>
      <c r="CK159" s="2704">
        <f>0</f>
        <v>0</v>
      </c>
      <c r="CL159" s="2803">
        <f>µ_FERM_PAO_T*X_CASTO*actferm_PAO_ORP*L_ogsatSVFA_KVFA_FERM*M_satSB_KSB_ana*M_satSNHx_KNHx_BIO*M_satSPO4_KPO4_BIO*M_satSCAT_KCAT*M_satSAN_KAN*M_satSCa_KCa*M_satSMg_KMg*B_ellinhpH</f>
        <v>1.7821732482926844E-225</v>
      </c>
      <c r="CN159" s="2295">
        <f>E236*E159+F236*F159+G236*G159+H236*H159+I236*I159+J236*J159+K236*K159+L236*L159+M236*M159+N236*N159+O236*O159+P236*P159+Q236*Q159+R236*R159+S236*S159+T236*T159+U236*U159+V236*V159+W236*W159+X236*X159+Y236*Y159+Z236*Z159+AA236*AA159+AB236*AB159+AC236*AC159+AD236*AD159+AE236*AE159+AF236*AF159+AG236*AG159+AH236*AH159+AI236*AI159+AJ236*AJ159+AK236*AK159+AL236*AL159+AM236*AM159+AN236*AN159+AO236*AO159+AP236*AP159+AQ236*AQ159+AR236*AR159+AS236*AS159+AT236*AT159+AU236*AU159+AV236*AV159+AW236*AW159+AX236*AX159+AY236*AY159+AZ236*AZ159+BA236*BA159+BB236*BB159+BC236*BC159+BD236*BD159+BE236*BE159+BF236*BF159+BG236*BG159+BH236*BH159+BI236*BI159+BJ236*BJ159+BK236*BK159+BL236*BL159+BM236*BM159+BN236*BN159+BO236*BO159+BP236*BP159+BQ236*BQ159+BR236*BR159+BS236*BS159+BT236*BT159+BU236*BU159+BV236*BV159+BW236*BW159+BX236*BX159+BY236*BY159+BZ236*BZ159+CA236*CA159+CB236*CB159+CC236*CC159+CD236*CD159+CE236*CE159+CF236*CF159+CG236*CG159+CH236*CH159+CI236*CI159+CJ236*CJ159+CK236*CK159</f>
        <v>-4.4408920985006262E-16</v>
      </c>
      <c r="CO159" s="2295">
        <f>E237*E159+F237*F159+G237*G159+H237*H159+I237*I159+J237*J159+K237*K159+L237*L159+M237*M159+N237*N159+O237*O159+P237*P159+Q237*Q159+R237*R159+S237*S159+T237*T159+U237*U159+V237*V159+W237*W159+X237*X159+Y237*Y159+Z237*Z159+AA237*AA159+AB237*AB159+AC237*AC159+AD237*AD159+AE237*AE159+AF237*AF159+AG237*AG159+AH237*AH159+AI237*AI159+AJ237*AJ159+AK237*AK159+AL237*AL159+AM237*AM159+AN237*AN159+AO237*AO159+AP237*AP159+AQ237*AQ159+AR237*AR159+AS237*AS159+AT237*AT159+AU237*AU159+AV237*AV159+AW237*AW159+AX237*AX159+AY237*AY159+AZ237*AZ159+BA237*BA159+BB237*BB159+BC237*BC159+BD237*BD159+BE237*BE159+BF237*BF159+BG237*BG159+BH237*BH159+BI237*BI159+BJ237*BJ159+BK237*BK159+BL237*BL159+BM237*BM159+BN237*BN159+BO237*BO159+BP237*BP159+BQ237*BQ159+BR237*BR159+BS237*BS159+BT237*BT159+BU237*BU159+BV237*BV159+BW237*BW159+BX237*BX159+BY237*BY159+BZ237*BZ159+CA237*CA159+CB237*CB159+CC237*CC159+CD237*CD159+CE237*CE159+CF237*CF159+CG237*CG159+CH237*CH159+CI237*CI159+CJ237*CJ159+CK237*CK159</f>
        <v>-3.3306690738754696E-16</v>
      </c>
      <c r="CP159" s="2296">
        <f>E238*E159+F238*F159+G238*G159+H238*H159+I238*I159+J238*J159+K238*K159+L238*L159+M238*M159+N238*N159+O238*O159+P238*P159+Q238*Q159+R238*R159+S238*S159+T238*T159+U238*U159+V238*V159+W238*W159+X238*X159+Y238*Y159+Z238*Z159+AA238*AA159+AB238*AB159+AC238*AC159+AD238*AD159+AE238*AE159+AF238*AF159+AG238*AG159+AH238*AH159+AI238*AI159+AJ238*AJ159+AK238*AK159+AL238*AL159+AM238*AM159+AN238*AN159+AO238*AO159+AP238*AP159+AQ238*AQ159+AR238*AR159+AS238*AS159+AT238*AT159+AU238*AU159+AV238*AV159+AW238*AW159+AX238*AX159+AY238*AY159+AZ238*AZ159+BA238*BA159+BB238*BB159+BC238*BC159+BD238*BD159+BE238*BE159+BF238*BF159+BG238*BG159+BH238*BH159+BI238*BI159+BJ238*BJ159+BK238*BK159+BL238*BL159+BM238*BM159+BN238*BN159+BO238*BO159+BP238*BP159+BQ238*BQ159+BR238*BR159+BS238*BS159+BT238*BT159+BU238*BU159+BV238*BV159+BW238*BW159+BX238*BX159+BY238*BY159+BZ238*BZ159+CA238*CA159+CB238*CB159+CC238*CC159+CD238*CD159+CE238*CE159+CF238*CF159+CG238*CG159+CH238*CH159+CI238*CI159+CJ238*CJ159+CK238*CK159</f>
        <v>0</v>
      </c>
      <c r="CQ159" s="2297">
        <f>E239*E159+F239*F159+G239*G159+H239*H159+I239*I159+J239*J159+K239*K159+L239*L159+M239*M159+N239*N159+O239*O159+P239*P159+Q239*Q159+R239*R159+S239*S159+T239*T159+U239*U159+V239*V159+W239*W159+X239*X159+Y239*Y159+Z239*Z159+AA239*AA159+AB239*AB159+AC239*AC159+AD239*AD159+AE239*AE159+AF239*AF159+AG239*AG159+AH239*AH159+AI239*AI159+AJ239*AJ159+AK239*AK159+AL239*AL159+AM239*AM159+AN239*AN159+AO239*AO159+AP239*AP159+AQ239*AQ159+AR239*AR159+AS239*AS159+AT239*AT159+AU239*AU159+AV239*AV159+AW239*AW159+AX239*AX159+AY239*AY159+AZ239*AZ159+BA239*BA159+BB239*BB159+BC239*BC159+BD239*BD159+BE239*BE159+BF239*BF159+BG239*BG159+BH239*BH159+BI239*BI159+BJ239*BJ159+BK239*BK159+BL239*BL159+BM239*BM159+BN239*BN159+BO239*BO159+BP239*BP159+BQ239*BQ159+BR239*BR159+BS239*BS159+BT239*BT159+BU239*BU159+BV239*BV159+BW239*BW159+BX239*BX159+BY239*BY159+BZ239*BZ159+CA239*CA159+CB239*CB159+CC239*CC159+CD239*CD159+CE239*CE159+CF239*CF159+CG239*CG159+CH239*CH159+CI239*CI159+CJ239*CJ159+CK239*CK159</f>
        <v>0</v>
      </c>
      <c r="CR159" s="2297">
        <f>E240*E159+F240*F159+G240*G159+H240*H159+I240*I159+J240*J159+K240*K159+L240*L159+M240*M159+N240*N159+O240*O159+P240*P159+Q240*Q159+R240*R159+S240*S159+T240*T159+U240*U159+V240*V159+W240*W159+X240*X159+Y240*Y159+Z240*Z159+AA240*AA159+AB240*AB159+AC240*AC159+AD240*AD159+AE240*AE159+AF240*AF159+AG240*AG159+AH240*AH159+AI240*AI159+AJ240*AJ159+AK240*AK159+AL240*AL159+AM240*AM159+AN240*AN159+AO240*AO159+AP240*AP159+AQ240*AQ159+AR240*AR159+AS240*AS159+AT240*AT159+AU240*AU159+AV240*AV159+AW240*AW159+AX240*AX159+AY240*AY159+AZ240*AZ159+BA240*BA159+BB240*BB159+BC240*BC159+BD240*BD159+BE240*BE159+BF240*BF159+BG240*BG159+BH240*BH159+BI240*BI159+BJ240*BJ159+BK240*BK159+BL240*BL159+BM240*BM159+BN240*BN159+BO240*BO159+BP240*BP159+BQ240*BQ159+BR240*BR159+BS240*BS159+BT240*BT159+BU240*BU159+BV240*BV159+BW240*BW159+BX240*BX159+BY240*BY159+BZ240*BZ159+CA240*CA159+CB240*CB159+CC240*CC159+CD240*CD159+CE240*CE159+CF240*CF159+CG240*CG159+CH240*CH159+CI240*CI159+CJ240*CJ159+CK240*CK159</f>
        <v>0</v>
      </c>
      <c r="CS159" s="2297">
        <f>E241*E159+F241*F159+G241*G159+H241*H159+I241*I159+J241*J159+K241*K159+L241*L159+M241*M159+N241*N159+O241*O159+P241*P159+Q241*Q159+R241*R159+S241*S159+T241*T159+U241*U159+V241*V159+W241*W159+X241*X159+Y241*Y159+Z241*Z159+AA241*AA159+AB241*AB159+AC241*AC159+AD241*AD159+AE241*AE159+AF241*AF159+AG241*AG159+AH241*AH159+AI241*AI159+AJ241*AJ159+AK241*AK159+AL241*AL159+AM241*AM159+AN241*AN159+AO241*AO159+AP241*AP159+AQ241*AQ159+AR241*AR159+AS241*AS159+AT241*AT159+AU241*AU159+AV241*AV159+AW241*AW159+AX241*AX159+AY241*AY159+AZ241*AZ159+BA241*BA159+BB241*BB159+BC241*BC159+BD241*BD159+BE241*BE159+BF241*BF159+BG241*BG159+BH241*BH159+BI241*BI159+BJ241*BJ159+BK241*BK159+BL241*BL159+BM241*BM159+BN241*BN159+BO241*BO159+BP241*BP159+BQ241*BQ159+BR241*BR159+BS241*BS159+BT241*BT159+BU241*BU159+BV241*BV159+BW241*BW159+BX241*BX159+BY241*BY159+BZ241*BZ159+CA241*CA159+CB241*CB159+CC241*CC159+CD241*CD159+CE241*CE159+CF241*CF159+CG241*CG159+CH241*CH159+CI241*CI159+CJ241*CJ159+CK241*CK159</f>
        <v>0</v>
      </c>
      <c r="CT159" s="2297">
        <f>E242*E159+F242*F159+G242*G159+H242*H159+I242*I159+J242*J159+K242*K159+L242*L159+M242*M159+N242*N159+O242*O159+P242*P159+Q242*Q159+R242*R159+S242*S159+T242*T159+U242*U159+V242*V159+W242*W159+X242*X159+Y242*Y159+Z242*Z159+AA242*AA159+AB242*AB159+AC242*AC159+AD242*AD159+AE242*AE159+AF242*AF159+AG242*AG159+AH242*AH159+AI242*AI159+AJ242*AJ159+AK242*AK159+AL242*AL159+AM242*AM159+AN242*AN159+AO242*AO159+AP242*AP159+AQ242*AQ159+AR242*AR159+AS242*AS159+AT242*AT159+AU242*AU159+AV242*AV159+AW242*AW159+AX242*AX159+AY242*AY159+AZ242*AZ159+BA242*BA159+BB242*BB159+BC242*BC159+BD242*BD159+BE242*BE159+BF242*BF159+BG242*BG159+BH242*BH159+BI242*BI159+BJ242*BJ159+BK242*BK159+BL242*BL159+BM242*BM159+BN242*BN159+BO242*BO159+BP242*BP159+BQ242*BQ159+BR242*BR159+BS242*BS159+BT242*BT159+BU242*BU159+BV242*BV159+BW242*BW159+BX242*BX159+BY242*BY159+BZ242*BZ159+CA242*CA159+CB242*CB159+CC242*CC159+CD242*CD159+CE242*CE159+CF242*CF159+CG242*CG159+CH242*CH159+CI242*CI159+CJ242*CJ159+CK242*CK159</f>
        <v>0</v>
      </c>
      <c r="CU159" s="2297">
        <f>E243*E159+F243*F159+G243*G159+H243*H159+I243*I159+J243*J159+K243*K159+L243*L159+M243*M159+N243*N159+O243*O159+P243*P159+Q243*Q159+R243*R159+S243*S159+T243*T159+U243*U159+V243*V159+W243*W159+X243*X159+Y243*Y159+Z243*Z159+AA243*AA159+AB243*AB159+AC243*AC159+AD243*AD159+AE243*AE159+AF243*AF159+AG243*AG159+AH243*AH159+AI243*AI159+AJ243*AJ159+AK243*AK159+AL243*AL159+AM243*AM159+AN243*AN159+AO243*AO159+AP243*AP159+AQ243*AQ159+AR243*AR159+AS243*AS159+AT243*AT159+AU243*AU159+AV243*AV159+AW243*AW159+AX243*AX159+AY243*AY159+AZ243*AZ159+BA243*BA159+BB243*BB159+BC243*BC159+BD243*BD159+BE243*BE159+BF243*BF159+BG243*BG159+BH243*BH159+BI243*BI159+BJ243*BJ159+BK243*BK159+BL243*BL159+BM243*BM159+BN243*BN159+BO243*BO159+BP243*BP159+BQ243*BQ159+BR243*BR159+BS243*BS159+BT243*BT159+BU243*BU159+BV243*BV159+BW243*BW159+BX243*BX159+BY243*BY159+BZ243*BZ159+CA243*CA159+CB243*CB159+CC243*CC159+CD243*CD159+CE243*CE159+CF243*CF159+CG243*CG159+CH243*CH159+CI243*CI159+CJ243*CJ159+CK243*CK159</f>
        <v>0</v>
      </c>
      <c r="CV159" s="2297">
        <f>E244*E159+F244*F159+G244*G159+H244*H159+I244*I159+J244*J159+K244*K159+L244*L159+M244*M159+N244*N159+O244*O159+P244*P159+Q244*Q159+R244*R159+S244*S159+T244*T159+U244*U159+V244*V159+W244*W159+X244*X159+Y244*Y159+Z244*Z159+AA244*AA159+AB244*AB159+AC244*AC159+AD244*AD159+AE244*AE159+AF244*AF159+AG244*AG159+AH244*AH159+AI244*AI159+AJ244*AJ159+AK244*AK159+AL244*AL159+AM244*AM159+AN244*AN159+AO244*AO159+AP244*AP159+AQ244*AQ159+AR244*AR159+AS244*AS159+AT244*AT159+AU244*AU159+AV244*AV159+AW244*AW159+AX244*AX159+AY244*AY159+AZ244*AZ159+BA244*BA159+BB244*BB159+BC244*BC159+BD244*BD159+BE244*BE159+BF244*BF159+BG244*BG159+BH244*BH159+BI244*BI159+BJ244*BJ159+BK244*BK159+BL244*BL159+BM244*BM159+BN244*BN159+BO244*BO159+BP244*BP159+BQ244*BQ159+BR244*BR159+BS244*BS159+BT244*BT159+BU244*BU159+BV244*BV159+BW244*BW159+BX244*BX159+BY244*BY159+BZ244*BZ159+CA244*CA159+CB244*CB159+CC244*CC159+CD244*CD159+CE244*CE159+CF244*CF159+CG244*CG159+CH244*CH159+CI244*CI159+CJ244*CJ159+CK244*CK159</f>
        <v>0</v>
      </c>
      <c r="CW159" s="2297">
        <f>E245*E159+F245*F159+G245*G159+H245*H159+I245*I159+J245*J159+K245*K159+L245*L159+M245*M159+N245*N159+O245*O159+P245*P159+Q245*Q159+R245*R159+S245*S159+T245*T159+U245*U159+V245*V159+W245*W159+X245*X159+Y245*Y159+Z245*Z159+AA245*AA159+AB245*AB159+AC245*AC159+AD245*AD159+AE245*AE159+AF245*AF159+AG245*AG159+AH245*AH159+AI245*AI159+AJ245*AJ159+AK245*AK159+AL245*AL159+AM245*AM159+AN245*AN159+AO245*AO159+AP245*AP159+AQ245*AQ159+AR245*AR159+AS245*AS159+AT245*AT159+AU245*AU159+AV245*AV159+AW245*AW159+AX245*AX159+AY245*AY159+AZ245*AZ159+BA245*BA159+BB245*BB159+BC245*BC159+BD245*BD159+BE245*BE159+BF245*BF159+BG245*BG159+BH245*BH159+BI245*BI159+BJ245*BJ159+BK245*BK159+BL245*BL159+BM245*BM159+BN245*BN159+BO245*BO159+BP245*BP159+BQ245*BQ159+BR245*BR159+BS245*BS159+BT245*BT159+BU245*BU159+BV245*BV159+BW245*BW159+BX245*BX159+BY245*BY159+BZ245*BZ159+CA245*CA159+CB245*CB159+CC245*CC159+CD245*CD159+CE245*CE159+CF245*CF159+CG245*CG159+CH245*CH159+CI245*CI159+CJ245*CJ159+CK245*CK159</f>
        <v>0</v>
      </c>
      <c r="CX159" s="2297">
        <f>E246*E159+F246*F159+G246*G159+H246*H159+I246*I159+J246*J159+K246*K159+L246*L159+M246*M159+N246*N159+O246*O159+P246*P159+Q246*Q159+R246*R159+S246*S159+T246*T159+U246*U159+V246*V159+W246*W159+X246*X159+Y246*Y159+Z246*Z159+AA246*AA159+AB246*AB159+AC246*AC159+AD246*AD159+AE246*AE159+AF246*AF159+AG246*AG159+AH246*AH159+AI246*AI159+AJ246*AJ159+AK246*AK159+AL246*AL159+AM246*AM159+AN246*AN159+AO246*AO159+AP246*AP159+AQ246*AQ159+AR246*AR159+AS246*AS159+AT246*AT159+AU246*AU159+AV246*AV159+AW246*AW159+AX246*AX159+AY246*AY159+AZ246*AZ159+BA246*BA159+BB246*BB159+BC246*BC159+BD246*BD159+BE246*BE159+BF246*BF159+BG246*BG159+BH246*BH159+BI246*BI159+BJ246*BJ159+BK246*BK159+BL246*BL159+BM246*BM159+BN246*BN159+BO246*BO159+BP246*BP159+BQ246*BQ159+BR246*BR159+BS246*BS159+BT246*BT159+BU246*BU159+BV246*BV159+BW246*BW159+BX246*BX159+BY246*BY159+BZ246*BZ159+CA246*CA159+CB246*CB159+CC246*CC159+CD246*CD159+CE246*CE159+CF246*CF159+CG246*CG159+CH246*CH159+CI246*CI159+CJ246*CJ159+CK246*CK159</f>
        <v>0</v>
      </c>
    </row>
    <row r="160" spans="2:102" ht="18" x14ac:dyDescent="0.25">
      <c r="B160" s="1245">
        <v>33</v>
      </c>
      <c r="C160" s="586" t="s">
        <v>253</v>
      </c>
      <c r="D160" s="587" t="s">
        <v>3069</v>
      </c>
      <c r="E160" s="2658">
        <f>(1-Y_CASTO_SB_ana-Y_CASTO_H2_ana_low)/Y_CASTO_SB_ana</f>
        <v>8</v>
      </c>
      <c r="F160" s="2659">
        <f>-1/Y_CASTO_SB_ana</f>
        <v>-10</v>
      </c>
      <c r="G160" s="2656">
        <f>0</f>
        <v>0</v>
      </c>
      <c r="H160" s="2656">
        <f>0</f>
        <v>0</v>
      </c>
      <c r="I160" s="2656">
        <f>0</f>
        <v>0</v>
      </c>
      <c r="J160" s="2692">
        <f>0</f>
        <v>0</v>
      </c>
      <c r="K160" s="2656">
        <f>0</f>
        <v>0</v>
      </c>
      <c r="L160" s="2656">
        <f>0</f>
        <v>0</v>
      </c>
      <c r="M160" s="2656">
        <f>0</f>
        <v>0</v>
      </c>
      <c r="N160" s="2704">
        <f>1</f>
        <v>1</v>
      </c>
      <c r="O160" s="2704">
        <f>0</f>
        <v>0</v>
      </c>
      <c r="P160" s="2656">
        <f>0</f>
        <v>0</v>
      </c>
      <c r="Q160" s="2656">
        <f>0</f>
        <v>0</v>
      </c>
      <c r="R160" s="2656">
        <f>0</f>
        <v>0</v>
      </c>
      <c r="S160" s="2656">
        <f>0</f>
        <v>0</v>
      </c>
      <c r="T160" s="2656">
        <f>0</f>
        <v>0</v>
      </c>
      <c r="U160" s="2656">
        <f>0</f>
        <v>0</v>
      </c>
      <c r="V160" s="2656">
        <f>0</f>
        <v>0</v>
      </c>
      <c r="W160" s="2656">
        <f>0</f>
        <v>0</v>
      </c>
      <c r="X160" s="2656">
        <f>0</f>
        <v>0</v>
      </c>
      <c r="Y160" s="2656">
        <f>0</f>
        <v>0</v>
      </c>
      <c r="Z160" s="2660">
        <f>0</f>
        <v>0</v>
      </c>
      <c r="AA160" s="2656">
        <f>0</f>
        <v>0</v>
      </c>
      <c r="AB160" s="2704">
        <f>0</f>
        <v>0</v>
      </c>
      <c r="AC160" s="2704">
        <f>0</f>
        <v>0</v>
      </c>
      <c r="AD160" s="2704">
        <f>0</f>
        <v>0</v>
      </c>
      <c r="AE160" s="2656">
        <f>0</f>
        <v>0</v>
      </c>
      <c r="AF160" s="2656">
        <f>0</f>
        <v>0</v>
      </c>
      <c r="AG160" s="2656">
        <f>0</f>
        <v>0</v>
      </c>
      <c r="AH160" s="2656">
        <f>0</f>
        <v>0</v>
      </c>
      <c r="AI160" s="2656">
        <f>0</f>
        <v>0</v>
      </c>
      <c r="AJ160" s="2704">
        <f>0</f>
        <v>0</v>
      </c>
      <c r="AK160" s="2656">
        <f>0</f>
        <v>0</v>
      </c>
      <c r="AL160" s="2656">
        <f>0</f>
        <v>0</v>
      </c>
      <c r="AM160" s="2656">
        <f>0</f>
        <v>0</v>
      </c>
      <c r="AN160" s="2656">
        <f>0</f>
        <v>0</v>
      </c>
      <c r="AO160" s="2656">
        <f>0</f>
        <v>0</v>
      </c>
      <c r="AP160" s="2656">
        <f>0</f>
        <v>0</v>
      </c>
      <c r="AQ160" s="2658">
        <f>Y_CASTO_H2_ana_low/Y_CASTO_SB_ana</f>
        <v>1</v>
      </c>
      <c r="AR160" s="2658">
        <f>(i_CIT_SB-i_CIT_VFA*(1-Y_CASTO_SB_ana-Y_CASTO_H2_ana_low)-i_CIT_PHA*Y_CASTO_SB_ana)/Y_CASTO_SB_ana</f>
        <v>-0.4730000000000007</v>
      </c>
      <c r="AS160" s="2743">
        <f>i_INORG</f>
        <v>0.11</v>
      </c>
      <c r="AT160" s="2743">
        <f>-i_INORG*(1-i_Ca_INORG*(A_MCa+2*A_MCl)/A_MCa-i_Mg_INORG*(A_MMg+2*A_MCl)/A_MMg)*f_Na</f>
        <v>-2.8804303582798466E-2</v>
      </c>
      <c r="AU160" s="2743">
        <f>-i_INORG*(i_Ca_INORG*(2*A_MCl)/A_MCa+i_Mg_INORG*(2*A_MCl)/A_MMg)-i_INORG*(1-i_Ca_INORG*(A_MCa+2*A_MCl)/A_MCa-i_Mg_INORG*(A_MMg+2*A_MCl)/A_MMg)*(1-f_Na)</f>
        <v>-7.0195696417201539E-2</v>
      </c>
      <c r="AV160" s="2743">
        <f>-i_INORG*i_Ca_INORG</f>
        <v>-5.5000000000000005E-3</v>
      </c>
      <c r="AW160" s="2743">
        <f>-i_INORG*i_Mg_INORG</f>
        <v>-5.5000000000000005E-3</v>
      </c>
      <c r="AX160" s="2704">
        <f>0</f>
        <v>0</v>
      </c>
      <c r="AY160" s="2704">
        <f>0</f>
        <v>0</v>
      </c>
      <c r="AZ160" s="2704">
        <f>0</f>
        <v>0</v>
      </c>
      <c r="BA160" s="2704">
        <f>0</f>
        <v>0</v>
      </c>
      <c r="BB160" s="2704">
        <f>0</f>
        <v>0</v>
      </c>
      <c r="BC160" s="2704">
        <f>0</f>
        <v>0</v>
      </c>
      <c r="BD160" s="2704">
        <f>0</f>
        <v>0</v>
      </c>
      <c r="BE160" s="2704">
        <f>0</f>
        <v>0</v>
      </c>
      <c r="BF160" s="2704">
        <f>0</f>
        <v>0</v>
      </c>
      <c r="BG160" s="2704">
        <f>0</f>
        <v>0</v>
      </c>
      <c r="BH160" s="2704">
        <f>0</f>
        <v>0</v>
      </c>
      <c r="BI160" s="2704">
        <f>0</f>
        <v>0</v>
      </c>
      <c r="BJ160" s="2704">
        <f>0</f>
        <v>0</v>
      </c>
      <c r="BK160" s="2704">
        <f>0</f>
        <v>0</v>
      </c>
      <c r="BL160" s="2704">
        <f>0</f>
        <v>0</v>
      </c>
      <c r="BM160" s="2704">
        <f>0</f>
        <v>0</v>
      </c>
      <c r="BN160" s="2704">
        <f>0</f>
        <v>0</v>
      </c>
      <c r="BO160" s="2704">
        <f>0</f>
        <v>0</v>
      </c>
      <c r="BP160" s="2657">
        <f>0</f>
        <v>0</v>
      </c>
      <c r="BQ160" s="2704">
        <f>0</f>
        <v>0</v>
      </c>
      <c r="BR160" s="2704">
        <f>0</f>
        <v>0</v>
      </c>
      <c r="BS160" s="2705">
        <f>0</f>
        <v>0</v>
      </c>
      <c r="BT160" s="2705">
        <f>0</f>
        <v>0</v>
      </c>
      <c r="BU160" s="2705">
        <f>0</f>
        <v>0</v>
      </c>
      <c r="BV160" s="2705">
        <f>0</f>
        <v>0</v>
      </c>
      <c r="BW160" s="2704">
        <f>0</f>
        <v>0</v>
      </c>
      <c r="BX160" s="2659">
        <f>0</f>
        <v>0</v>
      </c>
      <c r="BY160" s="2705">
        <f>0</f>
        <v>0</v>
      </c>
      <c r="BZ160" s="2704">
        <f>0</f>
        <v>0</v>
      </c>
      <c r="CA160" s="2704">
        <f>0</f>
        <v>0</v>
      </c>
      <c r="CB160" s="2704">
        <f>0</f>
        <v>0</v>
      </c>
      <c r="CC160" s="2704">
        <f>0</f>
        <v>0</v>
      </c>
      <c r="CD160" s="2704">
        <f>0</f>
        <v>0</v>
      </c>
      <c r="CE160" s="2704">
        <f>0</f>
        <v>0</v>
      </c>
      <c r="CF160" s="2704">
        <f>0</f>
        <v>0</v>
      </c>
      <c r="CG160" s="2704">
        <f>0</f>
        <v>0</v>
      </c>
      <c r="CH160" s="2704">
        <f>0</f>
        <v>0</v>
      </c>
      <c r="CI160" s="2704">
        <f>0</f>
        <v>0</v>
      </c>
      <c r="CJ160" s="2704">
        <f>0</f>
        <v>0</v>
      </c>
      <c r="CK160" s="2704">
        <f>0</f>
        <v>0</v>
      </c>
      <c r="CL160" s="2803">
        <f>µ_FERM_PAO_T*X_CASTO*actferm_PAO_ORP*L_oginhSVFA_KVFA_FERM*M_satSB_KSB_ana*M_satSNHx_KNHx_BIO*M_satSPO4_KPO4_BIO*M_satSCAT_KCAT*M_satSAN_KAN*M_satSCa_KCa*M_satSMg_KMg*M_satSCO2_KCO2_BIO*B_ellinhpH</f>
        <v>3.917406641298463E-9</v>
      </c>
      <c r="CN160" s="2295">
        <f>E236*E160+F236*F160+G236*G160+H236*H160+I236*I160+J236*J160+K236*K160+L236*L160+M236*M160+N236*N160+O236*O160+P236*P160+Q236*Q160+R236*R160+S236*S160+T236*T160+U236*U160+V236*V160+W236*W160+X236*X160+Y236*Y160+Z236*Z160+AA236*AA160+AB236*AB160+AC236*AC160+AD236*AD160+AE236*AE160+AF236*AF160+AG236*AG160+AH236*AH160+AI236*AI160+AJ236*AJ160+AK236*AK160+AL236*AL160+AM236*AM160+AN236*AN160+AO236*AO160+AP236*AP160+AQ236*AQ160+AR236*AR160+AS236*AS160+AT236*AT160+AU236*AU160+AV236*AV160+AW236*AW160+AX236*AX160+AY236*AY160+AZ236*AZ160+BA236*BA160+BB236*BB160+BC236*BC160+BD236*BD160+BE236*BE160+BF236*BF160+BG236*BG160+BH236*BH160+BI236*BI160+BJ236*BJ160+BK236*BK160+BL236*BL160+BM236*BM160+BN236*BN160+BO236*BO160+BP236*BP160+BQ236*BQ160+BR236*BR160+BS236*BS160+BT236*BT160+BU236*BU160+BV236*BV160+BW236*BW160+BX236*BX160+BY236*BY160+BZ236*BZ160+CA236*CA160+CB236*CB160+CC236*CC160+CD236*CD160+CE236*CE160+CF236*CF160+CG236*CG160+CH236*CH160+CI236*CI160+CJ236*CJ160+CK236*CK160</f>
        <v>0</v>
      </c>
      <c r="CO160" s="2295">
        <f>E237*E160+F237*F160+G237*G160+H237*H160+I237*I160+J237*J160+K237*K160+L237*L160+M237*M160+N237*N160+O237*O160+P237*P160+Q237*Q160+R237*R160+S237*S160+T237*T160+U237*U160+V237*V160+W237*W160+X237*X160+Y237*Y160+Z237*Z160+AA237*AA160+AB237*AB160+AC237*AC160+AD237*AD160+AE237*AE160+AF237*AF160+AG237*AG160+AH237*AH160+AI237*AI160+AJ237*AJ160+AK237*AK160+AL237*AL160+AM237*AM160+AN237*AN160+AO237*AO160+AP237*AP160+AQ237*AQ160+AR237*AR160+AS237*AS160+AT237*AT160+AU237*AU160+AV237*AV160+AW237*AW160+AX237*AX160+AY237*AY160+AZ237*AZ160+BA237*BA160+BB237*BB160+BC237*BC160+BD237*BD160+BE237*BE160+BF237*BF160+BG237*BG160+BH237*BH160+BI237*BI160+BJ237*BJ160+BK237*BK160+BL237*BL160+BM237*BM160+BN237*BN160+BO237*BO160+BP237*BP160+BQ237*BQ160+BR237*BR160+BS237*BS160+BT237*BT160+BU237*BU160+BV237*BV160+BW237*BW160+BX237*BX160+BY237*BY160+BZ237*BZ160+CA237*CA160+CB237*CB160+CC237*CC160+CD237*CD160+CE237*CE160+CF237*CF160+CG237*CG160+CH237*CH160+CI237*CI160+CJ237*CJ160+CK237*CK160</f>
        <v>-5.5511151231257827E-16</v>
      </c>
      <c r="CP160" s="2296">
        <f>E238*E160+F238*F160+G238*G160+H238*H160+I238*I160+J238*J160+K238*K160+L238*L160+M238*M160+N238*N160+O238*O160+P238*P160+Q238*Q160+R238*R160+S238*S160+T238*T160+U238*U160+V238*V160+W238*W160+X238*X160+Y238*Y160+Z238*Z160+AA238*AA160+AB238*AB160+AC238*AC160+AD238*AD160+AE238*AE160+AF238*AF160+AG238*AG160+AH238*AH160+AI238*AI160+AJ238*AJ160+AK238*AK160+AL238*AL160+AM238*AM160+AN238*AN160+AO238*AO160+AP238*AP160+AQ238*AQ160+AR238*AR160+AS238*AS160+AT238*AT160+AU238*AU160+AV238*AV160+AW238*AW160+AX238*AX160+AY238*AY160+AZ238*AZ160+BA238*BA160+BB238*BB160+BC238*BC160+BD238*BD160+BE238*BE160+BF238*BF160+BG238*BG160+BH238*BH160+BI238*BI160+BJ238*BJ160+BK238*BK160+BL238*BL160+BM238*BM160+BN238*BN160+BO238*BO160+BP238*BP160+BQ238*BQ160+BR238*BR160+BS238*BS160+BT238*BT160+BU238*BU160+BV238*BV160+BW238*BW160+BX238*BX160+BY238*BY160+BZ238*BZ160+CA238*CA160+CB238*CB160+CC238*CC160+CD238*CD160+CE238*CE160+CF238*CF160+CG238*CG160+CH238*CH160+CI238*CI160+CJ238*CJ160+CK238*CK160</f>
        <v>0</v>
      </c>
      <c r="CQ160" s="2297">
        <f>E239*E160+F239*F160+G239*G160+H239*H160+I239*I160+J239*J160+K239*K160+L239*L160+M239*M160+N239*N160+O239*O160+P239*P160+Q239*Q160+R239*R160+S239*S160+T239*T160+U239*U160+V239*V160+W239*W160+X239*X160+Y239*Y160+Z239*Z160+AA239*AA160+AB239*AB160+AC239*AC160+AD239*AD160+AE239*AE160+AF239*AF160+AG239*AG160+AH239*AH160+AI239*AI160+AJ239*AJ160+AK239*AK160+AL239*AL160+AM239*AM160+AN239*AN160+AO239*AO160+AP239*AP160+AQ239*AQ160+AR239*AR160+AS239*AS160+AT239*AT160+AU239*AU160+AV239*AV160+AW239*AW160+AX239*AX160+AY239*AY160+AZ239*AZ160+BA239*BA160+BB239*BB160+BC239*BC160+BD239*BD160+BE239*BE160+BF239*BF160+BG239*BG160+BH239*BH160+BI239*BI160+BJ239*BJ160+BK239*BK160+BL239*BL160+BM239*BM160+BN239*BN160+BO239*BO160+BP239*BP160+BQ239*BQ160+BR239*BR160+BS239*BS160+BT239*BT160+BU239*BU160+BV239*BV160+BW239*BW160+BX239*BX160+BY239*BY160+BZ239*BZ160+CA239*CA160+CB239*CB160+CC239*CC160+CD239*CD160+CE239*CE160+CF239*CF160+CG239*CG160+CH239*CH160+CI239*CI160+CJ239*CJ160+CK239*CK160</f>
        <v>0</v>
      </c>
      <c r="CR160" s="2297">
        <f>E240*E160+F240*F160+G240*G160+H240*H160+I240*I160+J240*J160+K240*K160+L240*L160+M240*M160+N240*N160+O240*O160+P240*P160+Q240*Q160+R240*R160+S240*S160+T240*T160+U240*U160+V240*V160+W240*W160+X240*X160+Y240*Y160+Z240*Z160+AA240*AA160+AB240*AB160+AC240*AC160+AD240*AD160+AE240*AE160+AF240*AF160+AG240*AG160+AH240*AH160+AI240*AI160+AJ240*AJ160+AK240*AK160+AL240*AL160+AM240*AM160+AN240*AN160+AO240*AO160+AP240*AP160+AQ240*AQ160+AR240*AR160+AS240*AS160+AT240*AT160+AU240*AU160+AV240*AV160+AW240*AW160+AX240*AX160+AY240*AY160+AZ240*AZ160+BA240*BA160+BB240*BB160+BC240*BC160+BD240*BD160+BE240*BE160+BF240*BF160+BG240*BG160+BH240*BH160+BI240*BI160+BJ240*BJ160+BK240*BK160+BL240*BL160+BM240*BM160+BN240*BN160+BO240*BO160+BP240*BP160+BQ240*BQ160+BR240*BR160+BS240*BS160+BT240*BT160+BU240*BU160+BV240*BV160+BW240*BW160+BX240*BX160+BY240*BY160+BZ240*BZ160+CA240*CA160+CB240*CB160+CC240*CC160+CD240*CD160+CE240*CE160+CF240*CF160+CG240*CG160+CH240*CH160+CI240*CI160+CJ240*CJ160+CK240*CK160</f>
        <v>0</v>
      </c>
      <c r="CS160" s="2297">
        <f>E241*E160+F241*F160+G241*G160+H241*H160+I241*I160+J241*J160+K241*K160+L241*L160+M241*M160+N241*N160+O241*O160+P241*P160+Q241*Q160+R241*R160+S241*S160+T241*T160+U241*U160+V241*V160+W241*W160+X241*X160+Y241*Y160+Z241*Z160+AA241*AA160+AB241*AB160+AC241*AC160+AD241*AD160+AE241*AE160+AF241*AF160+AG241*AG160+AH241*AH160+AI241*AI160+AJ241*AJ160+AK241*AK160+AL241*AL160+AM241*AM160+AN241*AN160+AO241*AO160+AP241*AP160+AQ241*AQ160+AR241*AR160+AS241*AS160+AT241*AT160+AU241*AU160+AV241*AV160+AW241*AW160+AX241*AX160+AY241*AY160+AZ241*AZ160+BA241*BA160+BB241*BB160+BC241*BC160+BD241*BD160+BE241*BE160+BF241*BF160+BG241*BG160+BH241*BH160+BI241*BI160+BJ241*BJ160+BK241*BK160+BL241*BL160+BM241*BM160+BN241*BN160+BO241*BO160+BP241*BP160+BQ241*BQ160+BR241*BR160+BS241*BS160+BT241*BT160+BU241*BU160+BV241*BV160+BW241*BW160+BX241*BX160+BY241*BY160+BZ241*BZ160+CA241*CA160+CB241*CB160+CC241*CC160+CD241*CD160+CE241*CE160+CF241*CF160+CG241*CG160+CH241*CH160+CI241*CI160+CJ241*CJ160+CK241*CK160</f>
        <v>0</v>
      </c>
      <c r="CT160" s="2297">
        <f>E242*E160+F242*F160+G242*G160+H242*H160+I242*I160+J242*J160+K242*K160+L242*L160+M242*M160+N242*N160+O242*O160+P242*P160+Q242*Q160+R242*R160+S242*S160+T242*T160+U242*U160+V242*V160+W242*W160+X242*X160+Y242*Y160+Z242*Z160+AA242*AA160+AB242*AB160+AC242*AC160+AD242*AD160+AE242*AE160+AF242*AF160+AG242*AG160+AH242*AH160+AI242*AI160+AJ242*AJ160+AK242*AK160+AL242*AL160+AM242*AM160+AN242*AN160+AO242*AO160+AP242*AP160+AQ242*AQ160+AR242*AR160+AS242*AS160+AT242*AT160+AU242*AU160+AV242*AV160+AW242*AW160+AX242*AX160+AY242*AY160+AZ242*AZ160+BA242*BA160+BB242*BB160+BC242*BC160+BD242*BD160+BE242*BE160+BF242*BF160+BG242*BG160+BH242*BH160+BI242*BI160+BJ242*BJ160+BK242*BK160+BL242*BL160+BM242*BM160+BN242*BN160+BO242*BO160+BP242*BP160+BQ242*BQ160+BR242*BR160+BS242*BS160+BT242*BT160+BU242*BU160+BV242*BV160+BW242*BW160+BX242*BX160+BY242*BY160+BZ242*BZ160+CA242*CA160+CB242*CB160+CC242*CC160+CD242*CD160+CE242*CE160+CF242*CF160+CG242*CG160+CH242*CH160+CI242*CI160+CJ242*CJ160+CK242*CK160</f>
        <v>0</v>
      </c>
      <c r="CU160" s="2297">
        <f>E243*E160+F243*F160+G243*G160+H243*H160+I243*I160+J243*J160+K243*K160+L243*L160+M243*M160+N243*N160+O243*O160+P243*P160+Q243*Q160+R243*R160+S243*S160+T243*T160+U243*U160+V243*V160+W243*W160+X243*X160+Y243*Y160+Z243*Z160+AA243*AA160+AB243*AB160+AC243*AC160+AD243*AD160+AE243*AE160+AF243*AF160+AG243*AG160+AH243*AH160+AI243*AI160+AJ243*AJ160+AK243*AK160+AL243*AL160+AM243*AM160+AN243*AN160+AO243*AO160+AP243*AP160+AQ243*AQ160+AR243*AR160+AS243*AS160+AT243*AT160+AU243*AU160+AV243*AV160+AW243*AW160+AX243*AX160+AY243*AY160+AZ243*AZ160+BA243*BA160+BB243*BB160+BC243*BC160+BD243*BD160+BE243*BE160+BF243*BF160+BG243*BG160+BH243*BH160+BI243*BI160+BJ243*BJ160+BK243*BK160+BL243*BL160+BM243*BM160+BN243*BN160+BO243*BO160+BP243*BP160+BQ243*BQ160+BR243*BR160+BS243*BS160+BT243*BT160+BU243*BU160+BV243*BV160+BW243*BW160+BX243*BX160+BY243*BY160+BZ243*BZ160+CA243*CA160+CB243*CB160+CC243*CC160+CD243*CD160+CE243*CE160+CF243*CF160+CG243*CG160+CH243*CH160+CI243*CI160+CJ243*CJ160+CK243*CK160</f>
        <v>0</v>
      </c>
      <c r="CV160" s="2297">
        <f>E244*E160+F244*F160+G244*G160+H244*H160+I244*I160+J244*J160+K244*K160+L244*L160+M244*M160+N244*N160+O244*O160+P244*P160+Q244*Q160+R244*R160+S244*S160+T244*T160+U244*U160+V244*V160+W244*W160+X244*X160+Y244*Y160+Z244*Z160+AA244*AA160+AB244*AB160+AC244*AC160+AD244*AD160+AE244*AE160+AF244*AF160+AG244*AG160+AH244*AH160+AI244*AI160+AJ244*AJ160+AK244*AK160+AL244*AL160+AM244*AM160+AN244*AN160+AO244*AO160+AP244*AP160+AQ244*AQ160+AR244*AR160+AS244*AS160+AT244*AT160+AU244*AU160+AV244*AV160+AW244*AW160+AX244*AX160+AY244*AY160+AZ244*AZ160+BA244*BA160+BB244*BB160+BC244*BC160+BD244*BD160+BE244*BE160+BF244*BF160+BG244*BG160+BH244*BH160+BI244*BI160+BJ244*BJ160+BK244*BK160+BL244*BL160+BM244*BM160+BN244*BN160+BO244*BO160+BP244*BP160+BQ244*BQ160+BR244*BR160+BS244*BS160+BT244*BT160+BU244*BU160+BV244*BV160+BW244*BW160+BX244*BX160+BY244*BY160+BZ244*BZ160+CA244*CA160+CB244*CB160+CC244*CC160+CD244*CD160+CE244*CE160+CF244*CF160+CG244*CG160+CH244*CH160+CI244*CI160+CJ244*CJ160+CK244*CK160</f>
        <v>0</v>
      </c>
      <c r="CW160" s="2297">
        <f>E245*E160+F245*F160+G245*G160+H245*H160+I245*I160+J245*J160+K245*K160+L245*L160+M245*M160+N245*N160+O245*O160+P245*P160+Q245*Q160+R245*R160+S245*S160+T245*T160+U245*U160+V245*V160+W245*W160+X245*X160+Y245*Y160+Z245*Z160+AA245*AA160+AB245*AB160+AC245*AC160+AD245*AD160+AE245*AE160+AF245*AF160+AG245*AG160+AH245*AH160+AI245*AI160+AJ245*AJ160+AK245*AK160+AL245*AL160+AM245*AM160+AN245*AN160+AO245*AO160+AP245*AP160+AQ245*AQ160+AR245*AR160+AS245*AS160+AT245*AT160+AU245*AU160+AV245*AV160+AW245*AW160+AX245*AX160+AY245*AY160+AZ245*AZ160+BA245*BA160+BB245*BB160+BC245*BC160+BD245*BD160+BE245*BE160+BF245*BF160+BG245*BG160+BH245*BH160+BI245*BI160+BJ245*BJ160+BK245*BK160+BL245*BL160+BM245*BM160+BN245*BN160+BO245*BO160+BP245*BP160+BQ245*BQ160+BR245*BR160+BS245*BS160+BT245*BT160+BU245*BU160+BV245*BV160+BW245*BW160+BX245*BX160+BY245*BY160+BZ245*BZ160+CA245*CA160+CB245*CB160+CC245*CC160+CD245*CD160+CE245*CE160+CF245*CF160+CG245*CG160+CH245*CH160+CI245*CI160+CJ245*CJ160+CK245*CK160</f>
        <v>0</v>
      </c>
      <c r="CX160" s="2297">
        <f>E246*E160+F246*F160+G246*G160+H246*H160+I246*I160+J246*J160+K246*K160+L246*L160+M246*M160+N246*N160+O246*O160+P246*P160+Q246*Q160+R246*R160+S246*S160+T246*T160+U246*U160+V246*V160+W246*W160+X246*X160+Y246*Y160+Z246*Z160+AA246*AA160+AB246*AB160+AC246*AC160+AD246*AD160+AE246*AE160+AF246*AF160+AG246*AG160+AH246*AH160+AI246*AI160+AJ246*AJ160+AK246*AK160+AL246*AL160+AM246*AM160+AN246*AN160+AO246*AO160+AP246*AP160+AQ246*AQ160+AR246*AR160+AS246*AS160+AT246*AT160+AU246*AU160+AV246*AV160+AW246*AW160+AX246*AX160+AY246*AY160+AZ246*AZ160+BA246*BA160+BB246*BB160+BC246*BC160+BD246*BD160+BE246*BE160+BF246*BF160+BG246*BG160+BH246*BH160+BI246*BI160+BJ246*BJ160+BK246*BK160+BL246*BL160+BM246*BM160+BN246*BN160+BO246*BO160+BP246*BP160+BQ246*BQ160+BR246*BR160+BS246*BS160+BT246*BT160+BU246*BU160+BV246*BV160+BW246*BW160+BX246*BX160+BY246*BY160+BZ246*BZ160+CA246*CA160+CB246*CB160+CC246*CC160+CD246*CD160+CE246*CE160+CF246*CF160+CG246*CG160+CH246*CH160+CI246*CI160+CJ246*CJ160+CK246*CK160</f>
        <v>0</v>
      </c>
    </row>
    <row r="161" spans="2:102" ht="18" x14ac:dyDescent="0.25">
      <c r="B161" s="1245">
        <v>34</v>
      </c>
      <c r="C161" s="586" t="s">
        <v>4270</v>
      </c>
      <c r="D161" s="587" t="s">
        <v>4219</v>
      </c>
      <c r="E161" s="2659">
        <f>X_STC/X_CASTO</f>
        <v>4.5999999999999999E-2</v>
      </c>
      <c r="F161" s="2656">
        <f>0</f>
        <v>0</v>
      </c>
      <c r="G161" s="2656">
        <f>0</f>
        <v>0</v>
      </c>
      <c r="H161" s="2656">
        <f>0</f>
        <v>0</v>
      </c>
      <c r="I161" s="2656">
        <f>0</f>
        <v>0</v>
      </c>
      <c r="J161" s="2656">
        <f>1-f_E</f>
        <v>0.92</v>
      </c>
      <c r="K161" s="2656">
        <f>0</f>
        <v>0</v>
      </c>
      <c r="L161" s="2656">
        <f>0</f>
        <v>0</v>
      </c>
      <c r="M161" s="2656">
        <f>0</f>
        <v>0</v>
      </c>
      <c r="N161" s="2659">
        <f>-X_PHA_PAO/X_CASTO</f>
        <v>-0.04</v>
      </c>
      <c r="O161" s="2659">
        <f>-X_PHA_GAO/X_CASTO</f>
        <v>-6.0000000000000001E-3</v>
      </c>
      <c r="P161" s="2656">
        <f>f_E</f>
        <v>0.08</v>
      </c>
      <c r="Q161" s="2656">
        <f>0</f>
        <v>0</v>
      </c>
      <c r="R161" s="2656">
        <f>0</f>
        <v>0</v>
      </c>
      <c r="S161" s="2656">
        <f>-1</f>
        <v>-1</v>
      </c>
      <c r="T161" s="2656">
        <f>0</f>
        <v>0</v>
      </c>
      <c r="U161" s="2656">
        <f>0</f>
        <v>0</v>
      </c>
      <c r="V161" s="2656">
        <f>0</f>
        <v>0</v>
      </c>
      <c r="W161" s="2656">
        <f>0</f>
        <v>0</v>
      </c>
      <c r="X161" s="2656">
        <f>0</f>
        <v>0</v>
      </c>
      <c r="Y161" s="2656">
        <f>0</f>
        <v>0</v>
      </c>
      <c r="Z161" s="2660">
        <f>0</f>
        <v>0</v>
      </c>
      <c r="AA161" s="2656">
        <f>-f_E*(i_N_XE-i_N_BIO)</f>
        <v>8.0000000000000069E-4</v>
      </c>
      <c r="AB161" s="2656">
        <f>0</f>
        <v>0</v>
      </c>
      <c r="AC161" s="2656">
        <f>0</f>
        <v>0</v>
      </c>
      <c r="AD161" s="2656">
        <f>0</f>
        <v>0</v>
      </c>
      <c r="AE161" s="2656">
        <f>0</f>
        <v>0</v>
      </c>
      <c r="AF161" s="2656">
        <f>0</f>
        <v>0</v>
      </c>
      <c r="AG161" s="2656">
        <f>(1-f_E)*i_N_BIO</f>
        <v>6.4400000000000013E-2</v>
      </c>
      <c r="AH161" s="2656">
        <f>0</f>
        <v>0</v>
      </c>
      <c r="AI161" s="2659">
        <f>X_PP/X_CASTO</f>
        <v>0.12</v>
      </c>
      <c r="AJ161" s="2659">
        <f>-X_PP/X_CASTO</f>
        <v>-0.12</v>
      </c>
      <c r="AK161" s="2656">
        <f>0</f>
        <v>0</v>
      </c>
      <c r="AL161" s="2656">
        <f>0</f>
        <v>0</v>
      </c>
      <c r="AM161" s="2656">
        <f>(1-f_E)*i_P_BIO</f>
        <v>1.84E-2</v>
      </c>
      <c r="AN161" s="2656">
        <f>0</f>
        <v>0</v>
      </c>
      <c r="AO161" s="2656">
        <f>0</f>
        <v>0</v>
      </c>
      <c r="AP161" s="2656">
        <f>0</f>
        <v>0</v>
      </c>
      <c r="AQ161" s="2656">
        <f>0</f>
        <v>0</v>
      </c>
      <c r="AR161" s="2692">
        <f>(1-f_E)*(i_CIT_BIO-i_CIT_XBe)+(i_CIT_STC-i_CIT_VFA)*X_STC/X_CASTO</f>
        <v>5.8788000000000007E-2</v>
      </c>
      <c r="AS161" s="2692">
        <f>0</f>
        <v>0</v>
      </c>
      <c r="AT161" s="2746">
        <f>0</f>
        <v>0</v>
      </c>
      <c r="AU161" s="2746">
        <f>0</f>
        <v>0</v>
      </c>
      <c r="AV161" s="2746">
        <f>X_PP*A_MCa/A_MP*i_Ca_PP/X_CASTO</f>
        <v>1.5527206443135931E-2</v>
      </c>
      <c r="AW161" s="2746">
        <f>X_PP*A_MMg/A_MP*i_Mg_PP/X_CASTO</f>
        <v>3.295724921656433E-2</v>
      </c>
      <c r="AX161" s="2746">
        <f>X_PP*A_MK/A_MP*i_K_PP/X_CASTO</f>
        <v>1.5147646481253094E-2</v>
      </c>
      <c r="AY161" s="2656">
        <f>0</f>
        <v>0</v>
      </c>
      <c r="AZ161" s="2656">
        <f>0</f>
        <v>0</v>
      </c>
      <c r="BA161" s="2656">
        <f>0</f>
        <v>0</v>
      </c>
      <c r="BB161" s="2656">
        <f>0</f>
        <v>0</v>
      </c>
      <c r="BC161" s="2656">
        <f>0</f>
        <v>0</v>
      </c>
      <c r="BD161" s="2656">
        <f>0</f>
        <v>0</v>
      </c>
      <c r="BE161" s="2656">
        <f>0</f>
        <v>0</v>
      </c>
      <c r="BF161" s="2656">
        <f>0</f>
        <v>0</v>
      </c>
      <c r="BG161" s="2656">
        <f>0</f>
        <v>0</v>
      </c>
      <c r="BH161" s="2656">
        <f>0</f>
        <v>0</v>
      </c>
      <c r="BI161" s="2656">
        <f>0</f>
        <v>0</v>
      </c>
      <c r="BJ161" s="2656">
        <f>0</f>
        <v>0</v>
      </c>
      <c r="BK161" s="2656">
        <f>0</f>
        <v>0</v>
      </c>
      <c r="BL161" s="2656">
        <f>0</f>
        <v>0</v>
      </c>
      <c r="BM161" s="2656">
        <f>0</f>
        <v>0</v>
      </c>
      <c r="BN161" s="2656">
        <f>0</f>
        <v>0</v>
      </c>
      <c r="BO161" s="2656">
        <f>0</f>
        <v>0</v>
      </c>
      <c r="BP161" s="2657">
        <f>0</f>
        <v>0</v>
      </c>
      <c r="BQ161" s="2656">
        <f>0</f>
        <v>0</v>
      </c>
      <c r="BR161" s="2656">
        <f>0</f>
        <v>0</v>
      </c>
      <c r="BS161" s="2660">
        <f>0</f>
        <v>0</v>
      </c>
      <c r="BT161" s="2660">
        <f>0</f>
        <v>0</v>
      </c>
      <c r="BU161" s="2660">
        <f>0</f>
        <v>0</v>
      </c>
      <c r="BV161" s="2660">
        <f>0</f>
        <v>0</v>
      </c>
      <c r="BW161" s="2656">
        <f>0</f>
        <v>0</v>
      </c>
      <c r="BX161" s="2658">
        <f>0</f>
        <v>0</v>
      </c>
      <c r="BY161" s="2660">
        <f>0</f>
        <v>0</v>
      </c>
      <c r="BZ161" s="2656">
        <f>0</f>
        <v>0</v>
      </c>
      <c r="CA161" s="2656">
        <f>0</f>
        <v>0</v>
      </c>
      <c r="CB161" s="2656">
        <f>0</f>
        <v>0</v>
      </c>
      <c r="CC161" s="2656">
        <f>0</f>
        <v>0</v>
      </c>
      <c r="CD161" s="2656">
        <f>0</f>
        <v>0</v>
      </c>
      <c r="CE161" s="2656">
        <f>0</f>
        <v>0</v>
      </c>
      <c r="CF161" s="2656">
        <f>0</f>
        <v>0</v>
      </c>
      <c r="CG161" s="2656">
        <f>0</f>
        <v>0</v>
      </c>
      <c r="CH161" s="2656">
        <f>0</f>
        <v>0</v>
      </c>
      <c r="CI161" s="2656">
        <f>0</f>
        <v>0</v>
      </c>
      <c r="CJ161" s="2656">
        <f>0</f>
        <v>0</v>
      </c>
      <c r="CK161" s="2656">
        <f>0</f>
        <v>0</v>
      </c>
      <c r="CL161" s="2803">
        <f>b_CASTO_T*M_RinhXSTC_XCASTO_KSTC*(X_CASTO*M_satSO2_KO2_CASTO+η_bCASTO_anox*(X_GAO+X_PAO*M_RinhXPP_XPAO_KPP)*(M_satSNO2_KNO2_CASTO+M_inhSNO2_KNO2_CASTO*M_satSNO3_KNO3_CASTO)*M_inhSO2_KO2_CASTO)</f>
        <v>26.791831827110222</v>
      </c>
      <c r="CN161" s="2295">
        <f>E236*E161+F236*F161+G236*G161+H236*H161+I236*I161+J236*J161+K236*K161+L236*L161+M236*M161+N236*N161+O236*O161+P236*P161+Q236*Q161+R236*R161+S236*S161+T236*T161+U236*U161+V236*V161+W236*W161+X236*X161+Y236*Y161+Z236*Z161+AA236*AA161+AB236*AB161+AC236*AC161+AD236*AD161+AE236*AE161+AF236*AF161+AG236*AG161+AH236*AH161+AI236*AI161+AJ236*AJ161+AK236*AK161+AL236*AL161+AM236*AM161+AN236*AN161+AO236*AO161+AP236*AP161+AQ236*AQ161+AR236*AR161+AS236*AS161+AT236*AT161+AU236*AU161+AV236*AV161+AW236*AW161+AX236*AX161+AY236*AY161+AZ236*AZ161+BA236*BA161+BB236*BB161+BC236*BC161+BD236*BD161+BE236*BE161+BF236*BF161+BG236*BG161+BH236*BH161+BI236*BI161+BJ236*BJ161+BK236*BK161+BL236*BL161+BM236*BM161+BN236*BN161+BO236*BO161+BP236*BP161+BQ236*BQ161+BR236*BR161+BS236*BS161+BT236*BT161+BU236*BU161+BV236*BV161+BW236*BW161+BX236*BX161+BY236*BY161+BZ236*BZ161+CA236*CA161+CB236*CB161+CC236*CC161+CD236*CD161+CE236*CE161+CF236*CF161+CG236*CG161+CH236*CH161+CI236*CI161+CJ236*CJ161+CK236*CK161</f>
        <v>0</v>
      </c>
      <c r="CO161" s="2295">
        <f>E237*E161+F237*F161+G237*G161+H237*H161+I237*I161+J237*J161+K237*K161+L237*L161+M237*M161+N237*N161+O237*O161+P237*P161+Q237*Q161+R237*R161+S237*S161+T237*T161+U237*U161+V237*V161+W237*W161+X237*X161+Y237*Y161+Z237*Z161+AA237*AA161+AB237*AB161+AC237*AC161+AD237*AD161+AE237*AE161+AF237*AF161+AG237*AG161+AH237*AH161+AI237*AI161+AJ237*AJ161+AK237*AK161+AL237*AL161+AM237*AM161+AN237*AN161+AO237*AO161+AP237*AP161+AQ237*AQ161+AR237*AR161+AS237*AS161+AT237*AT161+AU237*AU161+AV237*AV161+AW237*AW161+AX237*AX161+AY237*AY161+AZ237*AZ161+BA237*BA161+BB237*BB161+BC237*BC161+BD237*BD161+BE237*BE161+BF237*BF161+BG237*BG161+BH237*BH161+BI237*BI161+BJ237*BJ161+BK237*BK161+BL237*BL161+BM237*BM161+BN237*BN161+BO237*BO161+BP237*BP161+BQ237*BQ161+BR237*BR161+BS237*BS161+BT237*BT161+BU237*BU161+BV237*BV161+BW237*BW161+BX237*BX161+BY237*BY161+BZ237*BZ161+CA237*CA161+CB237*CB161+CC237*CC161+CD237*CD161+CE237*CE161+CF237*CF161+CG237*CG161+CH237*CH161+CI237*CI161+CJ237*CJ161+CK237*CK161</f>
        <v>0</v>
      </c>
      <c r="CP161" s="2296">
        <f>E238*E161+F238*F161+G238*G161+H238*H161+I238*I161+J238*J161+K238*K161+L238*L161+M238*M161+N238*N161+O238*O161+P238*P161+Q238*Q161+R238*R161+S238*S161+T238*T161+U238*U161+V238*V161+W238*W161+X238*X161+Y238*Y161+Z238*Z161+AA238*AA161+AB238*AB161+AC238*AC161+AD238*AD161+AE238*AE161+AF238*AF161+AG238*AG161+AH238*AH161+AI238*AI161+AJ238*AJ161+AK238*AK161+AL238*AL161+AM238*AM161+AN238*AN161+AO238*AO161+AP238*AP161+AQ238*AQ161+AR238*AR161+AS238*AS161+AT238*AT161+AU238*AU161+AV238*AV161+AW238*AW161+AX238*AX161+AY238*AY161+AZ238*AZ161+BA238*BA161+BB238*BB161+BC238*BC161+BD238*BD161+BE238*BE161+BF238*BF161+BG238*BG161+BH238*BH161+BI238*BI161+BJ238*BJ161+BK238*BK161+BL238*BL161+BM238*BM161+BN238*BN161+BO238*BO161+BP238*BP161+BQ238*BQ161+BR238*BR161+BS238*BS161+BT238*BT161+BU238*BU161+BV238*BV161+BW238*BW161+BX238*BX161+BY238*BY161+BZ238*BZ161+CA238*CA161+CB238*CB161+CC238*CC161+CD238*CD161+CE238*CE161+CF238*CF161+CG238*CG161+CH238*CH161+CI238*CI161+CJ238*CJ161+CK238*CK161</f>
        <v>0</v>
      </c>
      <c r="CQ161" s="2297">
        <f>E239*E161+F239*F161+G239*G161+H239*H161+I239*I161+J239*J161+K239*K161+L239*L161+M239*M161+N239*N161+O239*O161+P239*P161+Q239*Q161+R239*R161+S239*S161+T239*T161+U239*U161+V239*V161+W239*W161+X239*X161+Y239*Y161+Z239*Z161+AA239*AA161+AB239*AB161+AC239*AC161+AD239*AD161+AE239*AE161+AF239*AF161+AG239*AG161+AH239*AH161+AI239*AI161+AJ239*AJ161+AK239*AK161+AL239*AL161+AM239*AM161+AN239*AN161+AO239*AO161+AP239*AP161+AQ239*AQ161+AR239*AR161+AS239*AS161+AT239*AT161+AU239*AU161+AV239*AV161+AW239*AW161+AX239*AX161+AY239*AY161+AZ239*AZ161+BA239*BA161+BB239*BB161+BC239*BC161+BD239*BD161+BE239*BE161+BF239*BF161+BG239*BG161+BH239*BH161+BI239*BI161+BJ239*BJ161+BK239*BK161+BL239*BL161+BM239*BM161+BN239*BN161+BO239*BO161+BP239*BP161+BQ239*BQ161+BR239*BR161+BS239*BS161+BT239*BT161+BU239*BU161+BV239*BV161+BW239*BW161+BX239*BX161+BY239*BY161+BZ239*BZ161+CA239*CA161+CB239*CB161+CC239*CC161+CD239*CD161+CE239*CE161+CF239*CF161+CG239*CG161+CH239*CH161+CI239*CI161+CJ239*CJ161+CK239*CK161</f>
        <v>0</v>
      </c>
      <c r="CR161" s="2297">
        <f>E240*E161+F240*F161+G240*G161+H240*H161+I240*I161+J240*J161+K240*K161+L240*L161+M240*M161+N240*N161+O240*O161+P240*P161+Q240*Q161+R240*R161+S240*S161+T240*T161+U240*U161+V240*V161+W240*W161+X240*X161+Y240*Y161+Z240*Z161+AA240*AA161+AB240*AB161+AC240*AC161+AD240*AD161+AE240*AE161+AF240*AF161+AG240*AG161+AH240*AH161+AI240*AI161+AJ240*AJ161+AK240*AK161+AL240*AL161+AM240*AM161+AN240*AN161+AO240*AO161+AP240*AP161+AQ240*AQ161+AR240*AR161+AS240*AS161+AT240*AT161+AU240*AU161+AV240*AV161+AW240*AW161+AX240*AX161+AY240*AY161+AZ240*AZ161+BA240*BA161+BB240*BB161+BC240*BC161+BD240*BD161+BE240*BE161+BF240*BF161+BG240*BG161+BH240*BH161+BI240*BI161+BJ240*BJ161+BK240*BK161+BL240*BL161+BM240*BM161+BN240*BN161+BO240*BO161+BP240*BP161+BQ240*BQ161+BR240*BR161+BS240*BS161+BT240*BT161+BU240*BU161+BV240*BV161+BW240*BW161+BX240*BX161+BY240*BY161+BZ240*BZ161+CA240*CA161+CB240*CB161+CC240*CC161+CD240*CD161+CE240*CE161+CF240*CF161+CG240*CG161+CH240*CH161+CI240*CI161+CJ240*CJ161+CK240*CK161</f>
        <v>0</v>
      </c>
      <c r="CS161" s="2297">
        <f>E241*E161+F241*F161+G241*G161+H241*H161+I241*I161+J241*J161+K241*K161+L241*L161+M241*M161+N241*N161+O241*O161+P241*P161+Q241*Q161+R241*R161+S241*S161+T241*T161+U241*U161+V241*V161+W241*W161+X241*X161+Y241*Y161+Z241*Z161+AA241*AA161+AB241*AB161+AC241*AC161+AD241*AD161+AE241*AE161+AF241*AF161+AG241*AG161+AH241*AH161+AI241*AI161+AJ241*AJ161+AK241*AK161+AL241*AL161+AM241*AM161+AN241*AN161+AO241*AO161+AP241*AP161+AQ241*AQ161+AR241*AR161+AS241*AS161+AT241*AT161+AU241*AU161+AV241*AV161+AW241*AW161+AX241*AX161+AY241*AY161+AZ241*AZ161+BA241*BA161+BB241*BB161+BC241*BC161+BD241*BD161+BE241*BE161+BF241*BF161+BG241*BG161+BH241*BH161+BI241*BI161+BJ241*BJ161+BK241*BK161+BL241*BL161+BM241*BM161+BN241*BN161+BO241*BO161+BP241*BP161+BQ241*BQ161+BR241*BR161+BS241*BS161+BT241*BT161+BU241*BU161+BV241*BV161+BW241*BW161+BX241*BX161+BY241*BY161+BZ241*BZ161+CA241*CA161+CB241*CB161+CC241*CC161+CD241*CD161+CE241*CE161+CF241*CF161+CG241*CG161+CH241*CH161+CI241*CI161+CJ241*CJ161+CK241*CK161</f>
        <v>0</v>
      </c>
      <c r="CT161" s="2297">
        <f>E242*E161+F242*F161+G242*G161+H242*H161+I242*I161+J242*J161+K242*K161+L242*L161+M242*M161+N242*N161+O242*O161+P242*P161+Q242*Q161+R242*R161+S242*S161+T242*T161+U242*U161+V242*V161+W242*W161+X242*X161+Y242*Y161+Z242*Z161+AA242*AA161+AB242*AB161+AC242*AC161+AD242*AD161+AE242*AE161+AF242*AF161+AG242*AG161+AH242*AH161+AI242*AI161+AJ242*AJ161+AK242*AK161+AL242*AL161+AM242*AM161+AN242*AN161+AO242*AO161+AP242*AP161+AQ242*AQ161+AR242*AR161+AS242*AS161+AT242*AT161+AU242*AU161+AV242*AV161+AW242*AW161+AX242*AX161+AY242*AY161+AZ242*AZ161+BA242*BA161+BB242*BB161+BC242*BC161+BD242*BD161+BE242*BE161+BF242*BF161+BG242*BG161+BH242*BH161+BI242*BI161+BJ242*BJ161+BK242*BK161+BL242*BL161+BM242*BM161+BN242*BN161+BO242*BO161+BP242*BP161+BQ242*BQ161+BR242*BR161+BS242*BS161+BT242*BT161+BU242*BU161+BV242*BV161+BW242*BW161+BX242*BX161+BY242*BY161+BZ242*BZ161+CA242*CA161+CB242*CB161+CC242*CC161+CD242*CD161+CE242*CE161+CF242*CF161+CG242*CG161+CH242*CH161+CI242*CI161+CJ242*CJ161+CK242*CK161</f>
        <v>3.4694469519536142E-18</v>
      </c>
      <c r="CU161" s="2297">
        <f>E243*E161+F243*F161+G243*G161+H243*H161+I243*I161+J243*J161+K243*K161+L243*L161+M243*M161+N243*N161+O243*O161+P243*P161+Q243*Q161+R243*R161+S243*S161+T243*T161+U243*U161+V243*V161+W243*W161+X243*X161+Y243*Y161+Z243*Z161+AA243*AA161+AB243*AB161+AC243*AC161+AD243*AD161+AE243*AE161+AF243*AF161+AG243*AG161+AH243*AH161+AI243*AI161+AJ243*AJ161+AK243*AK161+AL243*AL161+AM243*AM161+AN243*AN161+AO243*AO161+AP243*AP161+AQ243*AQ161+AR243*AR161+AS243*AS161+AT243*AT161+AU243*AU161+AV243*AV161+AW243*AW161+AX243*AX161+AY243*AY161+AZ243*AZ161+BA243*BA161+BB243*BB161+BC243*BC161+BD243*BD161+BE243*BE161+BF243*BF161+BG243*BG161+BH243*BH161+BI243*BI161+BJ243*BJ161+BK243*BK161+BL243*BL161+BM243*BM161+BN243*BN161+BO243*BO161+BP243*BP161+BQ243*BQ161+BR243*BR161+BS243*BS161+BT243*BT161+BU243*BU161+BV243*BV161+BW243*BW161+BX243*BX161+BY243*BY161+BZ243*BZ161+CA243*CA161+CB243*CB161+CC243*CC161+CD243*CD161+CE243*CE161+CF243*CF161+CG243*CG161+CH243*CH161+CI243*CI161+CJ243*CJ161+CK243*CK161</f>
        <v>6.9388939039072284E-18</v>
      </c>
      <c r="CV161" s="2297">
        <f>E244*E161+F244*F161+G244*G161+H244*H161+I244*I161+J244*J161+K244*K161+L244*L161+M244*M161+N244*N161+O244*O161+P244*P161+Q244*Q161+R244*R161+S244*S161+T244*T161+U244*U161+V244*V161+W244*W161+X244*X161+Y244*Y161+Z244*Z161+AA244*AA161+AB244*AB161+AC244*AC161+AD244*AD161+AE244*AE161+AF244*AF161+AG244*AG161+AH244*AH161+AI244*AI161+AJ244*AJ161+AK244*AK161+AL244*AL161+AM244*AM161+AN244*AN161+AO244*AO161+AP244*AP161+AQ244*AQ161+AR244*AR161+AS244*AS161+AT244*AT161+AU244*AU161+AV244*AV161+AW244*AW161+AX244*AX161+AY244*AY161+AZ244*AZ161+BA244*BA161+BB244*BB161+BC244*BC161+BD244*BD161+BE244*BE161+BF244*BF161+BG244*BG161+BH244*BH161+BI244*BI161+BJ244*BJ161+BK244*BK161+BL244*BL161+BM244*BM161+BN244*BN161+BO244*BO161+BP244*BP161+BQ244*BQ161+BR244*BR161+BS244*BS161+BT244*BT161+BU244*BU161+BV244*BV161+BW244*BW161+BX244*BX161+BY244*BY161+BZ244*BZ161+CA244*CA161+CB244*CB161+CC244*CC161+CD244*CD161+CE244*CE161+CF244*CF161+CG244*CG161+CH244*CH161+CI244*CI161+CJ244*CJ161+CK244*CK161</f>
        <v>0</v>
      </c>
      <c r="CW161" s="2297">
        <f>E245*E161+F245*F161+G245*G161+H245*H161+I245*I161+J245*J161+K245*K161+L245*L161+M245*M161+N245*N161+O245*O161+P245*P161+Q245*Q161+R245*R161+S245*S161+T245*T161+U245*U161+V245*V161+W245*W161+X245*X161+Y245*Y161+Z245*Z161+AA245*AA161+AB245*AB161+AC245*AC161+AD245*AD161+AE245*AE161+AF245*AF161+AG245*AG161+AH245*AH161+AI245*AI161+AJ245*AJ161+AK245*AK161+AL245*AL161+AM245*AM161+AN245*AN161+AO245*AO161+AP245*AP161+AQ245*AQ161+AR245*AR161+AS245*AS161+AT245*AT161+AU245*AU161+AV245*AV161+AW245*AW161+AX245*AX161+AY245*AY161+AZ245*AZ161+BA245*BA161+BB245*BB161+BC245*BC161+BD245*BD161+BE245*BE161+BF245*BF161+BG245*BG161+BH245*BH161+BI245*BI161+BJ245*BJ161+BK245*BK161+BL245*BL161+BM245*BM161+BN245*BN161+BO245*BO161+BP245*BP161+BQ245*BQ161+BR245*BR161+BS245*BS161+BT245*BT161+BU245*BU161+BV245*BV161+BW245*BW161+BX245*BX161+BY245*BY161+BZ245*BZ161+CA245*CA161+CB245*CB161+CC245*CC161+CD245*CD161+CE245*CE161+CF245*CF161+CG245*CG161+CH245*CH161+CI245*CI161+CJ245*CJ161+CK245*CK161</f>
        <v>0</v>
      </c>
      <c r="CX161" s="2297">
        <f>E246*E161+F246*F161+G246*G161+H246*H161+I246*I161+J246*J161+K246*K161+L246*L161+M246*M161+N246*N161+O246*O161+P246*P161+Q246*Q161+R246*R161+S246*S161+T246*T161+U246*U161+V246*V161+W246*W161+X246*X161+Y246*Y161+Z246*Z161+AA246*AA161+AB246*AB161+AC246*AC161+AD246*AD161+AE246*AE161+AF246*AF161+AG246*AG161+AH246*AH161+AI246*AI161+AJ246*AJ161+AK246*AK161+AL246*AL161+AM246*AM161+AN246*AN161+AO246*AO161+AP246*AP161+AQ246*AQ161+AR246*AR161+AS246*AS161+AT246*AT161+AU246*AU161+AV246*AV161+AW246*AW161+AX246*AX161+AY246*AY161+AZ246*AZ161+BA246*BA161+BB246*BB161+BC246*BC161+BD246*BD161+BE246*BE161+BF246*BF161+BG246*BG161+BH246*BH161+BI246*BI161+BJ246*BJ161+BK246*BK161+BL246*BL161+BM246*BM161+BN246*BN161+BO246*BO161+BP246*BP161+BQ246*BQ161+BR246*BR161+BS246*BS161+BT246*BT161+BU246*BU161+BV246*BV161+BW246*BW161+BX246*BX161+BY246*BY161+BZ246*BZ161+CA246*CA161+CB246*CB161+CC246*CC161+CD246*CD161+CE246*CE161+CF246*CF161+CG246*CG161+CH246*CH161+CI246*CI161+CJ246*CJ161+CK246*CK161</f>
        <v>0</v>
      </c>
    </row>
    <row r="162" spans="2:102" ht="18" x14ac:dyDescent="0.25">
      <c r="B162" s="1245">
        <v>35</v>
      </c>
      <c r="C162" s="586" t="s">
        <v>4271</v>
      </c>
      <c r="D162" s="587" t="s">
        <v>4220</v>
      </c>
      <c r="E162" s="2659">
        <f>X_STC/X_CASTO</f>
        <v>4.5999999999999999E-2</v>
      </c>
      <c r="F162" s="2656">
        <f>0</f>
        <v>0</v>
      </c>
      <c r="G162" s="2656">
        <f>0</f>
        <v>0</v>
      </c>
      <c r="H162" s="2656">
        <f>0</f>
        <v>0</v>
      </c>
      <c r="I162" s="2656">
        <f>0</f>
        <v>0</v>
      </c>
      <c r="J162" s="2656">
        <f>1-f_E</f>
        <v>0.92</v>
      </c>
      <c r="K162" s="2656">
        <f>0</f>
        <v>0</v>
      </c>
      <c r="L162" s="2656">
        <f>0</f>
        <v>0</v>
      </c>
      <c r="M162" s="2656">
        <f>0</f>
        <v>0</v>
      </c>
      <c r="N162" s="2659">
        <f>-X_PHA_PAO/X_CASTO</f>
        <v>-0.04</v>
      </c>
      <c r="O162" s="2659">
        <f>-X_PHA_GAO/X_CASTO</f>
        <v>-6.0000000000000001E-3</v>
      </c>
      <c r="P162" s="2656">
        <f>0</f>
        <v>0</v>
      </c>
      <c r="Q162" s="2656">
        <f>f_E</f>
        <v>0.08</v>
      </c>
      <c r="R162" s="2656">
        <f>0</f>
        <v>0</v>
      </c>
      <c r="S162" s="2656">
        <f>-1</f>
        <v>-1</v>
      </c>
      <c r="T162" s="2656">
        <f>0</f>
        <v>0</v>
      </c>
      <c r="U162" s="2656">
        <f>0</f>
        <v>0</v>
      </c>
      <c r="V162" s="2656">
        <f>0</f>
        <v>0</v>
      </c>
      <c r="W162" s="2656">
        <f>0</f>
        <v>0</v>
      </c>
      <c r="X162" s="2656">
        <f>0</f>
        <v>0</v>
      </c>
      <c r="Y162" s="2656">
        <f>0</f>
        <v>0</v>
      </c>
      <c r="Z162" s="2660">
        <f>0</f>
        <v>0</v>
      </c>
      <c r="AA162" s="2656">
        <f>-f_E*(i_N_XE-i_N_BIO)</f>
        <v>8.0000000000000069E-4</v>
      </c>
      <c r="AB162" s="2656">
        <f>0</f>
        <v>0</v>
      </c>
      <c r="AC162" s="2656">
        <f>0</f>
        <v>0</v>
      </c>
      <c r="AD162" s="2656">
        <f>0</f>
        <v>0</v>
      </c>
      <c r="AE162" s="2656">
        <f>0</f>
        <v>0</v>
      </c>
      <c r="AF162" s="2656">
        <f>0</f>
        <v>0</v>
      </c>
      <c r="AG162" s="2656">
        <f>(1-f_E)*i_N_BIO</f>
        <v>6.4400000000000013E-2</v>
      </c>
      <c r="AH162" s="2656">
        <f>0</f>
        <v>0</v>
      </c>
      <c r="AI162" s="2659">
        <f>X_PP/X_CASTO</f>
        <v>0.12</v>
      </c>
      <c r="AJ162" s="2659">
        <f>-X_PP/X_CASTO</f>
        <v>-0.12</v>
      </c>
      <c r="AK162" s="2656">
        <f>0</f>
        <v>0</v>
      </c>
      <c r="AL162" s="2656">
        <f>0</f>
        <v>0</v>
      </c>
      <c r="AM162" s="2656">
        <f>(1-f_E)*i_P_BIO</f>
        <v>1.84E-2</v>
      </c>
      <c r="AN162" s="2656">
        <f>0</f>
        <v>0</v>
      </c>
      <c r="AO162" s="2656">
        <f>0</f>
        <v>0</v>
      </c>
      <c r="AP162" s="2656">
        <f>0</f>
        <v>0</v>
      </c>
      <c r="AQ162" s="2656">
        <f>0</f>
        <v>0</v>
      </c>
      <c r="AR162" s="2692">
        <f>(1-f_E)*(i_CIT_BIO-i_CIT_XBe)+(i_CIT_STC-i_CIT_VFA)*X_STC/X_CASTO</f>
        <v>5.8788000000000007E-2</v>
      </c>
      <c r="AS162" s="2692">
        <f>0</f>
        <v>0</v>
      </c>
      <c r="AT162" s="2746">
        <f>0</f>
        <v>0</v>
      </c>
      <c r="AU162" s="2746">
        <f>0</f>
        <v>0</v>
      </c>
      <c r="AV162" s="2746">
        <f>X_PP*A_MCa/A_MP*i_Ca_PP/X_CASTO</f>
        <v>1.5527206443135931E-2</v>
      </c>
      <c r="AW162" s="2746">
        <f>X_PP*A_MMg/A_MP*i_Mg_PP/X_CASTO</f>
        <v>3.295724921656433E-2</v>
      </c>
      <c r="AX162" s="2746">
        <f>X_PP*A_MK/A_MP*i_K_PP/X_CASTO</f>
        <v>1.5147646481253094E-2</v>
      </c>
      <c r="AY162" s="2656">
        <f>0</f>
        <v>0</v>
      </c>
      <c r="AZ162" s="2656">
        <f>0</f>
        <v>0</v>
      </c>
      <c r="BA162" s="2656">
        <f>0</f>
        <v>0</v>
      </c>
      <c r="BB162" s="2656">
        <f>0</f>
        <v>0</v>
      </c>
      <c r="BC162" s="2656">
        <f>0</f>
        <v>0</v>
      </c>
      <c r="BD162" s="2656">
        <f>0</f>
        <v>0</v>
      </c>
      <c r="BE162" s="2656">
        <f>0</f>
        <v>0</v>
      </c>
      <c r="BF162" s="2656">
        <f>0</f>
        <v>0</v>
      </c>
      <c r="BG162" s="2656">
        <f>0</f>
        <v>0</v>
      </c>
      <c r="BH162" s="2656">
        <f>0</f>
        <v>0</v>
      </c>
      <c r="BI162" s="2656">
        <f>0</f>
        <v>0</v>
      </c>
      <c r="BJ162" s="2656">
        <f>0</f>
        <v>0</v>
      </c>
      <c r="BK162" s="2656">
        <f>0</f>
        <v>0</v>
      </c>
      <c r="BL162" s="2656">
        <f>0</f>
        <v>0</v>
      </c>
      <c r="BM162" s="2656">
        <f>0</f>
        <v>0</v>
      </c>
      <c r="BN162" s="2656">
        <f>0</f>
        <v>0</v>
      </c>
      <c r="BO162" s="2656">
        <f>0</f>
        <v>0</v>
      </c>
      <c r="BP162" s="2657">
        <f>0</f>
        <v>0</v>
      </c>
      <c r="BQ162" s="2656">
        <f>0</f>
        <v>0</v>
      </c>
      <c r="BR162" s="2656">
        <f>0</f>
        <v>0</v>
      </c>
      <c r="BS162" s="2660">
        <f>0</f>
        <v>0</v>
      </c>
      <c r="BT162" s="2660">
        <f>0</f>
        <v>0</v>
      </c>
      <c r="BU162" s="2660">
        <f>0</f>
        <v>0</v>
      </c>
      <c r="BV162" s="2660">
        <f>0</f>
        <v>0</v>
      </c>
      <c r="BW162" s="2656">
        <f>0</f>
        <v>0</v>
      </c>
      <c r="BX162" s="2658">
        <f>0</f>
        <v>0</v>
      </c>
      <c r="BY162" s="2660">
        <f>0</f>
        <v>0</v>
      </c>
      <c r="BZ162" s="2656">
        <f>0</f>
        <v>0</v>
      </c>
      <c r="CA162" s="2656">
        <f>0</f>
        <v>0</v>
      </c>
      <c r="CB162" s="2656">
        <f>0</f>
        <v>0</v>
      </c>
      <c r="CC162" s="2656">
        <f>0</f>
        <v>0</v>
      </c>
      <c r="CD162" s="2656">
        <f>0</f>
        <v>0</v>
      </c>
      <c r="CE162" s="2656">
        <f>0</f>
        <v>0</v>
      </c>
      <c r="CF162" s="2656">
        <f>0</f>
        <v>0</v>
      </c>
      <c r="CG162" s="2656">
        <f>0</f>
        <v>0</v>
      </c>
      <c r="CH162" s="2656">
        <f>0</f>
        <v>0</v>
      </c>
      <c r="CI162" s="2656">
        <f>0</f>
        <v>0</v>
      </c>
      <c r="CJ162" s="2656">
        <f>0</f>
        <v>0</v>
      </c>
      <c r="CK162" s="2656">
        <f>0</f>
        <v>0</v>
      </c>
      <c r="CL162" s="2803">
        <f>b_CASTO_T*(η_bCASTO_ana*(X_PAO*M_RinhXPP_XPAO_KPP+X_GAO*M_RinhXPHA_XGAO_KPHA)*M_inhSNO3_KNO3_CASTO*M_inhSNO2_KNO2_CASTO*M_inhSO2_KO2_CASTO+X_CASTO*m_tox_ana)</f>
        <v>2.019594917729782E-4</v>
      </c>
      <c r="CN162" s="2295">
        <f>E236*E162+F236*F162+G236*G162+H236*H162+I236*I162+J236*J162+K236*K162+L236*L162+M236*M162+N236*N162+O236*O162+P236*P162+Q236*Q162+R236*R162+S236*S162+T236*T162+U236*U162+V236*V162+W236*W162+X236*X162+Y236*Y162+Z236*Z162+AA236*AA162+AB236*AB162+AC236*AC162+AD236*AD162+AE236*AE162+AF236*AF162+AG236*AG162+AH236*AH162+AI236*AI162+AJ236*AJ162+AK236*AK162+AL236*AL162+AM236*AM162+AN236*AN162+AO236*AO162+AP236*AP162+AQ236*AQ162+AR236*AR162+AS236*AS162+AT236*AT162+AU236*AU162+AV236*AV162+AW236*AW162+AX236*AX162+AY236*AY162+AZ236*AZ162+BA236*BA162+BB236*BB162+BC236*BC162+BD236*BD162+BE236*BE162+BF236*BF162+BG236*BG162+BH236*BH162+BI236*BI162+BJ236*BJ162+BK236*BK162+BL236*BL162+BM236*BM162+BN236*BN162+BO236*BO162+BP236*BP162+BQ236*BQ162+BR236*BR162+BS236*BS162+BT236*BT162+BU236*BU162+BV236*BV162+BW236*BW162+BX236*BX162+BY236*BY162+BZ236*BZ162+CA236*CA162+CB236*CB162+CC236*CC162+CD236*CD162+CE236*CE162+CF236*CF162+CG236*CG162+CH236*CH162+CI236*CI162+CJ236*CJ162+CK236*CK162</f>
        <v>0</v>
      </c>
      <c r="CO162" s="2295">
        <f>E237*E162+F237*F162+G237*G162+H237*H162+I237*I162+J237*J162+K237*K162+L237*L162+M237*M162+N237*N162+O237*O162+P237*P162+Q237*Q162+R237*R162+S237*S162+T237*T162+U237*U162+V237*V162+W237*W162+X237*X162+Y237*Y162+Z237*Z162+AA237*AA162+AB237*AB162+AC237*AC162+AD237*AD162+AE237*AE162+AF237*AF162+AG237*AG162+AH237*AH162+AI237*AI162+AJ237*AJ162+AK237*AK162+AL237*AL162+AM237*AM162+AN237*AN162+AO237*AO162+AP237*AP162+AQ237*AQ162+AR237*AR162+AS237*AS162+AT237*AT162+AU237*AU162+AV237*AV162+AW237*AW162+AX237*AX162+AY237*AY162+AZ237*AZ162+BA237*BA162+BB237*BB162+BC237*BC162+BD237*BD162+BE237*BE162+BF237*BF162+BG237*BG162+BH237*BH162+BI237*BI162+BJ237*BJ162+BK237*BK162+BL237*BL162+BM237*BM162+BN237*BN162+BO237*BO162+BP237*BP162+BQ237*BQ162+BR237*BR162+BS237*BS162+BT237*BT162+BU237*BU162+BV237*BV162+BW237*BW162+BX237*BX162+BY237*BY162+BZ237*BZ162+CA237*CA162+CB237*CB162+CC237*CC162+CD237*CD162+CE237*CE162+CF237*CF162+CG237*CG162+CH237*CH162+CI237*CI162+CJ237*CJ162+CK237*CK162</f>
        <v>0</v>
      </c>
      <c r="CP162" s="2296">
        <f>E238*E162+F238*F162+G238*G162+H238*H162+I238*I162+J238*J162+K238*K162+L238*L162+M238*M162+N238*N162+O238*O162+P238*P162+Q238*Q162+R238*R162+S238*S162+T238*T162+U238*U162+V238*V162+W238*W162+X238*X162+Y238*Y162+Z238*Z162+AA238*AA162+AB238*AB162+AC238*AC162+AD238*AD162+AE238*AE162+AF238*AF162+AG238*AG162+AH238*AH162+AI238*AI162+AJ238*AJ162+AK238*AK162+AL238*AL162+AM238*AM162+AN238*AN162+AO238*AO162+AP238*AP162+AQ238*AQ162+AR238*AR162+AS238*AS162+AT238*AT162+AU238*AU162+AV238*AV162+AW238*AW162+AX238*AX162+AY238*AY162+AZ238*AZ162+BA238*BA162+BB238*BB162+BC238*BC162+BD238*BD162+BE238*BE162+BF238*BF162+BG238*BG162+BH238*BH162+BI238*BI162+BJ238*BJ162+BK238*BK162+BL238*BL162+BM238*BM162+BN238*BN162+BO238*BO162+BP238*BP162+BQ238*BQ162+BR238*BR162+BS238*BS162+BT238*BT162+BU238*BU162+BV238*BV162+BW238*BW162+BX238*BX162+BY238*BY162+BZ238*BZ162+CA238*CA162+CB238*CB162+CC238*CC162+CD238*CD162+CE238*CE162+CF238*CF162+CG238*CG162+CH238*CH162+CI238*CI162+CJ238*CJ162+CK238*CK162</f>
        <v>0</v>
      </c>
      <c r="CQ162" s="2297">
        <f>E239*E162+F239*F162+G239*G162+H239*H162+I239*I162+J239*J162+K239*K162+L239*L162+M239*M162+N239*N162+O239*O162+P239*P162+Q239*Q162+R239*R162+S239*S162+T239*T162+U239*U162+V239*V162+W239*W162+X239*X162+Y239*Y162+Z239*Z162+AA239*AA162+AB239*AB162+AC239*AC162+AD239*AD162+AE239*AE162+AF239*AF162+AG239*AG162+AH239*AH162+AI239*AI162+AJ239*AJ162+AK239*AK162+AL239*AL162+AM239*AM162+AN239*AN162+AO239*AO162+AP239*AP162+AQ239*AQ162+AR239*AR162+AS239*AS162+AT239*AT162+AU239*AU162+AV239*AV162+AW239*AW162+AX239*AX162+AY239*AY162+AZ239*AZ162+BA239*BA162+BB239*BB162+BC239*BC162+BD239*BD162+BE239*BE162+BF239*BF162+BG239*BG162+BH239*BH162+BI239*BI162+BJ239*BJ162+BK239*BK162+BL239*BL162+BM239*BM162+BN239*BN162+BO239*BO162+BP239*BP162+BQ239*BQ162+BR239*BR162+BS239*BS162+BT239*BT162+BU239*BU162+BV239*BV162+BW239*BW162+BX239*BX162+BY239*BY162+BZ239*BZ162+CA239*CA162+CB239*CB162+CC239*CC162+CD239*CD162+CE239*CE162+CF239*CF162+CG239*CG162+CH239*CH162+CI239*CI162+CJ239*CJ162+CK239*CK162</f>
        <v>0</v>
      </c>
      <c r="CR162" s="2297">
        <f>E240*E162+F240*F162+G240*G162+H240*H162+I240*I162+J240*J162+K240*K162+L240*L162+M240*M162+N240*N162+O240*O162+P240*P162+Q240*Q162+R240*R162+S240*S162+T240*T162+U240*U162+V240*V162+W240*W162+X240*X162+Y240*Y162+Z240*Z162+AA240*AA162+AB240*AB162+AC240*AC162+AD240*AD162+AE240*AE162+AF240*AF162+AG240*AG162+AH240*AH162+AI240*AI162+AJ240*AJ162+AK240*AK162+AL240*AL162+AM240*AM162+AN240*AN162+AO240*AO162+AP240*AP162+AQ240*AQ162+AR240*AR162+AS240*AS162+AT240*AT162+AU240*AU162+AV240*AV162+AW240*AW162+AX240*AX162+AY240*AY162+AZ240*AZ162+BA240*BA162+BB240*BB162+BC240*BC162+BD240*BD162+BE240*BE162+BF240*BF162+BG240*BG162+BH240*BH162+BI240*BI162+BJ240*BJ162+BK240*BK162+BL240*BL162+BM240*BM162+BN240*BN162+BO240*BO162+BP240*BP162+BQ240*BQ162+BR240*BR162+BS240*BS162+BT240*BT162+BU240*BU162+BV240*BV162+BW240*BW162+BX240*BX162+BY240*BY162+BZ240*BZ162+CA240*CA162+CB240*CB162+CC240*CC162+CD240*CD162+CE240*CE162+CF240*CF162+CG240*CG162+CH240*CH162+CI240*CI162+CJ240*CJ162+CK240*CK162</f>
        <v>0</v>
      </c>
      <c r="CS162" s="2297">
        <f>E241*E162+F241*F162+G241*G162+H241*H162+I241*I162+J241*J162+K241*K162+L241*L162+M241*M162+N241*N162+O241*O162+P241*P162+Q241*Q162+R241*R162+S241*S162+T241*T162+U241*U162+V241*V162+W241*W162+X241*X162+Y241*Y162+Z241*Z162+AA241*AA162+AB241*AB162+AC241*AC162+AD241*AD162+AE241*AE162+AF241*AF162+AG241*AG162+AH241*AH162+AI241*AI162+AJ241*AJ162+AK241*AK162+AL241*AL162+AM241*AM162+AN241*AN162+AO241*AO162+AP241*AP162+AQ241*AQ162+AR241*AR162+AS241*AS162+AT241*AT162+AU241*AU162+AV241*AV162+AW241*AW162+AX241*AX162+AY241*AY162+AZ241*AZ162+BA241*BA162+BB241*BB162+BC241*BC162+BD241*BD162+BE241*BE162+BF241*BF162+BG241*BG162+BH241*BH162+BI241*BI162+BJ241*BJ162+BK241*BK162+BL241*BL162+BM241*BM162+BN241*BN162+BO241*BO162+BP241*BP162+BQ241*BQ162+BR241*BR162+BS241*BS162+BT241*BT162+BU241*BU162+BV241*BV162+BW241*BW162+BX241*BX162+BY241*BY162+BZ241*BZ162+CA241*CA162+CB241*CB162+CC241*CC162+CD241*CD162+CE241*CE162+CF241*CF162+CG241*CG162+CH241*CH162+CI241*CI162+CJ241*CJ162+CK241*CK162</f>
        <v>0</v>
      </c>
      <c r="CT162" s="2297">
        <f>E242*E162+F242*F162+G242*G162+H242*H162+I242*I162+J242*J162+K242*K162+L242*L162+M242*M162+N242*N162+O242*O162+P242*P162+Q242*Q162+R242*R162+S242*S162+T242*T162+U242*U162+V242*V162+W242*W162+X242*X162+Y242*Y162+Z242*Z162+AA242*AA162+AB242*AB162+AC242*AC162+AD242*AD162+AE242*AE162+AF242*AF162+AG242*AG162+AH242*AH162+AI242*AI162+AJ242*AJ162+AK242*AK162+AL242*AL162+AM242*AM162+AN242*AN162+AO242*AO162+AP242*AP162+AQ242*AQ162+AR242*AR162+AS242*AS162+AT242*AT162+AU242*AU162+AV242*AV162+AW242*AW162+AX242*AX162+AY242*AY162+AZ242*AZ162+BA242*BA162+BB242*BB162+BC242*BC162+BD242*BD162+BE242*BE162+BF242*BF162+BG242*BG162+BH242*BH162+BI242*BI162+BJ242*BJ162+BK242*BK162+BL242*BL162+BM242*BM162+BN242*BN162+BO242*BO162+BP242*BP162+BQ242*BQ162+BR242*BR162+BS242*BS162+BT242*BT162+BU242*BU162+BV242*BV162+BW242*BW162+BX242*BX162+BY242*BY162+BZ242*BZ162+CA242*CA162+CB242*CB162+CC242*CC162+CD242*CD162+CE242*CE162+CF242*CF162+CG242*CG162+CH242*CH162+CI242*CI162+CJ242*CJ162+CK242*CK162</f>
        <v>3.4694469519536142E-18</v>
      </c>
      <c r="CU162" s="2297">
        <f>E243*E162+F243*F162+G243*G162+H243*H162+I243*I162+J243*J162+K243*K162+L243*L162+M243*M162+N243*N162+O243*O162+P243*P162+Q243*Q162+R243*R162+S243*S162+T243*T162+U243*U162+V243*V162+W243*W162+X243*X162+Y243*Y162+Z243*Z162+AA243*AA162+AB243*AB162+AC243*AC162+AD243*AD162+AE243*AE162+AF243*AF162+AG243*AG162+AH243*AH162+AI243*AI162+AJ243*AJ162+AK243*AK162+AL243*AL162+AM243*AM162+AN243*AN162+AO243*AO162+AP243*AP162+AQ243*AQ162+AR243*AR162+AS243*AS162+AT243*AT162+AU243*AU162+AV243*AV162+AW243*AW162+AX243*AX162+AY243*AY162+AZ243*AZ162+BA243*BA162+BB243*BB162+BC243*BC162+BD243*BD162+BE243*BE162+BF243*BF162+BG243*BG162+BH243*BH162+BI243*BI162+BJ243*BJ162+BK243*BK162+BL243*BL162+BM243*BM162+BN243*BN162+BO243*BO162+BP243*BP162+BQ243*BQ162+BR243*BR162+BS243*BS162+BT243*BT162+BU243*BU162+BV243*BV162+BW243*BW162+BX243*BX162+BY243*BY162+BZ243*BZ162+CA243*CA162+CB243*CB162+CC243*CC162+CD243*CD162+CE243*CE162+CF243*CF162+CG243*CG162+CH243*CH162+CI243*CI162+CJ243*CJ162+CK243*CK162</f>
        <v>6.9388939039072284E-18</v>
      </c>
      <c r="CV162" s="2297">
        <f>E244*E162+F244*F162+G244*G162+H244*H162+I244*I162+J244*J162+K244*K162+L244*L162+M244*M162+N244*N162+O244*O162+P244*P162+Q244*Q162+R244*R162+S244*S162+T244*T162+U244*U162+V244*V162+W244*W162+X244*X162+Y244*Y162+Z244*Z162+AA244*AA162+AB244*AB162+AC244*AC162+AD244*AD162+AE244*AE162+AF244*AF162+AG244*AG162+AH244*AH162+AI244*AI162+AJ244*AJ162+AK244*AK162+AL244*AL162+AM244*AM162+AN244*AN162+AO244*AO162+AP244*AP162+AQ244*AQ162+AR244*AR162+AS244*AS162+AT244*AT162+AU244*AU162+AV244*AV162+AW244*AW162+AX244*AX162+AY244*AY162+AZ244*AZ162+BA244*BA162+BB244*BB162+BC244*BC162+BD244*BD162+BE244*BE162+BF244*BF162+BG244*BG162+BH244*BH162+BI244*BI162+BJ244*BJ162+BK244*BK162+BL244*BL162+BM244*BM162+BN244*BN162+BO244*BO162+BP244*BP162+BQ244*BQ162+BR244*BR162+BS244*BS162+BT244*BT162+BU244*BU162+BV244*BV162+BW244*BW162+BX244*BX162+BY244*BY162+BZ244*BZ162+CA244*CA162+CB244*CB162+CC244*CC162+CD244*CD162+CE244*CE162+CF244*CF162+CG244*CG162+CH244*CH162+CI244*CI162+CJ244*CJ162+CK244*CK162</f>
        <v>0</v>
      </c>
      <c r="CW162" s="2297">
        <f>E245*E162+F245*F162+G245*G162+H245*H162+I245*I162+J245*J162+K245*K162+L245*L162+M245*M162+N245*N162+O245*O162+P245*P162+Q245*Q162+R245*R162+S245*S162+T245*T162+U245*U162+V245*V162+W245*W162+X245*X162+Y245*Y162+Z245*Z162+AA245*AA162+AB245*AB162+AC245*AC162+AD245*AD162+AE245*AE162+AF245*AF162+AG245*AG162+AH245*AH162+AI245*AI162+AJ245*AJ162+AK245*AK162+AL245*AL162+AM245*AM162+AN245*AN162+AO245*AO162+AP245*AP162+AQ245*AQ162+AR245*AR162+AS245*AS162+AT245*AT162+AU245*AU162+AV245*AV162+AW245*AW162+AX245*AX162+AY245*AY162+AZ245*AZ162+BA245*BA162+BB245*BB162+BC245*BC162+BD245*BD162+BE245*BE162+BF245*BF162+BG245*BG162+BH245*BH162+BI245*BI162+BJ245*BJ162+BK245*BK162+BL245*BL162+BM245*BM162+BN245*BN162+BO245*BO162+BP245*BP162+BQ245*BQ162+BR245*BR162+BS245*BS162+BT245*BT162+BU245*BU162+BV245*BV162+BW245*BW162+BX245*BX162+BY245*BY162+BZ245*BZ162+CA245*CA162+CB245*CB162+CC245*CC162+CD245*CD162+CE245*CE162+CF245*CF162+CG245*CG162+CH245*CH162+CI245*CI162+CJ245*CJ162+CK245*CK162</f>
        <v>0</v>
      </c>
      <c r="CX162" s="2297">
        <f>E246*E162+F246*F162+G246*G162+H246*H162+I246*I162+J246*J162+K246*K162+L246*L162+M246*M162+N246*N162+O246*O162+P246*P162+Q246*Q162+R246*R162+S246*S162+T246*T162+U246*U162+V246*V162+W246*W162+X246*X162+Y246*Y162+Z246*Z162+AA246*AA162+AB246*AB162+AC246*AC162+AD246*AD162+AE246*AE162+AF246*AF162+AG246*AG162+AH246*AH162+AI246*AI162+AJ246*AJ162+AK246*AK162+AL246*AL162+AM246*AM162+AN246*AN162+AO246*AO162+AP246*AP162+AQ246*AQ162+AR246*AR162+AS246*AS162+AT246*AT162+AU246*AU162+AV246*AV162+AW246*AW162+AX246*AX162+AY246*AY162+AZ246*AZ162+BA246*BA162+BB246*BB162+BC246*BC162+BD246*BD162+BE246*BE162+BF246*BF162+BG246*BG162+BH246*BH162+BI246*BI162+BJ246*BJ162+BK246*BK162+BL246*BL162+BM246*BM162+BN246*BN162+BO246*BO162+BP246*BP162+BQ246*BQ162+BR246*BR162+BS246*BS162+BT246*BT162+BU246*BU162+BV246*BV162+BW246*BW162+BX246*BX162+BY246*BY162+BZ246*BZ162+CA246*CA162+CB246*CB162+CC246*CC162+CD246*CD162+CE246*CE162+CF246*CF162+CG246*CG162+CH246*CH162+CI246*CI162+CJ246*CJ162+CK246*CK162</f>
        <v>0</v>
      </c>
    </row>
    <row r="163" spans="2:102" ht="18" x14ac:dyDescent="0.25">
      <c r="B163" s="1836">
        <v>36</v>
      </c>
      <c r="C163" s="1837" t="s">
        <v>4272</v>
      </c>
      <c r="D163" s="1838" t="s">
        <v>4509</v>
      </c>
      <c r="E163" s="2660">
        <f>0</f>
        <v>0</v>
      </c>
      <c r="F163" s="2660">
        <f>0</f>
        <v>0</v>
      </c>
      <c r="G163" s="2660">
        <f>0</f>
        <v>0</v>
      </c>
      <c r="H163" s="2660">
        <f>0</f>
        <v>0</v>
      </c>
      <c r="I163" s="2660">
        <f>0</f>
        <v>0</v>
      </c>
      <c r="J163" s="2660">
        <f>0</f>
        <v>0</v>
      </c>
      <c r="K163" s="2660">
        <f>0</f>
        <v>0</v>
      </c>
      <c r="L163" s="2660">
        <f>0</f>
        <v>0</v>
      </c>
      <c r="M163" s="2660">
        <f>0</f>
        <v>0</v>
      </c>
      <c r="N163" s="2660">
        <f>0</f>
        <v>0</v>
      </c>
      <c r="O163" s="2660">
        <f>0</f>
        <v>0</v>
      </c>
      <c r="P163" s="2660">
        <f>0</f>
        <v>0</v>
      </c>
      <c r="Q163" s="2660">
        <f>0</f>
        <v>0</v>
      </c>
      <c r="R163" s="2705">
        <f>0</f>
        <v>0</v>
      </c>
      <c r="S163" s="2660">
        <f>0</f>
        <v>0</v>
      </c>
      <c r="T163" s="2660">
        <f>0</f>
        <v>0</v>
      </c>
      <c r="U163" s="2660">
        <f>0</f>
        <v>0</v>
      </c>
      <c r="V163" s="2660">
        <f>0</f>
        <v>0</v>
      </c>
      <c r="W163" s="2660">
        <f>0</f>
        <v>0</v>
      </c>
      <c r="X163" s="2705">
        <f>0</f>
        <v>0</v>
      </c>
      <c r="Y163" s="2660">
        <f>0</f>
        <v>0</v>
      </c>
      <c r="Z163" s="2660">
        <f>0</f>
        <v>0</v>
      </c>
      <c r="AA163" s="2660">
        <f>0</f>
        <v>0</v>
      </c>
      <c r="AB163" s="2660">
        <f>0</f>
        <v>0</v>
      </c>
      <c r="AC163" s="2660">
        <f>0</f>
        <v>0</v>
      </c>
      <c r="AD163" s="2660">
        <f>0</f>
        <v>0</v>
      </c>
      <c r="AE163" s="2705">
        <f>0</f>
        <v>0</v>
      </c>
      <c r="AF163" s="2660">
        <f>0</f>
        <v>0</v>
      </c>
      <c r="AG163" s="2660">
        <f>0</f>
        <v>0</v>
      </c>
      <c r="AH163" s="2660">
        <f>0</f>
        <v>0</v>
      </c>
      <c r="AI163" s="2660">
        <f>0</f>
        <v>0</v>
      </c>
      <c r="AJ163" s="2660">
        <f>0</f>
        <v>0</v>
      </c>
      <c r="AK163" s="2660">
        <f>0</f>
        <v>0</v>
      </c>
      <c r="AL163" s="2660">
        <f>0</f>
        <v>0</v>
      </c>
      <c r="AM163" s="2660">
        <f>0</f>
        <v>0</v>
      </c>
      <c r="AN163" s="2660">
        <f>0</f>
        <v>0</v>
      </c>
      <c r="AO163" s="2660">
        <f>0</f>
        <v>0</v>
      </c>
      <c r="AP163" s="2660">
        <f>0</f>
        <v>0</v>
      </c>
      <c r="AQ163" s="2660">
        <f>0</f>
        <v>0</v>
      </c>
      <c r="AR163" s="2660">
        <f>0</f>
        <v>0</v>
      </c>
      <c r="AS163" s="2660">
        <f>0</f>
        <v>0</v>
      </c>
      <c r="AT163" s="2705">
        <f>0</f>
        <v>0</v>
      </c>
      <c r="AU163" s="2660">
        <f>0</f>
        <v>0</v>
      </c>
      <c r="AV163" s="2705">
        <f>0</f>
        <v>0</v>
      </c>
      <c r="AW163" s="2660">
        <f>0</f>
        <v>0</v>
      </c>
      <c r="AX163" s="2660">
        <f>0</f>
        <v>0</v>
      </c>
      <c r="AY163" s="2705">
        <f>0</f>
        <v>0</v>
      </c>
      <c r="AZ163" s="2705">
        <f>0</f>
        <v>0</v>
      </c>
      <c r="BA163" s="2660">
        <f>0</f>
        <v>0</v>
      </c>
      <c r="BB163" s="2705">
        <f>0</f>
        <v>0</v>
      </c>
      <c r="BC163" s="2705">
        <f>0</f>
        <v>0</v>
      </c>
      <c r="BD163" s="2660">
        <f>0</f>
        <v>0</v>
      </c>
      <c r="BE163" s="2660">
        <f>0</f>
        <v>0</v>
      </c>
      <c r="BF163" s="2705">
        <f>0</f>
        <v>0</v>
      </c>
      <c r="BG163" s="2705">
        <f>0</f>
        <v>0</v>
      </c>
      <c r="BH163" s="2660">
        <f>0</f>
        <v>0</v>
      </c>
      <c r="BI163" s="2705">
        <f>0</f>
        <v>0</v>
      </c>
      <c r="BJ163" s="2705">
        <f>0</f>
        <v>0</v>
      </c>
      <c r="BK163" s="2705">
        <f>0</f>
        <v>0</v>
      </c>
      <c r="BL163" s="2705">
        <f>0</f>
        <v>0</v>
      </c>
      <c r="BM163" s="2705">
        <f>0</f>
        <v>0</v>
      </c>
      <c r="BN163" s="2705">
        <f>0</f>
        <v>0</v>
      </c>
      <c r="BO163" s="2705">
        <f>0</f>
        <v>0</v>
      </c>
      <c r="BP163" s="2705">
        <f>0</f>
        <v>0</v>
      </c>
      <c r="BQ163" s="2705">
        <f>0</f>
        <v>0</v>
      </c>
      <c r="BR163" s="2705">
        <f>0</f>
        <v>0</v>
      </c>
      <c r="BS163" s="2705">
        <f>0</f>
        <v>0</v>
      </c>
      <c r="BT163" s="2705">
        <f>0</f>
        <v>0</v>
      </c>
      <c r="BU163" s="2705">
        <f>0</f>
        <v>0</v>
      </c>
      <c r="BV163" s="2705">
        <f>0</f>
        <v>0</v>
      </c>
      <c r="BW163" s="2705">
        <f>0</f>
        <v>0</v>
      </c>
      <c r="BX163" s="2705">
        <f>0</f>
        <v>0</v>
      </c>
      <c r="BY163" s="2705">
        <f>1</f>
        <v>1</v>
      </c>
      <c r="BZ163" s="2705">
        <f>0</f>
        <v>0</v>
      </c>
      <c r="CA163" s="2705">
        <f>0</f>
        <v>0</v>
      </c>
      <c r="CB163" s="2705">
        <f>0</f>
        <v>0</v>
      </c>
      <c r="CC163" s="2705">
        <f>0</f>
        <v>0</v>
      </c>
      <c r="CD163" s="2705">
        <f>0</f>
        <v>0</v>
      </c>
      <c r="CE163" s="2705">
        <f>0</f>
        <v>0</v>
      </c>
      <c r="CF163" s="2705">
        <f>0</f>
        <v>0</v>
      </c>
      <c r="CG163" s="2705">
        <f>0</f>
        <v>0</v>
      </c>
      <c r="CH163" s="2705">
        <f>0</f>
        <v>0</v>
      </c>
      <c r="CI163" s="2705">
        <f>0</f>
        <v>0</v>
      </c>
      <c r="CJ163" s="2705">
        <f>0</f>
        <v>0</v>
      </c>
      <c r="CK163" s="2791">
        <f>0</f>
        <v>0</v>
      </c>
      <c r="CL163" s="2804">
        <f>k_ORPswitch*(O_RP+o_ffsetORPswitch-S_ORPswitch)</f>
        <v>6848.780487804881</v>
      </c>
      <c r="CN163" s="2295">
        <f>E236*E163+F236*F163+G236*G163+H236*H163+I236*I163+J236*J163+K236*K163+L236*L163+M236*M163+N236*N163+O236*O163+P236*P163+Q236*Q163+R236*R163+S236*S163+T236*T163+U236*U163+V236*V163+W236*W163+X236*X163+Y236*Y163+Z236*Z163+AA236*AA163+AB236*AB163+AC236*AC163+AD236*AD163+AE236*AE163+AF236*AF163+AG236*AG163+AH236*AH163+AI236*AI163+AJ236*AJ163+AK236*AK163+AL236*AL163+AM236*AM163+AN236*AN163+AO236*AO163+AP236*AP163+AQ236*AQ163+AR236*AR163+AS236*AS163+AT236*AT163+AU236*AU163+AV236*AV163+AW236*AW163+AX236*AX163+AY236*AY163+AZ236*AZ163+BA236*BA163+BB236*BB163+BC236*BC163+BD236*BD163+BE236*BE163+BF236*BF163+BG236*BG163+BH236*BH163+BI236*BI163+BJ236*BJ163+BK236*BK163+BL236*BL163+BM236*BM163+BN236*BN163+BO236*BO163+BP236*BP163+BQ236*BQ163+BR236*BR163+BS236*BS163+BT236*BT163+BU236*BU163+BV236*BV163+BW236*BW163+BX236*BX163+BY236*BY163+BZ236*BZ163+CA236*CA163+CB236*CB163+CC236*CC163+CD236*CD163+CE236*CE163+CF236*CF163+CG236*CG163+CH236*CH163+CI236*CI163+CJ236*CJ163+CK236*CK163</f>
        <v>0</v>
      </c>
      <c r="CO163" s="2295">
        <f>E237*E163+F237*F163+G237*G163+H237*H163+I237*I163+J237*J163+K237*K163+L237*L163+M237*M163+N237*N163+O237*O163+P237*P163+Q237*Q163+R237*R163+S237*S163+T237*T163+U237*U163+V237*V163+W237*W163+X237*X163+Y237*Y163+Z237*Z163+AA237*AA163+AB237*AB163+AC237*AC163+AD237*AD163+AE237*AE163+AF237*AF163+AG237*AG163+AH237*AH163+AI237*AI163+AJ237*AJ163+AK237*AK163+AL237*AL163+AM237*AM163+AN237*AN163+AO237*AO163+AP237*AP163+AQ237*AQ163+AR237*AR163+AS237*AS163+AT237*AT163+AU237*AU163+AV237*AV163+AW237*AW163+AX237*AX163+AY237*AY163+AZ237*AZ163+BA237*BA163+BB237*BB163+BC237*BC163+BD237*BD163+BE237*BE163+BF237*BF163+BG237*BG163+BH237*BH163+BI237*BI163+BJ237*BJ163+BK237*BK163+BL237*BL163+BM237*BM163+BN237*BN163+BO237*BO163+BP237*BP163+BQ237*BQ163+BR237*BR163+BS237*BS163+BT237*BT163+BU237*BU163+BV237*BV163+BW237*BW163+BX237*BX163+BY237*BY163+BZ237*BZ163+CA237*CA163+CB237*CB163+CC237*CC163+CD237*CD163+CE237*CE163+CF237*CF163+CG237*CG163+CH237*CH163+CI237*CI163+CJ237*CJ163+CK237*CK163</f>
        <v>0</v>
      </c>
      <c r="CP163" s="2296">
        <f>E238*E163+F238*F163+G238*G163+H238*H163+I238*I163+J238*J163+K238*K163+L238*L163+M238*M163+N238*N163+O238*O163+P238*P163+Q238*Q163+R238*R163+S238*S163+T238*T163+U238*U163+V238*V163+W238*W163+X238*X163+Y238*Y163+Z238*Z163+AA238*AA163+AB238*AB163+AC238*AC163+AD238*AD163+AE238*AE163+AF238*AF163+AG238*AG163+AH238*AH163+AI238*AI163+AJ238*AJ163+AK238*AK163+AL238*AL163+AM238*AM163+AN238*AN163+AO238*AO163+AP238*AP163+AQ238*AQ163+AR238*AR163+AS238*AS163+AT238*AT163+AU238*AU163+AV238*AV163+AW238*AW163+AX238*AX163+AY238*AY163+AZ238*AZ163+BA238*BA163+BB238*BB163+BC238*BC163+BD238*BD163+BE238*BE163+BF238*BF163+BG238*BG163+BH238*BH163+BI238*BI163+BJ238*BJ163+BK238*BK163+BL238*BL163+BM238*BM163+BN238*BN163+BO238*BO163+BP238*BP163+BQ238*BQ163+BR238*BR163+BS238*BS163+BT238*BT163+BU238*BU163+BV238*BV163+BW238*BW163+BX238*BX163+BY238*BY163+BZ238*BZ163+CA238*CA163+CB238*CB163+CC238*CC163+CD238*CD163+CE238*CE163+CF238*CF163+CG238*CG163+CH238*CH163+CI238*CI163+CJ238*CJ163+CK238*CK163</f>
        <v>0</v>
      </c>
      <c r="CQ163" s="2297">
        <f>E239*E163+F239*F163+G239*G163+H239*H163+I239*I163+J239*J163+K239*K163+L239*L163+M239*M163+N239*N163+O239*O163+P239*P163+Q239*Q163+R239*R163+S239*S163+T239*T163+U239*U163+V239*V163+W239*W163+X239*X163+Y239*Y163+Z239*Z163+AA239*AA163+AB239*AB163+AC239*AC163+AD239*AD163+AE239*AE163+AF239*AF163+AG239*AG163+AH239*AH163+AI239*AI163+AJ239*AJ163+AK239*AK163+AL239*AL163+AM239*AM163+AN239*AN163+AO239*AO163+AP239*AP163+AQ239*AQ163+AR239*AR163+AS239*AS163+AT239*AT163+AU239*AU163+AV239*AV163+AW239*AW163+AX239*AX163+AY239*AY163+AZ239*AZ163+BA239*BA163+BB239*BB163+BC239*BC163+BD239*BD163+BE239*BE163+BF239*BF163+BG239*BG163+BH239*BH163+BI239*BI163+BJ239*BJ163+BK239*BK163+BL239*BL163+BM239*BM163+BN239*BN163+BO239*BO163+BP239*BP163+BQ239*BQ163+BR239*BR163+BS239*BS163+BT239*BT163+BU239*BU163+BV239*BV163+BW239*BW163+BX239*BX163+BY239*BY163+BZ239*BZ163+CA239*CA163+CB239*CB163+CC239*CC163+CD239*CD163+CE239*CE163+CF239*CF163+CG239*CG163+CH239*CH163+CI239*CI163+CJ239*CJ163+CK239*CK163</f>
        <v>0</v>
      </c>
      <c r="CR163" s="2297">
        <f>E240*E163+F240*F163+G240*G163+H240*H163+I240*I163+J240*J163+K240*K163+L240*L163+M240*M163+N240*N163+O240*O163+P240*P163+Q240*Q163+R240*R163+S240*S163+T240*T163+U240*U163+V240*V163+W240*W163+X240*X163+Y240*Y163+Z240*Z163+AA240*AA163+AB240*AB163+AC240*AC163+AD240*AD163+AE240*AE163+AF240*AF163+AG240*AG163+AH240*AH163+AI240*AI163+AJ240*AJ163+AK240*AK163+AL240*AL163+AM240*AM163+AN240*AN163+AO240*AO163+AP240*AP163+AQ240*AQ163+AR240*AR163+AS240*AS163+AT240*AT163+AU240*AU163+AV240*AV163+AW240*AW163+AX240*AX163+AY240*AY163+AZ240*AZ163+BA240*BA163+BB240*BB163+BC240*BC163+BD240*BD163+BE240*BE163+BF240*BF163+BG240*BG163+BH240*BH163+BI240*BI163+BJ240*BJ163+BK240*BK163+BL240*BL163+BM240*BM163+BN240*BN163+BO240*BO163+BP240*BP163+BQ240*BQ163+BR240*BR163+BS240*BS163+BT240*BT163+BU240*BU163+BV240*BV163+BW240*BW163+BX240*BX163+BY240*BY163+BZ240*BZ163+CA240*CA163+CB240*CB163+CC240*CC163+CD240*CD163+CE240*CE163+CF240*CF163+CG240*CG163+CH240*CH163+CI240*CI163+CJ240*CJ163+CK240*CK163</f>
        <v>0</v>
      </c>
      <c r="CS163" s="2297">
        <f>E241*E163+F241*F163+G241*G163+H241*H163+I241*I163+J241*J163+K241*K163+L241*L163+M241*M163+N241*N163+O241*O163+P241*P163+Q241*Q163+R241*R163+S241*S163+T241*T163+U241*U163+V241*V163+W241*W163+X241*X163+Y241*Y163+Z241*Z163+AA241*AA163+AB241*AB163+AC241*AC163+AD241*AD163+AE241*AE163+AF241*AF163+AG241*AG163+AH241*AH163+AI241*AI163+AJ241*AJ163+AK241*AK163+AL241*AL163+AM241*AM163+AN241*AN163+AO241*AO163+AP241*AP163+AQ241*AQ163+AR241*AR163+AS241*AS163+AT241*AT163+AU241*AU163+AV241*AV163+AW241*AW163+AX241*AX163+AY241*AY163+AZ241*AZ163+BA241*BA163+BB241*BB163+BC241*BC163+BD241*BD163+BE241*BE163+BF241*BF163+BG241*BG163+BH241*BH163+BI241*BI163+BJ241*BJ163+BK241*BK163+BL241*BL163+BM241*BM163+BN241*BN163+BO241*BO163+BP241*BP163+BQ241*BQ163+BR241*BR163+BS241*BS163+BT241*BT163+BU241*BU163+BV241*BV163+BW241*BW163+BX241*BX163+BY241*BY163+BZ241*BZ163+CA241*CA163+CB241*CB163+CC241*CC163+CD241*CD163+CE241*CE163+CF241*CF163+CG241*CG163+CH241*CH163+CI241*CI163+CJ241*CJ163+CK241*CK163</f>
        <v>0</v>
      </c>
      <c r="CT163" s="2297">
        <f>E242*E163+F242*F163+G242*G163+H242*H163+I242*I163+J242*J163+K242*K163+L242*L163+M242*M163+N242*N163+O242*O163+P242*P163+Q242*Q163+R242*R163+S242*S163+T242*T163+U242*U163+V242*V163+W242*W163+X242*X163+Y242*Y163+Z242*Z163+AA242*AA163+AB242*AB163+AC242*AC163+AD242*AD163+AE242*AE163+AF242*AF163+AG242*AG163+AH242*AH163+AI242*AI163+AJ242*AJ163+AK242*AK163+AL242*AL163+AM242*AM163+AN242*AN163+AO242*AO163+AP242*AP163+AQ242*AQ163+AR242*AR163+AS242*AS163+AT242*AT163+AU242*AU163+AV242*AV163+AW242*AW163+AX242*AX163+AY242*AY163+AZ242*AZ163+BA242*BA163+BB242*BB163+BC242*BC163+BD242*BD163+BE242*BE163+BF242*BF163+BG242*BG163+BH242*BH163+BI242*BI163+BJ242*BJ163+BK242*BK163+BL242*BL163+BM242*BM163+BN242*BN163+BO242*BO163+BP242*BP163+BQ242*BQ163+BR242*BR163+BS242*BS163+BT242*BT163+BU242*BU163+BV242*BV163+BW242*BW163+BX242*BX163+BY242*BY163+BZ242*BZ163+CA242*CA163+CB242*CB163+CC242*CC163+CD242*CD163+CE242*CE163+CF242*CF163+CG242*CG163+CH242*CH163+CI242*CI163+CJ242*CJ163+CK242*CK163</f>
        <v>0</v>
      </c>
      <c r="CU163" s="2297">
        <f>E243*E163+F243*F163+G243*G163+H243*H163+I243*I163+J243*J163+K243*K163+L243*L163+M243*M163+N243*N163+O243*O163+P243*P163+Q243*Q163+R243*R163+S243*S163+T243*T163+U243*U163+V243*V163+W243*W163+X243*X163+Y243*Y163+Z243*Z163+AA243*AA163+AB243*AB163+AC243*AC163+AD243*AD163+AE243*AE163+AF243*AF163+AG243*AG163+AH243*AH163+AI243*AI163+AJ243*AJ163+AK243*AK163+AL243*AL163+AM243*AM163+AN243*AN163+AO243*AO163+AP243*AP163+AQ243*AQ163+AR243*AR163+AS243*AS163+AT243*AT163+AU243*AU163+AV243*AV163+AW243*AW163+AX243*AX163+AY243*AY163+AZ243*AZ163+BA243*BA163+BB243*BB163+BC243*BC163+BD243*BD163+BE243*BE163+BF243*BF163+BG243*BG163+BH243*BH163+BI243*BI163+BJ243*BJ163+BK243*BK163+BL243*BL163+BM243*BM163+BN243*BN163+BO243*BO163+BP243*BP163+BQ243*BQ163+BR243*BR163+BS243*BS163+BT243*BT163+BU243*BU163+BV243*BV163+BW243*BW163+BX243*BX163+BY243*BY163+BZ243*BZ163+CA243*CA163+CB243*CB163+CC243*CC163+CD243*CD163+CE243*CE163+CF243*CF163+CG243*CG163+CH243*CH163+CI243*CI163+CJ243*CJ163+CK243*CK163</f>
        <v>0</v>
      </c>
      <c r="CV163" s="2297">
        <f>E244*E163+F244*F163+G244*G163+H244*H163+I244*I163+J244*J163+K244*K163+L244*L163+M244*M163+N244*N163+O244*O163+P244*P163+Q244*Q163+R244*R163+S244*S163+T244*T163+U244*U163+V244*V163+W244*W163+X244*X163+Y244*Y163+Z244*Z163+AA244*AA163+AB244*AB163+AC244*AC163+AD244*AD163+AE244*AE163+AF244*AF163+AG244*AG163+AH244*AH163+AI244*AI163+AJ244*AJ163+AK244*AK163+AL244*AL163+AM244*AM163+AN244*AN163+AO244*AO163+AP244*AP163+AQ244*AQ163+AR244*AR163+AS244*AS163+AT244*AT163+AU244*AU163+AV244*AV163+AW244*AW163+AX244*AX163+AY244*AY163+AZ244*AZ163+BA244*BA163+BB244*BB163+BC244*BC163+BD244*BD163+BE244*BE163+BF244*BF163+BG244*BG163+BH244*BH163+BI244*BI163+BJ244*BJ163+BK244*BK163+BL244*BL163+BM244*BM163+BN244*BN163+BO244*BO163+BP244*BP163+BQ244*BQ163+BR244*BR163+BS244*BS163+BT244*BT163+BU244*BU163+BV244*BV163+BW244*BW163+BX244*BX163+BY244*BY163+BZ244*BZ163+CA244*CA163+CB244*CB163+CC244*CC163+CD244*CD163+CE244*CE163+CF244*CF163+CG244*CG163+CH244*CH163+CI244*CI163+CJ244*CJ163+CK244*CK163</f>
        <v>0</v>
      </c>
      <c r="CW163" s="2297">
        <f>E245*E163+F245*F163+G245*G163+H245*H163+I245*I163+J245*J163+K245*K163+L245*L163+M245*M163+N245*N163+O245*O163+P245*P163+Q245*Q163+R245*R163+S245*S163+T245*T163+U245*U163+V245*V163+W245*W163+X245*X163+Y245*Y163+Z245*Z163+AA245*AA163+AB245*AB163+AC245*AC163+AD245*AD163+AE245*AE163+AF245*AF163+AG245*AG163+AH245*AH163+AI245*AI163+AJ245*AJ163+AK245*AK163+AL245*AL163+AM245*AM163+AN245*AN163+AO245*AO163+AP245*AP163+AQ245*AQ163+AR245*AR163+AS245*AS163+AT245*AT163+AU245*AU163+AV245*AV163+AW245*AW163+AX245*AX163+AY245*AY163+AZ245*AZ163+BA245*BA163+BB245*BB163+BC245*BC163+BD245*BD163+BE245*BE163+BF245*BF163+BG245*BG163+BH245*BH163+BI245*BI163+BJ245*BJ163+BK245*BK163+BL245*BL163+BM245*BM163+BN245*BN163+BO245*BO163+BP245*BP163+BQ245*BQ163+BR245*BR163+BS245*BS163+BT245*BT163+BU245*BU163+BV245*BV163+BW245*BW163+BX245*BX163+BY245*BY163+BZ245*BZ163+CA245*CA163+CB245*CB163+CC245*CC163+CD245*CD163+CE245*CE163+CF245*CF163+CG245*CG163+CH245*CH163+CI245*CI163+CJ245*CJ163+CK245*CK163</f>
        <v>0</v>
      </c>
      <c r="CX163" s="2297">
        <f>E246*E163+F246*F163+G246*G163+H246*H163+I246*I163+J246*J163+K246*K163+L246*L163+M246*M163+N246*N163+O246*O163+P246*P163+Q246*Q163+R246*R163+S246*S163+T246*T163+U246*U163+V246*V163+W246*W163+X246*X163+Y246*Y163+Z246*Z163+AA246*AA163+AB246*AB163+AC246*AC163+AD246*AD163+AE246*AE163+AF246*AF163+AG246*AG163+AH246*AH163+AI246*AI163+AJ246*AJ163+AK246*AK163+AL246*AL163+AM246*AM163+AN246*AN163+AO246*AO163+AP246*AP163+AQ246*AQ163+AR246*AR163+AS246*AS163+AT246*AT163+AU246*AU163+AV246*AV163+AW246*AW163+AX246*AX163+AY246*AY163+AZ246*AZ163+BA246*BA163+BB246*BB163+BC246*BC163+BD246*BD163+BE246*BE163+BF246*BF163+BG246*BG163+BH246*BH163+BI246*BI163+BJ246*BJ163+BK246*BK163+BL246*BL163+BM246*BM163+BN246*BN163+BO246*BO163+BP246*BP163+BQ246*BQ163+BR246*BR163+BS246*BS163+BT246*BT163+BU246*BU163+BV246*BV163+BW246*BW163+BX246*BX163+BY246*BY163+BZ246*BZ163+CA246*CA163+CB246*CB163+CC246*CC163+CD246*CD163+CE246*CE163+CF246*CF163+CG246*CG163+CH246*CH163+CI246*CI163+CJ246*CJ163+CK246*CK163</f>
        <v>0</v>
      </c>
    </row>
    <row r="164" spans="2:102" ht="18" x14ac:dyDescent="0.25">
      <c r="B164" s="1830">
        <v>37</v>
      </c>
      <c r="C164" s="1831" t="s">
        <v>296</v>
      </c>
      <c r="D164" s="1832" t="s">
        <v>2207</v>
      </c>
      <c r="E164" s="2661">
        <f>0</f>
        <v>0</v>
      </c>
      <c r="F164" s="2687">
        <f>0</f>
        <v>0</v>
      </c>
      <c r="G164" s="2687">
        <f>0</f>
        <v>0</v>
      </c>
      <c r="H164" s="2687">
        <f>0</f>
        <v>0</v>
      </c>
      <c r="I164" s="2687">
        <f>0</f>
        <v>0</v>
      </c>
      <c r="J164" s="2687">
        <f>0</f>
        <v>0</v>
      </c>
      <c r="K164" s="2687">
        <f>0</f>
        <v>0</v>
      </c>
      <c r="L164" s="2687">
        <f>0</f>
        <v>0</v>
      </c>
      <c r="M164" s="2687">
        <f>0</f>
        <v>0</v>
      </c>
      <c r="N164" s="2661">
        <f>0</f>
        <v>0</v>
      </c>
      <c r="O164" s="2661">
        <f>0</f>
        <v>0</v>
      </c>
      <c r="P164" s="2687">
        <f>0</f>
        <v>0</v>
      </c>
      <c r="Q164" s="2687">
        <f>0</f>
        <v>0</v>
      </c>
      <c r="R164" s="2687">
        <f>0</f>
        <v>0</v>
      </c>
      <c r="S164" s="2687">
        <f>0</f>
        <v>0</v>
      </c>
      <c r="T164" s="2687">
        <f>0</f>
        <v>0</v>
      </c>
      <c r="U164" s="2687">
        <f>1</f>
        <v>1</v>
      </c>
      <c r="V164" s="2687">
        <f>0</f>
        <v>0</v>
      </c>
      <c r="W164" s="2687">
        <f>0</f>
        <v>0</v>
      </c>
      <c r="X164" s="2687">
        <f>0</f>
        <v>0</v>
      </c>
      <c r="Y164" s="2687">
        <f>0</f>
        <v>0</v>
      </c>
      <c r="Z164" s="2687">
        <f>0</f>
        <v>0</v>
      </c>
      <c r="AA164" s="2687">
        <f>-1/Y_AOB-i_N_BIO</f>
        <v>-6.7366666666666672</v>
      </c>
      <c r="AB164" s="2661">
        <f>1/Y_AOB</f>
        <v>6.666666666666667</v>
      </c>
      <c r="AC164" s="2661">
        <f>0</f>
        <v>0</v>
      </c>
      <c r="AD164" s="2687">
        <f>0</f>
        <v>0</v>
      </c>
      <c r="AE164" s="2687">
        <f>0</f>
        <v>0</v>
      </c>
      <c r="AF164" s="2687">
        <f>0</f>
        <v>0</v>
      </c>
      <c r="AG164" s="2687">
        <f>0</f>
        <v>0</v>
      </c>
      <c r="AH164" s="2687">
        <f>0</f>
        <v>0</v>
      </c>
      <c r="AI164" s="2661">
        <f>-i_P_BIO</f>
        <v>-0.02</v>
      </c>
      <c r="AJ164" s="2661">
        <f>0</f>
        <v>0</v>
      </c>
      <c r="AK164" s="2687">
        <f>0</f>
        <v>0</v>
      </c>
      <c r="AL164" s="2687">
        <f>0</f>
        <v>0</v>
      </c>
      <c r="AM164" s="2687">
        <f>0</f>
        <v>0</v>
      </c>
      <c r="AN164" s="2687">
        <f>0</f>
        <v>0</v>
      </c>
      <c r="AO164" s="2661">
        <f>-(E_EQNO2-Y_AOB)/Y_AOB</f>
        <v>-21.845352581264677</v>
      </c>
      <c r="AP164" s="2687">
        <f>0</f>
        <v>0</v>
      </c>
      <c r="AQ164" s="2687">
        <f>0</f>
        <v>0</v>
      </c>
      <c r="AR164" s="2661">
        <f>-i_CIT_BIO</f>
        <v>-0.35199999999999998</v>
      </c>
      <c r="AS164" s="2661">
        <f>i_INORG</f>
        <v>0.11</v>
      </c>
      <c r="AT164" s="2661">
        <f>-i_INORG*(1-i_Ca_INORG*(A_MCa+2*A_MCl)/A_MCa-i_Mg_INORG*(A_MMg+2*A_MCl)/A_MMg)*f_Na</f>
        <v>-2.8804303582798466E-2</v>
      </c>
      <c r="AU164" s="2661">
        <f>-i_INORG*(i_Ca_INORG*(2*A_MCl)/A_MCa+i_Mg_INORG*(2*A_MCl)/A_MMg)-i_INORG*(1-i_Ca_INORG*(A_MCa+2*A_MCl)/A_MCa-i_Mg_INORG*(A_MMg+2*A_MCl)/A_MMg)*(1-f_Na)</f>
        <v>-7.0195696417201539E-2</v>
      </c>
      <c r="AV164" s="2661">
        <f>-i_INORG*i_Ca_INORG</f>
        <v>-5.5000000000000005E-3</v>
      </c>
      <c r="AW164" s="2661">
        <f>-i_INORG*i_Mg_INORG</f>
        <v>-5.5000000000000005E-3</v>
      </c>
      <c r="AX164" s="2661">
        <f>0</f>
        <v>0</v>
      </c>
      <c r="AY164" s="2687">
        <f>0</f>
        <v>0</v>
      </c>
      <c r="AZ164" s="2687">
        <f>0</f>
        <v>0</v>
      </c>
      <c r="BA164" s="2687">
        <f>0</f>
        <v>0</v>
      </c>
      <c r="BB164" s="2687">
        <f>0</f>
        <v>0</v>
      </c>
      <c r="BC164" s="2687">
        <f>0</f>
        <v>0</v>
      </c>
      <c r="BD164" s="2687">
        <f>0</f>
        <v>0</v>
      </c>
      <c r="BE164" s="2687">
        <f>0</f>
        <v>0</v>
      </c>
      <c r="BF164" s="2687">
        <f>0</f>
        <v>0</v>
      </c>
      <c r="BG164" s="2687">
        <f>0</f>
        <v>0</v>
      </c>
      <c r="BH164" s="2687">
        <f>0</f>
        <v>0</v>
      </c>
      <c r="BI164" s="2687">
        <f>0</f>
        <v>0</v>
      </c>
      <c r="BJ164" s="2687">
        <f>0</f>
        <v>0</v>
      </c>
      <c r="BK164" s="2687">
        <f>0</f>
        <v>0</v>
      </c>
      <c r="BL164" s="2687">
        <f>0</f>
        <v>0</v>
      </c>
      <c r="BM164" s="2687">
        <f>0</f>
        <v>0</v>
      </c>
      <c r="BN164" s="2687">
        <f>0</f>
        <v>0</v>
      </c>
      <c r="BO164" s="2687">
        <f>0</f>
        <v>0</v>
      </c>
      <c r="BP164" s="2661">
        <f>0</f>
        <v>0</v>
      </c>
      <c r="BQ164" s="2687">
        <f>0</f>
        <v>0</v>
      </c>
      <c r="BR164" s="2687">
        <f>0</f>
        <v>0</v>
      </c>
      <c r="BS164" s="2687">
        <f>0</f>
        <v>0</v>
      </c>
      <c r="BT164" s="2687">
        <f>0</f>
        <v>0</v>
      </c>
      <c r="BU164" s="2687">
        <f>0</f>
        <v>0</v>
      </c>
      <c r="BV164" s="2687">
        <f>0</f>
        <v>0</v>
      </c>
      <c r="BW164" s="2687">
        <f>0</f>
        <v>0</v>
      </c>
      <c r="BX164" s="2687">
        <f>0</f>
        <v>0</v>
      </c>
      <c r="BY164" s="2687">
        <f>0</f>
        <v>0</v>
      </c>
      <c r="BZ164" s="2687">
        <f>0</f>
        <v>0</v>
      </c>
      <c r="CA164" s="2687">
        <f>0</f>
        <v>0</v>
      </c>
      <c r="CB164" s="2687">
        <f>0</f>
        <v>0</v>
      </c>
      <c r="CC164" s="2687">
        <f>0</f>
        <v>0</v>
      </c>
      <c r="CD164" s="2687">
        <f>0</f>
        <v>0</v>
      </c>
      <c r="CE164" s="2687">
        <f>0</f>
        <v>0</v>
      </c>
      <c r="CF164" s="2687">
        <f>0</f>
        <v>0</v>
      </c>
      <c r="CG164" s="2687">
        <f>0</f>
        <v>0</v>
      </c>
      <c r="CH164" s="2687">
        <f>0</f>
        <v>0</v>
      </c>
      <c r="CI164" s="2687">
        <f>0</f>
        <v>0</v>
      </c>
      <c r="CJ164" s="2687">
        <f>0</f>
        <v>0</v>
      </c>
      <c r="CK164" s="2687">
        <f>0</f>
        <v>0</v>
      </c>
      <c r="CL164" s="2795">
        <f>µ_AOB_T*X_AOB*M_satSNHx_KNHx_AOB*L_ogsatpHCO2_AOB*M_satSO2_KO2_AOB*M_satSPO4_KPO4_BIO*M_satSCAT_KCAT*M_satSAN_KAN*M_satSCa_KCa*M_satSMg_KMg*M_inhpHHNO2_AOB*B_ellinhpH_AOB</f>
        <v>13.626667144265822</v>
      </c>
      <c r="CN164" s="2295">
        <f>E236*E164+F236*F164+G236*G164+H236*H164+I236*I164+J236*J164+K236*K164+L236*L164+M236*M164+N236*N164+O236*O164+P236*P164+Q236*Q164+R236*R164+S236*S164+T236*T164+U236*U164+V236*V164+W236*W164+X236*X164+Y236*Y164+Z236*Z164+AA236*AA164+AB236*AB164+AC236*AC164+AD236*AD164+AE236*AE164+AF236*AF164+AG236*AG164+AH236*AH164+AI236*AI164+AJ236*AJ164+AK236*AK164+AL236*AL164+AM236*AM164+AN236*AN164+AO236*AO164+AP236*AP164+AQ236*AQ164+AR236*AR164+AS236*AS164+AT236*AT164+AU236*AU164+AV236*AV164+AW236*AW164+AX236*AX164+AY236*AY164+AZ236*AZ164+BA236*BA164+BB236*BB164+BC236*BC164+BD236*BD164+BE236*BE164+BF236*BF164+BG236*BG164+BH236*BH164+BI236*BI164+BJ236*BJ164+BK236*BK164+BL236*BL164+BM236*BM164+BN236*BN164+BO236*BO164+BP236*BP164+BQ236*BQ164+BR236*BR164+BS236*BS164+BT236*BT164+BU236*BU164+BV236*BV164+BW236*BW164+BX236*BX164+BY236*BY164+BZ236*BZ164+CA236*CA164+CB236*CB164+CC236*CC164+CD236*CD164+CE236*CE164+CF236*CF164+CG236*CG164+CH236*CH164+CI236*CI164+CJ236*CJ164+CK236*CK164</f>
        <v>0</v>
      </c>
      <c r="CO164" s="2295">
        <f>E237*E164+F237*F164+G237*G164+H237*H164+I237*I164+J237*J164+K237*K164+L237*L164+M237*M164+N237*N164+O237*O164+P237*P164+Q237*Q164+R237*R164+S237*S164+T237*T164+U237*U164+V237*V164+W237*W164+X237*X164+Y237*Y164+Z237*Z164+AA237*AA164+AB237*AB164+AC237*AC164+AD237*AD164+AE237*AE164+AF237*AF164+AG237*AG164+AH237*AH164+AI237*AI164+AJ237*AJ164+AK237*AK164+AL237*AL164+AM237*AM164+AN237*AN164+AO237*AO164+AP237*AP164+AQ237*AQ164+AR237*AR164+AS237*AS164+AT237*AT164+AU237*AU164+AV237*AV164+AW237*AW164+AX237*AX164+AY237*AY164+AZ237*AZ164+BA237*BA164+BB237*BB164+BC237*BC164+BD237*BD164+BE237*BE164+BF237*BF164+BG237*BG164+BH237*BH164+BI237*BI164+BJ237*BJ164+BK237*BK164+BL237*BL164+BM237*BM164+BN237*BN164+BO237*BO164+BP237*BP164+BQ237*BQ164+BR237*BR164+BS237*BS164+BT237*BT164+BU237*BU164+BV237*BV164+BW237*BW164+BX237*BX164+BY237*BY164+BZ237*BZ164+CA237*CA164+CB237*CB164+CC237*CC164+CD237*CD164+CE237*CE164+CF237*CF164+CG237*CG164+CH237*CH164+CI237*CI164+CJ237*CJ164+CK237*CK164</f>
        <v>0</v>
      </c>
      <c r="CP164" s="2296">
        <f>E238*E164+F238*F164+G238*G164+H238*H164+I238*I164+J238*J164+K238*K164+L238*L164+M238*M164+N238*N164+O238*O164+P238*P164+Q238*Q164+R238*R164+S238*S164+T238*T164+U238*U164+V238*V164+W238*W164+X238*X164+Y238*Y164+Z238*Z164+AA238*AA164+AB238*AB164+AC238*AC164+AD238*AD164+AE238*AE164+AF238*AF164+AG238*AG164+AH238*AH164+AI238*AI164+AJ238*AJ164+AK238*AK164+AL238*AL164+AM238*AM164+AN238*AN164+AO238*AO164+AP238*AP164+AQ238*AQ164+AR238*AR164+AS238*AS164+AT238*AT164+AU238*AU164+AV238*AV164+AW238*AW164+AX238*AX164+AY238*AY164+AZ238*AZ164+BA238*BA164+BB238*BB164+BC238*BC164+BD238*BD164+BE238*BE164+BF238*BF164+BG238*BG164+BH238*BH164+BI238*BI164+BJ238*BJ164+BK238*BK164+BL238*BL164+BM238*BM164+BN238*BN164+BO238*BO164+BP238*BP164+BQ238*BQ164+BR238*BR164+BS238*BS164+BT238*BT164+BU238*BU164+BV238*BV164+BW238*BW164+BX238*BX164+BY238*BY164+BZ238*BZ164+CA238*CA164+CB238*CB164+CC238*CC164+CD238*CD164+CE238*CE164+CF238*CF164+CG238*CG164+CH238*CH164+CI238*CI164+CJ238*CJ164+CK238*CK164</f>
        <v>0</v>
      </c>
      <c r="CQ164" s="2297">
        <f>E239*E164+F239*F164+G239*G164+H239*H164+I239*I164+J239*J164+K239*K164+L239*L164+M239*M164+N239*N164+O239*O164+P239*P164+Q239*Q164+R239*R164+S239*S164+T239*T164+U239*U164+V239*V164+W239*W164+X239*X164+Y239*Y164+Z239*Z164+AA239*AA164+AB239*AB164+AC239*AC164+AD239*AD164+AE239*AE164+AF239*AF164+AG239*AG164+AH239*AH164+AI239*AI164+AJ239*AJ164+AK239*AK164+AL239*AL164+AM239*AM164+AN239*AN164+AO239*AO164+AP239*AP164+AQ239*AQ164+AR239*AR164+AS239*AS164+AT239*AT164+AU239*AU164+AV239*AV164+AW239*AW164+AX239*AX164+AY239*AY164+AZ239*AZ164+BA239*BA164+BB239*BB164+BC239*BC164+BD239*BD164+BE239*BE164+BF239*BF164+BG239*BG164+BH239*BH164+BI239*BI164+BJ239*BJ164+BK239*BK164+BL239*BL164+BM239*BM164+BN239*BN164+BO239*BO164+BP239*BP164+BQ239*BQ164+BR239*BR164+BS239*BS164+BT239*BT164+BU239*BU164+BV239*BV164+BW239*BW164+BX239*BX164+BY239*BY164+BZ239*BZ164+CA239*CA164+CB239*CB164+CC239*CC164+CD239*CD164+CE239*CE164+CF239*CF164+CG239*CG164+CH239*CH164+CI239*CI164+CJ239*CJ164+CK239*CK164</f>
        <v>0</v>
      </c>
      <c r="CR164" s="2297">
        <f>E240*E164+F240*F164+G240*G164+H240*H164+I240*I164+J240*J164+K240*K164+L240*L164+M240*M164+N240*N164+O240*O164+P240*P164+Q240*Q164+R240*R164+S240*S164+T240*T164+U240*U164+V240*V164+W240*W164+X240*X164+Y240*Y164+Z240*Z164+AA240*AA164+AB240*AB164+AC240*AC164+AD240*AD164+AE240*AE164+AF240*AF164+AG240*AG164+AH240*AH164+AI240*AI164+AJ240*AJ164+AK240*AK164+AL240*AL164+AM240*AM164+AN240*AN164+AO240*AO164+AP240*AP164+AQ240*AQ164+AR240*AR164+AS240*AS164+AT240*AT164+AU240*AU164+AV240*AV164+AW240*AW164+AX240*AX164+AY240*AY164+AZ240*AZ164+BA240*BA164+BB240*BB164+BC240*BC164+BD240*BD164+BE240*BE164+BF240*BF164+BG240*BG164+BH240*BH164+BI240*BI164+BJ240*BJ164+BK240*BK164+BL240*BL164+BM240*BM164+BN240*BN164+BO240*BO164+BP240*BP164+BQ240*BQ164+BR240*BR164+BS240*BS164+BT240*BT164+BU240*BU164+BV240*BV164+BW240*BW164+BX240*BX164+BY240*BY164+BZ240*BZ164+CA240*CA164+CB240*CB164+CC240*CC164+CD240*CD164+CE240*CE164+CF240*CF164+CG240*CG164+CH240*CH164+CI240*CI164+CJ240*CJ164+CK240*CK164</f>
        <v>0</v>
      </c>
      <c r="CS164" s="2297">
        <f>E241*E164+F241*F164+G241*G164+H241*H164+I241*I164+J241*J164+K241*K164+L241*L164+M241*M164+N241*N164+O241*O164+P241*P164+Q241*Q164+R241*R164+S241*S164+T241*T164+U241*U164+V241*V164+W241*W164+X241*X164+Y241*Y164+Z241*Z164+AA241*AA164+AB241*AB164+AC241*AC164+AD241*AD164+AE241*AE164+AF241*AF164+AG241*AG164+AH241*AH164+AI241*AI164+AJ241*AJ164+AK241*AK164+AL241*AL164+AM241*AM164+AN241*AN164+AO241*AO164+AP241*AP164+AQ241*AQ164+AR241*AR164+AS241*AS164+AT241*AT164+AU241*AU164+AV241*AV164+AW241*AW164+AX241*AX164+AY241*AY164+AZ241*AZ164+BA241*BA164+BB241*BB164+BC241*BC164+BD241*BD164+BE241*BE164+BF241*BF164+BG241*BG164+BH241*BH164+BI241*BI164+BJ241*BJ164+BK241*BK164+BL241*BL164+BM241*BM164+BN241*BN164+BO241*BO164+BP241*BP164+BQ241*BQ164+BR241*BR164+BS241*BS164+BT241*BT164+BU241*BU164+BV241*BV164+BW241*BW164+BX241*BX164+BY241*BY164+BZ241*BZ164+CA241*CA164+CB241*CB164+CC241*CC164+CD241*CD164+CE241*CE164+CF241*CF164+CG241*CG164+CH241*CH164+CI241*CI164+CJ241*CJ164+CK241*CK164</f>
        <v>0</v>
      </c>
      <c r="CT164" s="2297">
        <f>E242*E164+F242*F164+G242*G164+H242*H164+I242*I164+J242*J164+K242*K164+L242*L164+M242*M164+N242*N164+O242*O164+P242*P164+Q242*Q164+R242*R164+S242*S164+T242*T164+U242*U164+V242*V164+W242*W164+X242*X164+Y242*Y164+Z242*Z164+AA242*AA164+AB242*AB164+AC242*AC164+AD242*AD164+AE242*AE164+AF242*AF164+AG242*AG164+AH242*AH164+AI242*AI164+AJ242*AJ164+AK242*AK164+AL242*AL164+AM242*AM164+AN242*AN164+AO242*AO164+AP242*AP164+AQ242*AQ164+AR242*AR164+AS242*AS164+AT242*AT164+AU242*AU164+AV242*AV164+AW242*AW164+AX242*AX164+AY242*AY164+AZ242*AZ164+BA242*BA164+BB242*BB164+BC242*BC164+BD242*BD164+BE242*BE164+BF242*BF164+BG242*BG164+BH242*BH164+BI242*BI164+BJ242*BJ164+BK242*BK164+BL242*BL164+BM242*BM164+BN242*BN164+BO242*BO164+BP242*BP164+BQ242*BQ164+BR242*BR164+BS242*BS164+BT242*BT164+BU242*BU164+BV242*BV164+BW242*BW164+BX242*BX164+BY242*BY164+BZ242*BZ164+CA242*CA164+CB242*CB164+CC242*CC164+CD242*CD164+CE242*CE164+CF242*CF164+CG242*CG164+CH242*CH164+CI242*CI164+CJ242*CJ164+CK242*CK164</f>
        <v>0</v>
      </c>
      <c r="CU164" s="2297">
        <f>E243*E164+F243*F164+G243*G164+H243*H164+I243*I164+J243*J164+K243*K164+L243*L164+M243*M164+N243*N164+O243*O164+P243*P164+Q243*Q164+R243*R164+S243*S164+T243*T164+U243*U164+V243*V164+W243*W164+X243*X164+Y243*Y164+Z243*Z164+AA243*AA164+AB243*AB164+AC243*AC164+AD243*AD164+AE243*AE164+AF243*AF164+AG243*AG164+AH243*AH164+AI243*AI164+AJ243*AJ164+AK243*AK164+AL243*AL164+AM243*AM164+AN243*AN164+AO243*AO164+AP243*AP164+AQ243*AQ164+AR243*AR164+AS243*AS164+AT243*AT164+AU243*AU164+AV243*AV164+AW243*AW164+AX243*AX164+AY243*AY164+AZ243*AZ164+BA243*BA164+BB243*BB164+BC243*BC164+BD243*BD164+BE243*BE164+BF243*BF164+BG243*BG164+BH243*BH164+BI243*BI164+BJ243*BJ164+BK243*BK164+BL243*BL164+BM243*BM164+BN243*BN164+BO243*BO164+BP243*BP164+BQ243*BQ164+BR243*BR164+BS243*BS164+BT243*BT164+BU243*BU164+BV243*BV164+BW243*BW164+BX243*BX164+BY243*BY164+BZ243*BZ164+CA243*CA164+CB243*CB164+CC243*CC164+CD243*CD164+CE243*CE164+CF243*CF164+CG243*CG164+CH243*CH164+CI243*CI164+CJ243*CJ164+CK243*CK164</f>
        <v>0</v>
      </c>
      <c r="CV164" s="2297">
        <f>E244*E164+F244*F164+G244*G164+H244*H164+I244*I164+J244*J164+K244*K164+L244*L164+M244*M164+N244*N164+O244*O164+P244*P164+Q244*Q164+R244*R164+S244*S164+T244*T164+U244*U164+V244*V164+W244*W164+X244*X164+Y244*Y164+Z244*Z164+AA244*AA164+AB244*AB164+AC244*AC164+AD244*AD164+AE244*AE164+AF244*AF164+AG244*AG164+AH244*AH164+AI244*AI164+AJ244*AJ164+AK244*AK164+AL244*AL164+AM244*AM164+AN244*AN164+AO244*AO164+AP244*AP164+AQ244*AQ164+AR244*AR164+AS244*AS164+AT244*AT164+AU244*AU164+AV244*AV164+AW244*AW164+AX244*AX164+AY244*AY164+AZ244*AZ164+BA244*BA164+BB244*BB164+BC244*BC164+BD244*BD164+BE244*BE164+BF244*BF164+BG244*BG164+BH244*BH164+BI244*BI164+BJ244*BJ164+BK244*BK164+BL244*BL164+BM244*BM164+BN244*BN164+BO244*BO164+BP244*BP164+BQ244*BQ164+BR244*BR164+BS244*BS164+BT244*BT164+BU244*BU164+BV244*BV164+BW244*BW164+BX244*BX164+BY244*BY164+BZ244*BZ164+CA244*CA164+CB244*CB164+CC244*CC164+CD244*CD164+CE244*CE164+CF244*CF164+CG244*CG164+CH244*CH164+CI244*CI164+CJ244*CJ164+CK244*CK164</f>
        <v>0</v>
      </c>
      <c r="CW164" s="2297">
        <f>E245*E164+F245*F164+G245*G164+H245*H164+I245*I164+J245*J164+K245*K164+L245*L164+M245*M164+N245*N164+O245*O164+P245*P164+Q245*Q164+R245*R164+S245*S164+T245*T164+U245*U164+V245*V164+W245*W164+X245*X164+Y245*Y164+Z245*Z164+AA245*AA164+AB245*AB164+AC245*AC164+AD245*AD164+AE245*AE164+AF245*AF164+AG245*AG164+AH245*AH164+AI245*AI164+AJ245*AJ164+AK245*AK164+AL245*AL164+AM245*AM164+AN245*AN164+AO245*AO164+AP245*AP164+AQ245*AQ164+AR245*AR164+AS245*AS164+AT245*AT164+AU245*AU164+AV245*AV164+AW245*AW164+AX245*AX164+AY245*AY164+AZ245*AZ164+BA245*BA164+BB245*BB164+BC245*BC164+BD245*BD164+BE245*BE164+BF245*BF164+BG245*BG164+BH245*BH164+BI245*BI164+BJ245*BJ164+BK245*BK164+BL245*BL164+BM245*BM164+BN245*BN164+BO245*BO164+BP245*BP164+BQ245*BQ164+BR245*BR164+BS245*BS164+BT245*BT164+BU245*BU164+BV245*BV164+BW245*BW164+BX245*BX164+BY245*BY164+BZ245*BZ164+CA245*CA164+CB245*CB164+CC245*CC164+CD245*CD164+CE245*CE164+CF245*CF164+CG245*CG164+CH245*CH164+CI245*CI164+CJ245*CJ164+CK245*CK164</f>
        <v>0</v>
      </c>
      <c r="CX164" s="2297">
        <f>E246*E164+F246*F164+G246*G164+H246*H164+I246*I164+J246*J164+K246*K164+L246*L164+M246*M164+N246*N164+O246*O164+P246*P164+Q246*Q164+R246*R164+S246*S164+T246*T164+U246*U164+V246*V164+W246*W164+X246*X164+Y246*Y164+Z246*Z164+AA246*AA164+AB246*AB164+AC246*AC164+AD246*AD164+AE246*AE164+AF246*AF164+AG246*AG164+AH246*AH164+AI246*AI164+AJ246*AJ164+AK246*AK164+AL246*AL164+AM246*AM164+AN246*AN164+AO246*AO164+AP246*AP164+AQ246*AQ164+AR246*AR164+AS246*AS164+AT246*AT164+AU246*AU164+AV246*AV164+AW246*AW164+AX246*AX164+AY246*AY164+AZ246*AZ164+BA246*BA164+BB246*BB164+BC246*BC164+BD246*BD164+BE246*BE164+BF246*BF164+BG246*BG164+BH246*BH164+BI246*BI164+BJ246*BJ164+BK246*BK164+BL246*BL164+BM246*BM164+BN246*BN164+BO246*BO164+BP246*BP164+BQ246*BQ164+BR246*BR164+BS246*BS164+BT246*BT164+BU246*BU164+BV246*BV164+BW246*BW164+BX246*BX164+BY246*BY164+BZ246*BZ164+CA246*CA164+CB246*CB164+CC246*CC164+CD246*CD164+CE246*CE164+CF246*CF164+CG246*CG164+CH246*CH164+CI246*CI164+CJ246*CJ164+CK246*CK164</f>
        <v>0</v>
      </c>
    </row>
    <row r="165" spans="2:102" ht="18" x14ac:dyDescent="0.25">
      <c r="B165" s="1246">
        <v>38</v>
      </c>
      <c r="C165" s="1193" t="s">
        <v>4273</v>
      </c>
      <c r="D165" s="594" t="s">
        <v>2208</v>
      </c>
      <c r="E165" s="2662">
        <f>0</f>
        <v>0</v>
      </c>
      <c r="F165" s="2688">
        <f>0</f>
        <v>0</v>
      </c>
      <c r="G165" s="2688">
        <f>0</f>
        <v>0</v>
      </c>
      <c r="H165" s="2688">
        <f>0</f>
        <v>0</v>
      </c>
      <c r="I165" s="2688">
        <f>0</f>
        <v>0</v>
      </c>
      <c r="J165" s="2688">
        <f>1-f_E</f>
        <v>0.92</v>
      </c>
      <c r="K165" s="2688">
        <f>0</f>
        <v>0</v>
      </c>
      <c r="L165" s="2688">
        <f>0</f>
        <v>0</v>
      </c>
      <c r="M165" s="2688">
        <f>0</f>
        <v>0</v>
      </c>
      <c r="N165" s="2662">
        <f>0</f>
        <v>0</v>
      </c>
      <c r="O165" s="2662">
        <f>0</f>
        <v>0</v>
      </c>
      <c r="P165" s="2688">
        <f>f_E</f>
        <v>0.08</v>
      </c>
      <c r="Q165" s="2688">
        <f>0</f>
        <v>0</v>
      </c>
      <c r="R165" s="2688">
        <f>0</f>
        <v>0</v>
      </c>
      <c r="S165" s="2688">
        <f>0</f>
        <v>0</v>
      </c>
      <c r="T165" s="2688">
        <f>0</f>
        <v>0</v>
      </c>
      <c r="U165" s="2688">
        <f>-1</f>
        <v>-1</v>
      </c>
      <c r="V165" s="2688">
        <f>0</f>
        <v>0</v>
      </c>
      <c r="W165" s="2688">
        <f>0</f>
        <v>0</v>
      </c>
      <c r="X165" s="2688">
        <f>0</f>
        <v>0</v>
      </c>
      <c r="Y165" s="2688">
        <f>0</f>
        <v>0</v>
      </c>
      <c r="Z165" s="2687">
        <f>0</f>
        <v>0</v>
      </c>
      <c r="AA165" s="2688">
        <f>-f_E*(i_N_XE-i_N_BIO)</f>
        <v>8.0000000000000069E-4</v>
      </c>
      <c r="AB165" s="2688">
        <f>0</f>
        <v>0</v>
      </c>
      <c r="AC165" s="2688">
        <f>0</f>
        <v>0</v>
      </c>
      <c r="AD165" s="2688">
        <f>0</f>
        <v>0</v>
      </c>
      <c r="AE165" s="2688">
        <f>0</f>
        <v>0</v>
      </c>
      <c r="AF165" s="2688">
        <f>0</f>
        <v>0</v>
      </c>
      <c r="AG165" s="2688">
        <f>(1-f_E)*i_N_BIO</f>
        <v>6.4400000000000013E-2</v>
      </c>
      <c r="AH165" s="2688">
        <f>0</f>
        <v>0</v>
      </c>
      <c r="AI165" s="2688">
        <f>0</f>
        <v>0</v>
      </c>
      <c r="AJ165" s="2662">
        <f>0</f>
        <v>0</v>
      </c>
      <c r="AK165" s="2688">
        <f>0</f>
        <v>0</v>
      </c>
      <c r="AL165" s="2688">
        <f>0</f>
        <v>0</v>
      </c>
      <c r="AM165" s="2688">
        <f>(1-f_E)*i_P_BIO</f>
        <v>1.84E-2</v>
      </c>
      <c r="AN165" s="2688">
        <f>0</f>
        <v>0</v>
      </c>
      <c r="AO165" s="2688">
        <f>0</f>
        <v>0</v>
      </c>
      <c r="AP165" s="2688">
        <f>0</f>
        <v>0</v>
      </c>
      <c r="AQ165" s="2688">
        <f>0</f>
        <v>0</v>
      </c>
      <c r="AR165" s="2735">
        <f>(1-f_E)*(i_CIT_BIO-i_CIT_XBe)</f>
        <v>6.0720000000000003E-2</v>
      </c>
      <c r="AS165" s="2662">
        <f>0</f>
        <v>0</v>
      </c>
      <c r="AT165" s="2662">
        <f>0</f>
        <v>0</v>
      </c>
      <c r="AU165" s="2662">
        <f>0</f>
        <v>0</v>
      </c>
      <c r="AV165" s="2662">
        <f>0</f>
        <v>0</v>
      </c>
      <c r="AW165" s="2662">
        <f>0</f>
        <v>0</v>
      </c>
      <c r="AX165" s="2662">
        <f>0</f>
        <v>0</v>
      </c>
      <c r="AY165" s="2688">
        <f>0</f>
        <v>0</v>
      </c>
      <c r="AZ165" s="2688">
        <f>0</f>
        <v>0</v>
      </c>
      <c r="BA165" s="2688">
        <f>0</f>
        <v>0</v>
      </c>
      <c r="BB165" s="2688">
        <f>0</f>
        <v>0</v>
      </c>
      <c r="BC165" s="2688">
        <f>0</f>
        <v>0</v>
      </c>
      <c r="BD165" s="2688">
        <f>0</f>
        <v>0</v>
      </c>
      <c r="BE165" s="2688">
        <f>0</f>
        <v>0</v>
      </c>
      <c r="BF165" s="2688">
        <f>0</f>
        <v>0</v>
      </c>
      <c r="BG165" s="2688">
        <f>0</f>
        <v>0</v>
      </c>
      <c r="BH165" s="2688">
        <f>0</f>
        <v>0</v>
      </c>
      <c r="BI165" s="2688">
        <f>0</f>
        <v>0</v>
      </c>
      <c r="BJ165" s="2688">
        <f>0</f>
        <v>0</v>
      </c>
      <c r="BK165" s="2688">
        <f>0</f>
        <v>0</v>
      </c>
      <c r="BL165" s="2688">
        <f>0</f>
        <v>0</v>
      </c>
      <c r="BM165" s="2688">
        <f>0</f>
        <v>0</v>
      </c>
      <c r="BN165" s="2688">
        <f>0</f>
        <v>0</v>
      </c>
      <c r="BO165" s="2688">
        <f>0</f>
        <v>0</v>
      </c>
      <c r="BP165" s="2758">
        <f>0</f>
        <v>0</v>
      </c>
      <c r="BQ165" s="2688">
        <f>0</f>
        <v>0</v>
      </c>
      <c r="BR165" s="2688">
        <f>0</f>
        <v>0</v>
      </c>
      <c r="BS165" s="2687">
        <f>0</f>
        <v>0</v>
      </c>
      <c r="BT165" s="2687">
        <f>0</f>
        <v>0</v>
      </c>
      <c r="BU165" s="2687">
        <f>0</f>
        <v>0</v>
      </c>
      <c r="BV165" s="2687">
        <f>0</f>
        <v>0</v>
      </c>
      <c r="BW165" s="2688">
        <f>0</f>
        <v>0</v>
      </c>
      <c r="BX165" s="2776">
        <f>0</f>
        <v>0</v>
      </c>
      <c r="BY165" s="2687">
        <f>0</f>
        <v>0</v>
      </c>
      <c r="BZ165" s="2688">
        <f>0</f>
        <v>0</v>
      </c>
      <c r="CA165" s="2688">
        <f>0</f>
        <v>0</v>
      </c>
      <c r="CB165" s="2688">
        <f>0</f>
        <v>0</v>
      </c>
      <c r="CC165" s="2688">
        <f>0</f>
        <v>0</v>
      </c>
      <c r="CD165" s="2688">
        <f>0</f>
        <v>0</v>
      </c>
      <c r="CE165" s="2688">
        <f>0</f>
        <v>0</v>
      </c>
      <c r="CF165" s="2688">
        <f>0</f>
        <v>0</v>
      </c>
      <c r="CG165" s="2688">
        <f>0</f>
        <v>0</v>
      </c>
      <c r="CH165" s="2688">
        <f>0</f>
        <v>0</v>
      </c>
      <c r="CI165" s="2688">
        <f>0</f>
        <v>0</v>
      </c>
      <c r="CJ165" s="2688">
        <f>0</f>
        <v>0</v>
      </c>
      <c r="CK165" s="2688">
        <f>0</f>
        <v>0</v>
      </c>
      <c r="CL165" s="2796">
        <f>b_AOB_T*X_AOB*(M_satSO2_KO2_AOB+η_b_anox*M_satSNOx_KNOx_AOB*M_inhSO2_KO2_AOB)</f>
        <v>5.045719298245614</v>
      </c>
      <c r="CN165" s="2295">
        <f>E236*E165+F236*F165+G236*G165+H236*H165+I236*I165+J236*J165+K236*K165+L236*L165+M236*M165+N236*N165+O236*O165+P236*P165+Q236*Q165+R236*R165+S236*S165+T236*T165+U236*U165+V236*V165+W236*W165+X236*X165+Y236*Y165+Z236*Z165+AA236*AA165+AB236*AB165+AC236*AC165+AD236*AD165+AE236*AE165+AF236*AF165+AG236*AG165+AH236*AH165+AI236*AI165+AJ236*AJ165+AK236*AK165+AL236*AL165+AM236*AM165+AN236*AN165+AO236*AO165+AP236*AP165+AQ236*AQ165+AR236*AR165+AS236*AS165+AT236*AT165+AU236*AU165+AV236*AV165+AW236*AW165+AX236*AX165+AY236*AY165+AZ236*AZ165+BA236*BA165+BB236*BB165+BC236*BC165+BD236*BD165+BE236*BE165+BF236*BF165+BG236*BG165+BH236*BH165+BI236*BI165+BJ236*BJ165+BK236*BK165+BL236*BL165+BM236*BM165+BN236*BN165+BO236*BO165+BP236*BP165+BQ236*BQ165+BR236*BR165+BS236*BS165+BT236*BT165+BU236*BU165+BV236*BV165+BW236*BW165+BX236*BX165+BY236*BY165+BZ236*BZ165+CA236*CA165+CB236*CB165+CC236*CC165+CD236*CD165+CE236*CE165+CF236*CF165+CG236*CG165+CH236*CH165+CI236*CI165+CJ236*CJ165+CK236*CK165</f>
        <v>0</v>
      </c>
      <c r="CO165" s="2295">
        <f>E237*E165+F237*F165+G237*G165+H237*H165+I237*I165+J237*J165+K237*K165+L237*L165+M237*M165+N237*N165+O237*O165+P237*P165+Q237*Q165+R237*R165+S237*S165+T237*T165+U237*U165+V237*V165+W237*W165+X237*X165+Y237*Y165+Z237*Z165+AA237*AA165+AB237*AB165+AC237*AC165+AD237*AD165+AE237*AE165+AF237*AF165+AG237*AG165+AH237*AH165+AI237*AI165+AJ237*AJ165+AK237*AK165+AL237*AL165+AM237*AM165+AN237*AN165+AO237*AO165+AP237*AP165+AQ237*AQ165+AR237*AR165+AS237*AS165+AT237*AT165+AU237*AU165+AV237*AV165+AW237*AW165+AX237*AX165+AY237*AY165+AZ237*AZ165+BA237*BA165+BB237*BB165+BC237*BC165+BD237*BD165+BE237*BE165+BF237*BF165+BG237*BG165+BH237*BH165+BI237*BI165+BJ237*BJ165+BK237*BK165+BL237*BL165+BM237*BM165+BN237*BN165+BO237*BO165+BP237*BP165+BQ237*BQ165+BR237*BR165+BS237*BS165+BT237*BT165+BU237*BU165+BV237*BV165+BW237*BW165+BX237*BX165+BY237*BY165+BZ237*BZ165+CA237*CA165+CB237*CB165+CC237*CC165+CD237*CD165+CE237*CE165+CF237*CF165+CG237*CG165+CH237*CH165+CI237*CI165+CJ237*CJ165+CK237*CK165</f>
        <v>6.9388939039072284E-18</v>
      </c>
      <c r="CP165" s="2296">
        <f>E238*E165+F238*F165+G238*G165+H238*H165+I238*I165+J238*J165+K238*K165+L238*L165+M238*M165+N238*N165+O238*O165+P238*P165+Q238*Q165+R238*R165+S238*S165+T238*T165+U238*U165+V238*V165+W238*W165+X238*X165+Y238*Y165+Z238*Z165+AA238*AA165+AB238*AB165+AC238*AC165+AD238*AD165+AE238*AE165+AF238*AF165+AG238*AG165+AH238*AH165+AI238*AI165+AJ238*AJ165+AK238*AK165+AL238*AL165+AM238*AM165+AN238*AN165+AO238*AO165+AP238*AP165+AQ238*AQ165+AR238*AR165+AS238*AS165+AT238*AT165+AU238*AU165+AV238*AV165+AW238*AW165+AX238*AX165+AY238*AY165+AZ238*AZ165+BA238*BA165+BB238*BB165+BC238*BC165+BD238*BD165+BE238*BE165+BF238*BF165+BG238*BG165+BH238*BH165+BI238*BI165+BJ238*BJ165+BK238*BK165+BL238*BL165+BM238*BM165+BN238*BN165+BO238*BO165+BP238*BP165+BQ238*BQ165+BR238*BR165+BS238*BS165+BT238*BT165+BU238*BU165+BV238*BV165+BW238*BW165+BX238*BX165+BY238*BY165+BZ238*BZ165+CA238*CA165+CB238*CB165+CC238*CC165+CD238*CD165+CE238*CE165+CF238*CF165+CG238*CG165+CH238*CH165+CI238*CI165+CJ238*CJ165+CK238*CK165</f>
        <v>0</v>
      </c>
      <c r="CQ165" s="2297">
        <f>E239*E165+F239*F165+G239*G165+H239*H165+I239*I165+J239*J165+K239*K165+L239*L165+M239*M165+N239*N165+O239*O165+P239*P165+Q239*Q165+R239*R165+S239*S165+T239*T165+U239*U165+V239*V165+W239*W165+X239*X165+Y239*Y165+Z239*Z165+AA239*AA165+AB239*AB165+AC239*AC165+AD239*AD165+AE239*AE165+AF239*AF165+AG239*AG165+AH239*AH165+AI239*AI165+AJ239*AJ165+AK239*AK165+AL239*AL165+AM239*AM165+AN239*AN165+AO239*AO165+AP239*AP165+AQ239*AQ165+AR239*AR165+AS239*AS165+AT239*AT165+AU239*AU165+AV239*AV165+AW239*AW165+AX239*AX165+AY239*AY165+AZ239*AZ165+BA239*BA165+BB239*BB165+BC239*BC165+BD239*BD165+BE239*BE165+BF239*BF165+BG239*BG165+BH239*BH165+BI239*BI165+BJ239*BJ165+BK239*BK165+BL239*BL165+BM239*BM165+BN239*BN165+BO239*BO165+BP239*BP165+BQ239*BQ165+BR239*BR165+BS239*BS165+BT239*BT165+BU239*BU165+BV239*BV165+BW239*BW165+BX239*BX165+BY239*BY165+BZ239*BZ165+CA239*CA165+CB239*CB165+CC239*CC165+CD239*CD165+CE239*CE165+CF239*CF165+CG239*CG165+CH239*CH165+CI239*CI165+CJ239*CJ165+CK239*CK165</f>
        <v>0</v>
      </c>
      <c r="CR165" s="2297">
        <f>E240*E165+F240*F165+G240*G165+H240*H165+I240*I165+J240*J165+K240*K165+L240*L165+M240*M165+N240*N165+O240*O165+P240*P165+Q240*Q165+R240*R165+S240*S165+T240*T165+U240*U165+V240*V165+W240*W165+X240*X165+Y240*Y165+Z240*Z165+AA240*AA165+AB240*AB165+AC240*AC165+AD240*AD165+AE240*AE165+AF240*AF165+AG240*AG165+AH240*AH165+AI240*AI165+AJ240*AJ165+AK240*AK165+AL240*AL165+AM240*AM165+AN240*AN165+AO240*AO165+AP240*AP165+AQ240*AQ165+AR240*AR165+AS240*AS165+AT240*AT165+AU240*AU165+AV240*AV165+AW240*AW165+AX240*AX165+AY240*AY165+AZ240*AZ165+BA240*BA165+BB240*BB165+BC240*BC165+BD240*BD165+BE240*BE165+BF240*BF165+BG240*BG165+BH240*BH165+BI240*BI165+BJ240*BJ165+BK240*BK165+BL240*BL165+BM240*BM165+BN240*BN165+BO240*BO165+BP240*BP165+BQ240*BQ165+BR240*BR165+BS240*BS165+BT240*BT165+BU240*BU165+BV240*BV165+BW240*BW165+BX240*BX165+BY240*BY165+BZ240*BZ165+CA240*CA165+CB240*CB165+CC240*CC165+CD240*CD165+CE240*CE165+CF240*CF165+CG240*CG165+CH240*CH165+CI240*CI165+CJ240*CJ165+CK240*CK165</f>
        <v>0</v>
      </c>
      <c r="CS165" s="2297">
        <f>E241*E165+F241*F165+G241*G165+H241*H165+I241*I165+J241*J165+K241*K165+L241*L165+M241*M165+N241*N165+O241*O165+P241*P165+Q241*Q165+R241*R165+S241*S165+T241*T165+U241*U165+V241*V165+W241*W165+X241*X165+Y241*Y165+Z241*Z165+AA241*AA165+AB241*AB165+AC241*AC165+AD241*AD165+AE241*AE165+AF241*AF165+AG241*AG165+AH241*AH165+AI241*AI165+AJ241*AJ165+AK241*AK165+AL241*AL165+AM241*AM165+AN241*AN165+AO241*AO165+AP241*AP165+AQ241*AQ165+AR241*AR165+AS241*AS165+AT241*AT165+AU241*AU165+AV241*AV165+AW241*AW165+AX241*AX165+AY241*AY165+AZ241*AZ165+BA241*BA165+BB241*BB165+BC241*BC165+BD241*BD165+BE241*BE165+BF241*BF165+BG241*BG165+BH241*BH165+BI241*BI165+BJ241*BJ165+BK241*BK165+BL241*BL165+BM241*BM165+BN241*BN165+BO241*BO165+BP241*BP165+BQ241*BQ165+BR241*BR165+BS241*BS165+BT241*BT165+BU241*BU165+BV241*BV165+BW241*BW165+BX241*BX165+BY241*BY165+BZ241*BZ165+CA241*CA165+CB241*CB165+CC241*CC165+CD241*CD165+CE241*CE165+CF241*CF165+CG241*CG165+CH241*CH165+CI241*CI165+CJ241*CJ165+CK241*CK165</f>
        <v>0</v>
      </c>
      <c r="CT165" s="2297">
        <f>E242*E165+F242*F165+G242*G165+H242*H165+I242*I165+J242*J165+K242*K165+L242*L165+M242*M165+N242*N165+O242*O165+P242*P165+Q242*Q165+R242*R165+S242*S165+T242*T165+U242*U165+V242*V165+W242*W165+X242*X165+Y242*Y165+Z242*Z165+AA242*AA165+AB242*AB165+AC242*AC165+AD242*AD165+AE242*AE165+AF242*AF165+AG242*AG165+AH242*AH165+AI242*AI165+AJ242*AJ165+AK242*AK165+AL242*AL165+AM242*AM165+AN242*AN165+AO242*AO165+AP242*AP165+AQ242*AQ165+AR242*AR165+AS242*AS165+AT242*AT165+AU242*AU165+AV242*AV165+AW242*AW165+AX242*AX165+AY242*AY165+AZ242*AZ165+BA242*BA165+BB242*BB165+BC242*BC165+BD242*BD165+BE242*BE165+BF242*BF165+BG242*BG165+BH242*BH165+BI242*BI165+BJ242*BJ165+BK242*BK165+BL242*BL165+BM242*BM165+BN242*BN165+BO242*BO165+BP242*BP165+BQ242*BQ165+BR242*BR165+BS242*BS165+BT242*BT165+BU242*BU165+BV242*BV165+BW242*BW165+BX242*BX165+BY242*BY165+BZ242*BZ165+CA242*CA165+CB242*CB165+CC242*CC165+CD242*CD165+CE242*CE165+CF242*CF165+CG242*CG165+CH242*CH165+CI242*CI165+CJ242*CJ165+CK242*CK165</f>
        <v>0</v>
      </c>
      <c r="CU165" s="2297">
        <f>E243*E165+F243*F165+G243*G165+H243*H165+I243*I165+J243*J165+K243*K165+L243*L165+M243*M165+N243*N165+O243*O165+P243*P165+Q243*Q165+R243*R165+S243*S165+T243*T165+U243*U165+V243*V165+W243*W165+X243*X165+Y243*Y165+Z243*Z165+AA243*AA165+AB243*AB165+AC243*AC165+AD243*AD165+AE243*AE165+AF243*AF165+AG243*AG165+AH243*AH165+AI243*AI165+AJ243*AJ165+AK243*AK165+AL243*AL165+AM243*AM165+AN243*AN165+AO243*AO165+AP243*AP165+AQ243*AQ165+AR243*AR165+AS243*AS165+AT243*AT165+AU243*AU165+AV243*AV165+AW243*AW165+AX243*AX165+AY243*AY165+AZ243*AZ165+BA243*BA165+BB243*BB165+BC243*BC165+BD243*BD165+BE243*BE165+BF243*BF165+BG243*BG165+BH243*BH165+BI243*BI165+BJ243*BJ165+BK243*BK165+BL243*BL165+BM243*BM165+BN243*BN165+BO243*BO165+BP243*BP165+BQ243*BQ165+BR243*BR165+BS243*BS165+BT243*BT165+BU243*BU165+BV243*BV165+BW243*BW165+BX243*BX165+BY243*BY165+BZ243*BZ165+CA243*CA165+CB243*CB165+CC243*CC165+CD243*CD165+CE243*CE165+CF243*CF165+CG243*CG165+CH243*CH165+CI243*CI165+CJ243*CJ165+CK243*CK165</f>
        <v>0</v>
      </c>
      <c r="CV165" s="2297">
        <f>E244*E165+F244*F165+G244*G165+H244*H165+I244*I165+J244*J165+K244*K165+L244*L165+M244*M165+N244*N165+O244*O165+P244*P165+Q244*Q165+R244*R165+S244*S165+T244*T165+U244*U165+V244*V165+W244*W165+X244*X165+Y244*Y165+Z244*Z165+AA244*AA165+AB244*AB165+AC244*AC165+AD244*AD165+AE244*AE165+AF244*AF165+AG244*AG165+AH244*AH165+AI244*AI165+AJ244*AJ165+AK244*AK165+AL244*AL165+AM244*AM165+AN244*AN165+AO244*AO165+AP244*AP165+AQ244*AQ165+AR244*AR165+AS244*AS165+AT244*AT165+AU244*AU165+AV244*AV165+AW244*AW165+AX244*AX165+AY244*AY165+AZ244*AZ165+BA244*BA165+BB244*BB165+BC244*BC165+BD244*BD165+BE244*BE165+BF244*BF165+BG244*BG165+BH244*BH165+BI244*BI165+BJ244*BJ165+BK244*BK165+BL244*BL165+BM244*BM165+BN244*BN165+BO244*BO165+BP244*BP165+BQ244*BQ165+BR244*BR165+BS244*BS165+BT244*BT165+BU244*BU165+BV244*BV165+BW244*BW165+BX244*BX165+BY244*BY165+BZ244*BZ165+CA244*CA165+CB244*CB165+CC244*CC165+CD244*CD165+CE244*CE165+CF244*CF165+CG244*CG165+CH244*CH165+CI244*CI165+CJ244*CJ165+CK244*CK165</f>
        <v>0</v>
      </c>
      <c r="CW165" s="2297">
        <f>E245*E165+F245*F165+G245*G165+H245*H165+I245*I165+J245*J165+K245*K165+L245*L165+M245*M165+N245*N165+O245*O165+P245*P165+Q245*Q165+R245*R165+S245*S165+T245*T165+U245*U165+V245*V165+W245*W165+X245*X165+Y245*Y165+Z245*Z165+AA245*AA165+AB245*AB165+AC245*AC165+AD245*AD165+AE245*AE165+AF245*AF165+AG245*AG165+AH245*AH165+AI245*AI165+AJ245*AJ165+AK245*AK165+AL245*AL165+AM245*AM165+AN245*AN165+AO245*AO165+AP245*AP165+AQ245*AQ165+AR245*AR165+AS245*AS165+AT245*AT165+AU245*AU165+AV245*AV165+AW245*AW165+AX245*AX165+AY245*AY165+AZ245*AZ165+BA245*BA165+BB245*BB165+BC245*BC165+BD245*BD165+BE245*BE165+BF245*BF165+BG245*BG165+BH245*BH165+BI245*BI165+BJ245*BJ165+BK245*BK165+BL245*BL165+BM245*BM165+BN245*BN165+BO245*BO165+BP245*BP165+BQ245*BQ165+BR245*BR165+BS245*BS165+BT245*BT165+BU245*BU165+BV245*BV165+BW245*BW165+BX245*BX165+BY245*BY165+BZ245*BZ165+CA245*CA165+CB245*CB165+CC245*CC165+CD245*CD165+CE245*CE165+CF245*CF165+CG245*CG165+CH245*CH165+CI245*CI165+CJ245*CJ165+CK245*CK165</f>
        <v>0</v>
      </c>
      <c r="CX165" s="2297">
        <f>E246*E165+F246*F165+G246*G165+H246*H165+I246*I165+J246*J165+K246*K165+L246*L165+M246*M165+N246*N165+O246*O165+P246*P165+Q246*Q165+R246*R165+S246*S165+T246*T165+U246*U165+V246*V165+W246*W165+X246*X165+Y246*Y165+Z246*Z165+AA246*AA165+AB246*AB165+AC246*AC165+AD246*AD165+AE246*AE165+AF246*AF165+AG246*AG165+AH246*AH165+AI246*AI165+AJ246*AJ165+AK246*AK165+AL246*AL165+AM246*AM165+AN246*AN165+AO246*AO165+AP246*AP165+AQ246*AQ165+AR246*AR165+AS246*AS165+AT246*AT165+AU246*AU165+AV246*AV165+AW246*AW165+AX246*AX165+AY246*AY165+AZ246*AZ165+BA246*BA165+BB246*BB165+BC246*BC165+BD246*BD165+BE246*BE165+BF246*BF165+BG246*BG165+BH246*BH165+BI246*BI165+BJ246*BJ165+BK246*BK165+BL246*BL165+BM246*BM165+BN246*BN165+BO246*BO165+BP246*BP165+BQ246*BQ165+BR246*BR165+BS246*BS165+BT246*BT165+BU246*BU165+BV246*BV165+BW246*BW165+BX246*BX165+BY246*BY165+BZ246*BZ165+CA246*CA165+CB246*CB165+CC246*CC165+CD246*CD165+CE246*CE165+CF246*CF165+CG246*CG165+CH246*CH165+CI246*CI165+CJ246*CJ165+CK246*CK165</f>
        <v>0</v>
      </c>
    </row>
    <row r="166" spans="2:102" ht="18" x14ac:dyDescent="0.25">
      <c r="B166" s="1246">
        <v>39</v>
      </c>
      <c r="C166" s="1193" t="s">
        <v>4274</v>
      </c>
      <c r="D166" s="594" t="s">
        <v>2977</v>
      </c>
      <c r="E166" s="2662">
        <f>0</f>
        <v>0</v>
      </c>
      <c r="F166" s="2688">
        <f>0</f>
        <v>0</v>
      </c>
      <c r="G166" s="2688">
        <f>0</f>
        <v>0</v>
      </c>
      <c r="H166" s="2688">
        <f>0</f>
        <v>0</v>
      </c>
      <c r="I166" s="2688">
        <f>0</f>
        <v>0</v>
      </c>
      <c r="J166" s="2688">
        <f>1-f_E</f>
        <v>0.92</v>
      </c>
      <c r="K166" s="2688">
        <f>0</f>
        <v>0</v>
      </c>
      <c r="L166" s="2688">
        <f>0</f>
        <v>0</v>
      </c>
      <c r="M166" s="2688">
        <f>0</f>
        <v>0</v>
      </c>
      <c r="N166" s="2662">
        <f>0</f>
        <v>0</v>
      </c>
      <c r="O166" s="2662">
        <f>0</f>
        <v>0</v>
      </c>
      <c r="P166" s="2688">
        <f>0</f>
        <v>0</v>
      </c>
      <c r="Q166" s="2688">
        <f>f_E</f>
        <v>0.08</v>
      </c>
      <c r="R166" s="2688">
        <f>0</f>
        <v>0</v>
      </c>
      <c r="S166" s="2688">
        <f>0</f>
        <v>0</v>
      </c>
      <c r="T166" s="2688">
        <f>0</f>
        <v>0</v>
      </c>
      <c r="U166" s="2688">
        <f>-1</f>
        <v>-1</v>
      </c>
      <c r="V166" s="2688">
        <f>0</f>
        <v>0</v>
      </c>
      <c r="W166" s="2688">
        <f>0</f>
        <v>0</v>
      </c>
      <c r="X166" s="2688">
        <f>0</f>
        <v>0</v>
      </c>
      <c r="Y166" s="2688">
        <f>0</f>
        <v>0</v>
      </c>
      <c r="Z166" s="2687">
        <f>0</f>
        <v>0</v>
      </c>
      <c r="AA166" s="2688">
        <f>-f_E*(i_N_XE-i_N_BIO)</f>
        <v>8.0000000000000069E-4</v>
      </c>
      <c r="AB166" s="2688">
        <f>0</f>
        <v>0</v>
      </c>
      <c r="AC166" s="2688">
        <f>0</f>
        <v>0</v>
      </c>
      <c r="AD166" s="2688">
        <f>0</f>
        <v>0</v>
      </c>
      <c r="AE166" s="2688">
        <f>0</f>
        <v>0</v>
      </c>
      <c r="AF166" s="2688">
        <f>0</f>
        <v>0</v>
      </c>
      <c r="AG166" s="2688">
        <f>(1-f_E)*i_N_BIO</f>
        <v>6.4400000000000013E-2</v>
      </c>
      <c r="AH166" s="2688">
        <f>0</f>
        <v>0</v>
      </c>
      <c r="AI166" s="2688">
        <f>0</f>
        <v>0</v>
      </c>
      <c r="AJ166" s="2662">
        <f>0</f>
        <v>0</v>
      </c>
      <c r="AK166" s="2688">
        <f>0</f>
        <v>0</v>
      </c>
      <c r="AL166" s="2688">
        <f>0</f>
        <v>0</v>
      </c>
      <c r="AM166" s="2688">
        <f>(1-f_E)*i_P_BIO</f>
        <v>1.84E-2</v>
      </c>
      <c r="AN166" s="2688">
        <f>0</f>
        <v>0</v>
      </c>
      <c r="AO166" s="2688">
        <f>0</f>
        <v>0</v>
      </c>
      <c r="AP166" s="2688">
        <f>0</f>
        <v>0</v>
      </c>
      <c r="AQ166" s="2688">
        <f>0</f>
        <v>0</v>
      </c>
      <c r="AR166" s="2735">
        <f>(1-f_E)*(i_CIT_BIO-i_CIT_XBe)</f>
        <v>6.0720000000000003E-2</v>
      </c>
      <c r="AS166" s="2662">
        <f>0</f>
        <v>0</v>
      </c>
      <c r="AT166" s="2662">
        <f>0</f>
        <v>0</v>
      </c>
      <c r="AU166" s="2662">
        <f>0</f>
        <v>0</v>
      </c>
      <c r="AV166" s="2662">
        <f>0</f>
        <v>0</v>
      </c>
      <c r="AW166" s="2662">
        <f>0</f>
        <v>0</v>
      </c>
      <c r="AX166" s="2662">
        <f>0</f>
        <v>0</v>
      </c>
      <c r="AY166" s="2688">
        <f>0</f>
        <v>0</v>
      </c>
      <c r="AZ166" s="2688">
        <f>0</f>
        <v>0</v>
      </c>
      <c r="BA166" s="2688">
        <f>0</f>
        <v>0</v>
      </c>
      <c r="BB166" s="2688">
        <f>0</f>
        <v>0</v>
      </c>
      <c r="BC166" s="2688">
        <f>0</f>
        <v>0</v>
      </c>
      <c r="BD166" s="2688">
        <f>0</f>
        <v>0</v>
      </c>
      <c r="BE166" s="2688">
        <f>0</f>
        <v>0</v>
      </c>
      <c r="BF166" s="2688">
        <f>0</f>
        <v>0</v>
      </c>
      <c r="BG166" s="2688">
        <f>0</f>
        <v>0</v>
      </c>
      <c r="BH166" s="2688">
        <f>0</f>
        <v>0</v>
      </c>
      <c r="BI166" s="2688">
        <f>0</f>
        <v>0</v>
      </c>
      <c r="BJ166" s="2688">
        <f>0</f>
        <v>0</v>
      </c>
      <c r="BK166" s="2688">
        <f>0</f>
        <v>0</v>
      </c>
      <c r="BL166" s="2688">
        <f>0</f>
        <v>0</v>
      </c>
      <c r="BM166" s="2688">
        <f>0</f>
        <v>0</v>
      </c>
      <c r="BN166" s="2688">
        <f>0</f>
        <v>0</v>
      </c>
      <c r="BO166" s="2688">
        <f>0</f>
        <v>0</v>
      </c>
      <c r="BP166" s="2758">
        <f>0</f>
        <v>0</v>
      </c>
      <c r="BQ166" s="2688">
        <f>0</f>
        <v>0</v>
      </c>
      <c r="BR166" s="2688">
        <f>0</f>
        <v>0</v>
      </c>
      <c r="BS166" s="2687">
        <f>0</f>
        <v>0</v>
      </c>
      <c r="BT166" s="2687">
        <f>0</f>
        <v>0</v>
      </c>
      <c r="BU166" s="2687">
        <f>0</f>
        <v>0</v>
      </c>
      <c r="BV166" s="2687">
        <f>0</f>
        <v>0</v>
      </c>
      <c r="BW166" s="2688">
        <f>0</f>
        <v>0</v>
      </c>
      <c r="BX166" s="2776">
        <f>0</f>
        <v>0</v>
      </c>
      <c r="BY166" s="2687">
        <f>0</f>
        <v>0</v>
      </c>
      <c r="BZ166" s="2688">
        <f>0</f>
        <v>0</v>
      </c>
      <c r="CA166" s="2688">
        <f>0</f>
        <v>0</v>
      </c>
      <c r="CB166" s="2688">
        <f>0</f>
        <v>0</v>
      </c>
      <c r="CC166" s="2688">
        <f>0</f>
        <v>0</v>
      </c>
      <c r="CD166" s="2688">
        <f>0</f>
        <v>0</v>
      </c>
      <c r="CE166" s="2688">
        <f>0</f>
        <v>0</v>
      </c>
      <c r="CF166" s="2688">
        <f>0</f>
        <v>0</v>
      </c>
      <c r="CG166" s="2688">
        <f>0</f>
        <v>0</v>
      </c>
      <c r="CH166" s="2688">
        <f>0</f>
        <v>0</v>
      </c>
      <c r="CI166" s="2688">
        <f>0</f>
        <v>0</v>
      </c>
      <c r="CJ166" s="2688">
        <f>0</f>
        <v>0</v>
      </c>
      <c r="CK166" s="2688">
        <f>0</f>
        <v>0</v>
      </c>
      <c r="CL166" s="2796">
        <f>b_AOB_T*X_AOB*(η_b_ana*M_inhSNOx_KNOx_AOB*M_inhSO2_KO2_AOB+m_tox_ana)</f>
        <v>1.6403508771929826E-3</v>
      </c>
      <c r="CN166" s="2295">
        <f>E236*E166+F236*F166+G236*G166+H236*H166+I236*I166+J236*J166+K236*K166+L236*L166+M236*M166+N236*N166+O236*O166+P236*P166+Q236*Q166+R236*R166+S236*S166+T236*T166+U236*U166+V236*V166+W236*W166+X236*X166+Y236*Y166+Z236*Z166+AA236*AA166+AB236*AB166+AC236*AC166+AD236*AD166+AE236*AE166+AF236*AF166+AG236*AG166+AH236*AH166+AI236*AI166+AJ236*AJ166+AK236*AK166+AL236*AL166+AM236*AM166+AN236*AN166+AO236*AO166+AP236*AP166+AQ236*AQ166+AR236*AR166+AS236*AS166+AT236*AT166+AU236*AU166+AV236*AV166+AW236*AW166+AX236*AX166+AY236*AY166+AZ236*AZ166+BA236*BA166+BB236*BB166+BC236*BC166+BD236*BD166+BE236*BE166+BF236*BF166+BG236*BG166+BH236*BH166+BI236*BI166+BJ236*BJ166+BK236*BK166+BL236*BL166+BM236*BM166+BN236*BN166+BO236*BO166+BP236*BP166+BQ236*BQ166+BR236*BR166+BS236*BS166+BT236*BT166+BU236*BU166+BV236*BV166+BW236*BW166+BX236*BX166+BY236*BY166+BZ236*BZ166+CA236*CA166+CB236*CB166+CC236*CC166+CD236*CD166+CE236*CE166+CF236*CF166+CG236*CG166+CH236*CH166+CI236*CI166+CJ236*CJ166+CK236*CK166</f>
        <v>0</v>
      </c>
      <c r="CO166" s="2295">
        <f>E237*E166+F237*F166+G237*G166+H237*H166+I237*I166+J237*J166+K237*K166+L237*L166+M237*M166+N237*N166+O237*O166+P237*P166+Q237*Q166+R237*R166+S237*S166+T237*T166+U237*U166+V237*V166+W237*W166+X237*X166+Y237*Y166+Z237*Z166+AA237*AA166+AB237*AB166+AC237*AC166+AD237*AD166+AE237*AE166+AF237*AF166+AG237*AG166+AH237*AH166+AI237*AI166+AJ237*AJ166+AK237*AK166+AL237*AL166+AM237*AM166+AN237*AN166+AO237*AO166+AP237*AP166+AQ237*AQ166+AR237*AR166+AS237*AS166+AT237*AT166+AU237*AU166+AV237*AV166+AW237*AW166+AX237*AX166+AY237*AY166+AZ237*AZ166+BA237*BA166+BB237*BB166+BC237*BC166+BD237*BD166+BE237*BE166+BF237*BF166+BG237*BG166+BH237*BH166+BI237*BI166+BJ237*BJ166+BK237*BK166+BL237*BL166+BM237*BM166+BN237*BN166+BO237*BO166+BP237*BP166+BQ237*BQ166+BR237*BR166+BS237*BS166+BT237*BT166+BU237*BU166+BV237*BV166+BW237*BW166+BX237*BX166+BY237*BY166+BZ237*BZ166+CA237*CA166+CB237*CB166+CC237*CC166+CD237*CD166+CE237*CE166+CF237*CF166+CG237*CG166+CH237*CH166+CI237*CI166+CJ237*CJ166+CK237*CK166</f>
        <v>6.9388939039072284E-18</v>
      </c>
      <c r="CP166" s="2296">
        <f>E238*E166+F238*F166+G238*G166+H238*H166+I238*I166+J238*J166+K238*K166+L238*L166+M238*M166+N238*N166+O238*O166+P238*P166+Q238*Q166+R238*R166+S238*S166+T238*T166+U238*U166+V238*V166+W238*W166+X238*X166+Y238*Y166+Z238*Z166+AA238*AA166+AB238*AB166+AC238*AC166+AD238*AD166+AE238*AE166+AF238*AF166+AG238*AG166+AH238*AH166+AI238*AI166+AJ238*AJ166+AK238*AK166+AL238*AL166+AM238*AM166+AN238*AN166+AO238*AO166+AP238*AP166+AQ238*AQ166+AR238*AR166+AS238*AS166+AT238*AT166+AU238*AU166+AV238*AV166+AW238*AW166+AX238*AX166+AY238*AY166+AZ238*AZ166+BA238*BA166+BB238*BB166+BC238*BC166+BD238*BD166+BE238*BE166+BF238*BF166+BG238*BG166+BH238*BH166+BI238*BI166+BJ238*BJ166+BK238*BK166+BL238*BL166+BM238*BM166+BN238*BN166+BO238*BO166+BP238*BP166+BQ238*BQ166+BR238*BR166+BS238*BS166+BT238*BT166+BU238*BU166+BV238*BV166+BW238*BW166+BX238*BX166+BY238*BY166+BZ238*BZ166+CA238*CA166+CB238*CB166+CC238*CC166+CD238*CD166+CE238*CE166+CF238*CF166+CG238*CG166+CH238*CH166+CI238*CI166+CJ238*CJ166+CK238*CK166</f>
        <v>0</v>
      </c>
      <c r="CQ166" s="2297">
        <f>E239*E166+F239*F166+G239*G166+H239*H166+I239*I166+J239*J166+K239*K166+L239*L166+M239*M166+N239*N166+O239*O166+P239*P166+Q239*Q166+R239*R166+S239*S166+T239*T166+U239*U166+V239*V166+W239*W166+X239*X166+Y239*Y166+Z239*Z166+AA239*AA166+AB239*AB166+AC239*AC166+AD239*AD166+AE239*AE166+AF239*AF166+AG239*AG166+AH239*AH166+AI239*AI166+AJ239*AJ166+AK239*AK166+AL239*AL166+AM239*AM166+AN239*AN166+AO239*AO166+AP239*AP166+AQ239*AQ166+AR239*AR166+AS239*AS166+AT239*AT166+AU239*AU166+AV239*AV166+AW239*AW166+AX239*AX166+AY239*AY166+AZ239*AZ166+BA239*BA166+BB239*BB166+BC239*BC166+BD239*BD166+BE239*BE166+BF239*BF166+BG239*BG166+BH239*BH166+BI239*BI166+BJ239*BJ166+BK239*BK166+BL239*BL166+BM239*BM166+BN239*BN166+BO239*BO166+BP239*BP166+BQ239*BQ166+BR239*BR166+BS239*BS166+BT239*BT166+BU239*BU166+BV239*BV166+BW239*BW166+BX239*BX166+BY239*BY166+BZ239*BZ166+CA239*CA166+CB239*CB166+CC239*CC166+CD239*CD166+CE239*CE166+CF239*CF166+CG239*CG166+CH239*CH166+CI239*CI166+CJ239*CJ166+CK239*CK166</f>
        <v>0</v>
      </c>
      <c r="CR166" s="2297">
        <f>E240*E166+F240*F166+G240*G166+H240*H166+I240*I166+J240*J166+K240*K166+L240*L166+M240*M166+N240*N166+O240*O166+P240*P166+Q240*Q166+R240*R166+S240*S166+T240*T166+U240*U166+V240*V166+W240*W166+X240*X166+Y240*Y166+Z240*Z166+AA240*AA166+AB240*AB166+AC240*AC166+AD240*AD166+AE240*AE166+AF240*AF166+AG240*AG166+AH240*AH166+AI240*AI166+AJ240*AJ166+AK240*AK166+AL240*AL166+AM240*AM166+AN240*AN166+AO240*AO166+AP240*AP166+AQ240*AQ166+AR240*AR166+AS240*AS166+AT240*AT166+AU240*AU166+AV240*AV166+AW240*AW166+AX240*AX166+AY240*AY166+AZ240*AZ166+BA240*BA166+BB240*BB166+BC240*BC166+BD240*BD166+BE240*BE166+BF240*BF166+BG240*BG166+BH240*BH166+BI240*BI166+BJ240*BJ166+BK240*BK166+BL240*BL166+BM240*BM166+BN240*BN166+BO240*BO166+BP240*BP166+BQ240*BQ166+BR240*BR166+BS240*BS166+BT240*BT166+BU240*BU166+BV240*BV166+BW240*BW166+BX240*BX166+BY240*BY166+BZ240*BZ166+CA240*CA166+CB240*CB166+CC240*CC166+CD240*CD166+CE240*CE166+CF240*CF166+CG240*CG166+CH240*CH166+CI240*CI166+CJ240*CJ166+CK240*CK166</f>
        <v>0</v>
      </c>
      <c r="CS166" s="2297">
        <f>E241*E166+F241*F166+G241*G166+H241*H166+I241*I166+J241*J166+K241*K166+L241*L166+M241*M166+N241*N166+O241*O166+P241*P166+Q241*Q166+R241*R166+S241*S166+T241*T166+U241*U166+V241*V166+W241*W166+X241*X166+Y241*Y166+Z241*Z166+AA241*AA166+AB241*AB166+AC241*AC166+AD241*AD166+AE241*AE166+AF241*AF166+AG241*AG166+AH241*AH166+AI241*AI166+AJ241*AJ166+AK241*AK166+AL241*AL166+AM241*AM166+AN241*AN166+AO241*AO166+AP241*AP166+AQ241*AQ166+AR241*AR166+AS241*AS166+AT241*AT166+AU241*AU166+AV241*AV166+AW241*AW166+AX241*AX166+AY241*AY166+AZ241*AZ166+BA241*BA166+BB241*BB166+BC241*BC166+BD241*BD166+BE241*BE166+BF241*BF166+BG241*BG166+BH241*BH166+BI241*BI166+BJ241*BJ166+BK241*BK166+BL241*BL166+BM241*BM166+BN241*BN166+BO241*BO166+BP241*BP166+BQ241*BQ166+BR241*BR166+BS241*BS166+BT241*BT166+BU241*BU166+BV241*BV166+BW241*BW166+BX241*BX166+BY241*BY166+BZ241*BZ166+CA241*CA166+CB241*CB166+CC241*CC166+CD241*CD166+CE241*CE166+CF241*CF166+CG241*CG166+CH241*CH166+CI241*CI166+CJ241*CJ166+CK241*CK166</f>
        <v>0</v>
      </c>
      <c r="CT166" s="2297">
        <f>E242*E166+F242*F166+G242*G166+H242*H166+I242*I166+J242*J166+K242*K166+L242*L166+M242*M166+N242*N166+O242*O166+P242*P166+Q242*Q166+R242*R166+S242*S166+T242*T166+U242*U166+V242*V166+W242*W166+X242*X166+Y242*Y166+Z242*Z166+AA242*AA166+AB242*AB166+AC242*AC166+AD242*AD166+AE242*AE166+AF242*AF166+AG242*AG166+AH242*AH166+AI242*AI166+AJ242*AJ166+AK242*AK166+AL242*AL166+AM242*AM166+AN242*AN166+AO242*AO166+AP242*AP166+AQ242*AQ166+AR242*AR166+AS242*AS166+AT242*AT166+AU242*AU166+AV242*AV166+AW242*AW166+AX242*AX166+AY242*AY166+AZ242*AZ166+BA242*BA166+BB242*BB166+BC242*BC166+BD242*BD166+BE242*BE166+BF242*BF166+BG242*BG166+BH242*BH166+BI242*BI166+BJ242*BJ166+BK242*BK166+BL242*BL166+BM242*BM166+BN242*BN166+BO242*BO166+BP242*BP166+BQ242*BQ166+BR242*BR166+BS242*BS166+BT242*BT166+BU242*BU166+BV242*BV166+BW242*BW166+BX242*BX166+BY242*BY166+BZ242*BZ166+CA242*CA166+CB242*CB166+CC242*CC166+CD242*CD166+CE242*CE166+CF242*CF166+CG242*CG166+CH242*CH166+CI242*CI166+CJ242*CJ166+CK242*CK166</f>
        <v>0</v>
      </c>
      <c r="CU166" s="2297">
        <f>E243*E166+F243*F166+G243*G166+H243*H166+I243*I166+J243*J166+K243*K166+L243*L166+M243*M166+N243*N166+O243*O166+P243*P166+Q243*Q166+R243*R166+S243*S166+T243*T166+U243*U166+V243*V166+W243*W166+X243*X166+Y243*Y166+Z243*Z166+AA243*AA166+AB243*AB166+AC243*AC166+AD243*AD166+AE243*AE166+AF243*AF166+AG243*AG166+AH243*AH166+AI243*AI166+AJ243*AJ166+AK243*AK166+AL243*AL166+AM243*AM166+AN243*AN166+AO243*AO166+AP243*AP166+AQ243*AQ166+AR243*AR166+AS243*AS166+AT243*AT166+AU243*AU166+AV243*AV166+AW243*AW166+AX243*AX166+AY243*AY166+AZ243*AZ166+BA243*BA166+BB243*BB166+BC243*BC166+BD243*BD166+BE243*BE166+BF243*BF166+BG243*BG166+BH243*BH166+BI243*BI166+BJ243*BJ166+BK243*BK166+BL243*BL166+BM243*BM166+BN243*BN166+BO243*BO166+BP243*BP166+BQ243*BQ166+BR243*BR166+BS243*BS166+BT243*BT166+BU243*BU166+BV243*BV166+BW243*BW166+BX243*BX166+BY243*BY166+BZ243*BZ166+CA243*CA166+CB243*CB166+CC243*CC166+CD243*CD166+CE243*CE166+CF243*CF166+CG243*CG166+CH243*CH166+CI243*CI166+CJ243*CJ166+CK243*CK166</f>
        <v>0</v>
      </c>
      <c r="CV166" s="2297">
        <f>E244*E166+F244*F166+G244*G166+H244*H166+I244*I166+J244*J166+K244*K166+L244*L166+M244*M166+N244*N166+O244*O166+P244*P166+Q244*Q166+R244*R166+S244*S166+T244*T166+U244*U166+V244*V166+W244*W166+X244*X166+Y244*Y166+Z244*Z166+AA244*AA166+AB244*AB166+AC244*AC166+AD244*AD166+AE244*AE166+AF244*AF166+AG244*AG166+AH244*AH166+AI244*AI166+AJ244*AJ166+AK244*AK166+AL244*AL166+AM244*AM166+AN244*AN166+AO244*AO166+AP244*AP166+AQ244*AQ166+AR244*AR166+AS244*AS166+AT244*AT166+AU244*AU166+AV244*AV166+AW244*AW166+AX244*AX166+AY244*AY166+AZ244*AZ166+BA244*BA166+BB244*BB166+BC244*BC166+BD244*BD166+BE244*BE166+BF244*BF166+BG244*BG166+BH244*BH166+BI244*BI166+BJ244*BJ166+BK244*BK166+BL244*BL166+BM244*BM166+BN244*BN166+BO244*BO166+BP244*BP166+BQ244*BQ166+BR244*BR166+BS244*BS166+BT244*BT166+BU244*BU166+BV244*BV166+BW244*BW166+BX244*BX166+BY244*BY166+BZ244*BZ166+CA244*CA166+CB244*CB166+CC244*CC166+CD244*CD166+CE244*CE166+CF244*CF166+CG244*CG166+CH244*CH166+CI244*CI166+CJ244*CJ166+CK244*CK166</f>
        <v>0</v>
      </c>
      <c r="CW166" s="2297">
        <f>E245*E166+F245*F166+G245*G166+H245*H166+I245*I166+J245*J166+K245*K166+L245*L166+M245*M166+N245*N166+O245*O166+P245*P166+Q245*Q166+R245*R166+S245*S166+T245*T166+U245*U166+V245*V166+W245*W166+X245*X166+Y245*Y166+Z245*Z166+AA245*AA166+AB245*AB166+AC245*AC166+AD245*AD166+AE245*AE166+AF245*AF166+AG245*AG166+AH245*AH166+AI245*AI166+AJ245*AJ166+AK245*AK166+AL245*AL166+AM245*AM166+AN245*AN166+AO245*AO166+AP245*AP166+AQ245*AQ166+AR245*AR166+AS245*AS166+AT245*AT166+AU245*AU166+AV245*AV166+AW245*AW166+AX245*AX166+AY245*AY166+AZ245*AZ166+BA245*BA166+BB245*BB166+BC245*BC166+BD245*BD166+BE245*BE166+BF245*BF166+BG245*BG166+BH245*BH166+BI245*BI166+BJ245*BJ166+BK245*BK166+BL245*BL166+BM245*BM166+BN245*BN166+BO245*BO166+BP245*BP166+BQ245*BQ166+BR245*BR166+BS245*BS166+BT245*BT166+BU245*BU166+BV245*BV166+BW245*BW166+BX245*BX166+BY245*BY166+BZ245*BZ166+CA245*CA166+CB245*CB166+CC245*CC166+CD245*CD166+CE245*CE166+CF245*CF166+CG245*CG166+CH245*CH166+CI245*CI166+CJ245*CJ166+CK245*CK166</f>
        <v>0</v>
      </c>
      <c r="CX166" s="2297">
        <f>E246*E166+F246*F166+G246*G166+H246*H166+I246*I166+J246*J166+K246*K166+L246*L166+M246*M166+N246*N166+O246*O166+P246*P166+Q246*Q166+R246*R166+S246*S166+T246*T166+U246*U166+V246*V166+W246*W166+X246*X166+Y246*Y166+Z246*Z166+AA246*AA166+AB246*AB166+AC246*AC166+AD246*AD166+AE246*AE166+AF246*AF166+AG246*AG166+AH246*AH166+AI246*AI166+AJ246*AJ166+AK246*AK166+AL246*AL166+AM246*AM166+AN246*AN166+AO246*AO166+AP246*AP166+AQ246*AQ166+AR246*AR166+AS246*AS166+AT246*AT166+AU246*AU166+AV246*AV166+AW246*AW166+AX246*AX166+AY246*AY166+AZ246*AZ166+BA246*BA166+BB246*BB166+BC246*BC166+BD246*BD166+BE246*BE166+BF246*BF166+BG246*BG166+BH246*BH166+BI246*BI166+BJ246*BJ166+BK246*BK166+BL246*BL166+BM246*BM166+BN246*BN166+BO246*BO166+BP246*BP166+BQ246*BQ166+BR246*BR166+BS246*BS166+BT246*BT166+BU246*BU166+BV246*BV166+BW246*BW166+BX246*BX166+BY246*BY166+BZ246*BZ166+CA246*CA166+CB246*CB166+CC246*CC166+CD246*CD166+CE246*CE166+CF246*CF166+CG246*CG166+CH246*CH166+CI246*CI166+CJ246*CJ166+CK246*CK166</f>
        <v>0</v>
      </c>
    </row>
    <row r="167" spans="2:102" ht="18" x14ac:dyDescent="0.25">
      <c r="B167" s="1247">
        <v>40</v>
      </c>
      <c r="C167" s="1194" t="s">
        <v>4275</v>
      </c>
      <c r="D167" s="597" t="s">
        <v>2209</v>
      </c>
      <c r="E167" s="2663">
        <f>0</f>
        <v>0</v>
      </c>
      <c r="F167" s="2663">
        <f>0</f>
        <v>0</v>
      </c>
      <c r="G167" s="2663">
        <f>0</f>
        <v>0</v>
      </c>
      <c r="H167" s="2663">
        <f>0</f>
        <v>0</v>
      </c>
      <c r="I167" s="2663">
        <f>0</f>
        <v>0</v>
      </c>
      <c r="J167" s="2663">
        <f>0</f>
        <v>0</v>
      </c>
      <c r="K167" s="2663">
        <f>0</f>
        <v>0</v>
      </c>
      <c r="L167" s="2663">
        <f>0</f>
        <v>0</v>
      </c>
      <c r="M167" s="2663">
        <f>0</f>
        <v>0</v>
      </c>
      <c r="N167" s="2663">
        <f>0</f>
        <v>0</v>
      </c>
      <c r="O167" s="2663">
        <f>0</f>
        <v>0</v>
      </c>
      <c r="P167" s="2663">
        <f>0</f>
        <v>0</v>
      </c>
      <c r="Q167" s="2663">
        <f>0</f>
        <v>0</v>
      </c>
      <c r="R167" s="2663">
        <f>0</f>
        <v>0</v>
      </c>
      <c r="S167" s="2663">
        <f>0</f>
        <v>0</v>
      </c>
      <c r="T167" s="2663">
        <f>0</f>
        <v>0</v>
      </c>
      <c r="U167" s="2663">
        <f>0</f>
        <v>0</v>
      </c>
      <c r="V167" s="2663">
        <f>1</f>
        <v>1</v>
      </c>
      <c r="W167" s="2663">
        <f>0</f>
        <v>0</v>
      </c>
      <c r="X167" s="2663">
        <f>0</f>
        <v>0</v>
      </c>
      <c r="Y167" s="2663">
        <f>0</f>
        <v>0</v>
      </c>
      <c r="Z167" s="2715">
        <f>0</f>
        <v>0</v>
      </c>
      <c r="AA167" s="2663">
        <f>-i_N_BIO</f>
        <v>-7.0000000000000007E-2</v>
      </c>
      <c r="AB167" s="2663">
        <f>-1/Y_NOB</f>
        <v>-11.111111111111111</v>
      </c>
      <c r="AC167" s="2663">
        <f>1/Y_NOB</f>
        <v>11.111111111111111</v>
      </c>
      <c r="AD167" s="2663">
        <f>0</f>
        <v>0</v>
      </c>
      <c r="AE167" s="2663">
        <f>0</f>
        <v>0</v>
      </c>
      <c r="AF167" s="2663">
        <f>0</f>
        <v>0</v>
      </c>
      <c r="AG167" s="2663">
        <f>0</f>
        <v>0</v>
      </c>
      <c r="AH167" s="2663">
        <f>0</f>
        <v>0</v>
      </c>
      <c r="AI167" s="2663">
        <f>-i_P_BIO</f>
        <v>-0.02</v>
      </c>
      <c r="AJ167" s="2663">
        <f>0</f>
        <v>0</v>
      </c>
      <c r="AK167" s="2663">
        <f>0</f>
        <v>0</v>
      </c>
      <c r="AL167" s="2663">
        <f>0</f>
        <v>0</v>
      </c>
      <c r="AM167" s="2663">
        <f>0</f>
        <v>0</v>
      </c>
      <c r="AN167" s="2663">
        <f>0</f>
        <v>0</v>
      </c>
      <c r="AO167" s="2663">
        <f>-(E_EQNO2_NO3-Y_NOB)/Y_NOB</f>
        <v>-11.691862545147043</v>
      </c>
      <c r="AP167" s="2663">
        <f>0</f>
        <v>0</v>
      </c>
      <c r="AQ167" s="2663">
        <f>0</f>
        <v>0</v>
      </c>
      <c r="AR167" s="2663">
        <f>-i_CIT_BIO</f>
        <v>-0.35199999999999998</v>
      </c>
      <c r="AS167" s="2663">
        <f>i_INORG</f>
        <v>0.11</v>
      </c>
      <c r="AT167" s="2663">
        <f>-i_INORG*(1-i_Ca_INORG*(A_MCa+2*A_MCl)/A_MCa-i_Mg_INORG*(A_MMg+2*A_MCl)/A_MMg)*f_Na</f>
        <v>-2.8804303582798466E-2</v>
      </c>
      <c r="AU167" s="2663">
        <f>-i_INORG*(i_Ca_INORG*(2*A_MCl)/A_MCa+i_Mg_INORG*(2*A_MCl)/A_MMg)-i_INORG*(1-i_Ca_INORG*(A_MCa+2*A_MCl)/A_MCa-i_Mg_INORG*(A_MMg+2*A_MCl)/A_MMg)*(1-f_Na)</f>
        <v>-7.0195696417201539E-2</v>
      </c>
      <c r="AV167" s="2663">
        <f>-i_INORG*i_Ca_INORG</f>
        <v>-5.5000000000000005E-3</v>
      </c>
      <c r="AW167" s="2663">
        <f>-i_INORG*i_Mg_INORG</f>
        <v>-5.5000000000000005E-3</v>
      </c>
      <c r="AX167" s="2663">
        <f>0</f>
        <v>0</v>
      </c>
      <c r="AY167" s="2663">
        <f>0</f>
        <v>0</v>
      </c>
      <c r="AZ167" s="2663">
        <f>0</f>
        <v>0</v>
      </c>
      <c r="BA167" s="2663">
        <f>0</f>
        <v>0</v>
      </c>
      <c r="BB167" s="2663">
        <f>0</f>
        <v>0</v>
      </c>
      <c r="BC167" s="2663">
        <f>0</f>
        <v>0</v>
      </c>
      <c r="BD167" s="2663">
        <f>0</f>
        <v>0</v>
      </c>
      <c r="BE167" s="2663">
        <f>0</f>
        <v>0</v>
      </c>
      <c r="BF167" s="2663">
        <f>0</f>
        <v>0</v>
      </c>
      <c r="BG167" s="2663">
        <f>0</f>
        <v>0</v>
      </c>
      <c r="BH167" s="2663">
        <f>0</f>
        <v>0</v>
      </c>
      <c r="BI167" s="2663">
        <f>0</f>
        <v>0</v>
      </c>
      <c r="BJ167" s="2663">
        <f>0</f>
        <v>0</v>
      </c>
      <c r="BK167" s="2663">
        <f>0</f>
        <v>0</v>
      </c>
      <c r="BL167" s="2663">
        <f>0</f>
        <v>0</v>
      </c>
      <c r="BM167" s="2663">
        <f>0</f>
        <v>0</v>
      </c>
      <c r="BN167" s="2663">
        <f>0</f>
        <v>0</v>
      </c>
      <c r="BO167" s="2663">
        <f>0</f>
        <v>0</v>
      </c>
      <c r="BP167" s="2663">
        <f>0</f>
        <v>0</v>
      </c>
      <c r="BQ167" s="2663">
        <f>0</f>
        <v>0</v>
      </c>
      <c r="BR167" s="2663">
        <f>0</f>
        <v>0</v>
      </c>
      <c r="BS167" s="2715">
        <f>0</f>
        <v>0</v>
      </c>
      <c r="BT167" s="2715">
        <f>0</f>
        <v>0</v>
      </c>
      <c r="BU167" s="2715">
        <f>0</f>
        <v>0</v>
      </c>
      <c r="BV167" s="2715">
        <f>0</f>
        <v>0</v>
      </c>
      <c r="BW167" s="2663">
        <f>0</f>
        <v>0</v>
      </c>
      <c r="BX167" s="2777">
        <f>0</f>
        <v>0</v>
      </c>
      <c r="BY167" s="2715">
        <f>0</f>
        <v>0</v>
      </c>
      <c r="BZ167" s="2663">
        <f>0</f>
        <v>0</v>
      </c>
      <c r="CA167" s="2663">
        <f>0</f>
        <v>0</v>
      </c>
      <c r="CB167" s="2663">
        <f>0</f>
        <v>0</v>
      </c>
      <c r="CC167" s="2663">
        <f>0</f>
        <v>0</v>
      </c>
      <c r="CD167" s="2663">
        <f>0</f>
        <v>0</v>
      </c>
      <c r="CE167" s="2663">
        <f>0</f>
        <v>0</v>
      </c>
      <c r="CF167" s="2663">
        <f>0</f>
        <v>0</v>
      </c>
      <c r="CG167" s="2663">
        <f>0</f>
        <v>0</v>
      </c>
      <c r="CH167" s="2663">
        <f>0</f>
        <v>0</v>
      </c>
      <c r="CI167" s="2663">
        <f>0</f>
        <v>0</v>
      </c>
      <c r="CJ167" s="2663">
        <f>0</f>
        <v>0</v>
      </c>
      <c r="CK167" s="2663">
        <f>0</f>
        <v>0</v>
      </c>
      <c r="CL167" s="2797">
        <f>µ_NOB_T*X_NOB*M_satSNO2_KNO2_NOB*L_ogsatpHCO2_NOB*M_satSO2_KO2_NOB*M_satSNHx_KNHx_BIO*M_satSPO4_KPO4_BIO*M_satSCAT_KCAT*M_satSAN_KAN*M_satSCa_KCa*M_satSMg_KMg*M_inhpHNH3_NOB*B_ellinhpH_NOB</f>
        <v>5.0446311185016057</v>
      </c>
      <c r="CN167" s="2295">
        <f>E236*E167+F236*F167+G236*G167+H236*H167+I236*I167+J236*J167+K236*K167+L236*L167+M236*M167+N236*N167+O236*O167+P236*P167+Q236*Q167+R236*R167+S236*S167+T236*T167+U236*U167+V236*V167+W236*W167+X236*X167+Y236*Y167+Z236*Z167+AA236*AA167+AB236*AB167+AC236*AC167+AD236*AD167+AE236*AE167+AF236*AF167+AG236*AG167+AH236*AH167+AI236*AI167+AJ236*AJ167+AK236*AK167+AL236*AL167+AM236*AM167+AN236*AN167+AO236*AO167+AP236*AP167+AQ236*AQ167+AR236*AR167+AS236*AS167+AT236*AT167+AU236*AU167+AV236*AV167+AW236*AW167+AX236*AX167+AY236*AY167+AZ236*AZ167+BA236*BA167+BB236*BB167+BC236*BC167+BD236*BD167+BE236*BE167+BF236*BF167+BG236*BG167+BH236*BH167+BI236*BI167+BJ236*BJ167+BK236*BK167+BL236*BL167+BM236*BM167+BN236*BN167+BO236*BO167+BP236*BP167+BQ236*BQ167+BR236*BR167+BS236*BS167+BT236*BT167+BU236*BU167+BV236*BV167+BW236*BW167+BX236*BX167+BY236*BY167+BZ236*BZ167+CA236*CA167+CB236*CB167+CC236*CC167+CD236*CD167+CE236*CE167+CF236*CF167+CG236*CG167+CH236*CH167+CI236*CI167+CJ236*CJ167+CK236*CK167</f>
        <v>-3.5527136788005009E-15</v>
      </c>
      <c r="CO167" s="2295">
        <f>E237*E167+F237*F167+G237*G167+H237*H167+I237*I167+J237*J167+K237*K167+L237*L167+M237*M167+N237*N167+O237*O167+P237*P167+Q237*Q167+R237*R167+S237*S167+T237*T167+U237*U167+V237*V167+W237*W167+X237*X167+Y237*Y167+Z237*Z167+AA237*AA167+AB237*AB167+AC237*AC167+AD237*AD167+AE237*AE167+AF237*AF167+AG237*AG167+AH237*AH167+AI237*AI167+AJ237*AJ167+AK237*AK167+AL237*AL167+AM237*AM167+AN237*AN167+AO237*AO167+AP237*AP167+AQ237*AQ167+AR237*AR167+AS237*AS167+AT237*AT167+AU237*AU167+AV237*AV167+AW237*AW167+AX237*AX167+AY237*AY167+AZ237*AZ167+BA237*BA167+BB237*BB167+BC237*BC167+BD237*BD167+BE237*BE167+BF237*BF167+BG237*BG167+BH237*BH167+BI237*BI167+BJ237*BJ167+BK237*BK167+BL237*BL167+BM237*BM167+BN237*BN167+BO237*BO167+BP237*BP167+BQ237*BQ167+BR237*BR167+BS237*BS167+BT237*BT167+BU237*BU167+BV237*BV167+BW237*BW167+BX237*BX167+BY237*BY167+BZ237*BZ167+CA237*CA167+CB237*CB167+CC237*CC167+CD237*CD167+CE237*CE167+CF237*CF167+CG237*CG167+CH237*CH167+CI237*CI167+CJ237*CJ167+CK237*CK167</f>
        <v>0</v>
      </c>
      <c r="CP167" s="2296">
        <f>E238*E167+F238*F167+G238*G167+H238*H167+I238*I167+J238*J167+K238*K167+L238*L167+M238*M167+N238*N167+O238*O167+P238*P167+Q238*Q167+R238*R167+S238*S167+T238*T167+U238*U167+V238*V167+W238*W167+X238*X167+Y238*Y167+Z238*Z167+AA238*AA167+AB238*AB167+AC238*AC167+AD238*AD167+AE238*AE167+AF238*AF167+AG238*AG167+AH238*AH167+AI238*AI167+AJ238*AJ167+AK238*AK167+AL238*AL167+AM238*AM167+AN238*AN167+AO238*AO167+AP238*AP167+AQ238*AQ167+AR238*AR167+AS238*AS167+AT238*AT167+AU238*AU167+AV238*AV167+AW238*AW167+AX238*AX167+AY238*AY167+AZ238*AZ167+BA238*BA167+BB238*BB167+BC238*BC167+BD238*BD167+BE238*BE167+BF238*BF167+BG238*BG167+BH238*BH167+BI238*BI167+BJ238*BJ167+BK238*BK167+BL238*BL167+BM238*BM167+BN238*BN167+BO238*BO167+BP238*BP167+BQ238*BQ167+BR238*BR167+BS238*BS167+BT238*BT167+BU238*BU167+BV238*BV167+BW238*BW167+BX238*BX167+BY238*BY167+BZ238*BZ167+CA238*CA167+CB238*CB167+CC238*CC167+CD238*CD167+CE238*CE167+CF238*CF167+CG238*CG167+CH238*CH167+CI238*CI167+CJ238*CJ167+CK238*CK167</f>
        <v>0</v>
      </c>
      <c r="CQ167" s="2297">
        <f>E239*E167+F239*F167+G239*G167+H239*H167+I239*I167+J239*J167+K239*K167+L239*L167+M239*M167+N239*N167+O239*O167+P239*P167+Q239*Q167+R239*R167+S239*S167+T239*T167+U239*U167+V239*V167+W239*W167+X239*X167+Y239*Y167+Z239*Z167+AA239*AA167+AB239*AB167+AC239*AC167+AD239*AD167+AE239*AE167+AF239*AF167+AG239*AG167+AH239*AH167+AI239*AI167+AJ239*AJ167+AK239*AK167+AL239*AL167+AM239*AM167+AN239*AN167+AO239*AO167+AP239*AP167+AQ239*AQ167+AR239*AR167+AS239*AS167+AT239*AT167+AU239*AU167+AV239*AV167+AW239*AW167+AX239*AX167+AY239*AY167+AZ239*AZ167+BA239*BA167+BB239*BB167+BC239*BC167+BD239*BD167+BE239*BE167+BF239*BF167+BG239*BG167+BH239*BH167+BI239*BI167+BJ239*BJ167+BK239*BK167+BL239*BL167+BM239*BM167+BN239*BN167+BO239*BO167+BP239*BP167+BQ239*BQ167+BR239*BR167+BS239*BS167+BT239*BT167+BU239*BU167+BV239*BV167+BW239*BW167+BX239*BX167+BY239*BY167+BZ239*BZ167+CA239*CA167+CB239*CB167+CC239*CC167+CD239*CD167+CE239*CE167+CF239*CF167+CG239*CG167+CH239*CH167+CI239*CI167+CJ239*CJ167+CK239*CK167</f>
        <v>0</v>
      </c>
      <c r="CR167" s="2297">
        <f>E240*E167+F240*F167+G240*G167+H240*H167+I240*I167+J240*J167+K240*K167+L240*L167+M240*M167+N240*N167+O240*O167+P240*P167+Q240*Q167+R240*R167+S240*S167+T240*T167+U240*U167+V240*V167+W240*W167+X240*X167+Y240*Y167+Z240*Z167+AA240*AA167+AB240*AB167+AC240*AC167+AD240*AD167+AE240*AE167+AF240*AF167+AG240*AG167+AH240*AH167+AI240*AI167+AJ240*AJ167+AK240*AK167+AL240*AL167+AM240*AM167+AN240*AN167+AO240*AO167+AP240*AP167+AQ240*AQ167+AR240*AR167+AS240*AS167+AT240*AT167+AU240*AU167+AV240*AV167+AW240*AW167+AX240*AX167+AY240*AY167+AZ240*AZ167+BA240*BA167+BB240*BB167+BC240*BC167+BD240*BD167+BE240*BE167+BF240*BF167+BG240*BG167+BH240*BH167+BI240*BI167+BJ240*BJ167+BK240*BK167+BL240*BL167+BM240*BM167+BN240*BN167+BO240*BO167+BP240*BP167+BQ240*BQ167+BR240*BR167+BS240*BS167+BT240*BT167+BU240*BU167+BV240*BV167+BW240*BW167+BX240*BX167+BY240*BY167+BZ240*BZ167+CA240*CA167+CB240*CB167+CC240*CC167+CD240*CD167+CE240*CE167+CF240*CF167+CG240*CG167+CH240*CH167+CI240*CI167+CJ240*CJ167+CK240*CK167</f>
        <v>0</v>
      </c>
      <c r="CS167" s="2297">
        <f>E241*E167+F241*F167+G241*G167+H241*H167+I241*I167+J241*J167+K241*K167+L241*L167+M241*M167+N241*N167+O241*O167+P241*P167+Q241*Q167+R241*R167+S241*S167+T241*T167+U241*U167+V241*V167+W241*W167+X241*X167+Y241*Y167+Z241*Z167+AA241*AA167+AB241*AB167+AC241*AC167+AD241*AD167+AE241*AE167+AF241*AF167+AG241*AG167+AH241*AH167+AI241*AI167+AJ241*AJ167+AK241*AK167+AL241*AL167+AM241*AM167+AN241*AN167+AO241*AO167+AP241*AP167+AQ241*AQ167+AR241*AR167+AS241*AS167+AT241*AT167+AU241*AU167+AV241*AV167+AW241*AW167+AX241*AX167+AY241*AY167+AZ241*AZ167+BA241*BA167+BB241*BB167+BC241*BC167+BD241*BD167+BE241*BE167+BF241*BF167+BG241*BG167+BH241*BH167+BI241*BI167+BJ241*BJ167+BK241*BK167+BL241*BL167+BM241*BM167+BN241*BN167+BO241*BO167+BP241*BP167+BQ241*BQ167+BR241*BR167+BS241*BS167+BT241*BT167+BU241*BU167+BV241*BV167+BW241*BW167+BX241*BX167+BY241*BY167+BZ241*BZ167+CA241*CA167+CB241*CB167+CC241*CC167+CD241*CD167+CE241*CE167+CF241*CF167+CG241*CG167+CH241*CH167+CI241*CI167+CJ241*CJ167+CK241*CK167</f>
        <v>0</v>
      </c>
      <c r="CT167" s="2297">
        <f>E242*E167+F242*F167+G242*G167+H242*H167+I242*I167+J242*J167+K242*K167+L242*L167+M242*M167+N242*N167+O242*O167+P242*P167+Q242*Q167+R242*R167+S242*S167+T242*T167+U242*U167+V242*V167+W242*W167+X242*X167+Y242*Y167+Z242*Z167+AA242*AA167+AB242*AB167+AC242*AC167+AD242*AD167+AE242*AE167+AF242*AF167+AG242*AG167+AH242*AH167+AI242*AI167+AJ242*AJ167+AK242*AK167+AL242*AL167+AM242*AM167+AN242*AN167+AO242*AO167+AP242*AP167+AQ242*AQ167+AR242*AR167+AS242*AS167+AT242*AT167+AU242*AU167+AV242*AV167+AW242*AW167+AX242*AX167+AY242*AY167+AZ242*AZ167+BA242*BA167+BB242*BB167+BC242*BC167+BD242*BD167+BE242*BE167+BF242*BF167+BG242*BG167+BH242*BH167+BI242*BI167+BJ242*BJ167+BK242*BK167+BL242*BL167+BM242*BM167+BN242*BN167+BO242*BO167+BP242*BP167+BQ242*BQ167+BR242*BR167+BS242*BS167+BT242*BT167+BU242*BU167+BV242*BV167+BW242*BW167+BX242*BX167+BY242*BY167+BZ242*BZ167+CA242*CA167+CB242*CB167+CC242*CC167+CD242*CD167+CE242*CE167+CF242*CF167+CG242*CG167+CH242*CH167+CI242*CI167+CJ242*CJ167+CK242*CK167</f>
        <v>0</v>
      </c>
      <c r="CU167" s="2297">
        <f>E243*E167+F243*F167+G243*G167+H243*H167+I243*I167+J243*J167+K243*K167+L243*L167+M243*M167+N243*N167+O243*O167+P243*P167+Q243*Q167+R243*R167+S243*S167+T243*T167+U243*U167+V243*V167+W243*W167+X243*X167+Y243*Y167+Z243*Z167+AA243*AA167+AB243*AB167+AC243*AC167+AD243*AD167+AE243*AE167+AF243*AF167+AG243*AG167+AH243*AH167+AI243*AI167+AJ243*AJ167+AK243*AK167+AL243*AL167+AM243*AM167+AN243*AN167+AO243*AO167+AP243*AP167+AQ243*AQ167+AR243*AR167+AS243*AS167+AT243*AT167+AU243*AU167+AV243*AV167+AW243*AW167+AX243*AX167+AY243*AY167+AZ243*AZ167+BA243*BA167+BB243*BB167+BC243*BC167+BD243*BD167+BE243*BE167+BF243*BF167+BG243*BG167+BH243*BH167+BI243*BI167+BJ243*BJ167+BK243*BK167+BL243*BL167+BM243*BM167+BN243*BN167+BO243*BO167+BP243*BP167+BQ243*BQ167+BR243*BR167+BS243*BS167+BT243*BT167+BU243*BU167+BV243*BV167+BW243*BW167+BX243*BX167+BY243*BY167+BZ243*BZ167+CA243*CA167+CB243*CB167+CC243*CC167+CD243*CD167+CE243*CE167+CF243*CF167+CG243*CG167+CH243*CH167+CI243*CI167+CJ243*CJ167+CK243*CK167</f>
        <v>0</v>
      </c>
      <c r="CV167" s="2297">
        <f>E244*E167+F244*F167+G244*G167+H244*H167+I244*I167+J244*J167+K244*K167+L244*L167+M244*M167+N244*N167+O244*O167+P244*P167+Q244*Q167+R244*R167+S244*S167+T244*T167+U244*U167+V244*V167+W244*W167+X244*X167+Y244*Y167+Z244*Z167+AA244*AA167+AB244*AB167+AC244*AC167+AD244*AD167+AE244*AE167+AF244*AF167+AG244*AG167+AH244*AH167+AI244*AI167+AJ244*AJ167+AK244*AK167+AL244*AL167+AM244*AM167+AN244*AN167+AO244*AO167+AP244*AP167+AQ244*AQ167+AR244*AR167+AS244*AS167+AT244*AT167+AU244*AU167+AV244*AV167+AW244*AW167+AX244*AX167+AY244*AY167+AZ244*AZ167+BA244*BA167+BB244*BB167+BC244*BC167+BD244*BD167+BE244*BE167+BF244*BF167+BG244*BG167+BH244*BH167+BI244*BI167+BJ244*BJ167+BK244*BK167+BL244*BL167+BM244*BM167+BN244*BN167+BO244*BO167+BP244*BP167+BQ244*BQ167+BR244*BR167+BS244*BS167+BT244*BT167+BU244*BU167+BV244*BV167+BW244*BW167+BX244*BX167+BY244*BY167+BZ244*BZ167+CA244*CA167+CB244*CB167+CC244*CC167+CD244*CD167+CE244*CE167+CF244*CF167+CG244*CG167+CH244*CH167+CI244*CI167+CJ244*CJ167+CK244*CK167</f>
        <v>0</v>
      </c>
      <c r="CW167" s="2297">
        <f>E245*E167+F245*F167+G245*G167+H245*H167+I245*I167+J245*J167+K245*K167+L245*L167+M245*M167+N245*N167+O245*O167+P245*P167+Q245*Q167+R245*R167+S245*S167+T245*T167+U245*U167+V245*V167+W245*W167+X245*X167+Y245*Y167+Z245*Z167+AA245*AA167+AB245*AB167+AC245*AC167+AD245*AD167+AE245*AE167+AF245*AF167+AG245*AG167+AH245*AH167+AI245*AI167+AJ245*AJ167+AK245*AK167+AL245*AL167+AM245*AM167+AN245*AN167+AO245*AO167+AP245*AP167+AQ245*AQ167+AR245*AR167+AS245*AS167+AT245*AT167+AU245*AU167+AV245*AV167+AW245*AW167+AX245*AX167+AY245*AY167+AZ245*AZ167+BA245*BA167+BB245*BB167+BC245*BC167+BD245*BD167+BE245*BE167+BF245*BF167+BG245*BG167+BH245*BH167+BI245*BI167+BJ245*BJ167+BK245*BK167+BL245*BL167+BM245*BM167+BN245*BN167+BO245*BO167+BP245*BP167+BQ245*BQ167+BR245*BR167+BS245*BS167+BT245*BT167+BU245*BU167+BV245*BV167+BW245*BW167+BX245*BX167+BY245*BY167+BZ245*BZ167+CA245*CA167+CB245*CB167+CC245*CC167+CD245*CD167+CE245*CE167+CF245*CF167+CG245*CG167+CH245*CH167+CI245*CI167+CJ245*CJ167+CK245*CK167</f>
        <v>0</v>
      </c>
      <c r="CX167" s="2297">
        <f>E246*E167+F246*F167+G246*G167+H246*H167+I246*I167+J246*J167+K246*K167+L246*L167+M246*M167+N246*N167+O246*O167+P246*P167+Q246*Q167+R246*R167+S246*S167+T246*T167+U246*U167+V246*V167+W246*W167+X246*X167+Y246*Y167+Z246*Z167+AA246*AA167+AB246*AB167+AC246*AC167+AD246*AD167+AE246*AE167+AF246*AF167+AG246*AG167+AH246*AH167+AI246*AI167+AJ246*AJ167+AK246*AK167+AL246*AL167+AM246*AM167+AN246*AN167+AO246*AO167+AP246*AP167+AQ246*AQ167+AR246*AR167+AS246*AS167+AT246*AT167+AU246*AU167+AV246*AV167+AW246*AW167+AX246*AX167+AY246*AY167+AZ246*AZ167+BA246*BA167+BB246*BB167+BC246*BC167+BD246*BD167+BE246*BE167+BF246*BF167+BG246*BG167+BH246*BH167+BI246*BI167+BJ246*BJ167+BK246*BK167+BL246*BL167+BM246*BM167+BN246*BN167+BO246*BO167+BP246*BP167+BQ246*BQ167+BR246*BR167+BS246*BS167+BT246*BT167+BU246*BU167+BV246*BV167+BW246*BW167+BX246*BX167+BY246*BY167+BZ246*BZ167+CA246*CA167+CB246*CB167+CC246*CC167+CD246*CD167+CE246*CE167+CF246*CF167+CG246*CG167+CH246*CH167+CI246*CI167+CJ246*CJ167+CK246*CK167</f>
        <v>0</v>
      </c>
    </row>
    <row r="168" spans="2:102" ht="18" x14ac:dyDescent="0.25">
      <c r="B168" s="1247">
        <v>41</v>
      </c>
      <c r="C168" s="1194" t="s">
        <v>352</v>
      </c>
      <c r="D168" s="597" t="s">
        <v>2210</v>
      </c>
      <c r="E168" s="2663">
        <f>0</f>
        <v>0</v>
      </c>
      <c r="F168" s="2663">
        <f>0</f>
        <v>0</v>
      </c>
      <c r="G168" s="2663">
        <f>0</f>
        <v>0</v>
      </c>
      <c r="H168" s="2663">
        <f>0</f>
        <v>0</v>
      </c>
      <c r="I168" s="2663">
        <f>0</f>
        <v>0</v>
      </c>
      <c r="J168" s="2663">
        <f>1-f_E</f>
        <v>0.92</v>
      </c>
      <c r="K168" s="2663">
        <f>0</f>
        <v>0</v>
      </c>
      <c r="L168" s="2663">
        <f>0</f>
        <v>0</v>
      </c>
      <c r="M168" s="2663">
        <f>0</f>
        <v>0</v>
      </c>
      <c r="N168" s="2663">
        <f>0</f>
        <v>0</v>
      </c>
      <c r="O168" s="2663">
        <f>0</f>
        <v>0</v>
      </c>
      <c r="P168" s="2663">
        <f>f_E</f>
        <v>0.08</v>
      </c>
      <c r="Q168" s="2663">
        <f>0</f>
        <v>0</v>
      </c>
      <c r="R168" s="2663">
        <f>0</f>
        <v>0</v>
      </c>
      <c r="S168" s="2663">
        <f>0</f>
        <v>0</v>
      </c>
      <c r="T168" s="2663">
        <f>0</f>
        <v>0</v>
      </c>
      <c r="U168" s="2663">
        <f>0</f>
        <v>0</v>
      </c>
      <c r="V168" s="2663">
        <f>-1</f>
        <v>-1</v>
      </c>
      <c r="W168" s="2663">
        <f>0</f>
        <v>0</v>
      </c>
      <c r="X168" s="2663">
        <f>0</f>
        <v>0</v>
      </c>
      <c r="Y168" s="2663">
        <f>0</f>
        <v>0</v>
      </c>
      <c r="Z168" s="2715">
        <f>0</f>
        <v>0</v>
      </c>
      <c r="AA168" s="2663">
        <f>-f_E*(i_N_XE-i_N_BIO)</f>
        <v>8.0000000000000069E-4</v>
      </c>
      <c r="AB168" s="2663">
        <f>0</f>
        <v>0</v>
      </c>
      <c r="AC168" s="2663">
        <f>0</f>
        <v>0</v>
      </c>
      <c r="AD168" s="2663">
        <f>0</f>
        <v>0</v>
      </c>
      <c r="AE168" s="2663">
        <f>0</f>
        <v>0</v>
      </c>
      <c r="AF168" s="2663">
        <f>0</f>
        <v>0</v>
      </c>
      <c r="AG168" s="2663">
        <f>(1-f_E)*i_N_BIO</f>
        <v>6.4400000000000013E-2</v>
      </c>
      <c r="AH168" s="2663">
        <f>0</f>
        <v>0</v>
      </c>
      <c r="AI168" s="2663">
        <f>0</f>
        <v>0</v>
      </c>
      <c r="AJ168" s="2663">
        <f>0</f>
        <v>0</v>
      </c>
      <c r="AK168" s="2663">
        <f>0</f>
        <v>0</v>
      </c>
      <c r="AL168" s="2663">
        <f>0</f>
        <v>0</v>
      </c>
      <c r="AM168" s="2663">
        <f>(1-f_E)*i_P_BIO</f>
        <v>1.84E-2</v>
      </c>
      <c r="AN168" s="2663">
        <f>0</f>
        <v>0</v>
      </c>
      <c r="AO168" s="2663">
        <f>0</f>
        <v>0</v>
      </c>
      <c r="AP168" s="2663">
        <f>0</f>
        <v>0</v>
      </c>
      <c r="AQ168" s="2663">
        <f>0</f>
        <v>0</v>
      </c>
      <c r="AR168" s="2663">
        <f>(1-f_E)*(i_CIT_BIO-i_CIT_XBe)</f>
        <v>6.0720000000000003E-2</v>
      </c>
      <c r="AS168" s="2663">
        <f>0</f>
        <v>0</v>
      </c>
      <c r="AT168" s="2663">
        <f>0</f>
        <v>0</v>
      </c>
      <c r="AU168" s="2663">
        <f>0</f>
        <v>0</v>
      </c>
      <c r="AV168" s="2663">
        <f>0</f>
        <v>0</v>
      </c>
      <c r="AW168" s="2663">
        <f>0</f>
        <v>0</v>
      </c>
      <c r="AX168" s="2663">
        <f>0</f>
        <v>0</v>
      </c>
      <c r="AY168" s="2663">
        <f>0</f>
        <v>0</v>
      </c>
      <c r="AZ168" s="2663">
        <f>0</f>
        <v>0</v>
      </c>
      <c r="BA168" s="2663">
        <f>0</f>
        <v>0</v>
      </c>
      <c r="BB168" s="2663">
        <f>0</f>
        <v>0</v>
      </c>
      <c r="BC168" s="2663">
        <f>0</f>
        <v>0</v>
      </c>
      <c r="BD168" s="2663">
        <f>0</f>
        <v>0</v>
      </c>
      <c r="BE168" s="2663">
        <f>0</f>
        <v>0</v>
      </c>
      <c r="BF168" s="2663">
        <f>0</f>
        <v>0</v>
      </c>
      <c r="BG168" s="2663">
        <f>0</f>
        <v>0</v>
      </c>
      <c r="BH168" s="2663">
        <f>0</f>
        <v>0</v>
      </c>
      <c r="BI168" s="2663">
        <f>0</f>
        <v>0</v>
      </c>
      <c r="BJ168" s="2663">
        <f>0</f>
        <v>0</v>
      </c>
      <c r="BK168" s="2663">
        <f>0</f>
        <v>0</v>
      </c>
      <c r="BL168" s="2663">
        <f>0</f>
        <v>0</v>
      </c>
      <c r="BM168" s="2663">
        <f>0</f>
        <v>0</v>
      </c>
      <c r="BN168" s="2663">
        <f>0</f>
        <v>0</v>
      </c>
      <c r="BO168" s="2663">
        <f>0</f>
        <v>0</v>
      </c>
      <c r="BP168" s="2663">
        <f>0</f>
        <v>0</v>
      </c>
      <c r="BQ168" s="2663">
        <f>0</f>
        <v>0</v>
      </c>
      <c r="BR168" s="2663">
        <f>0</f>
        <v>0</v>
      </c>
      <c r="BS168" s="2715">
        <f>0</f>
        <v>0</v>
      </c>
      <c r="BT168" s="2715">
        <f>0</f>
        <v>0</v>
      </c>
      <c r="BU168" s="2715">
        <f>0</f>
        <v>0</v>
      </c>
      <c r="BV168" s="2715">
        <f>0</f>
        <v>0</v>
      </c>
      <c r="BW168" s="2663">
        <f>0</f>
        <v>0</v>
      </c>
      <c r="BX168" s="2777">
        <f>0</f>
        <v>0</v>
      </c>
      <c r="BY168" s="2715">
        <f>0</f>
        <v>0</v>
      </c>
      <c r="BZ168" s="2663">
        <f>0</f>
        <v>0</v>
      </c>
      <c r="CA168" s="2663">
        <f>0</f>
        <v>0</v>
      </c>
      <c r="CB168" s="2663">
        <f>0</f>
        <v>0</v>
      </c>
      <c r="CC168" s="2663">
        <f>0</f>
        <v>0</v>
      </c>
      <c r="CD168" s="2663">
        <f>0</f>
        <v>0</v>
      </c>
      <c r="CE168" s="2663">
        <f>0</f>
        <v>0</v>
      </c>
      <c r="CF168" s="2663">
        <f>0</f>
        <v>0</v>
      </c>
      <c r="CG168" s="2663">
        <f>0</f>
        <v>0</v>
      </c>
      <c r="CH168" s="2663">
        <f>0</f>
        <v>0</v>
      </c>
      <c r="CI168" s="2663">
        <f>0</f>
        <v>0</v>
      </c>
      <c r="CJ168" s="2663">
        <f>0</f>
        <v>0</v>
      </c>
      <c r="CK168" s="2663">
        <f>0</f>
        <v>0</v>
      </c>
      <c r="CL168" s="2797">
        <f>b_NOB_T*X_NOB*(M_satSO2_KO2_NOB+η_b_anox*M_satSNOx_KNOx_NOB*M_inhSO2_KO2_NOB)</f>
        <v>2.6982456140350877</v>
      </c>
      <c r="CN168" s="2295">
        <f>E236*E168+F236*F168+G236*G168+H236*H168+I236*I168+J236*J168+K236*K168+L236*L168+M236*M168+N236*N168+O236*O168+P236*P168+Q236*Q168+R236*R168+S236*S168+T236*T168+U236*U168+V236*V168+W236*W168+X236*X168+Y236*Y168+Z236*Z168+AA236*AA168+AB236*AB168+AC236*AC168+AD236*AD168+AE236*AE168+AF236*AF168+AG236*AG168+AH236*AH168+AI236*AI168+AJ236*AJ168+AK236*AK168+AL236*AL168+AM236*AM168+AN236*AN168+AO236*AO168+AP236*AP168+AQ236*AQ168+AR236*AR168+AS236*AS168+AT236*AT168+AU236*AU168+AV236*AV168+AW236*AW168+AX236*AX168+AY236*AY168+AZ236*AZ168+BA236*BA168+BB236*BB168+BC236*BC168+BD236*BD168+BE236*BE168+BF236*BF168+BG236*BG168+BH236*BH168+BI236*BI168+BJ236*BJ168+BK236*BK168+BL236*BL168+BM236*BM168+BN236*BN168+BO236*BO168+BP236*BP168+BQ236*BQ168+BR236*BR168+BS236*BS168+BT236*BT168+BU236*BU168+BV236*BV168+BW236*BW168+BX236*BX168+BY236*BY168+BZ236*BZ168+CA236*CA168+CB236*CB168+CC236*CC168+CD236*CD168+CE236*CE168+CF236*CF168+CG236*CG168+CH236*CH168+CI236*CI168+CJ236*CJ168+CK236*CK168</f>
        <v>0</v>
      </c>
      <c r="CO168" s="2295">
        <f>E237*E168+F237*F168+G237*G168+H237*H168+I237*I168+J237*J168+K237*K168+L237*L168+M237*M168+N237*N168+O237*O168+P237*P168+Q237*Q168+R237*R168+S237*S168+T237*T168+U237*U168+V237*V168+W237*W168+X237*X168+Y237*Y168+Z237*Z168+AA237*AA168+AB237*AB168+AC237*AC168+AD237*AD168+AE237*AE168+AF237*AF168+AG237*AG168+AH237*AH168+AI237*AI168+AJ237*AJ168+AK237*AK168+AL237*AL168+AM237*AM168+AN237*AN168+AO237*AO168+AP237*AP168+AQ237*AQ168+AR237*AR168+AS237*AS168+AT237*AT168+AU237*AU168+AV237*AV168+AW237*AW168+AX237*AX168+AY237*AY168+AZ237*AZ168+BA237*BA168+BB237*BB168+BC237*BC168+BD237*BD168+BE237*BE168+BF237*BF168+BG237*BG168+BH237*BH168+BI237*BI168+BJ237*BJ168+BK237*BK168+BL237*BL168+BM237*BM168+BN237*BN168+BO237*BO168+BP237*BP168+BQ237*BQ168+BR237*BR168+BS237*BS168+BT237*BT168+BU237*BU168+BV237*BV168+BW237*BW168+BX237*BX168+BY237*BY168+BZ237*BZ168+CA237*CA168+CB237*CB168+CC237*CC168+CD237*CD168+CE237*CE168+CF237*CF168+CG237*CG168+CH237*CH168+CI237*CI168+CJ237*CJ168+CK237*CK168</f>
        <v>6.9388939039072284E-18</v>
      </c>
      <c r="CP168" s="2296">
        <f>E238*E168+F238*F168+G238*G168+H238*H168+I238*I168+J238*J168+K238*K168+L238*L168+M238*M168+N238*N168+O238*O168+P238*P168+Q238*Q168+R238*R168+S238*S168+T238*T168+U238*U168+V238*V168+W238*W168+X238*X168+Y238*Y168+Z238*Z168+AA238*AA168+AB238*AB168+AC238*AC168+AD238*AD168+AE238*AE168+AF238*AF168+AG238*AG168+AH238*AH168+AI238*AI168+AJ238*AJ168+AK238*AK168+AL238*AL168+AM238*AM168+AN238*AN168+AO238*AO168+AP238*AP168+AQ238*AQ168+AR238*AR168+AS238*AS168+AT238*AT168+AU238*AU168+AV238*AV168+AW238*AW168+AX238*AX168+AY238*AY168+AZ238*AZ168+BA238*BA168+BB238*BB168+BC238*BC168+BD238*BD168+BE238*BE168+BF238*BF168+BG238*BG168+BH238*BH168+BI238*BI168+BJ238*BJ168+BK238*BK168+BL238*BL168+BM238*BM168+BN238*BN168+BO238*BO168+BP238*BP168+BQ238*BQ168+BR238*BR168+BS238*BS168+BT238*BT168+BU238*BU168+BV238*BV168+BW238*BW168+BX238*BX168+BY238*BY168+BZ238*BZ168+CA238*CA168+CB238*CB168+CC238*CC168+CD238*CD168+CE238*CE168+CF238*CF168+CG238*CG168+CH238*CH168+CI238*CI168+CJ238*CJ168+CK238*CK168</f>
        <v>0</v>
      </c>
      <c r="CQ168" s="2297">
        <f>E239*E168+F239*F168+G239*G168+H239*H168+I239*I168+J239*J168+K239*K168+L239*L168+M239*M168+N239*N168+O239*O168+P239*P168+Q239*Q168+R239*R168+S239*S168+T239*T168+U239*U168+V239*V168+W239*W168+X239*X168+Y239*Y168+Z239*Z168+AA239*AA168+AB239*AB168+AC239*AC168+AD239*AD168+AE239*AE168+AF239*AF168+AG239*AG168+AH239*AH168+AI239*AI168+AJ239*AJ168+AK239*AK168+AL239*AL168+AM239*AM168+AN239*AN168+AO239*AO168+AP239*AP168+AQ239*AQ168+AR239*AR168+AS239*AS168+AT239*AT168+AU239*AU168+AV239*AV168+AW239*AW168+AX239*AX168+AY239*AY168+AZ239*AZ168+BA239*BA168+BB239*BB168+BC239*BC168+BD239*BD168+BE239*BE168+BF239*BF168+BG239*BG168+BH239*BH168+BI239*BI168+BJ239*BJ168+BK239*BK168+BL239*BL168+BM239*BM168+BN239*BN168+BO239*BO168+BP239*BP168+BQ239*BQ168+BR239*BR168+BS239*BS168+BT239*BT168+BU239*BU168+BV239*BV168+BW239*BW168+BX239*BX168+BY239*BY168+BZ239*BZ168+CA239*CA168+CB239*CB168+CC239*CC168+CD239*CD168+CE239*CE168+CF239*CF168+CG239*CG168+CH239*CH168+CI239*CI168+CJ239*CJ168+CK239*CK168</f>
        <v>0</v>
      </c>
      <c r="CR168" s="2297">
        <f>E240*E168+F240*F168+G240*G168+H240*H168+I240*I168+J240*J168+K240*K168+L240*L168+M240*M168+N240*N168+O240*O168+P240*P168+Q240*Q168+R240*R168+S240*S168+T240*T168+U240*U168+V240*V168+W240*W168+X240*X168+Y240*Y168+Z240*Z168+AA240*AA168+AB240*AB168+AC240*AC168+AD240*AD168+AE240*AE168+AF240*AF168+AG240*AG168+AH240*AH168+AI240*AI168+AJ240*AJ168+AK240*AK168+AL240*AL168+AM240*AM168+AN240*AN168+AO240*AO168+AP240*AP168+AQ240*AQ168+AR240*AR168+AS240*AS168+AT240*AT168+AU240*AU168+AV240*AV168+AW240*AW168+AX240*AX168+AY240*AY168+AZ240*AZ168+BA240*BA168+BB240*BB168+BC240*BC168+BD240*BD168+BE240*BE168+BF240*BF168+BG240*BG168+BH240*BH168+BI240*BI168+BJ240*BJ168+BK240*BK168+BL240*BL168+BM240*BM168+BN240*BN168+BO240*BO168+BP240*BP168+BQ240*BQ168+BR240*BR168+BS240*BS168+BT240*BT168+BU240*BU168+BV240*BV168+BW240*BW168+BX240*BX168+BY240*BY168+BZ240*BZ168+CA240*CA168+CB240*CB168+CC240*CC168+CD240*CD168+CE240*CE168+CF240*CF168+CG240*CG168+CH240*CH168+CI240*CI168+CJ240*CJ168+CK240*CK168</f>
        <v>0</v>
      </c>
      <c r="CS168" s="2297">
        <f>E241*E168+F241*F168+G241*G168+H241*H168+I241*I168+J241*J168+K241*K168+L241*L168+M241*M168+N241*N168+O241*O168+P241*P168+Q241*Q168+R241*R168+S241*S168+T241*T168+U241*U168+V241*V168+W241*W168+X241*X168+Y241*Y168+Z241*Z168+AA241*AA168+AB241*AB168+AC241*AC168+AD241*AD168+AE241*AE168+AF241*AF168+AG241*AG168+AH241*AH168+AI241*AI168+AJ241*AJ168+AK241*AK168+AL241*AL168+AM241*AM168+AN241*AN168+AO241*AO168+AP241*AP168+AQ241*AQ168+AR241*AR168+AS241*AS168+AT241*AT168+AU241*AU168+AV241*AV168+AW241*AW168+AX241*AX168+AY241*AY168+AZ241*AZ168+BA241*BA168+BB241*BB168+BC241*BC168+BD241*BD168+BE241*BE168+BF241*BF168+BG241*BG168+BH241*BH168+BI241*BI168+BJ241*BJ168+BK241*BK168+BL241*BL168+BM241*BM168+BN241*BN168+BO241*BO168+BP241*BP168+BQ241*BQ168+BR241*BR168+BS241*BS168+BT241*BT168+BU241*BU168+BV241*BV168+BW241*BW168+BX241*BX168+BY241*BY168+BZ241*BZ168+CA241*CA168+CB241*CB168+CC241*CC168+CD241*CD168+CE241*CE168+CF241*CF168+CG241*CG168+CH241*CH168+CI241*CI168+CJ241*CJ168+CK241*CK168</f>
        <v>0</v>
      </c>
      <c r="CT168" s="2297">
        <f>E242*E168+F242*F168+G242*G168+H242*H168+I242*I168+J242*J168+K242*K168+L242*L168+M242*M168+N242*N168+O242*O168+P242*P168+Q242*Q168+R242*R168+S242*S168+T242*T168+U242*U168+V242*V168+W242*W168+X242*X168+Y242*Y168+Z242*Z168+AA242*AA168+AB242*AB168+AC242*AC168+AD242*AD168+AE242*AE168+AF242*AF168+AG242*AG168+AH242*AH168+AI242*AI168+AJ242*AJ168+AK242*AK168+AL242*AL168+AM242*AM168+AN242*AN168+AO242*AO168+AP242*AP168+AQ242*AQ168+AR242*AR168+AS242*AS168+AT242*AT168+AU242*AU168+AV242*AV168+AW242*AW168+AX242*AX168+AY242*AY168+AZ242*AZ168+BA242*BA168+BB242*BB168+BC242*BC168+BD242*BD168+BE242*BE168+BF242*BF168+BG242*BG168+BH242*BH168+BI242*BI168+BJ242*BJ168+BK242*BK168+BL242*BL168+BM242*BM168+BN242*BN168+BO242*BO168+BP242*BP168+BQ242*BQ168+BR242*BR168+BS242*BS168+BT242*BT168+BU242*BU168+BV242*BV168+BW242*BW168+BX242*BX168+BY242*BY168+BZ242*BZ168+CA242*CA168+CB242*CB168+CC242*CC168+CD242*CD168+CE242*CE168+CF242*CF168+CG242*CG168+CH242*CH168+CI242*CI168+CJ242*CJ168+CK242*CK168</f>
        <v>0</v>
      </c>
      <c r="CU168" s="2297">
        <f>E243*E168+F243*F168+G243*G168+H243*H168+I243*I168+J243*J168+K243*K168+L243*L168+M243*M168+N243*N168+O243*O168+P243*P168+Q243*Q168+R243*R168+S243*S168+T243*T168+U243*U168+V243*V168+W243*W168+X243*X168+Y243*Y168+Z243*Z168+AA243*AA168+AB243*AB168+AC243*AC168+AD243*AD168+AE243*AE168+AF243*AF168+AG243*AG168+AH243*AH168+AI243*AI168+AJ243*AJ168+AK243*AK168+AL243*AL168+AM243*AM168+AN243*AN168+AO243*AO168+AP243*AP168+AQ243*AQ168+AR243*AR168+AS243*AS168+AT243*AT168+AU243*AU168+AV243*AV168+AW243*AW168+AX243*AX168+AY243*AY168+AZ243*AZ168+BA243*BA168+BB243*BB168+BC243*BC168+BD243*BD168+BE243*BE168+BF243*BF168+BG243*BG168+BH243*BH168+BI243*BI168+BJ243*BJ168+BK243*BK168+BL243*BL168+BM243*BM168+BN243*BN168+BO243*BO168+BP243*BP168+BQ243*BQ168+BR243*BR168+BS243*BS168+BT243*BT168+BU243*BU168+BV243*BV168+BW243*BW168+BX243*BX168+BY243*BY168+BZ243*BZ168+CA243*CA168+CB243*CB168+CC243*CC168+CD243*CD168+CE243*CE168+CF243*CF168+CG243*CG168+CH243*CH168+CI243*CI168+CJ243*CJ168+CK243*CK168</f>
        <v>0</v>
      </c>
      <c r="CV168" s="2297">
        <f>E244*E168+F244*F168+G244*G168+H244*H168+I244*I168+J244*J168+K244*K168+L244*L168+M244*M168+N244*N168+O244*O168+P244*P168+Q244*Q168+R244*R168+S244*S168+T244*T168+U244*U168+V244*V168+W244*W168+X244*X168+Y244*Y168+Z244*Z168+AA244*AA168+AB244*AB168+AC244*AC168+AD244*AD168+AE244*AE168+AF244*AF168+AG244*AG168+AH244*AH168+AI244*AI168+AJ244*AJ168+AK244*AK168+AL244*AL168+AM244*AM168+AN244*AN168+AO244*AO168+AP244*AP168+AQ244*AQ168+AR244*AR168+AS244*AS168+AT244*AT168+AU244*AU168+AV244*AV168+AW244*AW168+AX244*AX168+AY244*AY168+AZ244*AZ168+BA244*BA168+BB244*BB168+BC244*BC168+BD244*BD168+BE244*BE168+BF244*BF168+BG244*BG168+BH244*BH168+BI244*BI168+BJ244*BJ168+BK244*BK168+BL244*BL168+BM244*BM168+BN244*BN168+BO244*BO168+BP244*BP168+BQ244*BQ168+BR244*BR168+BS244*BS168+BT244*BT168+BU244*BU168+BV244*BV168+BW244*BW168+BX244*BX168+BY244*BY168+BZ244*BZ168+CA244*CA168+CB244*CB168+CC244*CC168+CD244*CD168+CE244*CE168+CF244*CF168+CG244*CG168+CH244*CH168+CI244*CI168+CJ244*CJ168+CK244*CK168</f>
        <v>0</v>
      </c>
      <c r="CW168" s="2297">
        <f>E245*E168+F245*F168+G245*G168+H245*H168+I245*I168+J245*J168+K245*K168+L245*L168+M245*M168+N245*N168+O245*O168+P245*P168+Q245*Q168+R245*R168+S245*S168+T245*T168+U245*U168+V245*V168+W245*W168+X245*X168+Y245*Y168+Z245*Z168+AA245*AA168+AB245*AB168+AC245*AC168+AD245*AD168+AE245*AE168+AF245*AF168+AG245*AG168+AH245*AH168+AI245*AI168+AJ245*AJ168+AK245*AK168+AL245*AL168+AM245*AM168+AN245*AN168+AO245*AO168+AP245*AP168+AQ245*AQ168+AR245*AR168+AS245*AS168+AT245*AT168+AU245*AU168+AV245*AV168+AW245*AW168+AX245*AX168+AY245*AY168+AZ245*AZ168+BA245*BA168+BB245*BB168+BC245*BC168+BD245*BD168+BE245*BE168+BF245*BF168+BG245*BG168+BH245*BH168+BI245*BI168+BJ245*BJ168+BK245*BK168+BL245*BL168+BM245*BM168+BN245*BN168+BO245*BO168+BP245*BP168+BQ245*BQ168+BR245*BR168+BS245*BS168+BT245*BT168+BU245*BU168+BV245*BV168+BW245*BW168+BX245*BX168+BY245*BY168+BZ245*BZ168+CA245*CA168+CB245*CB168+CC245*CC168+CD245*CD168+CE245*CE168+CF245*CF168+CG245*CG168+CH245*CH168+CI245*CI168+CJ245*CJ168+CK245*CK168</f>
        <v>0</v>
      </c>
      <c r="CX168" s="2297">
        <f>E246*E168+F246*F168+G246*G168+H246*H168+I246*I168+J246*J168+K246*K168+L246*L168+M246*M168+N246*N168+O246*O168+P246*P168+Q246*Q168+R246*R168+S246*S168+T246*T168+U246*U168+V246*V168+W246*W168+X246*X168+Y246*Y168+Z246*Z168+AA246*AA168+AB246*AB168+AC246*AC168+AD246*AD168+AE246*AE168+AF246*AF168+AG246*AG168+AH246*AH168+AI246*AI168+AJ246*AJ168+AK246*AK168+AL246*AL168+AM246*AM168+AN246*AN168+AO246*AO168+AP246*AP168+AQ246*AQ168+AR246*AR168+AS246*AS168+AT246*AT168+AU246*AU168+AV246*AV168+AW246*AW168+AX246*AX168+AY246*AY168+AZ246*AZ168+BA246*BA168+BB246*BB168+BC246*BC168+BD246*BD168+BE246*BE168+BF246*BF168+BG246*BG168+BH246*BH168+BI246*BI168+BJ246*BJ168+BK246*BK168+BL246*BL168+BM246*BM168+BN246*BN168+BO246*BO168+BP246*BP168+BQ246*BQ168+BR246*BR168+BS246*BS168+BT246*BT168+BU246*BU168+BV246*BV168+BW246*BW168+BX246*BX168+BY246*BY168+BZ246*BZ168+CA246*CA168+CB246*CB168+CC246*CC168+CD246*CD168+CE246*CE168+CF246*CF168+CG246*CG168+CH246*CH168+CI246*CI168+CJ246*CJ168+CK246*CK168</f>
        <v>0</v>
      </c>
    </row>
    <row r="169" spans="2:102" ht="18" x14ac:dyDescent="0.25">
      <c r="B169" s="1247">
        <v>42</v>
      </c>
      <c r="C169" s="1194" t="s">
        <v>4276</v>
      </c>
      <c r="D169" s="597" t="s">
        <v>2978</v>
      </c>
      <c r="E169" s="2663">
        <f>0</f>
        <v>0</v>
      </c>
      <c r="F169" s="2663">
        <f>0</f>
        <v>0</v>
      </c>
      <c r="G169" s="2663">
        <f>0</f>
        <v>0</v>
      </c>
      <c r="H169" s="2663">
        <f>0</f>
        <v>0</v>
      </c>
      <c r="I169" s="2663">
        <f>0</f>
        <v>0</v>
      </c>
      <c r="J169" s="2663">
        <f>1-f_E</f>
        <v>0.92</v>
      </c>
      <c r="K169" s="2663">
        <f>0</f>
        <v>0</v>
      </c>
      <c r="L169" s="2663">
        <f>0</f>
        <v>0</v>
      </c>
      <c r="M169" s="2663">
        <f>0</f>
        <v>0</v>
      </c>
      <c r="N169" s="2663">
        <f>0</f>
        <v>0</v>
      </c>
      <c r="O169" s="2663">
        <f>0</f>
        <v>0</v>
      </c>
      <c r="P169" s="2663">
        <f>0</f>
        <v>0</v>
      </c>
      <c r="Q169" s="2663">
        <f>f_E</f>
        <v>0.08</v>
      </c>
      <c r="R169" s="2663">
        <f>0</f>
        <v>0</v>
      </c>
      <c r="S169" s="2663">
        <f>0</f>
        <v>0</v>
      </c>
      <c r="T169" s="2663">
        <f>0</f>
        <v>0</v>
      </c>
      <c r="U169" s="2663">
        <f>0</f>
        <v>0</v>
      </c>
      <c r="V169" s="2663">
        <f>-1</f>
        <v>-1</v>
      </c>
      <c r="W169" s="2663">
        <f>0</f>
        <v>0</v>
      </c>
      <c r="X169" s="2663">
        <f>0</f>
        <v>0</v>
      </c>
      <c r="Y169" s="2663">
        <f>0</f>
        <v>0</v>
      </c>
      <c r="Z169" s="2715">
        <f>0</f>
        <v>0</v>
      </c>
      <c r="AA169" s="2663">
        <f>-f_E*(i_N_XE-i_N_BIO)</f>
        <v>8.0000000000000069E-4</v>
      </c>
      <c r="AB169" s="2663">
        <f>0</f>
        <v>0</v>
      </c>
      <c r="AC169" s="2663">
        <f>0</f>
        <v>0</v>
      </c>
      <c r="AD169" s="2663">
        <f>0</f>
        <v>0</v>
      </c>
      <c r="AE169" s="2663">
        <f>0</f>
        <v>0</v>
      </c>
      <c r="AF169" s="2663">
        <f>0</f>
        <v>0</v>
      </c>
      <c r="AG169" s="2663">
        <f>(1-f_E)*i_N_BIO</f>
        <v>6.4400000000000013E-2</v>
      </c>
      <c r="AH169" s="2663">
        <f>0</f>
        <v>0</v>
      </c>
      <c r="AI169" s="2663">
        <f>0</f>
        <v>0</v>
      </c>
      <c r="AJ169" s="2663">
        <f>0</f>
        <v>0</v>
      </c>
      <c r="AK169" s="2663">
        <f>0</f>
        <v>0</v>
      </c>
      <c r="AL169" s="2663">
        <f>0</f>
        <v>0</v>
      </c>
      <c r="AM169" s="2663">
        <f>(1-f_E)*i_P_BIO</f>
        <v>1.84E-2</v>
      </c>
      <c r="AN169" s="2663">
        <f>0</f>
        <v>0</v>
      </c>
      <c r="AO169" s="2663">
        <f>0</f>
        <v>0</v>
      </c>
      <c r="AP169" s="2663">
        <f>0</f>
        <v>0</v>
      </c>
      <c r="AQ169" s="2663">
        <f>0</f>
        <v>0</v>
      </c>
      <c r="AR169" s="2663">
        <f>(1-f_E)*(i_CIT_BIO-i_CIT_XBe)</f>
        <v>6.0720000000000003E-2</v>
      </c>
      <c r="AS169" s="2663">
        <f>0</f>
        <v>0</v>
      </c>
      <c r="AT169" s="2663">
        <f>0</f>
        <v>0</v>
      </c>
      <c r="AU169" s="2663">
        <f>0</f>
        <v>0</v>
      </c>
      <c r="AV169" s="2663">
        <f>0</f>
        <v>0</v>
      </c>
      <c r="AW169" s="2663">
        <f>0</f>
        <v>0</v>
      </c>
      <c r="AX169" s="2663">
        <f>0</f>
        <v>0</v>
      </c>
      <c r="AY169" s="2663">
        <f>0</f>
        <v>0</v>
      </c>
      <c r="AZ169" s="2663">
        <f>0</f>
        <v>0</v>
      </c>
      <c r="BA169" s="2663">
        <f>0</f>
        <v>0</v>
      </c>
      <c r="BB169" s="2663">
        <f>0</f>
        <v>0</v>
      </c>
      <c r="BC169" s="2663">
        <f>0</f>
        <v>0</v>
      </c>
      <c r="BD169" s="2663">
        <f>0</f>
        <v>0</v>
      </c>
      <c r="BE169" s="2663">
        <f>0</f>
        <v>0</v>
      </c>
      <c r="BF169" s="2663">
        <f>0</f>
        <v>0</v>
      </c>
      <c r="BG169" s="2663">
        <f>0</f>
        <v>0</v>
      </c>
      <c r="BH169" s="2663">
        <f>0</f>
        <v>0</v>
      </c>
      <c r="BI169" s="2663">
        <f>0</f>
        <v>0</v>
      </c>
      <c r="BJ169" s="2663">
        <f>0</f>
        <v>0</v>
      </c>
      <c r="BK169" s="2663">
        <f>0</f>
        <v>0</v>
      </c>
      <c r="BL169" s="2663">
        <f>0</f>
        <v>0</v>
      </c>
      <c r="BM169" s="2663">
        <f>0</f>
        <v>0</v>
      </c>
      <c r="BN169" s="2663">
        <f>0</f>
        <v>0</v>
      </c>
      <c r="BO169" s="2663">
        <f>0</f>
        <v>0</v>
      </c>
      <c r="BP169" s="2663">
        <f>0</f>
        <v>0</v>
      </c>
      <c r="BQ169" s="2663">
        <f>0</f>
        <v>0</v>
      </c>
      <c r="BR169" s="2663">
        <f>0</f>
        <v>0</v>
      </c>
      <c r="BS169" s="2715">
        <f>0</f>
        <v>0</v>
      </c>
      <c r="BT169" s="2715">
        <f>0</f>
        <v>0</v>
      </c>
      <c r="BU169" s="2715">
        <f>0</f>
        <v>0</v>
      </c>
      <c r="BV169" s="2715">
        <f>0</f>
        <v>0</v>
      </c>
      <c r="BW169" s="2663">
        <f>0</f>
        <v>0</v>
      </c>
      <c r="BX169" s="2777">
        <f>0</f>
        <v>0</v>
      </c>
      <c r="BY169" s="2715">
        <f>0</f>
        <v>0</v>
      </c>
      <c r="BZ169" s="2663">
        <f>0</f>
        <v>0</v>
      </c>
      <c r="CA169" s="2663">
        <f>0</f>
        <v>0</v>
      </c>
      <c r="CB169" s="2663">
        <f>0</f>
        <v>0</v>
      </c>
      <c r="CC169" s="2663">
        <f>0</f>
        <v>0</v>
      </c>
      <c r="CD169" s="2663">
        <f>0</f>
        <v>0</v>
      </c>
      <c r="CE169" s="2663">
        <f>0</f>
        <v>0</v>
      </c>
      <c r="CF169" s="2663">
        <f>0</f>
        <v>0</v>
      </c>
      <c r="CG169" s="2663">
        <f>0</f>
        <v>0</v>
      </c>
      <c r="CH169" s="2663">
        <f>0</f>
        <v>0</v>
      </c>
      <c r="CI169" s="2663">
        <f>0</f>
        <v>0</v>
      </c>
      <c r="CJ169" s="2663">
        <f>0</f>
        <v>0</v>
      </c>
      <c r="CK169" s="2663">
        <f>0</f>
        <v>0</v>
      </c>
      <c r="CL169" s="2797">
        <f>b_NOB_T*X_NOB*(η_b_ana*M_inhSNOx_KNOx_NOB*M_inhSO2_KO2_NOB+m_tox_ana)</f>
        <v>8.7719298245614037E-4</v>
      </c>
      <c r="CN169" s="2295">
        <f>E236*E169+F236*F169+G236*G169+H236*H169+I236*I169+J236*J169+K236*K169+L236*L169+M236*M169+N236*N169+O236*O169+P236*P169+Q236*Q169+R236*R169+S236*S169+T236*T169+U236*U169+V236*V169+W236*W169+X236*X169+Y236*Y169+Z236*Z169+AA236*AA169+AB236*AB169+AC236*AC169+AD236*AD169+AE236*AE169+AF236*AF169+AG236*AG169+AH236*AH169+AI236*AI169+AJ236*AJ169+AK236*AK169+AL236*AL169+AM236*AM169+AN236*AN169+AO236*AO169+AP236*AP169+AQ236*AQ169+AR236*AR169+AS236*AS169+AT236*AT169+AU236*AU169+AV236*AV169+AW236*AW169+AX236*AX169+AY236*AY169+AZ236*AZ169+BA236*BA169+BB236*BB169+BC236*BC169+BD236*BD169+BE236*BE169+BF236*BF169+BG236*BG169+BH236*BH169+BI236*BI169+BJ236*BJ169+BK236*BK169+BL236*BL169+BM236*BM169+BN236*BN169+BO236*BO169+BP236*BP169+BQ236*BQ169+BR236*BR169+BS236*BS169+BT236*BT169+BU236*BU169+BV236*BV169+BW236*BW169+BX236*BX169+BY236*BY169+BZ236*BZ169+CA236*CA169+CB236*CB169+CC236*CC169+CD236*CD169+CE236*CE169+CF236*CF169+CG236*CG169+CH236*CH169+CI236*CI169+CJ236*CJ169+CK236*CK169</f>
        <v>0</v>
      </c>
      <c r="CO169" s="2295">
        <f>E237*E169+F237*F169+G237*G169+H237*H169+I237*I169+J237*J169+K237*K169+L237*L169+M237*M169+N237*N169+O237*O169+P237*P169+Q237*Q169+R237*R169+S237*S169+T237*T169+U237*U169+V237*V169+W237*W169+X237*X169+Y237*Y169+Z237*Z169+AA237*AA169+AB237*AB169+AC237*AC169+AD237*AD169+AE237*AE169+AF237*AF169+AG237*AG169+AH237*AH169+AI237*AI169+AJ237*AJ169+AK237*AK169+AL237*AL169+AM237*AM169+AN237*AN169+AO237*AO169+AP237*AP169+AQ237*AQ169+AR237*AR169+AS237*AS169+AT237*AT169+AU237*AU169+AV237*AV169+AW237*AW169+AX237*AX169+AY237*AY169+AZ237*AZ169+BA237*BA169+BB237*BB169+BC237*BC169+BD237*BD169+BE237*BE169+BF237*BF169+BG237*BG169+BH237*BH169+BI237*BI169+BJ237*BJ169+BK237*BK169+BL237*BL169+BM237*BM169+BN237*BN169+BO237*BO169+BP237*BP169+BQ237*BQ169+BR237*BR169+BS237*BS169+BT237*BT169+BU237*BU169+BV237*BV169+BW237*BW169+BX237*BX169+BY237*BY169+BZ237*BZ169+CA237*CA169+CB237*CB169+CC237*CC169+CD237*CD169+CE237*CE169+CF237*CF169+CG237*CG169+CH237*CH169+CI237*CI169+CJ237*CJ169+CK237*CK169</f>
        <v>6.9388939039072284E-18</v>
      </c>
      <c r="CP169" s="2296">
        <f>E238*E169+F238*F169+G238*G169+H238*H169+I238*I169+J238*J169+K238*K169+L238*L169+M238*M169+N238*N169+O238*O169+P238*P169+Q238*Q169+R238*R169+S238*S169+T238*T169+U238*U169+V238*V169+W238*W169+X238*X169+Y238*Y169+Z238*Z169+AA238*AA169+AB238*AB169+AC238*AC169+AD238*AD169+AE238*AE169+AF238*AF169+AG238*AG169+AH238*AH169+AI238*AI169+AJ238*AJ169+AK238*AK169+AL238*AL169+AM238*AM169+AN238*AN169+AO238*AO169+AP238*AP169+AQ238*AQ169+AR238*AR169+AS238*AS169+AT238*AT169+AU238*AU169+AV238*AV169+AW238*AW169+AX238*AX169+AY238*AY169+AZ238*AZ169+BA238*BA169+BB238*BB169+BC238*BC169+BD238*BD169+BE238*BE169+BF238*BF169+BG238*BG169+BH238*BH169+BI238*BI169+BJ238*BJ169+BK238*BK169+BL238*BL169+BM238*BM169+BN238*BN169+BO238*BO169+BP238*BP169+BQ238*BQ169+BR238*BR169+BS238*BS169+BT238*BT169+BU238*BU169+BV238*BV169+BW238*BW169+BX238*BX169+BY238*BY169+BZ238*BZ169+CA238*CA169+CB238*CB169+CC238*CC169+CD238*CD169+CE238*CE169+CF238*CF169+CG238*CG169+CH238*CH169+CI238*CI169+CJ238*CJ169+CK238*CK169</f>
        <v>0</v>
      </c>
      <c r="CQ169" s="2297">
        <f>E239*E169+F239*F169+G239*G169+H239*H169+I239*I169+J239*J169+K239*K169+L239*L169+M239*M169+N239*N169+O239*O169+P239*P169+Q239*Q169+R239*R169+S239*S169+T239*T169+U239*U169+V239*V169+W239*W169+X239*X169+Y239*Y169+Z239*Z169+AA239*AA169+AB239*AB169+AC239*AC169+AD239*AD169+AE239*AE169+AF239*AF169+AG239*AG169+AH239*AH169+AI239*AI169+AJ239*AJ169+AK239*AK169+AL239*AL169+AM239*AM169+AN239*AN169+AO239*AO169+AP239*AP169+AQ239*AQ169+AR239*AR169+AS239*AS169+AT239*AT169+AU239*AU169+AV239*AV169+AW239*AW169+AX239*AX169+AY239*AY169+AZ239*AZ169+BA239*BA169+BB239*BB169+BC239*BC169+BD239*BD169+BE239*BE169+BF239*BF169+BG239*BG169+BH239*BH169+BI239*BI169+BJ239*BJ169+BK239*BK169+BL239*BL169+BM239*BM169+BN239*BN169+BO239*BO169+BP239*BP169+BQ239*BQ169+BR239*BR169+BS239*BS169+BT239*BT169+BU239*BU169+BV239*BV169+BW239*BW169+BX239*BX169+BY239*BY169+BZ239*BZ169+CA239*CA169+CB239*CB169+CC239*CC169+CD239*CD169+CE239*CE169+CF239*CF169+CG239*CG169+CH239*CH169+CI239*CI169+CJ239*CJ169+CK239*CK169</f>
        <v>0</v>
      </c>
      <c r="CR169" s="2297">
        <f>E240*E169+F240*F169+G240*G169+H240*H169+I240*I169+J240*J169+K240*K169+L240*L169+M240*M169+N240*N169+O240*O169+P240*P169+Q240*Q169+R240*R169+S240*S169+T240*T169+U240*U169+V240*V169+W240*W169+X240*X169+Y240*Y169+Z240*Z169+AA240*AA169+AB240*AB169+AC240*AC169+AD240*AD169+AE240*AE169+AF240*AF169+AG240*AG169+AH240*AH169+AI240*AI169+AJ240*AJ169+AK240*AK169+AL240*AL169+AM240*AM169+AN240*AN169+AO240*AO169+AP240*AP169+AQ240*AQ169+AR240*AR169+AS240*AS169+AT240*AT169+AU240*AU169+AV240*AV169+AW240*AW169+AX240*AX169+AY240*AY169+AZ240*AZ169+BA240*BA169+BB240*BB169+BC240*BC169+BD240*BD169+BE240*BE169+BF240*BF169+BG240*BG169+BH240*BH169+BI240*BI169+BJ240*BJ169+BK240*BK169+BL240*BL169+BM240*BM169+BN240*BN169+BO240*BO169+BP240*BP169+BQ240*BQ169+BR240*BR169+BS240*BS169+BT240*BT169+BU240*BU169+BV240*BV169+BW240*BW169+BX240*BX169+BY240*BY169+BZ240*BZ169+CA240*CA169+CB240*CB169+CC240*CC169+CD240*CD169+CE240*CE169+CF240*CF169+CG240*CG169+CH240*CH169+CI240*CI169+CJ240*CJ169+CK240*CK169</f>
        <v>0</v>
      </c>
      <c r="CS169" s="2297">
        <f>E241*E169+F241*F169+G241*G169+H241*H169+I241*I169+J241*J169+K241*K169+L241*L169+M241*M169+N241*N169+O241*O169+P241*P169+Q241*Q169+R241*R169+S241*S169+T241*T169+U241*U169+V241*V169+W241*W169+X241*X169+Y241*Y169+Z241*Z169+AA241*AA169+AB241*AB169+AC241*AC169+AD241*AD169+AE241*AE169+AF241*AF169+AG241*AG169+AH241*AH169+AI241*AI169+AJ241*AJ169+AK241*AK169+AL241*AL169+AM241*AM169+AN241*AN169+AO241*AO169+AP241*AP169+AQ241*AQ169+AR241*AR169+AS241*AS169+AT241*AT169+AU241*AU169+AV241*AV169+AW241*AW169+AX241*AX169+AY241*AY169+AZ241*AZ169+BA241*BA169+BB241*BB169+BC241*BC169+BD241*BD169+BE241*BE169+BF241*BF169+BG241*BG169+BH241*BH169+BI241*BI169+BJ241*BJ169+BK241*BK169+BL241*BL169+BM241*BM169+BN241*BN169+BO241*BO169+BP241*BP169+BQ241*BQ169+BR241*BR169+BS241*BS169+BT241*BT169+BU241*BU169+BV241*BV169+BW241*BW169+BX241*BX169+BY241*BY169+BZ241*BZ169+CA241*CA169+CB241*CB169+CC241*CC169+CD241*CD169+CE241*CE169+CF241*CF169+CG241*CG169+CH241*CH169+CI241*CI169+CJ241*CJ169+CK241*CK169</f>
        <v>0</v>
      </c>
      <c r="CT169" s="2297">
        <f>E242*E169+F242*F169+G242*G169+H242*H169+I242*I169+J242*J169+K242*K169+L242*L169+M242*M169+N242*N169+O242*O169+P242*P169+Q242*Q169+R242*R169+S242*S169+T242*T169+U242*U169+V242*V169+W242*W169+X242*X169+Y242*Y169+Z242*Z169+AA242*AA169+AB242*AB169+AC242*AC169+AD242*AD169+AE242*AE169+AF242*AF169+AG242*AG169+AH242*AH169+AI242*AI169+AJ242*AJ169+AK242*AK169+AL242*AL169+AM242*AM169+AN242*AN169+AO242*AO169+AP242*AP169+AQ242*AQ169+AR242*AR169+AS242*AS169+AT242*AT169+AU242*AU169+AV242*AV169+AW242*AW169+AX242*AX169+AY242*AY169+AZ242*AZ169+BA242*BA169+BB242*BB169+BC242*BC169+BD242*BD169+BE242*BE169+BF242*BF169+BG242*BG169+BH242*BH169+BI242*BI169+BJ242*BJ169+BK242*BK169+BL242*BL169+BM242*BM169+BN242*BN169+BO242*BO169+BP242*BP169+BQ242*BQ169+BR242*BR169+BS242*BS169+BT242*BT169+BU242*BU169+BV242*BV169+BW242*BW169+BX242*BX169+BY242*BY169+BZ242*BZ169+CA242*CA169+CB242*CB169+CC242*CC169+CD242*CD169+CE242*CE169+CF242*CF169+CG242*CG169+CH242*CH169+CI242*CI169+CJ242*CJ169+CK242*CK169</f>
        <v>0</v>
      </c>
      <c r="CU169" s="2297">
        <f>E243*E169+F243*F169+G243*G169+H243*H169+I243*I169+J243*J169+K243*K169+L243*L169+M243*M169+N243*N169+O243*O169+P243*P169+Q243*Q169+R243*R169+S243*S169+T243*T169+U243*U169+V243*V169+W243*W169+X243*X169+Y243*Y169+Z243*Z169+AA243*AA169+AB243*AB169+AC243*AC169+AD243*AD169+AE243*AE169+AF243*AF169+AG243*AG169+AH243*AH169+AI243*AI169+AJ243*AJ169+AK243*AK169+AL243*AL169+AM243*AM169+AN243*AN169+AO243*AO169+AP243*AP169+AQ243*AQ169+AR243*AR169+AS243*AS169+AT243*AT169+AU243*AU169+AV243*AV169+AW243*AW169+AX243*AX169+AY243*AY169+AZ243*AZ169+BA243*BA169+BB243*BB169+BC243*BC169+BD243*BD169+BE243*BE169+BF243*BF169+BG243*BG169+BH243*BH169+BI243*BI169+BJ243*BJ169+BK243*BK169+BL243*BL169+BM243*BM169+BN243*BN169+BO243*BO169+BP243*BP169+BQ243*BQ169+BR243*BR169+BS243*BS169+BT243*BT169+BU243*BU169+BV243*BV169+BW243*BW169+BX243*BX169+BY243*BY169+BZ243*BZ169+CA243*CA169+CB243*CB169+CC243*CC169+CD243*CD169+CE243*CE169+CF243*CF169+CG243*CG169+CH243*CH169+CI243*CI169+CJ243*CJ169+CK243*CK169</f>
        <v>0</v>
      </c>
      <c r="CV169" s="2297">
        <f>E244*E169+F244*F169+G244*G169+H244*H169+I244*I169+J244*J169+K244*K169+L244*L169+M244*M169+N244*N169+O244*O169+P244*P169+Q244*Q169+R244*R169+S244*S169+T244*T169+U244*U169+V244*V169+W244*W169+X244*X169+Y244*Y169+Z244*Z169+AA244*AA169+AB244*AB169+AC244*AC169+AD244*AD169+AE244*AE169+AF244*AF169+AG244*AG169+AH244*AH169+AI244*AI169+AJ244*AJ169+AK244*AK169+AL244*AL169+AM244*AM169+AN244*AN169+AO244*AO169+AP244*AP169+AQ244*AQ169+AR244*AR169+AS244*AS169+AT244*AT169+AU244*AU169+AV244*AV169+AW244*AW169+AX244*AX169+AY244*AY169+AZ244*AZ169+BA244*BA169+BB244*BB169+BC244*BC169+BD244*BD169+BE244*BE169+BF244*BF169+BG244*BG169+BH244*BH169+BI244*BI169+BJ244*BJ169+BK244*BK169+BL244*BL169+BM244*BM169+BN244*BN169+BO244*BO169+BP244*BP169+BQ244*BQ169+BR244*BR169+BS244*BS169+BT244*BT169+BU244*BU169+BV244*BV169+BW244*BW169+BX244*BX169+BY244*BY169+BZ244*BZ169+CA244*CA169+CB244*CB169+CC244*CC169+CD244*CD169+CE244*CE169+CF244*CF169+CG244*CG169+CH244*CH169+CI244*CI169+CJ244*CJ169+CK244*CK169</f>
        <v>0</v>
      </c>
      <c r="CW169" s="2297">
        <f>E245*E169+F245*F169+G245*G169+H245*H169+I245*I169+J245*J169+K245*K169+L245*L169+M245*M169+N245*N169+O245*O169+P245*P169+Q245*Q169+R245*R169+S245*S169+T245*T169+U245*U169+V245*V169+W245*W169+X245*X169+Y245*Y169+Z245*Z169+AA245*AA169+AB245*AB169+AC245*AC169+AD245*AD169+AE245*AE169+AF245*AF169+AG245*AG169+AH245*AH169+AI245*AI169+AJ245*AJ169+AK245*AK169+AL245*AL169+AM245*AM169+AN245*AN169+AO245*AO169+AP245*AP169+AQ245*AQ169+AR245*AR169+AS245*AS169+AT245*AT169+AU245*AU169+AV245*AV169+AW245*AW169+AX245*AX169+AY245*AY169+AZ245*AZ169+BA245*BA169+BB245*BB169+BC245*BC169+BD245*BD169+BE245*BE169+BF245*BF169+BG245*BG169+BH245*BH169+BI245*BI169+BJ245*BJ169+BK245*BK169+BL245*BL169+BM245*BM169+BN245*BN169+BO245*BO169+BP245*BP169+BQ245*BQ169+BR245*BR169+BS245*BS169+BT245*BT169+BU245*BU169+BV245*BV169+BW245*BW169+BX245*BX169+BY245*BY169+BZ245*BZ169+CA245*CA169+CB245*CB169+CC245*CC169+CD245*CD169+CE245*CE169+CF245*CF169+CG245*CG169+CH245*CH169+CI245*CI169+CJ245*CJ169+CK245*CK169</f>
        <v>0</v>
      </c>
      <c r="CX169" s="2297">
        <f>E246*E169+F246*F169+G246*G169+H246*H169+I246*I169+J246*J169+K246*K169+L246*L169+M246*M169+N246*N169+O246*O169+P246*P169+Q246*Q169+R246*R169+S246*S169+T246*T169+U246*U169+V246*V169+W246*W169+X246*X169+Y246*Y169+Z246*Z169+AA246*AA169+AB246*AB169+AC246*AC169+AD246*AD169+AE246*AE169+AF246*AF169+AG246*AG169+AH246*AH169+AI246*AI169+AJ246*AJ169+AK246*AK169+AL246*AL169+AM246*AM169+AN246*AN169+AO246*AO169+AP246*AP169+AQ246*AQ169+AR246*AR169+AS246*AS169+AT246*AT169+AU246*AU169+AV246*AV169+AW246*AW169+AX246*AX169+AY246*AY169+AZ246*AZ169+BA246*BA169+BB246*BB169+BC246*BC169+BD246*BD169+BE246*BE169+BF246*BF169+BG246*BG169+BH246*BH169+BI246*BI169+BJ246*BJ169+BK246*BK169+BL246*BL169+BM246*BM169+BN246*BN169+BO246*BO169+BP246*BP169+BQ246*BQ169+BR246*BR169+BS246*BS169+BT246*BT169+BU246*BU169+BV246*BV169+BW246*BW169+BX246*BX169+BY246*BY169+BZ246*BZ169+CA246*CA169+CB246*CB169+CC246*CC169+CD246*CD169+CE246*CE169+CF246*CF169+CG246*CG169+CH246*CH169+CI246*CI169+CJ246*CJ169+CK246*CK169</f>
        <v>0</v>
      </c>
    </row>
    <row r="170" spans="2:102" ht="18" x14ac:dyDescent="0.25">
      <c r="B170" s="1248">
        <v>43</v>
      </c>
      <c r="C170" s="1195" t="s">
        <v>4277</v>
      </c>
      <c r="D170" s="603" t="s">
        <v>2211</v>
      </c>
      <c r="E170" s="2664">
        <f>0</f>
        <v>0</v>
      </c>
      <c r="F170" s="2664">
        <f>0</f>
        <v>0</v>
      </c>
      <c r="G170" s="2664">
        <f>0</f>
        <v>0</v>
      </c>
      <c r="H170" s="2664">
        <f>0</f>
        <v>0</v>
      </c>
      <c r="I170" s="2664">
        <f>0</f>
        <v>0</v>
      </c>
      <c r="J170" s="2664">
        <f>0</f>
        <v>0</v>
      </c>
      <c r="K170" s="2664">
        <f>0</f>
        <v>0</v>
      </c>
      <c r="L170" s="2664">
        <f>0</f>
        <v>0</v>
      </c>
      <c r="M170" s="2664">
        <f>0</f>
        <v>0</v>
      </c>
      <c r="N170" s="2664">
        <f>0</f>
        <v>0</v>
      </c>
      <c r="O170" s="2664">
        <f>0</f>
        <v>0</v>
      </c>
      <c r="P170" s="2664">
        <f>0</f>
        <v>0</v>
      </c>
      <c r="Q170" s="2664">
        <f>0</f>
        <v>0</v>
      </c>
      <c r="R170" s="2664">
        <f>0</f>
        <v>0</v>
      </c>
      <c r="S170" s="2664">
        <f>0</f>
        <v>0</v>
      </c>
      <c r="T170" s="2664">
        <f>0</f>
        <v>0</v>
      </c>
      <c r="U170" s="2664">
        <f>0</f>
        <v>0</v>
      </c>
      <c r="V170" s="2664">
        <f>0</f>
        <v>0</v>
      </c>
      <c r="W170" s="2664">
        <f>1</f>
        <v>1</v>
      </c>
      <c r="X170" s="2664">
        <f>0</f>
        <v>0</v>
      </c>
      <c r="Y170" s="2664">
        <f>0</f>
        <v>0</v>
      </c>
      <c r="Z170" s="2716">
        <f>0</f>
        <v>0</v>
      </c>
      <c r="AA170" s="2716">
        <f>-(3*i_N_BIO*A_MO+2*A_MN)/(5*Y_AMX_NO3+3-3*Y_AMX_NO2)/A_MO</f>
        <v>-5.7673622319660547</v>
      </c>
      <c r="AB170" s="2716">
        <f>-Y_AMX_NO2/(5*Y_AMX_NO3+3-3*Y_AMX_NO2)*(3*i_N_BIO*A_MO+2*A_MN)/A_MO</f>
        <v>-7.6129181461951925</v>
      </c>
      <c r="AC170" s="2716">
        <f>Y_AMX_NO3/(5*Y_AMX_NO3+3-3*Y_AMX_NO2)*(3*i_N_BIO*A_MO+2*A_MN)/A_MO</f>
        <v>1.4995141803111742</v>
      </c>
      <c r="AD170" s="2716">
        <f>2*(Y_AMX_NO3*A_MN-1*A_MN-1*Y_AMX_NO2*A_MN+4*Y_AMX_NO3*i_N_BIO*A_MO-3*Y_AMX_NO2*i_N_BIO*A_MO)/A_MO/(3*Y_AMX_NO2-5*Y_AMX_NO3-3)</f>
        <v>11.810766197850072</v>
      </c>
      <c r="AE170" s="2716">
        <f>0</f>
        <v>0</v>
      </c>
      <c r="AF170" s="2716">
        <f>0</f>
        <v>0</v>
      </c>
      <c r="AG170" s="2716">
        <f>0</f>
        <v>0</v>
      </c>
      <c r="AH170" s="2664">
        <f>0</f>
        <v>0</v>
      </c>
      <c r="AI170" s="2664">
        <f>-i_P_BIO</f>
        <v>-0.02</v>
      </c>
      <c r="AJ170" s="2664">
        <f>0</f>
        <v>0</v>
      </c>
      <c r="AK170" s="2664">
        <f>0</f>
        <v>0</v>
      </c>
      <c r="AL170" s="2664">
        <f>0</f>
        <v>0</v>
      </c>
      <c r="AM170" s="2664">
        <f>0</f>
        <v>0</v>
      </c>
      <c r="AN170" s="2664">
        <f>0</f>
        <v>0</v>
      </c>
      <c r="AO170" s="2664">
        <f>0</f>
        <v>0</v>
      </c>
      <c r="AP170" s="2664">
        <f>0</f>
        <v>0</v>
      </c>
      <c r="AQ170" s="2664">
        <f>0</f>
        <v>0</v>
      </c>
      <c r="AR170" s="2664">
        <f>-i_CIT_BIO</f>
        <v>-0.35199999999999998</v>
      </c>
      <c r="AS170" s="2664">
        <f>i_INORG</f>
        <v>0.11</v>
      </c>
      <c r="AT170" s="2664">
        <f>-i_INORG*(1-i_Ca_INORG*(A_MCa+2*A_MCl)/A_MCa-i_Mg_INORG*(A_MMg+2*A_MCl)/A_MMg)*f_Na</f>
        <v>-2.8804303582798466E-2</v>
      </c>
      <c r="AU170" s="2664">
        <f>-i_INORG*(i_Ca_INORG*(2*A_MCl)/A_MCa+i_Mg_INORG*(2*A_MCl)/A_MMg)-i_INORG*(1-i_Ca_INORG*(A_MCa+2*A_MCl)/A_MCa-i_Mg_INORG*(A_MMg+2*A_MCl)/A_MMg)*(1-f_Na)</f>
        <v>-7.0195696417201539E-2</v>
      </c>
      <c r="AV170" s="2664">
        <f>-i_INORG*i_Ca_INORG</f>
        <v>-5.5000000000000005E-3</v>
      </c>
      <c r="AW170" s="2664">
        <f>-i_INORG*i_Mg_INORG</f>
        <v>-5.5000000000000005E-3</v>
      </c>
      <c r="AX170" s="2664">
        <f>0</f>
        <v>0</v>
      </c>
      <c r="AY170" s="2664">
        <f>0</f>
        <v>0</v>
      </c>
      <c r="AZ170" s="2664">
        <f>0</f>
        <v>0</v>
      </c>
      <c r="BA170" s="2664">
        <f>0</f>
        <v>0</v>
      </c>
      <c r="BB170" s="2664">
        <f>0</f>
        <v>0</v>
      </c>
      <c r="BC170" s="2664">
        <f>0</f>
        <v>0</v>
      </c>
      <c r="BD170" s="2664">
        <f>0</f>
        <v>0</v>
      </c>
      <c r="BE170" s="2664">
        <f>0</f>
        <v>0</v>
      </c>
      <c r="BF170" s="2664">
        <f>0</f>
        <v>0</v>
      </c>
      <c r="BG170" s="2664">
        <f>0</f>
        <v>0</v>
      </c>
      <c r="BH170" s="2664">
        <f>0</f>
        <v>0</v>
      </c>
      <c r="BI170" s="2664">
        <f>0</f>
        <v>0</v>
      </c>
      <c r="BJ170" s="2664">
        <f>0</f>
        <v>0</v>
      </c>
      <c r="BK170" s="2664">
        <f>0</f>
        <v>0</v>
      </c>
      <c r="BL170" s="2664">
        <f>0</f>
        <v>0</v>
      </c>
      <c r="BM170" s="2664">
        <f>0</f>
        <v>0</v>
      </c>
      <c r="BN170" s="2664">
        <f>0</f>
        <v>0</v>
      </c>
      <c r="BO170" s="2664">
        <f>0</f>
        <v>0</v>
      </c>
      <c r="BP170" s="2664">
        <f>0</f>
        <v>0</v>
      </c>
      <c r="BQ170" s="2664">
        <f>0</f>
        <v>0</v>
      </c>
      <c r="BR170" s="2664">
        <f>0</f>
        <v>0</v>
      </c>
      <c r="BS170" s="2716">
        <f>0</f>
        <v>0</v>
      </c>
      <c r="BT170" s="2716">
        <f>0</f>
        <v>0</v>
      </c>
      <c r="BU170" s="2716">
        <f>0</f>
        <v>0</v>
      </c>
      <c r="BV170" s="2716">
        <f>0</f>
        <v>0</v>
      </c>
      <c r="BW170" s="2664">
        <f>0</f>
        <v>0</v>
      </c>
      <c r="BX170" s="2778">
        <f>0</f>
        <v>0</v>
      </c>
      <c r="BY170" s="2716">
        <f>0</f>
        <v>0</v>
      </c>
      <c r="BZ170" s="2664">
        <f>0</f>
        <v>0</v>
      </c>
      <c r="CA170" s="2664">
        <f>0</f>
        <v>0</v>
      </c>
      <c r="CB170" s="2664">
        <f>0</f>
        <v>0</v>
      </c>
      <c r="CC170" s="2664">
        <f>0</f>
        <v>0</v>
      </c>
      <c r="CD170" s="2664">
        <f>0</f>
        <v>0</v>
      </c>
      <c r="CE170" s="2664">
        <f>0</f>
        <v>0</v>
      </c>
      <c r="CF170" s="2664">
        <f>0</f>
        <v>0</v>
      </c>
      <c r="CG170" s="2664">
        <f>0</f>
        <v>0</v>
      </c>
      <c r="CH170" s="2664">
        <f>0</f>
        <v>0</v>
      </c>
      <c r="CI170" s="2664">
        <f>0</f>
        <v>0</v>
      </c>
      <c r="CJ170" s="2664">
        <f>0</f>
        <v>0</v>
      </c>
      <c r="CK170" s="2664">
        <f>0</f>
        <v>0</v>
      </c>
      <c r="CL170" s="2805">
        <f>µ_AMX_T*X_AMX*M_satSNHx_KNHx_AMX*M_satSNO2_KNO2_AMX*M_inhSO2_KiO2_AMX*L_ogsatpHCO2_AMX*M_satSPO4_KPO4_BIO*M_satSCAT_KCAT*M_satSAN_KAN*M_satSCa_KCa*M_satSMg_KMg*B_ellinhpH*M_inhpHHNO2_AMX</f>
        <v>5.0125651939223804E-4</v>
      </c>
      <c r="CN170" s="2295">
        <f>E236*E170+F236*F170+G236*G170+H236*H170+I236*I170+J236*J170+K236*K170+L236*L170+M236*M170+N236*N170+O236*O170+P236*P170+Q236*Q170+R236*R170+S236*S170+T236*T170+U236*U170+V236*V170+W236*W170+X236*X170+Y236*Y170+Z236*Z170+AA236*AA170+AB236*AB170+AC236*AC170+AD236*AD170+AE236*AE170+AF236*AF170+AG236*AG170+AH236*AH170+AI236*AI170+AJ236*AJ170+AK236*AK170+AL236*AL170+AM236*AM170+AN236*AN170+AO236*AO170+AP236*AP170+AQ236*AQ170+AR236*AR170+AS236*AS170+AT236*AT170+AU236*AU170+AV236*AV170+AW236*AW170+AX236*AX170+AY236*AY170+AZ236*AZ170+BA236*BA170+BB236*BB170+BC236*BC170+BD236*BD170+BE236*BE170+BF236*BF170+BG236*BG170+BH236*BH170+BI236*BI170+BJ236*BJ170+BK236*BK170+BL236*BL170+BM236*BM170+BN236*BN170+BO236*BO170+BP236*BP170+BQ236*BQ170+BR236*BR170+BS236*BS170+BT236*BT170+BU236*BU170+BV236*BV170+BW236*BW170+BX236*BX170+BY236*BY170+BZ236*BZ170+CA236*CA170+CB236*CB170+CC236*CC170+CD236*CD170+CE236*CE170+CF236*CF170+CG236*CG170+CH236*CH170+CI236*CI170+CJ236*CJ170+CK236*CK170</f>
        <v>3.5527136788005009E-15</v>
      </c>
      <c r="CO170" s="2295">
        <f>E237*E170+F237*F170+G237*G170+H237*H170+I237*I170+J237*J170+K237*K170+L237*L170+M237*M170+N237*N170+O237*O170+P237*P170+Q237*Q170+R237*R170+S237*S170+T237*T170+U237*U170+V237*V170+W237*W170+X237*X170+Y237*Y170+Z237*Z170+AA237*AA170+AB237*AB170+AC237*AC170+AD237*AD170+AE237*AE170+AF237*AF170+AG237*AG170+AH237*AH170+AI237*AI170+AJ237*AJ170+AK237*AK170+AL237*AL170+AM237*AM170+AN237*AN170+AO237*AO170+AP237*AP170+AQ237*AQ170+AR237*AR170+AS237*AS170+AT237*AT170+AU237*AU170+AV237*AV170+AW237*AW170+AX237*AX170+AY237*AY170+AZ237*AZ170+BA237*BA170+BB237*BB170+BC237*BC170+BD237*BD170+BE237*BE170+BF237*BF170+BG237*BG170+BH237*BH170+BI237*BI170+BJ237*BJ170+BK237*BK170+BL237*BL170+BM237*BM170+BN237*BN170+BO237*BO170+BP237*BP170+BQ237*BQ170+BR237*BR170+BS237*BS170+BT237*BT170+BU237*BU170+BV237*BV170+BW237*BW170+BX237*BX170+BY237*BY170+BZ237*BZ170+CA237*CA170+CB237*CB170+CC237*CC170+CD237*CD170+CE237*CE170+CF237*CF170+CG237*CG170+CH237*CH170+CI237*CI170+CJ237*CJ170+CK237*CK170</f>
        <v>0</v>
      </c>
      <c r="CP170" s="2296">
        <f>E238*E170+F238*F170+G238*G170+H238*H170+I238*I170+J238*J170+K238*K170+L238*L170+M238*M170+N238*N170+O238*O170+P238*P170+Q238*Q170+R238*R170+S238*S170+T238*T170+U238*U170+V238*V170+W238*W170+X238*X170+Y238*Y170+Z238*Z170+AA238*AA170+AB238*AB170+AC238*AC170+AD238*AD170+AE238*AE170+AF238*AF170+AG238*AG170+AH238*AH170+AI238*AI170+AJ238*AJ170+AK238*AK170+AL238*AL170+AM238*AM170+AN238*AN170+AO238*AO170+AP238*AP170+AQ238*AQ170+AR238*AR170+AS238*AS170+AT238*AT170+AU238*AU170+AV238*AV170+AW238*AW170+AX238*AX170+AY238*AY170+AZ238*AZ170+BA238*BA170+BB238*BB170+BC238*BC170+BD238*BD170+BE238*BE170+BF238*BF170+BG238*BG170+BH238*BH170+BI238*BI170+BJ238*BJ170+BK238*BK170+BL238*BL170+BM238*BM170+BN238*BN170+BO238*BO170+BP238*BP170+BQ238*BQ170+BR238*BR170+BS238*BS170+BT238*BT170+BU238*BU170+BV238*BV170+BW238*BW170+BX238*BX170+BY238*BY170+BZ238*BZ170+CA238*CA170+CB238*CB170+CC238*CC170+CD238*CD170+CE238*CE170+CF238*CF170+CG238*CG170+CH238*CH170+CI238*CI170+CJ238*CJ170+CK238*CK170</f>
        <v>-1.7763568394002505E-15</v>
      </c>
      <c r="CQ170" s="2297">
        <f>E239*E170+F239*F170+G239*G170+H239*H170+I239*I170+J239*J170+K239*K170+L239*L170+M239*M170+N239*N170+O239*O170+P239*P170+Q239*Q170+R239*R170+S239*S170+T239*T170+U239*U170+V239*V170+W239*W170+X239*X170+Y239*Y170+Z239*Z170+AA239*AA170+AB239*AB170+AC239*AC170+AD239*AD170+AE239*AE170+AF239*AF170+AG239*AG170+AH239*AH170+AI239*AI170+AJ239*AJ170+AK239*AK170+AL239*AL170+AM239*AM170+AN239*AN170+AO239*AO170+AP239*AP170+AQ239*AQ170+AR239*AR170+AS239*AS170+AT239*AT170+AU239*AU170+AV239*AV170+AW239*AW170+AX239*AX170+AY239*AY170+AZ239*AZ170+BA239*BA170+BB239*BB170+BC239*BC170+BD239*BD170+BE239*BE170+BF239*BF170+BG239*BG170+BH239*BH170+BI239*BI170+BJ239*BJ170+BK239*BK170+BL239*BL170+BM239*BM170+BN239*BN170+BO239*BO170+BP239*BP170+BQ239*BQ170+BR239*BR170+BS239*BS170+BT239*BT170+BU239*BU170+BV239*BV170+BW239*BW170+BX239*BX170+BY239*BY170+BZ239*BZ170+CA239*CA170+CB239*CB170+CC239*CC170+CD239*CD170+CE239*CE170+CF239*CF170+CG239*CG170+CH239*CH170+CI239*CI170+CJ239*CJ170+CK239*CK170</f>
        <v>0</v>
      </c>
      <c r="CR170" s="2297">
        <f>E240*E170+F240*F170+G240*G170+H240*H170+I240*I170+J240*J170+K240*K170+L240*L170+M240*M170+N240*N170+O240*O170+P240*P170+Q240*Q170+R240*R170+S240*S170+T240*T170+U240*U170+V240*V170+W240*W170+X240*X170+Y240*Y170+Z240*Z170+AA240*AA170+AB240*AB170+AC240*AC170+AD240*AD170+AE240*AE170+AF240*AF170+AG240*AG170+AH240*AH170+AI240*AI170+AJ240*AJ170+AK240*AK170+AL240*AL170+AM240*AM170+AN240*AN170+AO240*AO170+AP240*AP170+AQ240*AQ170+AR240*AR170+AS240*AS170+AT240*AT170+AU240*AU170+AV240*AV170+AW240*AW170+AX240*AX170+AY240*AY170+AZ240*AZ170+BA240*BA170+BB240*BB170+BC240*BC170+BD240*BD170+BE240*BE170+BF240*BF170+BG240*BG170+BH240*BH170+BI240*BI170+BJ240*BJ170+BK240*BK170+BL240*BL170+BM240*BM170+BN240*BN170+BO240*BO170+BP240*BP170+BQ240*BQ170+BR240*BR170+BS240*BS170+BT240*BT170+BU240*BU170+BV240*BV170+BW240*BW170+BX240*BX170+BY240*BY170+BZ240*BZ170+CA240*CA170+CB240*CB170+CC240*CC170+CD240*CD170+CE240*CE170+CF240*CF170+CG240*CG170+CH240*CH170+CI240*CI170+CJ240*CJ170+CK240*CK170</f>
        <v>0</v>
      </c>
      <c r="CS170" s="2297">
        <f>E241*E170+F241*F170+G241*G170+H241*H170+I241*I170+J241*J170+K241*K170+L241*L170+M241*M170+N241*N170+O241*O170+P241*P170+Q241*Q170+R241*R170+S241*S170+T241*T170+U241*U170+V241*V170+W241*W170+X241*X170+Y241*Y170+Z241*Z170+AA241*AA170+AB241*AB170+AC241*AC170+AD241*AD170+AE241*AE170+AF241*AF170+AG241*AG170+AH241*AH170+AI241*AI170+AJ241*AJ170+AK241*AK170+AL241*AL170+AM241*AM170+AN241*AN170+AO241*AO170+AP241*AP170+AQ241*AQ170+AR241*AR170+AS241*AS170+AT241*AT170+AU241*AU170+AV241*AV170+AW241*AW170+AX241*AX170+AY241*AY170+AZ241*AZ170+BA241*BA170+BB241*BB170+BC241*BC170+BD241*BD170+BE241*BE170+BF241*BF170+BG241*BG170+BH241*BH170+BI241*BI170+BJ241*BJ170+BK241*BK170+BL241*BL170+BM241*BM170+BN241*BN170+BO241*BO170+BP241*BP170+BQ241*BQ170+BR241*BR170+BS241*BS170+BT241*BT170+BU241*BU170+BV241*BV170+BW241*BW170+BX241*BX170+BY241*BY170+BZ241*BZ170+CA241*CA170+CB241*CB170+CC241*CC170+CD241*CD170+CE241*CE170+CF241*CF170+CG241*CG170+CH241*CH170+CI241*CI170+CJ241*CJ170+CK241*CK170</f>
        <v>0</v>
      </c>
      <c r="CT170" s="2297">
        <f>E242*E170+F242*F170+G242*G170+H242*H170+I242*I170+J242*J170+K242*K170+L242*L170+M242*M170+N242*N170+O242*O170+P242*P170+Q242*Q170+R242*R170+S242*S170+T242*T170+U242*U170+V242*V170+W242*W170+X242*X170+Y242*Y170+Z242*Z170+AA242*AA170+AB242*AB170+AC242*AC170+AD242*AD170+AE242*AE170+AF242*AF170+AG242*AG170+AH242*AH170+AI242*AI170+AJ242*AJ170+AK242*AK170+AL242*AL170+AM242*AM170+AN242*AN170+AO242*AO170+AP242*AP170+AQ242*AQ170+AR242*AR170+AS242*AS170+AT242*AT170+AU242*AU170+AV242*AV170+AW242*AW170+AX242*AX170+AY242*AY170+AZ242*AZ170+BA242*BA170+BB242*BB170+BC242*BC170+BD242*BD170+BE242*BE170+BF242*BF170+BG242*BG170+BH242*BH170+BI242*BI170+BJ242*BJ170+BK242*BK170+BL242*BL170+BM242*BM170+BN242*BN170+BO242*BO170+BP242*BP170+BQ242*BQ170+BR242*BR170+BS242*BS170+BT242*BT170+BU242*BU170+BV242*BV170+BW242*BW170+BX242*BX170+BY242*BY170+BZ242*BZ170+CA242*CA170+CB242*CB170+CC242*CC170+CD242*CD170+CE242*CE170+CF242*CF170+CG242*CG170+CH242*CH170+CI242*CI170+CJ242*CJ170+CK242*CK170</f>
        <v>0</v>
      </c>
      <c r="CU170" s="2297">
        <f>E243*E170+F243*F170+G243*G170+H243*H170+I243*I170+J243*J170+K243*K170+L243*L170+M243*M170+N243*N170+O243*O170+P243*P170+Q243*Q170+R243*R170+S243*S170+T243*T170+U243*U170+V243*V170+W243*W170+X243*X170+Y243*Y170+Z243*Z170+AA243*AA170+AB243*AB170+AC243*AC170+AD243*AD170+AE243*AE170+AF243*AF170+AG243*AG170+AH243*AH170+AI243*AI170+AJ243*AJ170+AK243*AK170+AL243*AL170+AM243*AM170+AN243*AN170+AO243*AO170+AP243*AP170+AQ243*AQ170+AR243*AR170+AS243*AS170+AT243*AT170+AU243*AU170+AV243*AV170+AW243*AW170+AX243*AX170+AY243*AY170+AZ243*AZ170+BA243*BA170+BB243*BB170+BC243*BC170+BD243*BD170+BE243*BE170+BF243*BF170+BG243*BG170+BH243*BH170+BI243*BI170+BJ243*BJ170+BK243*BK170+BL243*BL170+BM243*BM170+BN243*BN170+BO243*BO170+BP243*BP170+BQ243*BQ170+BR243*BR170+BS243*BS170+BT243*BT170+BU243*BU170+BV243*BV170+BW243*BW170+BX243*BX170+BY243*BY170+BZ243*BZ170+CA243*CA170+CB243*CB170+CC243*CC170+CD243*CD170+CE243*CE170+CF243*CF170+CG243*CG170+CH243*CH170+CI243*CI170+CJ243*CJ170+CK243*CK170</f>
        <v>0</v>
      </c>
      <c r="CV170" s="2297">
        <f>E244*E170+F244*F170+G244*G170+H244*H170+I244*I170+J244*J170+K244*K170+L244*L170+M244*M170+N244*N170+O244*O170+P244*P170+Q244*Q170+R244*R170+S244*S170+T244*T170+U244*U170+V244*V170+W244*W170+X244*X170+Y244*Y170+Z244*Z170+AA244*AA170+AB244*AB170+AC244*AC170+AD244*AD170+AE244*AE170+AF244*AF170+AG244*AG170+AH244*AH170+AI244*AI170+AJ244*AJ170+AK244*AK170+AL244*AL170+AM244*AM170+AN244*AN170+AO244*AO170+AP244*AP170+AQ244*AQ170+AR244*AR170+AS244*AS170+AT244*AT170+AU244*AU170+AV244*AV170+AW244*AW170+AX244*AX170+AY244*AY170+AZ244*AZ170+BA244*BA170+BB244*BB170+BC244*BC170+BD244*BD170+BE244*BE170+BF244*BF170+BG244*BG170+BH244*BH170+BI244*BI170+BJ244*BJ170+BK244*BK170+BL244*BL170+BM244*BM170+BN244*BN170+BO244*BO170+BP244*BP170+BQ244*BQ170+BR244*BR170+BS244*BS170+BT244*BT170+BU244*BU170+BV244*BV170+BW244*BW170+BX244*BX170+BY244*BY170+BZ244*BZ170+CA244*CA170+CB244*CB170+CC244*CC170+CD244*CD170+CE244*CE170+CF244*CF170+CG244*CG170+CH244*CH170+CI244*CI170+CJ244*CJ170+CK244*CK170</f>
        <v>0</v>
      </c>
      <c r="CW170" s="2297">
        <f>E245*E170+F245*F170+G245*G170+H245*H170+I245*I170+J245*J170+K245*K170+L245*L170+M245*M170+N245*N170+O245*O170+P245*P170+Q245*Q170+R245*R170+S245*S170+T245*T170+U245*U170+V245*V170+W245*W170+X245*X170+Y245*Y170+Z245*Z170+AA245*AA170+AB245*AB170+AC245*AC170+AD245*AD170+AE245*AE170+AF245*AF170+AG245*AG170+AH245*AH170+AI245*AI170+AJ245*AJ170+AK245*AK170+AL245*AL170+AM245*AM170+AN245*AN170+AO245*AO170+AP245*AP170+AQ245*AQ170+AR245*AR170+AS245*AS170+AT245*AT170+AU245*AU170+AV245*AV170+AW245*AW170+AX245*AX170+AY245*AY170+AZ245*AZ170+BA245*BA170+BB245*BB170+BC245*BC170+BD245*BD170+BE245*BE170+BF245*BF170+BG245*BG170+BH245*BH170+BI245*BI170+BJ245*BJ170+BK245*BK170+BL245*BL170+BM245*BM170+BN245*BN170+BO245*BO170+BP245*BP170+BQ245*BQ170+BR245*BR170+BS245*BS170+BT245*BT170+BU245*BU170+BV245*BV170+BW245*BW170+BX245*BX170+BY245*BY170+BZ245*BZ170+CA245*CA170+CB245*CB170+CC245*CC170+CD245*CD170+CE245*CE170+CF245*CF170+CG245*CG170+CH245*CH170+CI245*CI170+CJ245*CJ170+CK245*CK170</f>
        <v>0</v>
      </c>
      <c r="CX170" s="2297">
        <f>E246*E170+F246*F170+G246*G170+H246*H170+I246*I170+J246*J170+K246*K170+L246*L170+M246*M170+N246*N170+O246*O170+P246*P170+Q246*Q170+R246*R170+S246*S170+T246*T170+U246*U170+V246*V170+W246*W170+X246*X170+Y246*Y170+Z246*Z170+AA246*AA170+AB246*AB170+AC246*AC170+AD246*AD170+AE246*AE170+AF246*AF170+AG246*AG170+AH246*AH170+AI246*AI170+AJ246*AJ170+AK246*AK170+AL246*AL170+AM246*AM170+AN246*AN170+AO246*AO170+AP246*AP170+AQ246*AQ170+AR246*AR170+AS246*AS170+AT246*AT170+AU246*AU170+AV246*AV170+AW246*AW170+AX246*AX170+AY246*AY170+AZ246*AZ170+BA246*BA170+BB246*BB170+BC246*BC170+BD246*BD170+BE246*BE170+BF246*BF170+BG246*BG170+BH246*BH170+BI246*BI170+BJ246*BJ170+BK246*BK170+BL246*BL170+BM246*BM170+BN246*BN170+BO246*BO170+BP246*BP170+BQ246*BQ170+BR246*BR170+BS246*BS170+BT246*BT170+BU246*BU170+BV246*BV170+BW246*BW170+BX246*BX170+BY246*BY170+BZ246*BZ170+CA246*CA170+CB246*CB170+CC246*CC170+CD246*CD170+CE246*CE170+CF246*CF170+CG246*CG170+CH246*CH170+CI246*CI170+CJ246*CJ170+CK246*CK170</f>
        <v>0</v>
      </c>
    </row>
    <row r="171" spans="2:102" ht="18" x14ac:dyDescent="0.25">
      <c r="B171" s="1248">
        <v>44</v>
      </c>
      <c r="C171" s="1195" t="s">
        <v>846</v>
      </c>
      <c r="D171" s="603" t="s">
        <v>2212</v>
      </c>
      <c r="E171" s="2665">
        <f>0</f>
        <v>0</v>
      </c>
      <c r="F171" s="2665">
        <f>0</f>
        <v>0</v>
      </c>
      <c r="G171" s="2665">
        <f>0</f>
        <v>0</v>
      </c>
      <c r="H171" s="2665">
        <f>0</f>
        <v>0</v>
      </c>
      <c r="I171" s="2665">
        <f>0</f>
        <v>0</v>
      </c>
      <c r="J171" s="2665">
        <f>1-f_E</f>
        <v>0.92</v>
      </c>
      <c r="K171" s="2665">
        <f>0</f>
        <v>0</v>
      </c>
      <c r="L171" s="2665">
        <f>0</f>
        <v>0</v>
      </c>
      <c r="M171" s="2665">
        <f>0</f>
        <v>0</v>
      </c>
      <c r="N171" s="2665">
        <f>0</f>
        <v>0</v>
      </c>
      <c r="O171" s="2665">
        <f>0</f>
        <v>0</v>
      </c>
      <c r="P171" s="2665">
        <f>f_E</f>
        <v>0.08</v>
      </c>
      <c r="Q171" s="2665">
        <f>0</f>
        <v>0</v>
      </c>
      <c r="R171" s="2665">
        <f>0</f>
        <v>0</v>
      </c>
      <c r="S171" s="2665">
        <f>0</f>
        <v>0</v>
      </c>
      <c r="T171" s="2665">
        <f>0</f>
        <v>0</v>
      </c>
      <c r="U171" s="2665">
        <f>0</f>
        <v>0</v>
      </c>
      <c r="V171" s="2665">
        <f>0</f>
        <v>0</v>
      </c>
      <c r="W171" s="2665">
        <f>-1</f>
        <v>-1</v>
      </c>
      <c r="X171" s="2665">
        <f>0</f>
        <v>0</v>
      </c>
      <c r="Y171" s="2665">
        <f>0</f>
        <v>0</v>
      </c>
      <c r="Z171" s="2717">
        <f>0</f>
        <v>0</v>
      </c>
      <c r="AA171" s="2665">
        <f>-f_E*(i_N_XE-i_N_BIO)</f>
        <v>8.0000000000000069E-4</v>
      </c>
      <c r="AB171" s="2665">
        <f>0</f>
        <v>0</v>
      </c>
      <c r="AC171" s="2665">
        <f>0</f>
        <v>0</v>
      </c>
      <c r="AD171" s="2665">
        <f>0</f>
        <v>0</v>
      </c>
      <c r="AE171" s="2665">
        <f>0</f>
        <v>0</v>
      </c>
      <c r="AF171" s="2665">
        <f>0</f>
        <v>0</v>
      </c>
      <c r="AG171" s="2665">
        <f>(1-f_E)*i_N_BIO</f>
        <v>6.4400000000000013E-2</v>
      </c>
      <c r="AH171" s="2665">
        <f>0</f>
        <v>0</v>
      </c>
      <c r="AI171" s="2665">
        <f>0</f>
        <v>0</v>
      </c>
      <c r="AJ171" s="2665">
        <f>0</f>
        <v>0</v>
      </c>
      <c r="AK171" s="2665">
        <f>0</f>
        <v>0</v>
      </c>
      <c r="AL171" s="2665">
        <f>0</f>
        <v>0</v>
      </c>
      <c r="AM171" s="2665">
        <f>(1-f_E)*i_P_BIO</f>
        <v>1.84E-2</v>
      </c>
      <c r="AN171" s="2665">
        <f>0</f>
        <v>0</v>
      </c>
      <c r="AO171" s="2665">
        <f>0</f>
        <v>0</v>
      </c>
      <c r="AP171" s="2665">
        <f>0</f>
        <v>0</v>
      </c>
      <c r="AQ171" s="2665">
        <f>0</f>
        <v>0</v>
      </c>
      <c r="AR171" s="2664">
        <f>(1-f_E)*(i_CIT_BIO-i_CIT_XBe)</f>
        <v>6.0720000000000003E-2</v>
      </c>
      <c r="AS171" s="2665">
        <f>0</f>
        <v>0</v>
      </c>
      <c r="AT171" s="2665">
        <f>0</f>
        <v>0</v>
      </c>
      <c r="AU171" s="2665">
        <f>0</f>
        <v>0</v>
      </c>
      <c r="AV171" s="2665">
        <f>0</f>
        <v>0</v>
      </c>
      <c r="AW171" s="2665">
        <f>0</f>
        <v>0</v>
      </c>
      <c r="AX171" s="2665">
        <f>0</f>
        <v>0</v>
      </c>
      <c r="AY171" s="2665">
        <f>0</f>
        <v>0</v>
      </c>
      <c r="AZ171" s="2665">
        <f>0</f>
        <v>0</v>
      </c>
      <c r="BA171" s="2665">
        <f>0</f>
        <v>0</v>
      </c>
      <c r="BB171" s="2665">
        <f>0</f>
        <v>0</v>
      </c>
      <c r="BC171" s="2665">
        <f>0</f>
        <v>0</v>
      </c>
      <c r="BD171" s="2665">
        <f>0</f>
        <v>0</v>
      </c>
      <c r="BE171" s="2665">
        <f>0</f>
        <v>0</v>
      </c>
      <c r="BF171" s="2665">
        <f>0</f>
        <v>0</v>
      </c>
      <c r="BG171" s="2665">
        <f>0</f>
        <v>0</v>
      </c>
      <c r="BH171" s="2665">
        <f>0</f>
        <v>0</v>
      </c>
      <c r="BI171" s="2665">
        <f>0</f>
        <v>0</v>
      </c>
      <c r="BJ171" s="2665">
        <f>0</f>
        <v>0</v>
      </c>
      <c r="BK171" s="2665">
        <f>0</f>
        <v>0</v>
      </c>
      <c r="BL171" s="2665">
        <f>0</f>
        <v>0</v>
      </c>
      <c r="BM171" s="2665">
        <f>0</f>
        <v>0</v>
      </c>
      <c r="BN171" s="2665">
        <f>0</f>
        <v>0</v>
      </c>
      <c r="BO171" s="2665">
        <f>0</f>
        <v>0</v>
      </c>
      <c r="BP171" s="2665">
        <f>0</f>
        <v>0</v>
      </c>
      <c r="BQ171" s="2665">
        <f>0</f>
        <v>0</v>
      </c>
      <c r="BR171" s="2665">
        <f>0</f>
        <v>0</v>
      </c>
      <c r="BS171" s="2717">
        <f>0</f>
        <v>0</v>
      </c>
      <c r="BT171" s="2717">
        <f>0</f>
        <v>0</v>
      </c>
      <c r="BU171" s="2717">
        <f>0</f>
        <v>0</v>
      </c>
      <c r="BV171" s="2717">
        <f>0</f>
        <v>0</v>
      </c>
      <c r="BW171" s="2665">
        <f>0</f>
        <v>0</v>
      </c>
      <c r="BX171" s="2779">
        <f>0</f>
        <v>0</v>
      </c>
      <c r="BY171" s="2717">
        <f>0</f>
        <v>0</v>
      </c>
      <c r="BZ171" s="2665">
        <f>0</f>
        <v>0</v>
      </c>
      <c r="CA171" s="2665">
        <f>0</f>
        <v>0</v>
      </c>
      <c r="CB171" s="2665">
        <f>0</f>
        <v>0</v>
      </c>
      <c r="CC171" s="2665">
        <f>0</f>
        <v>0</v>
      </c>
      <c r="CD171" s="2665">
        <f>0</f>
        <v>0</v>
      </c>
      <c r="CE171" s="2665">
        <f>0</f>
        <v>0</v>
      </c>
      <c r="CF171" s="2665">
        <f>0</f>
        <v>0</v>
      </c>
      <c r="CG171" s="2665">
        <f>0</f>
        <v>0</v>
      </c>
      <c r="CH171" s="2665">
        <f>0</f>
        <v>0</v>
      </c>
      <c r="CI171" s="2665">
        <f>0</f>
        <v>0</v>
      </c>
      <c r="CJ171" s="2665">
        <f>0</f>
        <v>0</v>
      </c>
      <c r="CK171" s="2665">
        <f>0</f>
        <v>0</v>
      </c>
      <c r="CL171" s="2805">
        <f>b_AMX_T*X_AMX*(M_satSO2_KiO2_AMX+η_b_anox*M_satSNOx_KNOx_AMX*M_inhSO2_KiO2_AMX)</f>
        <v>1.738621794871795E-2</v>
      </c>
      <c r="CN171" s="2295">
        <f>E236*E171+F236*F171+G236*G171+H236*H171+I236*I171+J236*J171+K236*K171+L236*L171+M236*M171+N236*N171+O236*O171+P236*P171+Q236*Q171+R236*R171+S236*S171+T236*T171+U236*U171+V236*V171+W236*W171+X236*X171+Y236*Y171+Z236*Z171+AA236*AA171+AB236*AB171+AC236*AC171+AD236*AD171+AE236*AE171+AF236*AF171+AG236*AG171+AH236*AH171+AI236*AI171+AJ236*AJ171+AK236*AK171+AL236*AL171+AM236*AM171+AN236*AN171+AO236*AO171+AP236*AP171+AQ236*AQ171+AR236*AR171+AS236*AS171+AT236*AT171+AU236*AU171+AV236*AV171+AW236*AW171+AX236*AX171+AY236*AY171+AZ236*AZ171+BA236*BA171+BB236*BB171+BC236*BC171+BD236*BD171+BE236*BE171+BF236*BF171+BG236*BG171+BH236*BH171+BI236*BI171+BJ236*BJ171+BK236*BK171+BL236*BL171+BM236*BM171+BN236*BN171+BO236*BO171+BP236*BP171+BQ236*BQ171+BR236*BR171+BS236*BS171+BT236*BT171+BU236*BU171+BV236*BV171+BW236*BW171+BX236*BX171+BY236*BY171+BZ236*BZ171+CA236*CA171+CB236*CB171+CC236*CC171+CD236*CD171+CE236*CE171+CF236*CF171+CG236*CG171+CH236*CH171+CI236*CI171+CJ236*CJ171+CK236*CK171</f>
        <v>0</v>
      </c>
      <c r="CO171" s="2295">
        <f>E237*E171+F237*F171+G237*G171+H237*H171+I237*I171+J237*J171+K237*K171+L237*L171+M237*M171+N237*N171+O237*O171+P237*P171+Q237*Q171+R237*R171+S237*S171+T237*T171+U237*U171+V237*V171+W237*W171+X237*X171+Y237*Y171+Z237*Z171+AA237*AA171+AB237*AB171+AC237*AC171+AD237*AD171+AE237*AE171+AF237*AF171+AG237*AG171+AH237*AH171+AI237*AI171+AJ237*AJ171+AK237*AK171+AL237*AL171+AM237*AM171+AN237*AN171+AO237*AO171+AP237*AP171+AQ237*AQ171+AR237*AR171+AS237*AS171+AT237*AT171+AU237*AU171+AV237*AV171+AW237*AW171+AX237*AX171+AY237*AY171+AZ237*AZ171+BA237*BA171+BB237*BB171+BC237*BC171+BD237*BD171+BE237*BE171+BF237*BF171+BG237*BG171+BH237*BH171+BI237*BI171+BJ237*BJ171+BK237*BK171+BL237*BL171+BM237*BM171+BN237*BN171+BO237*BO171+BP237*BP171+BQ237*BQ171+BR237*BR171+BS237*BS171+BT237*BT171+BU237*BU171+BV237*BV171+BW237*BW171+BX237*BX171+BY237*BY171+BZ237*BZ171+CA237*CA171+CB237*CB171+CC237*CC171+CD237*CD171+CE237*CE171+CF237*CF171+CG237*CG171+CH237*CH171+CI237*CI171+CJ237*CJ171+CK237*CK171</f>
        <v>6.9388939039072284E-18</v>
      </c>
      <c r="CP171" s="2296">
        <f>E238*E171+F238*F171+G238*G171+H238*H171+I238*I171+J238*J171+K238*K171+L238*L171+M238*M171+N238*N171+O238*O171+P238*P171+Q238*Q171+R238*R171+S238*S171+T238*T171+U238*U171+V238*V171+W238*W171+X238*X171+Y238*Y171+Z238*Z171+AA238*AA171+AB238*AB171+AC238*AC171+AD238*AD171+AE238*AE171+AF238*AF171+AG238*AG171+AH238*AH171+AI238*AI171+AJ238*AJ171+AK238*AK171+AL238*AL171+AM238*AM171+AN238*AN171+AO238*AO171+AP238*AP171+AQ238*AQ171+AR238*AR171+AS238*AS171+AT238*AT171+AU238*AU171+AV238*AV171+AW238*AW171+AX238*AX171+AY238*AY171+AZ238*AZ171+BA238*BA171+BB238*BB171+BC238*BC171+BD238*BD171+BE238*BE171+BF238*BF171+BG238*BG171+BH238*BH171+BI238*BI171+BJ238*BJ171+BK238*BK171+BL238*BL171+BM238*BM171+BN238*BN171+BO238*BO171+BP238*BP171+BQ238*BQ171+BR238*BR171+BS238*BS171+BT238*BT171+BU238*BU171+BV238*BV171+BW238*BW171+BX238*BX171+BY238*BY171+BZ238*BZ171+CA238*CA171+CB238*CB171+CC238*CC171+CD238*CD171+CE238*CE171+CF238*CF171+CG238*CG171+CH238*CH171+CI238*CI171+CJ238*CJ171+CK238*CK171</f>
        <v>0</v>
      </c>
      <c r="CQ171" s="2297">
        <f>E239*E171+F239*F171+G239*G171+H239*H171+I239*I171+J239*J171+K239*K171+L239*L171+M239*M171+N239*N171+O239*O171+P239*P171+Q239*Q171+R239*R171+S239*S171+T239*T171+U239*U171+V239*V171+W239*W171+X239*X171+Y239*Y171+Z239*Z171+AA239*AA171+AB239*AB171+AC239*AC171+AD239*AD171+AE239*AE171+AF239*AF171+AG239*AG171+AH239*AH171+AI239*AI171+AJ239*AJ171+AK239*AK171+AL239*AL171+AM239*AM171+AN239*AN171+AO239*AO171+AP239*AP171+AQ239*AQ171+AR239*AR171+AS239*AS171+AT239*AT171+AU239*AU171+AV239*AV171+AW239*AW171+AX239*AX171+AY239*AY171+AZ239*AZ171+BA239*BA171+BB239*BB171+BC239*BC171+BD239*BD171+BE239*BE171+BF239*BF171+BG239*BG171+BH239*BH171+BI239*BI171+BJ239*BJ171+BK239*BK171+BL239*BL171+BM239*BM171+BN239*BN171+BO239*BO171+BP239*BP171+BQ239*BQ171+BR239*BR171+BS239*BS171+BT239*BT171+BU239*BU171+BV239*BV171+BW239*BW171+BX239*BX171+BY239*BY171+BZ239*BZ171+CA239*CA171+CB239*CB171+CC239*CC171+CD239*CD171+CE239*CE171+CF239*CF171+CG239*CG171+CH239*CH171+CI239*CI171+CJ239*CJ171+CK239*CK171</f>
        <v>0</v>
      </c>
      <c r="CR171" s="2297">
        <f>E240*E171+F240*F171+G240*G171+H240*H171+I240*I171+J240*J171+K240*K171+L240*L171+M240*M171+N240*N171+O240*O171+P240*P171+Q240*Q171+R240*R171+S240*S171+T240*T171+U240*U171+V240*V171+W240*W171+X240*X171+Y240*Y171+Z240*Z171+AA240*AA171+AB240*AB171+AC240*AC171+AD240*AD171+AE240*AE171+AF240*AF171+AG240*AG171+AH240*AH171+AI240*AI171+AJ240*AJ171+AK240*AK171+AL240*AL171+AM240*AM171+AN240*AN171+AO240*AO171+AP240*AP171+AQ240*AQ171+AR240*AR171+AS240*AS171+AT240*AT171+AU240*AU171+AV240*AV171+AW240*AW171+AX240*AX171+AY240*AY171+AZ240*AZ171+BA240*BA171+BB240*BB171+BC240*BC171+BD240*BD171+BE240*BE171+BF240*BF171+BG240*BG171+BH240*BH171+BI240*BI171+BJ240*BJ171+BK240*BK171+BL240*BL171+BM240*BM171+BN240*BN171+BO240*BO171+BP240*BP171+BQ240*BQ171+BR240*BR171+BS240*BS171+BT240*BT171+BU240*BU171+BV240*BV171+BW240*BW171+BX240*BX171+BY240*BY171+BZ240*BZ171+CA240*CA171+CB240*CB171+CC240*CC171+CD240*CD171+CE240*CE171+CF240*CF171+CG240*CG171+CH240*CH171+CI240*CI171+CJ240*CJ171+CK240*CK171</f>
        <v>0</v>
      </c>
      <c r="CS171" s="2297">
        <f>E241*E171+F241*F171+G241*G171+H241*H171+I241*I171+J241*J171+K241*K171+L241*L171+M241*M171+N241*N171+O241*O171+P241*P171+Q241*Q171+R241*R171+S241*S171+T241*T171+U241*U171+V241*V171+W241*W171+X241*X171+Y241*Y171+Z241*Z171+AA241*AA171+AB241*AB171+AC241*AC171+AD241*AD171+AE241*AE171+AF241*AF171+AG241*AG171+AH241*AH171+AI241*AI171+AJ241*AJ171+AK241*AK171+AL241*AL171+AM241*AM171+AN241*AN171+AO241*AO171+AP241*AP171+AQ241*AQ171+AR241*AR171+AS241*AS171+AT241*AT171+AU241*AU171+AV241*AV171+AW241*AW171+AX241*AX171+AY241*AY171+AZ241*AZ171+BA241*BA171+BB241*BB171+BC241*BC171+BD241*BD171+BE241*BE171+BF241*BF171+BG241*BG171+BH241*BH171+BI241*BI171+BJ241*BJ171+BK241*BK171+BL241*BL171+BM241*BM171+BN241*BN171+BO241*BO171+BP241*BP171+BQ241*BQ171+BR241*BR171+BS241*BS171+BT241*BT171+BU241*BU171+BV241*BV171+BW241*BW171+BX241*BX171+BY241*BY171+BZ241*BZ171+CA241*CA171+CB241*CB171+CC241*CC171+CD241*CD171+CE241*CE171+CF241*CF171+CG241*CG171+CH241*CH171+CI241*CI171+CJ241*CJ171+CK241*CK171</f>
        <v>0</v>
      </c>
      <c r="CT171" s="2297">
        <f>E242*E171+F242*F171+G242*G171+H242*H171+I242*I171+J242*J171+K242*K171+L242*L171+M242*M171+N242*N171+O242*O171+P242*P171+Q242*Q171+R242*R171+S242*S171+T242*T171+U242*U171+V242*V171+W242*W171+X242*X171+Y242*Y171+Z242*Z171+AA242*AA171+AB242*AB171+AC242*AC171+AD242*AD171+AE242*AE171+AF242*AF171+AG242*AG171+AH242*AH171+AI242*AI171+AJ242*AJ171+AK242*AK171+AL242*AL171+AM242*AM171+AN242*AN171+AO242*AO171+AP242*AP171+AQ242*AQ171+AR242*AR171+AS242*AS171+AT242*AT171+AU242*AU171+AV242*AV171+AW242*AW171+AX242*AX171+AY242*AY171+AZ242*AZ171+BA242*BA171+BB242*BB171+BC242*BC171+BD242*BD171+BE242*BE171+BF242*BF171+BG242*BG171+BH242*BH171+BI242*BI171+BJ242*BJ171+BK242*BK171+BL242*BL171+BM242*BM171+BN242*BN171+BO242*BO171+BP242*BP171+BQ242*BQ171+BR242*BR171+BS242*BS171+BT242*BT171+BU242*BU171+BV242*BV171+BW242*BW171+BX242*BX171+BY242*BY171+BZ242*BZ171+CA242*CA171+CB242*CB171+CC242*CC171+CD242*CD171+CE242*CE171+CF242*CF171+CG242*CG171+CH242*CH171+CI242*CI171+CJ242*CJ171+CK242*CK171</f>
        <v>0</v>
      </c>
      <c r="CU171" s="2297">
        <f>E243*E171+F243*F171+G243*G171+H243*H171+I243*I171+J243*J171+K243*K171+L243*L171+M243*M171+N243*N171+O243*O171+P243*P171+Q243*Q171+R243*R171+S243*S171+T243*T171+U243*U171+V243*V171+W243*W171+X243*X171+Y243*Y171+Z243*Z171+AA243*AA171+AB243*AB171+AC243*AC171+AD243*AD171+AE243*AE171+AF243*AF171+AG243*AG171+AH243*AH171+AI243*AI171+AJ243*AJ171+AK243*AK171+AL243*AL171+AM243*AM171+AN243*AN171+AO243*AO171+AP243*AP171+AQ243*AQ171+AR243*AR171+AS243*AS171+AT243*AT171+AU243*AU171+AV243*AV171+AW243*AW171+AX243*AX171+AY243*AY171+AZ243*AZ171+BA243*BA171+BB243*BB171+BC243*BC171+BD243*BD171+BE243*BE171+BF243*BF171+BG243*BG171+BH243*BH171+BI243*BI171+BJ243*BJ171+BK243*BK171+BL243*BL171+BM243*BM171+BN243*BN171+BO243*BO171+BP243*BP171+BQ243*BQ171+BR243*BR171+BS243*BS171+BT243*BT171+BU243*BU171+BV243*BV171+BW243*BW171+BX243*BX171+BY243*BY171+BZ243*BZ171+CA243*CA171+CB243*CB171+CC243*CC171+CD243*CD171+CE243*CE171+CF243*CF171+CG243*CG171+CH243*CH171+CI243*CI171+CJ243*CJ171+CK243*CK171</f>
        <v>0</v>
      </c>
      <c r="CV171" s="2297">
        <f>E244*E171+F244*F171+G244*G171+H244*H171+I244*I171+J244*J171+K244*K171+L244*L171+M244*M171+N244*N171+O244*O171+P244*P171+Q244*Q171+R244*R171+S244*S171+T244*T171+U244*U171+V244*V171+W244*W171+X244*X171+Y244*Y171+Z244*Z171+AA244*AA171+AB244*AB171+AC244*AC171+AD244*AD171+AE244*AE171+AF244*AF171+AG244*AG171+AH244*AH171+AI244*AI171+AJ244*AJ171+AK244*AK171+AL244*AL171+AM244*AM171+AN244*AN171+AO244*AO171+AP244*AP171+AQ244*AQ171+AR244*AR171+AS244*AS171+AT244*AT171+AU244*AU171+AV244*AV171+AW244*AW171+AX244*AX171+AY244*AY171+AZ244*AZ171+BA244*BA171+BB244*BB171+BC244*BC171+BD244*BD171+BE244*BE171+BF244*BF171+BG244*BG171+BH244*BH171+BI244*BI171+BJ244*BJ171+BK244*BK171+BL244*BL171+BM244*BM171+BN244*BN171+BO244*BO171+BP244*BP171+BQ244*BQ171+BR244*BR171+BS244*BS171+BT244*BT171+BU244*BU171+BV244*BV171+BW244*BW171+BX244*BX171+BY244*BY171+BZ244*BZ171+CA244*CA171+CB244*CB171+CC244*CC171+CD244*CD171+CE244*CE171+CF244*CF171+CG244*CG171+CH244*CH171+CI244*CI171+CJ244*CJ171+CK244*CK171</f>
        <v>0</v>
      </c>
      <c r="CW171" s="2297">
        <f>E245*E171+F245*F171+G245*G171+H245*H171+I245*I171+J245*J171+K245*K171+L245*L171+M245*M171+N245*N171+O245*O171+P245*P171+Q245*Q171+R245*R171+S245*S171+T245*T171+U245*U171+V245*V171+W245*W171+X245*X171+Y245*Y171+Z245*Z171+AA245*AA171+AB245*AB171+AC245*AC171+AD245*AD171+AE245*AE171+AF245*AF171+AG245*AG171+AH245*AH171+AI245*AI171+AJ245*AJ171+AK245*AK171+AL245*AL171+AM245*AM171+AN245*AN171+AO245*AO171+AP245*AP171+AQ245*AQ171+AR245*AR171+AS245*AS171+AT245*AT171+AU245*AU171+AV245*AV171+AW245*AW171+AX245*AX171+AY245*AY171+AZ245*AZ171+BA245*BA171+BB245*BB171+BC245*BC171+BD245*BD171+BE245*BE171+BF245*BF171+BG245*BG171+BH245*BH171+BI245*BI171+BJ245*BJ171+BK245*BK171+BL245*BL171+BM245*BM171+BN245*BN171+BO245*BO171+BP245*BP171+BQ245*BQ171+BR245*BR171+BS245*BS171+BT245*BT171+BU245*BU171+BV245*BV171+BW245*BW171+BX245*BX171+BY245*BY171+BZ245*BZ171+CA245*CA171+CB245*CB171+CC245*CC171+CD245*CD171+CE245*CE171+CF245*CF171+CG245*CG171+CH245*CH171+CI245*CI171+CJ245*CJ171+CK245*CK171</f>
        <v>0</v>
      </c>
      <c r="CX171" s="2297">
        <f>E246*E171+F246*F171+G246*G171+H246*H171+I246*I171+J246*J171+K246*K171+L246*L171+M246*M171+N246*N171+O246*O171+P246*P171+Q246*Q171+R246*R171+S246*S171+T246*T171+U246*U171+V246*V171+W246*W171+X246*X171+Y246*Y171+Z246*Z171+AA246*AA171+AB246*AB171+AC246*AC171+AD246*AD171+AE246*AE171+AF246*AF171+AG246*AG171+AH246*AH171+AI246*AI171+AJ246*AJ171+AK246*AK171+AL246*AL171+AM246*AM171+AN246*AN171+AO246*AO171+AP246*AP171+AQ246*AQ171+AR246*AR171+AS246*AS171+AT246*AT171+AU246*AU171+AV246*AV171+AW246*AW171+AX246*AX171+AY246*AY171+AZ246*AZ171+BA246*BA171+BB246*BB171+BC246*BC171+BD246*BD171+BE246*BE171+BF246*BF171+BG246*BG171+BH246*BH171+BI246*BI171+BJ246*BJ171+BK246*BK171+BL246*BL171+BM246*BM171+BN246*BN171+BO246*BO171+BP246*BP171+BQ246*BQ171+BR246*BR171+BS246*BS171+BT246*BT171+BU246*BU171+BV246*BV171+BW246*BW171+BX246*BX171+BY246*BY171+BZ246*BZ171+CA246*CA171+CB246*CB171+CC246*CC171+CD246*CD171+CE246*CE171+CF246*CF171+CG246*CG171+CH246*CH171+CI246*CI171+CJ246*CJ171+CK246*CK171</f>
        <v>0</v>
      </c>
    </row>
    <row r="172" spans="2:102" ht="18" x14ac:dyDescent="0.25">
      <c r="B172" s="1248">
        <v>45</v>
      </c>
      <c r="C172" s="1195" t="s">
        <v>440</v>
      </c>
      <c r="D172" s="603" t="s">
        <v>2979</v>
      </c>
      <c r="E172" s="2665">
        <f>0</f>
        <v>0</v>
      </c>
      <c r="F172" s="2665">
        <f>0</f>
        <v>0</v>
      </c>
      <c r="G172" s="2665">
        <f>0</f>
        <v>0</v>
      </c>
      <c r="H172" s="2665">
        <f>0</f>
        <v>0</v>
      </c>
      <c r="I172" s="2665">
        <f>0</f>
        <v>0</v>
      </c>
      <c r="J172" s="2665">
        <f>1-f_E</f>
        <v>0.92</v>
      </c>
      <c r="K172" s="2665">
        <f>0</f>
        <v>0</v>
      </c>
      <c r="L172" s="2665">
        <f>0</f>
        <v>0</v>
      </c>
      <c r="M172" s="2665">
        <f>0</f>
        <v>0</v>
      </c>
      <c r="N172" s="2665">
        <f>0</f>
        <v>0</v>
      </c>
      <c r="O172" s="2665">
        <f>0</f>
        <v>0</v>
      </c>
      <c r="P172" s="2665">
        <f>0</f>
        <v>0</v>
      </c>
      <c r="Q172" s="2665">
        <f>f_E</f>
        <v>0.08</v>
      </c>
      <c r="R172" s="2665">
        <f>0</f>
        <v>0</v>
      </c>
      <c r="S172" s="2665">
        <f>0</f>
        <v>0</v>
      </c>
      <c r="T172" s="2665">
        <f>0</f>
        <v>0</v>
      </c>
      <c r="U172" s="2665">
        <f>0</f>
        <v>0</v>
      </c>
      <c r="V172" s="2665">
        <f>0</f>
        <v>0</v>
      </c>
      <c r="W172" s="2665">
        <f>-1</f>
        <v>-1</v>
      </c>
      <c r="X172" s="2665">
        <f>0</f>
        <v>0</v>
      </c>
      <c r="Y172" s="2665">
        <f>0</f>
        <v>0</v>
      </c>
      <c r="Z172" s="2717">
        <f>0</f>
        <v>0</v>
      </c>
      <c r="AA172" s="2665">
        <f>-f_E*(i_N_XE-i_N_BIO)</f>
        <v>8.0000000000000069E-4</v>
      </c>
      <c r="AB172" s="2665">
        <f>0</f>
        <v>0</v>
      </c>
      <c r="AC172" s="2665">
        <f>0</f>
        <v>0</v>
      </c>
      <c r="AD172" s="2665">
        <f>0</f>
        <v>0</v>
      </c>
      <c r="AE172" s="2665">
        <f>0</f>
        <v>0</v>
      </c>
      <c r="AF172" s="2665">
        <f>0</f>
        <v>0</v>
      </c>
      <c r="AG172" s="2665">
        <f>(1-f_E)*i_N_BIO</f>
        <v>6.4400000000000013E-2</v>
      </c>
      <c r="AH172" s="2665">
        <f>0</f>
        <v>0</v>
      </c>
      <c r="AI172" s="2665">
        <f>0</f>
        <v>0</v>
      </c>
      <c r="AJ172" s="2665">
        <f>0</f>
        <v>0</v>
      </c>
      <c r="AK172" s="2665">
        <f>0</f>
        <v>0</v>
      </c>
      <c r="AL172" s="2665">
        <f>0</f>
        <v>0</v>
      </c>
      <c r="AM172" s="2665">
        <f>(1-f_E)*i_P_BIO</f>
        <v>1.84E-2</v>
      </c>
      <c r="AN172" s="2665">
        <f>0</f>
        <v>0</v>
      </c>
      <c r="AO172" s="2665">
        <f>0</f>
        <v>0</v>
      </c>
      <c r="AP172" s="2665">
        <f>0</f>
        <v>0</v>
      </c>
      <c r="AQ172" s="2665">
        <f>0</f>
        <v>0</v>
      </c>
      <c r="AR172" s="2664">
        <f>(1-f_E)*(i_CIT_BIO-i_CIT_XBe)</f>
        <v>6.0720000000000003E-2</v>
      </c>
      <c r="AS172" s="2665">
        <f>0</f>
        <v>0</v>
      </c>
      <c r="AT172" s="2665">
        <f>0</f>
        <v>0</v>
      </c>
      <c r="AU172" s="2665">
        <f>0</f>
        <v>0</v>
      </c>
      <c r="AV172" s="2665">
        <f>0</f>
        <v>0</v>
      </c>
      <c r="AW172" s="2665">
        <f>0</f>
        <v>0</v>
      </c>
      <c r="AX172" s="2665">
        <f>0</f>
        <v>0</v>
      </c>
      <c r="AY172" s="2665">
        <f>0</f>
        <v>0</v>
      </c>
      <c r="AZ172" s="2665">
        <f>0</f>
        <v>0</v>
      </c>
      <c r="BA172" s="2665">
        <f>0</f>
        <v>0</v>
      </c>
      <c r="BB172" s="2665">
        <f>0</f>
        <v>0</v>
      </c>
      <c r="BC172" s="2665">
        <f>0</f>
        <v>0</v>
      </c>
      <c r="BD172" s="2665">
        <f>0</f>
        <v>0</v>
      </c>
      <c r="BE172" s="2665">
        <f>0</f>
        <v>0</v>
      </c>
      <c r="BF172" s="2665">
        <f>0</f>
        <v>0</v>
      </c>
      <c r="BG172" s="2665">
        <f>0</f>
        <v>0</v>
      </c>
      <c r="BH172" s="2665">
        <f>0</f>
        <v>0</v>
      </c>
      <c r="BI172" s="2665">
        <f>0</f>
        <v>0</v>
      </c>
      <c r="BJ172" s="2665">
        <f>0</f>
        <v>0</v>
      </c>
      <c r="BK172" s="2665">
        <f>0</f>
        <v>0</v>
      </c>
      <c r="BL172" s="2665">
        <f>0</f>
        <v>0</v>
      </c>
      <c r="BM172" s="2665">
        <f>0</f>
        <v>0</v>
      </c>
      <c r="BN172" s="2665">
        <f>0</f>
        <v>0</v>
      </c>
      <c r="BO172" s="2665">
        <f>0</f>
        <v>0</v>
      </c>
      <c r="BP172" s="2665">
        <f>0</f>
        <v>0</v>
      </c>
      <c r="BQ172" s="2665">
        <f>0</f>
        <v>0</v>
      </c>
      <c r="BR172" s="2665">
        <f>0</f>
        <v>0</v>
      </c>
      <c r="BS172" s="2717">
        <f>0</f>
        <v>0</v>
      </c>
      <c r="BT172" s="2717">
        <f>0</f>
        <v>0</v>
      </c>
      <c r="BU172" s="2717">
        <f>0</f>
        <v>0</v>
      </c>
      <c r="BV172" s="2717">
        <f>0</f>
        <v>0</v>
      </c>
      <c r="BW172" s="2665">
        <f>0</f>
        <v>0</v>
      </c>
      <c r="BX172" s="2779">
        <f>0</f>
        <v>0</v>
      </c>
      <c r="BY172" s="2717">
        <f>0</f>
        <v>0</v>
      </c>
      <c r="BZ172" s="2665">
        <f>0</f>
        <v>0</v>
      </c>
      <c r="CA172" s="2665">
        <f>0</f>
        <v>0</v>
      </c>
      <c r="CB172" s="2665">
        <f>0</f>
        <v>0</v>
      </c>
      <c r="CC172" s="2665">
        <f>0</f>
        <v>0</v>
      </c>
      <c r="CD172" s="2665">
        <f>0</f>
        <v>0</v>
      </c>
      <c r="CE172" s="2665">
        <f>0</f>
        <v>0</v>
      </c>
      <c r="CF172" s="2665">
        <f>0</f>
        <v>0</v>
      </c>
      <c r="CG172" s="2665">
        <f>0</f>
        <v>0</v>
      </c>
      <c r="CH172" s="2665">
        <f>0</f>
        <v>0</v>
      </c>
      <c r="CI172" s="2665">
        <f>0</f>
        <v>0</v>
      </c>
      <c r="CJ172" s="2665">
        <f>0</f>
        <v>0</v>
      </c>
      <c r="CK172" s="2665">
        <f>0</f>
        <v>0</v>
      </c>
      <c r="CL172" s="2805">
        <f>b_AMX_T*X_AMX*(η_b_ana*M_inhSNOx_KNOx_AMX*M_inhSO2_KiO2_AMX)</f>
        <v>1.522435897435898E-5</v>
      </c>
      <c r="CN172" s="2295">
        <f>E236*E172+F236*F172+G236*G172+H236*H172+I236*I172+J236*J172+K236*K172+L236*L172+M236*M172+N236*N172+O236*O172+P236*P172+Q236*Q172+R236*R172+S236*S172+T236*T172+U236*U172+V236*V172+W236*W172+X236*X172+Y236*Y172+Z236*Z172+AA236*AA172+AB236*AB172+AC236*AC172+AD236*AD172+AE236*AE172+AF236*AF172+AG236*AG172+AH236*AH172+AI236*AI172+AJ236*AJ172+AK236*AK172+AL236*AL172+AM236*AM172+AN236*AN172+AO236*AO172+AP236*AP172+AQ236*AQ172+AR236*AR172+AS236*AS172+AT236*AT172+AU236*AU172+AV236*AV172+AW236*AW172+AX236*AX172+AY236*AY172+AZ236*AZ172+BA236*BA172+BB236*BB172+BC236*BC172+BD236*BD172+BE236*BE172+BF236*BF172+BG236*BG172+BH236*BH172+BI236*BI172+BJ236*BJ172+BK236*BK172+BL236*BL172+BM236*BM172+BN236*BN172+BO236*BO172+BP236*BP172+BQ236*BQ172+BR236*BR172+BS236*BS172+BT236*BT172+BU236*BU172+BV236*BV172+BW236*BW172+BX236*BX172+BY236*BY172+BZ236*BZ172+CA236*CA172+CB236*CB172+CC236*CC172+CD236*CD172+CE236*CE172+CF236*CF172+CG236*CG172+CH236*CH172+CI236*CI172+CJ236*CJ172+CK236*CK172</f>
        <v>0</v>
      </c>
      <c r="CO172" s="2295">
        <f>E237*E172+F237*F172+G237*G172+H237*H172+I237*I172+J237*J172+K237*K172+L237*L172+M237*M172+N237*N172+O237*O172+P237*P172+Q237*Q172+R237*R172+S237*S172+T237*T172+U237*U172+V237*V172+W237*W172+X237*X172+Y237*Y172+Z237*Z172+AA237*AA172+AB237*AB172+AC237*AC172+AD237*AD172+AE237*AE172+AF237*AF172+AG237*AG172+AH237*AH172+AI237*AI172+AJ237*AJ172+AK237*AK172+AL237*AL172+AM237*AM172+AN237*AN172+AO237*AO172+AP237*AP172+AQ237*AQ172+AR237*AR172+AS237*AS172+AT237*AT172+AU237*AU172+AV237*AV172+AW237*AW172+AX237*AX172+AY237*AY172+AZ237*AZ172+BA237*BA172+BB237*BB172+BC237*BC172+BD237*BD172+BE237*BE172+BF237*BF172+BG237*BG172+BH237*BH172+BI237*BI172+BJ237*BJ172+BK237*BK172+BL237*BL172+BM237*BM172+BN237*BN172+BO237*BO172+BP237*BP172+BQ237*BQ172+BR237*BR172+BS237*BS172+BT237*BT172+BU237*BU172+BV237*BV172+BW237*BW172+BX237*BX172+BY237*BY172+BZ237*BZ172+CA237*CA172+CB237*CB172+CC237*CC172+CD237*CD172+CE237*CE172+CF237*CF172+CG237*CG172+CH237*CH172+CI237*CI172+CJ237*CJ172+CK237*CK172</f>
        <v>6.9388939039072284E-18</v>
      </c>
      <c r="CP172" s="2296">
        <f>E238*E172+F238*F172+G238*G172+H238*H172+I238*I172+J238*J172+K238*K172+L238*L172+M238*M172+N238*N172+O238*O172+P238*P172+Q238*Q172+R238*R172+S238*S172+T238*T172+U238*U172+V238*V172+W238*W172+X238*X172+Y238*Y172+Z238*Z172+AA238*AA172+AB238*AB172+AC238*AC172+AD238*AD172+AE238*AE172+AF238*AF172+AG238*AG172+AH238*AH172+AI238*AI172+AJ238*AJ172+AK238*AK172+AL238*AL172+AM238*AM172+AN238*AN172+AO238*AO172+AP238*AP172+AQ238*AQ172+AR238*AR172+AS238*AS172+AT238*AT172+AU238*AU172+AV238*AV172+AW238*AW172+AX238*AX172+AY238*AY172+AZ238*AZ172+BA238*BA172+BB238*BB172+BC238*BC172+BD238*BD172+BE238*BE172+BF238*BF172+BG238*BG172+BH238*BH172+BI238*BI172+BJ238*BJ172+BK238*BK172+BL238*BL172+BM238*BM172+BN238*BN172+BO238*BO172+BP238*BP172+BQ238*BQ172+BR238*BR172+BS238*BS172+BT238*BT172+BU238*BU172+BV238*BV172+BW238*BW172+BX238*BX172+BY238*BY172+BZ238*BZ172+CA238*CA172+CB238*CB172+CC238*CC172+CD238*CD172+CE238*CE172+CF238*CF172+CG238*CG172+CH238*CH172+CI238*CI172+CJ238*CJ172+CK238*CK172</f>
        <v>0</v>
      </c>
      <c r="CQ172" s="2297">
        <f>E239*E172+F239*F172+G239*G172+H239*H172+I239*I172+J239*J172+K239*K172+L239*L172+M239*M172+N239*N172+O239*O172+P239*P172+Q239*Q172+R239*R172+S239*S172+T239*T172+U239*U172+V239*V172+W239*W172+X239*X172+Y239*Y172+Z239*Z172+AA239*AA172+AB239*AB172+AC239*AC172+AD239*AD172+AE239*AE172+AF239*AF172+AG239*AG172+AH239*AH172+AI239*AI172+AJ239*AJ172+AK239*AK172+AL239*AL172+AM239*AM172+AN239*AN172+AO239*AO172+AP239*AP172+AQ239*AQ172+AR239*AR172+AS239*AS172+AT239*AT172+AU239*AU172+AV239*AV172+AW239*AW172+AX239*AX172+AY239*AY172+AZ239*AZ172+BA239*BA172+BB239*BB172+BC239*BC172+BD239*BD172+BE239*BE172+BF239*BF172+BG239*BG172+BH239*BH172+BI239*BI172+BJ239*BJ172+BK239*BK172+BL239*BL172+BM239*BM172+BN239*BN172+BO239*BO172+BP239*BP172+BQ239*BQ172+BR239*BR172+BS239*BS172+BT239*BT172+BU239*BU172+BV239*BV172+BW239*BW172+BX239*BX172+BY239*BY172+BZ239*BZ172+CA239*CA172+CB239*CB172+CC239*CC172+CD239*CD172+CE239*CE172+CF239*CF172+CG239*CG172+CH239*CH172+CI239*CI172+CJ239*CJ172+CK239*CK172</f>
        <v>0</v>
      </c>
      <c r="CR172" s="2297">
        <f>E240*E172+F240*F172+G240*G172+H240*H172+I240*I172+J240*J172+K240*K172+L240*L172+M240*M172+N240*N172+O240*O172+P240*P172+Q240*Q172+R240*R172+S240*S172+T240*T172+U240*U172+V240*V172+W240*W172+X240*X172+Y240*Y172+Z240*Z172+AA240*AA172+AB240*AB172+AC240*AC172+AD240*AD172+AE240*AE172+AF240*AF172+AG240*AG172+AH240*AH172+AI240*AI172+AJ240*AJ172+AK240*AK172+AL240*AL172+AM240*AM172+AN240*AN172+AO240*AO172+AP240*AP172+AQ240*AQ172+AR240*AR172+AS240*AS172+AT240*AT172+AU240*AU172+AV240*AV172+AW240*AW172+AX240*AX172+AY240*AY172+AZ240*AZ172+BA240*BA172+BB240*BB172+BC240*BC172+BD240*BD172+BE240*BE172+BF240*BF172+BG240*BG172+BH240*BH172+BI240*BI172+BJ240*BJ172+BK240*BK172+BL240*BL172+BM240*BM172+BN240*BN172+BO240*BO172+BP240*BP172+BQ240*BQ172+BR240*BR172+BS240*BS172+BT240*BT172+BU240*BU172+BV240*BV172+BW240*BW172+BX240*BX172+BY240*BY172+BZ240*BZ172+CA240*CA172+CB240*CB172+CC240*CC172+CD240*CD172+CE240*CE172+CF240*CF172+CG240*CG172+CH240*CH172+CI240*CI172+CJ240*CJ172+CK240*CK172</f>
        <v>0</v>
      </c>
      <c r="CS172" s="2297">
        <f>E241*E172+F241*F172+G241*G172+H241*H172+I241*I172+J241*J172+K241*K172+L241*L172+M241*M172+N241*N172+O241*O172+P241*P172+Q241*Q172+R241*R172+S241*S172+T241*T172+U241*U172+V241*V172+W241*W172+X241*X172+Y241*Y172+Z241*Z172+AA241*AA172+AB241*AB172+AC241*AC172+AD241*AD172+AE241*AE172+AF241*AF172+AG241*AG172+AH241*AH172+AI241*AI172+AJ241*AJ172+AK241*AK172+AL241*AL172+AM241*AM172+AN241*AN172+AO241*AO172+AP241*AP172+AQ241*AQ172+AR241*AR172+AS241*AS172+AT241*AT172+AU241*AU172+AV241*AV172+AW241*AW172+AX241*AX172+AY241*AY172+AZ241*AZ172+BA241*BA172+BB241*BB172+BC241*BC172+BD241*BD172+BE241*BE172+BF241*BF172+BG241*BG172+BH241*BH172+BI241*BI172+BJ241*BJ172+BK241*BK172+BL241*BL172+BM241*BM172+BN241*BN172+BO241*BO172+BP241*BP172+BQ241*BQ172+BR241*BR172+BS241*BS172+BT241*BT172+BU241*BU172+BV241*BV172+BW241*BW172+BX241*BX172+BY241*BY172+BZ241*BZ172+CA241*CA172+CB241*CB172+CC241*CC172+CD241*CD172+CE241*CE172+CF241*CF172+CG241*CG172+CH241*CH172+CI241*CI172+CJ241*CJ172+CK241*CK172</f>
        <v>0</v>
      </c>
      <c r="CT172" s="2297">
        <f>E242*E172+F242*F172+G242*G172+H242*H172+I242*I172+J242*J172+K242*K172+L242*L172+M242*M172+N242*N172+O242*O172+P242*P172+Q242*Q172+R242*R172+S242*S172+T242*T172+U242*U172+V242*V172+W242*W172+X242*X172+Y242*Y172+Z242*Z172+AA242*AA172+AB242*AB172+AC242*AC172+AD242*AD172+AE242*AE172+AF242*AF172+AG242*AG172+AH242*AH172+AI242*AI172+AJ242*AJ172+AK242*AK172+AL242*AL172+AM242*AM172+AN242*AN172+AO242*AO172+AP242*AP172+AQ242*AQ172+AR242*AR172+AS242*AS172+AT242*AT172+AU242*AU172+AV242*AV172+AW242*AW172+AX242*AX172+AY242*AY172+AZ242*AZ172+BA242*BA172+BB242*BB172+BC242*BC172+BD242*BD172+BE242*BE172+BF242*BF172+BG242*BG172+BH242*BH172+BI242*BI172+BJ242*BJ172+BK242*BK172+BL242*BL172+BM242*BM172+BN242*BN172+BO242*BO172+BP242*BP172+BQ242*BQ172+BR242*BR172+BS242*BS172+BT242*BT172+BU242*BU172+BV242*BV172+BW242*BW172+BX242*BX172+BY242*BY172+BZ242*BZ172+CA242*CA172+CB242*CB172+CC242*CC172+CD242*CD172+CE242*CE172+CF242*CF172+CG242*CG172+CH242*CH172+CI242*CI172+CJ242*CJ172+CK242*CK172</f>
        <v>0</v>
      </c>
      <c r="CU172" s="2297">
        <f>E243*E172+F243*F172+G243*G172+H243*H172+I243*I172+J243*J172+K243*K172+L243*L172+M243*M172+N243*N172+O243*O172+P243*P172+Q243*Q172+R243*R172+S243*S172+T243*T172+U243*U172+V243*V172+W243*W172+X243*X172+Y243*Y172+Z243*Z172+AA243*AA172+AB243*AB172+AC243*AC172+AD243*AD172+AE243*AE172+AF243*AF172+AG243*AG172+AH243*AH172+AI243*AI172+AJ243*AJ172+AK243*AK172+AL243*AL172+AM243*AM172+AN243*AN172+AO243*AO172+AP243*AP172+AQ243*AQ172+AR243*AR172+AS243*AS172+AT243*AT172+AU243*AU172+AV243*AV172+AW243*AW172+AX243*AX172+AY243*AY172+AZ243*AZ172+BA243*BA172+BB243*BB172+BC243*BC172+BD243*BD172+BE243*BE172+BF243*BF172+BG243*BG172+BH243*BH172+BI243*BI172+BJ243*BJ172+BK243*BK172+BL243*BL172+BM243*BM172+BN243*BN172+BO243*BO172+BP243*BP172+BQ243*BQ172+BR243*BR172+BS243*BS172+BT243*BT172+BU243*BU172+BV243*BV172+BW243*BW172+BX243*BX172+BY243*BY172+BZ243*BZ172+CA243*CA172+CB243*CB172+CC243*CC172+CD243*CD172+CE243*CE172+CF243*CF172+CG243*CG172+CH243*CH172+CI243*CI172+CJ243*CJ172+CK243*CK172</f>
        <v>0</v>
      </c>
      <c r="CV172" s="2297">
        <f>E244*E172+F244*F172+G244*G172+H244*H172+I244*I172+J244*J172+K244*K172+L244*L172+M244*M172+N244*N172+O244*O172+P244*P172+Q244*Q172+R244*R172+S244*S172+T244*T172+U244*U172+V244*V172+W244*W172+X244*X172+Y244*Y172+Z244*Z172+AA244*AA172+AB244*AB172+AC244*AC172+AD244*AD172+AE244*AE172+AF244*AF172+AG244*AG172+AH244*AH172+AI244*AI172+AJ244*AJ172+AK244*AK172+AL244*AL172+AM244*AM172+AN244*AN172+AO244*AO172+AP244*AP172+AQ244*AQ172+AR244*AR172+AS244*AS172+AT244*AT172+AU244*AU172+AV244*AV172+AW244*AW172+AX244*AX172+AY244*AY172+AZ244*AZ172+BA244*BA172+BB244*BB172+BC244*BC172+BD244*BD172+BE244*BE172+BF244*BF172+BG244*BG172+BH244*BH172+BI244*BI172+BJ244*BJ172+BK244*BK172+BL244*BL172+BM244*BM172+BN244*BN172+BO244*BO172+BP244*BP172+BQ244*BQ172+BR244*BR172+BS244*BS172+BT244*BT172+BU244*BU172+BV244*BV172+BW244*BW172+BX244*BX172+BY244*BY172+BZ244*BZ172+CA244*CA172+CB244*CB172+CC244*CC172+CD244*CD172+CE244*CE172+CF244*CF172+CG244*CG172+CH244*CH172+CI244*CI172+CJ244*CJ172+CK244*CK172</f>
        <v>0</v>
      </c>
      <c r="CW172" s="2297">
        <f>E245*E172+F245*F172+G245*G172+H245*H172+I245*I172+J245*J172+K245*K172+L245*L172+M245*M172+N245*N172+O245*O172+P245*P172+Q245*Q172+R245*R172+S245*S172+T245*T172+U245*U172+V245*V172+W245*W172+X245*X172+Y245*Y172+Z245*Z172+AA245*AA172+AB245*AB172+AC245*AC172+AD245*AD172+AE245*AE172+AF245*AF172+AG245*AG172+AH245*AH172+AI245*AI172+AJ245*AJ172+AK245*AK172+AL245*AL172+AM245*AM172+AN245*AN172+AO245*AO172+AP245*AP172+AQ245*AQ172+AR245*AR172+AS245*AS172+AT245*AT172+AU245*AU172+AV245*AV172+AW245*AW172+AX245*AX172+AY245*AY172+AZ245*AZ172+BA245*BA172+BB245*BB172+BC245*BC172+BD245*BD172+BE245*BE172+BF245*BF172+BG245*BG172+BH245*BH172+BI245*BI172+BJ245*BJ172+BK245*BK172+BL245*BL172+BM245*BM172+BN245*BN172+BO245*BO172+BP245*BP172+BQ245*BQ172+BR245*BR172+BS245*BS172+BT245*BT172+BU245*BU172+BV245*BV172+BW245*BW172+BX245*BX172+BY245*BY172+BZ245*BZ172+CA245*CA172+CB245*CB172+CC245*CC172+CD245*CD172+CE245*CE172+CF245*CF172+CG245*CG172+CH245*CH172+CI245*CI172+CJ245*CJ172+CK245*CK172</f>
        <v>0</v>
      </c>
      <c r="CX172" s="2297">
        <f>E246*E172+F246*F172+G246*G172+H246*H172+I246*I172+J246*J172+K246*K172+L246*L172+M246*M172+N246*N172+O246*O172+P246*P172+Q246*Q172+R246*R172+S246*S172+T246*T172+U246*U172+V246*V172+W246*W172+X246*X172+Y246*Y172+Z246*Z172+AA246*AA172+AB246*AB172+AC246*AC172+AD246*AD172+AE246*AE172+AF246*AF172+AG246*AG172+AH246*AH172+AI246*AI172+AJ246*AJ172+AK246*AK172+AL246*AL172+AM246*AM172+AN246*AN172+AO246*AO172+AP246*AP172+AQ246*AQ172+AR246*AR172+AS246*AS172+AT246*AT172+AU246*AU172+AV246*AV172+AW246*AW172+AX246*AX172+AY246*AY172+AZ246*AZ172+BA246*BA172+BB246*BB172+BC246*BC172+BD246*BD172+BE246*BE172+BF246*BF172+BG246*BG172+BH246*BH172+BI246*BI172+BJ246*BJ172+BK246*BK172+BL246*BL172+BM246*BM172+BN246*BN172+BO246*BO172+BP246*BP172+BQ246*BQ172+BR246*BR172+BS246*BS172+BT246*BT172+BU246*BU172+BV246*BV172+BW246*BW172+BX246*BX172+BY246*BY172+BZ246*BZ172+CA246*CA172+CB246*CB172+CC246*CC172+CD246*CD172+CE246*CE172+CF246*CF172+CG246*CG172+CH246*CH172+CI246*CI172+CJ246*CJ172+CK246*CK172</f>
        <v>0</v>
      </c>
    </row>
    <row r="173" spans="2:102" ht="18" x14ac:dyDescent="0.25">
      <c r="B173" s="1249">
        <v>46</v>
      </c>
      <c r="C173" s="1196" t="s">
        <v>441</v>
      </c>
      <c r="D173" s="608" t="s">
        <v>302</v>
      </c>
      <c r="E173" s="2666">
        <f>-1/Y_AMETO</f>
        <v>-10</v>
      </c>
      <c r="F173" s="2667">
        <f>0</f>
        <v>0</v>
      </c>
      <c r="G173" s="2667">
        <f>0</f>
        <v>0</v>
      </c>
      <c r="H173" s="2667">
        <f>0</f>
        <v>0</v>
      </c>
      <c r="I173" s="2667">
        <f>0</f>
        <v>0</v>
      </c>
      <c r="J173" s="2667">
        <f>0</f>
        <v>0</v>
      </c>
      <c r="K173" s="2667">
        <f>0</f>
        <v>0</v>
      </c>
      <c r="L173" s="2667">
        <f>0</f>
        <v>0</v>
      </c>
      <c r="M173" s="2667">
        <f>0</f>
        <v>0</v>
      </c>
      <c r="N173" s="2667">
        <f>0</f>
        <v>0</v>
      </c>
      <c r="O173" s="2667">
        <f>0</f>
        <v>0</v>
      </c>
      <c r="P173" s="2667">
        <f>0</f>
        <v>0</v>
      </c>
      <c r="Q173" s="2667">
        <f>0</f>
        <v>0</v>
      </c>
      <c r="R173" s="2667">
        <f>0</f>
        <v>0</v>
      </c>
      <c r="S173" s="2667">
        <f>0</f>
        <v>0</v>
      </c>
      <c r="T173" s="2667">
        <f>0</f>
        <v>0</v>
      </c>
      <c r="U173" s="2667">
        <f>0</f>
        <v>0</v>
      </c>
      <c r="V173" s="2667">
        <f>0</f>
        <v>0</v>
      </c>
      <c r="W173" s="2667">
        <f>0</f>
        <v>0</v>
      </c>
      <c r="X173" s="2667">
        <f>1</f>
        <v>1</v>
      </c>
      <c r="Y173" s="2667">
        <f>0</f>
        <v>0</v>
      </c>
      <c r="Z173" s="2718">
        <f>0</f>
        <v>0</v>
      </c>
      <c r="AA173" s="2667">
        <f>-i_N_BIO</f>
        <v>-7.0000000000000007E-2</v>
      </c>
      <c r="AB173" s="2667">
        <f>0</f>
        <v>0</v>
      </c>
      <c r="AC173" s="2667">
        <f>0</f>
        <v>0</v>
      </c>
      <c r="AD173" s="2667">
        <f>0</f>
        <v>0</v>
      </c>
      <c r="AE173" s="2667">
        <f>0</f>
        <v>0</v>
      </c>
      <c r="AF173" s="2667">
        <f>0</f>
        <v>0</v>
      </c>
      <c r="AG173" s="2667">
        <f>0</f>
        <v>0</v>
      </c>
      <c r="AH173" s="2667">
        <f>0</f>
        <v>0</v>
      </c>
      <c r="AI173" s="2666">
        <f>-i_P_BIO</f>
        <v>-0.02</v>
      </c>
      <c r="AJ173" s="2667">
        <f>0</f>
        <v>0</v>
      </c>
      <c r="AK173" s="2667">
        <f>0</f>
        <v>0</v>
      </c>
      <c r="AL173" s="2667">
        <f>0</f>
        <v>0</v>
      </c>
      <c r="AM173" s="2667">
        <f>0</f>
        <v>0</v>
      </c>
      <c r="AN173" s="2667">
        <f>0</f>
        <v>0</v>
      </c>
      <c r="AO173" s="2667">
        <f>0</f>
        <v>0</v>
      </c>
      <c r="AP173" s="2667">
        <f>(1-Y_AMETO)/Y_AMETO</f>
        <v>9</v>
      </c>
      <c r="AQ173" s="2667">
        <f>0</f>
        <v>0</v>
      </c>
      <c r="AR173" s="2667">
        <f>i_CIT_VFA*1/Y_AMETO-i_CIT_BIO-i_CIT_CH4*(1-Y_AMETO)/Y_AMETO</f>
        <v>1.706</v>
      </c>
      <c r="AS173" s="2666">
        <f>i_INORG</f>
        <v>0.11</v>
      </c>
      <c r="AT173" s="2666">
        <f>-i_INORG*(1-i_Ca_INORG*(A_MCa+2*A_MCl)/A_MCa-i_Mg_INORG*(A_MMg+2*A_MCl)/A_MMg)*f_Na</f>
        <v>-2.8804303582798466E-2</v>
      </c>
      <c r="AU173" s="2666">
        <f>-i_INORG*(i_Ca_INORG*(2*A_MCl)/A_MCa+i_Mg_INORG*(2*A_MCl)/A_MMg)-i_INORG*(1-i_Ca_INORG*(A_MCa+2*A_MCl)/A_MCa-i_Mg_INORG*(A_MMg+2*A_MCl)/A_MMg)*(1-f_Na)</f>
        <v>-7.0195696417201539E-2</v>
      </c>
      <c r="AV173" s="2666">
        <f>-i_INORG*i_Ca_INORG</f>
        <v>-5.5000000000000005E-3</v>
      </c>
      <c r="AW173" s="2666">
        <f>-i_INORG*i_Mg_INORG</f>
        <v>-5.5000000000000005E-3</v>
      </c>
      <c r="AX173" s="2666">
        <f>0</f>
        <v>0</v>
      </c>
      <c r="AY173" s="2666">
        <f>0</f>
        <v>0</v>
      </c>
      <c r="AZ173" s="2666">
        <f>0</f>
        <v>0</v>
      </c>
      <c r="BA173" s="2666">
        <f>0</f>
        <v>0</v>
      </c>
      <c r="BB173" s="2666">
        <f>0</f>
        <v>0</v>
      </c>
      <c r="BC173" s="2666">
        <f>0</f>
        <v>0</v>
      </c>
      <c r="BD173" s="2666">
        <f>0</f>
        <v>0</v>
      </c>
      <c r="BE173" s="2666">
        <f>0</f>
        <v>0</v>
      </c>
      <c r="BF173" s="2666">
        <f>0</f>
        <v>0</v>
      </c>
      <c r="BG173" s="2666">
        <f>0</f>
        <v>0</v>
      </c>
      <c r="BH173" s="2666">
        <f>0</f>
        <v>0</v>
      </c>
      <c r="BI173" s="2666">
        <f>0</f>
        <v>0</v>
      </c>
      <c r="BJ173" s="2666">
        <f>0</f>
        <v>0</v>
      </c>
      <c r="BK173" s="2666">
        <f>0</f>
        <v>0</v>
      </c>
      <c r="BL173" s="2666">
        <f>0</f>
        <v>0</v>
      </c>
      <c r="BM173" s="2666">
        <f>0</f>
        <v>0</v>
      </c>
      <c r="BN173" s="2666">
        <f>0</f>
        <v>0</v>
      </c>
      <c r="BO173" s="2666">
        <f>0</f>
        <v>0</v>
      </c>
      <c r="BP173" s="2759">
        <f>0</f>
        <v>0</v>
      </c>
      <c r="BQ173" s="2666">
        <f>0</f>
        <v>0</v>
      </c>
      <c r="BR173" s="2666">
        <f>0</f>
        <v>0</v>
      </c>
      <c r="BS173" s="2768">
        <f>0</f>
        <v>0</v>
      </c>
      <c r="BT173" s="2768">
        <f>0</f>
        <v>0</v>
      </c>
      <c r="BU173" s="2768">
        <f>0</f>
        <v>0</v>
      </c>
      <c r="BV173" s="2768">
        <f>0</f>
        <v>0</v>
      </c>
      <c r="BW173" s="2666">
        <f>0</f>
        <v>0</v>
      </c>
      <c r="BX173" s="2780">
        <f>0</f>
        <v>0</v>
      </c>
      <c r="BY173" s="2768">
        <f>0</f>
        <v>0</v>
      </c>
      <c r="BZ173" s="2666">
        <f>0</f>
        <v>0</v>
      </c>
      <c r="CA173" s="2666">
        <f>0</f>
        <v>0</v>
      </c>
      <c r="CB173" s="2666">
        <f>0</f>
        <v>0</v>
      </c>
      <c r="CC173" s="2666">
        <f>0</f>
        <v>0</v>
      </c>
      <c r="CD173" s="2666">
        <f>0</f>
        <v>0</v>
      </c>
      <c r="CE173" s="2666">
        <f>0</f>
        <v>0</v>
      </c>
      <c r="CF173" s="2666">
        <f>0</f>
        <v>0</v>
      </c>
      <c r="CG173" s="2666">
        <f>0</f>
        <v>0</v>
      </c>
      <c r="CH173" s="2666">
        <f>0</f>
        <v>0</v>
      </c>
      <c r="CI173" s="2666">
        <f>0</f>
        <v>0</v>
      </c>
      <c r="CJ173" s="2666">
        <f>0</f>
        <v>0</v>
      </c>
      <c r="CK173" s="2666">
        <f>0</f>
        <v>0</v>
      </c>
      <c r="CL173" s="2806">
        <f>µ_AMETO_T*X_AMETO*H_satSVFA_AMETO*M_inhSO2_KiO2_AMETO*M_inhSNOx_KNO3_AMETO*L_oginhpHNH3_AMETO*M_satSNHx_KNHx_BIO*M_satSPO4_KPO4_BIO*M_satSCAT_KCAT*M_satSAN_KAN*M_satSCa_KCa*M_satSMg_KMg*B_ellinhpH_AMETO</f>
        <v>5.2580491000979624E-10</v>
      </c>
      <c r="CN173" s="2295">
        <f>E236*E173+F236*F173+G236*G173+H236*H173+I236*I173+J236*J173+K236*K173+L236*L173+M236*M173+N236*N173+O236*O173+P236*P173+Q236*Q173+R236*R173+S236*S173+T236*T173+U236*U173+V236*V173+W236*W173+X236*X173+Y236*Y173+Z236*Z173+AA236*AA173+AB236*AB173+AC236*AC173+AD236*AD173+AE236*AE173+AF236*AF173+AG236*AG173+AH236*AH173+AI236*AI173+AJ236*AJ173+AK236*AK173+AL236*AL173+AM236*AM173+AN236*AN173+AO236*AO173+AP236*AP173+AQ236*AQ173+AR236*AR173+AS236*AS173+AT236*AT173+AU236*AU173+AV236*AV173+AW236*AW173+AX236*AX173+AY236*AY173+AZ236*AZ173+BA236*BA173+BB236*BB173+BC236*BC173+BD236*BD173+BE236*BE173+BF236*BF173+BG236*BG173+BH236*BH173+BI236*BI173+BJ236*BJ173+BK236*BK173+BL236*BL173+BM236*BM173+BN236*BN173+BO236*BO173+BP236*BP173+BQ236*BQ173+BR236*BR173+BS236*BS173+BT236*BT173+BU236*BU173+BV236*BV173+BW236*BW173+BX236*BX173+BY236*BY173+BZ236*BZ173+CA236*CA173+CB236*CB173+CC236*CC173+CD236*CD173+CE236*CE173+CF236*CF173+CG236*CG173+CH236*CH173+CI236*CI173+CJ236*CJ173+CK236*CK173</f>
        <v>0</v>
      </c>
      <c r="CO173" s="2295">
        <f>E237*E173+F237*F173+G237*G173+H237*H173+I237*I173+J237*J173+K237*K173+L237*L173+M237*M173+N237*N173+O237*O173+P237*P173+Q237*Q173+R237*R173+S237*S173+T237*T173+U237*U173+V237*V173+W237*W173+X237*X173+Y237*Y173+Z237*Z173+AA237*AA173+AB237*AB173+AC237*AC173+AD237*AD173+AE237*AE173+AF237*AF173+AG237*AG173+AH237*AH173+AI237*AI173+AJ237*AJ173+AK237*AK173+AL237*AL173+AM237*AM173+AN237*AN173+AO237*AO173+AP237*AP173+AQ237*AQ173+AR237*AR173+AS237*AS173+AT237*AT173+AU237*AU173+AV237*AV173+AW237*AW173+AX237*AX173+AY237*AY173+AZ237*AZ173+BA237*BA173+BB237*BB173+BC237*BC173+BD237*BD173+BE237*BE173+BF237*BF173+BG237*BG173+BH237*BH173+BI237*BI173+BJ237*BJ173+BK237*BK173+BL237*BL173+BM237*BM173+BN237*BN173+BO237*BO173+BP237*BP173+BQ237*BQ173+BR237*BR173+BS237*BS173+BT237*BT173+BU237*BU173+BV237*BV173+BW237*BW173+BX237*BX173+BY237*BY173+BZ237*BZ173+CA237*CA173+CB237*CB173+CC237*CC173+CD237*CD173+CE237*CE173+CF237*CF173+CG237*CG173+CH237*CH173+CI237*CI173+CJ237*CJ173+CK237*CK173</f>
        <v>-2.2204460492503131E-16</v>
      </c>
      <c r="CP173" s="2296">
        <f>E238*E173+F238*F173+G238*G173+H238*H173+I238*I173+J238*J173+K238*K173+L238*L173+M238*M173+N238*N173+O238*O173+P238*P173+Q238*Q173+R238*R173+S238*S173+T238*T173+U238*U173+V238*V173+W238*W173+X238*X173+Y238*Y173+Z238*Z173+AA238*AA173+AB238*AB173+AC238*AC173+AD238*AD173+AE238*AE173+AF238*AF173+AG238*AG173+AH238*AH173+AI238*AI173+AJ238*AJ173+AK238*AK173+AL238*AL173+AM238*AM173+AN238*AN173+AO238*AO173+AP238*AP173+AQ238*AQ173+AR238*AR173+AS238*AS173+AT238*AT173+AU238*AU173+AV238*AV173+AW238*AW173+AX238*AX173+AY238*AY173+AZ238*AZ173+BA238*BA173+BB238*BB173+BC238*BC173+BD238*BD173+BE238*BE173+BF238*BF173+BG238*BG173+BH238*BH173+BI238*BI173+BJ238*BJ173+BK238*BK173+BL238*BL173+BM238*BM173+BN238*BN173+BO238*BO173+BP238*BP173+BQ238*BQ173+BR238*BR173+BS238*BS173+BT238*BT173+BU238*BU173+BV238*BV173+BW238*BW173+BX238*BX173+BY238*BY173+BZ238*BZ173+CA238*CA173+CB238*CB173+CC238*CC173+CD238*CD173+CE238*CE173+CF238*CF173+CG238*CG173+CH238*CH173+CI238*CI173+CJ238*CJ173+CK238*CK173</f>
        <v>0</v>
      </c>
      <c r="CQ173" s="2297">
        <f>E239*E173+F239*F173+G239*G173+H239*H173+I239*I173+J239*J173+K239*K173+L239*L173+M239*M173+N239*N173+O239*O173+P239*P173+Q239*Q173+R239*R173+S239*S173+T239*T173+U239*U173+V239*V173+W239*W173+X239*X173+Y239*Y173+Z239*Z173+AA239*AA173+AB239*AB173+AC239*AC173+AD239*AD173+AE239*AE173+AF239*AF173+AG239*AG173+AH239*AH173+AI239*AI173+AJ239*AJ173+AK239*AK173+AL239*AL173+AM239*AM173+AN239*AN173+AO239*AO173+AP239*AP173+AQ239*AQ173+AR239*AR173+AS239*AS173+AT239*AT173+AU239*AU173+AV239*AV173+AW239*AW173+AX239*AX173+AY239*AY173+AZ239*AZ173+BA239*BA173+BB239*BB173+BC239*BC173+BD239*BD173+BE239*BE173+BF239*BF173+BG239*BG173+BH239*BH173+BI239*BI173+BJ239*BJ173+BK239*BK173+BL239*BL173+BM239*BM173+BN239*BN173+BO239*BO173+BP239*BP173+BQ239*BQ173+BR239*BR173+BS239*BS173+BT239*BT173+BU239*BU173+BV239*BV173+BW239*BW173+BX239*BX173+BY239*BY173+BZ239*BZ173+CA239*CA173+CB239*CB173+CC239*CC173+CD239*CD173+CE239*CE173+CF239*CF173+CG239*CG173+CH239*CH173+CI239*CI173+CJ239*CJ173+CK239*CK173</f>
        <v>0</v>
      </c>
      <c r="CR173" s="2297">
        <f>E240*E173+F240*F173+G240*G173+H240*H173+I240*I173+J240*J173+K240*K173+L240*L173+M240*M173+N240*N173+O240*O173+P240*P173+Q240*Q173+R240*R173+S240*S173+T240*T173+U240*U173+V240*V173+W240*W173+X240*X173+Y240*Y173+Z240*Z173+AA240*AA173+AB240*AB173+AC240*AC173+AD240*AD173+AE240*AE173+AF240*AF173+AG240*AG173+AH240*AH173+AI240*AI173+AJ240*AJ173+AK240*AK173+AL240*AL173+AM240*AM173+AN240*AN173+AO240*AO173+AP240*AP173+AQ240*AQ173+AR240*AR173+AS240*AS173+AT240*AT173+AU240*AU173+AV240*AV173+AW240*AW173+AX240*AX173+AY240*AY173+AZ240*AZ173+BA240*BA173+BB240*BB173+BC240*BC173+BD240*BD173+BE240*BE173+BF240*BF173+BG240*BG173+BH240*BH173+BI240*BI173+BJ240*BJ173+BK240*BK173+BL240*BL173+BM240*BM173+BN240*BN173+BO240*BO173+BP240*BP173+BQ240*BQ173+BR240*BR173+BS240*BS173+BT240*BT173+BU240*BU173+BV240*BV173+BW240*BW173+BX240*BX173+BY240*BY173+BZ240*BZ173+CA240*CA173+CB240*CB173+CC240*CC173+CD240*CD173+CE240*CE173+CF240*CF173+CG240*CG173+CH240*CH173+CI240*CI173+CJ240*CJ173+CK240*CK173</f>
        <v>0</v>
      </c>
      <c r="CS173" s="2297">
        <f>E241*E173+F241*F173+G241*G173+H241*H173+I241*I173+J241*J173+K241*K173+L241*L173+M241*M173+N241*N173+O241*O173+P241*P173+Q241*Q173+R241*R173+S241*S173+T241*T173+U241*U173+V241*V173+W241*W173+X241*X173+Y241*Y173+Z241*Z173+AA241*AA173+AB241*AB173+AC241*AC173+AD241*AD173+AE241*AE173+AF241*AF173+AG241*AG173+AH241*AH173+AI241*AI173+AJ241*AJ173+AK241*AK173+AL241*AL173+AM241*AM173+AN241*AN173+AO241*AO173+AP241*AP173+AQ241*AQ173+AR241*AR173+AS241*AS173+AT241*AT173+AU241*AU173+AV241*AV173+AW241*AW173+AX241*AX173+AY241*AY173+AZ241*AZ173+BA241*BA173+BB241*BB173+BC241*BC173+BD241*BD173+BE241*BE173+BF241*BF173+BG241*BG173+BH241*BH173+BI241*BI173+BJ241*BJ173+BK241*BK173+BL241*BL173+BM241*BM173+BN241*BN173+BO241*BO173+BP241*BP173+BQ241*BQ173+BR241*BR173+BS241*BS173+BT241*BT173+BU241*BU173+BV241*BV173+BW241*BW173+BX241*BX173+BY241*BY173+BZ241*BZ173+CA241*CA173+CB241*CB173+CC241*CC173+CD241*CD173+CE241*CE173+CF241*CF173+CG241*CG173+CH241*CH173+CI241*CI173+CJ241*CJ173+CK241*CK173</f>
        <v>0</v>
      </c>
      <c r="CT173" s="2297">
        <f>E242*E173+F242*F173+G242*G173+H242*H173+I242*I173+J242*J173+K242*K173+L242*L173+M242*M173+N242*N173+O242*O173+P242*P173+Q242*Q173+R242*R173+S242*S173+T242*T173+U242*U173+V242*V173+W242*W173+X242*X173+Y242*Y173+Z242*Z173+AA242*AA173+AB242*AB173+AC242*AC173+AD242*AD173+AE242*AE173+AF242*AF173+AG242*AG173+AH242*AH173+AI242*AI173+AJ242*AJ173+AK242*AK173+AL242*AL173+AM242*AM173+AN242*AN173+AO242*AO173+AP242*AP173+AQ242*AQ173+AR242*AR173+AS242*AS173+AT242*AT173+AU242*AU173+AV242*AV173+AW242*AW173+AX242*AX173+AY242*AY173+AZ242*AZ173+BA242*BA173+BB242*BB173+BC242*BC173+BD242*BD173+BE242*BE173+BF242*BF173+BG242*BG173+BH242*BH173+BI242*BI173+BJ242*BJ173+BK242*BK173+BL242*BL173+BM242*BM173+BN242*BN173+BO242*BO173+BP242*BP173+BQ242*BQ173+BR242*BR173+BS242*BS173+BT242*BT173+BU242*BU173+BV242*BV173+BW242*BW173+BX242*BX173+BY242*BY173+BZ242*BZ173+CA242*CA173+CB242*CB173+CC242*CC173+CD242*CD173+CE242*CE173+CF242*CF173+CG242*CG173+CH242*CH173+CI242*CI173+CJ242*CJ173+CK242*CK173</f>
        <v>0</v>
      </c>
      <c r="CU173" s="2297">
        <f>E243*E173+F243*F173+G243*G173+H243*H173+I243*I173+J243*J173+K243*K173+L243*L173+M243*M173+N243*N173+O243*O173+P243*P173+Q243*Q173+R243*R173+S243*S173+T243*T173+U243*U173+V243*V173+W243*W173+X243*X173+Y243*Y173+Z243*Z173+AA243*AA173+AB243*AB173+AC243*AC173+AD243*AD173+AE243*AE173+AF243*AF173+AG243*AG173+AH243*AH173+AI243*AI173+AJ243*AJ173+AK243*AK173+AL243*AL173+AM243*AM173+AN243*AN173+AO243*AO173+AP243*AP173+AQ243*AQ173+AR243*AR173+AS243*AS173+AT243*AT173+AU243*AU173+AV243*AV173+AW243*AW173+AX243*AX173+AY243*AY173+AZ243*AZ173+BA243*BA173+BB243*BB173+BC243*BC173+BD243*BD173+BE243*BE173+BF243*BF173+BG243*BG173+BH243*BH173+BI243*BI173+BJ243*BJ173+BK243*BK173+BL243*BL173+BM243*BM173+BN243*BN173+BO243*BO173+BP243*BP173+BQ243*BQ173+BR243*BR173+BS243*BS173+BT243*BT173+BU243*BU173+BV243*BV173+BW243*BW173+BX243*BX173+BY243*BY173+BZ243*BZ173+CA243*CA173+CB243*CB173+CC243*CC173+CD243*CD173+CE243*CE173+CF243*CF173+CG243*CG173+CH243*CH173+CI243*CI173+CJ243*CJ173+CK243*CK173</f>
        <v>0</v>
      </c>
      <c r="CV173" s="2297">
        <f>E244*E173+F244*F173+G244*G173+H244*H173+I244*I173+J244*J173+K244*K173+L244*L173+M244*M173+N244*N173+O244*O173+P244*P173+Q244*Q173+R244*R173+S244*S173+T244*T173+U244*U173+V244*V173+W244*W173+X244*X173+Y244*Y173+Z244*Z173+AA244*AA173+AB244*AB173+AC244*AC173+AD244*AD173+AE244*AE173+AF244*AF173+AG244*AG173+AH244*AH173+AI244*AI173+AJ244*AJ173+AK244*AK173+AL244*AL173+AM244*AM173+AN244*AN173+AO244*AO173+AP244*AP173+AQ244*AQ173+AR244*AR173+AS244*AS173+AT244*AT173+AU244*AU173+AV244*AV173+AW244*AW173+AX244*AX173+AY244*AY173+AZ244*AZ173+BA244*BA173+BB244*BB173+BC244*BC173+BD244*BD173+BE244*BE173+BF244*BF173+BG244*BG173+BH244*BH173+BI244*BI173+BJ244*BJ173+BK244*BK173+BL244*BL173+BM244*BM173+BN244*BN173+BO244*BO173+BP244*BP173+BQ244*BQ173+BR244*BR173+BS244*BS173+BT244*BT173+BU244*BU173+BV244*BV173+BW244*BW173+BX244*BX173+BY244*BY173+BZ244*BZ173+CA244*CA173+CB244*CB173+CC244*CC173+CD244*CD173+CE244*CE173+CF244*CF173+CG244*CG173+CH244*CH173+CI244*CI173+CJ244*CJ173+CK244*CK173</f>
        <v>0</v>
      </c>
      <c r="CW173" s="2297">
        <f>E245*E173+F245*F173+G245*G173+H245*H173+I245*I173+J245*J173+K245*K173+L245*L173+M245*M173+N245*N173+O245*O173+P245*P173+Q245*Q173+R245*R173+S245*S173+T245*T173+U245*U173+V245*V173+W245*W173+X245*X173+Y245*Y173+Z245*Z173+AA245*AA173+AB245*AB173+AC245*AC173+AD245*AD173+AE245*AE173+AF245*AF173+AG245*AG173+AH245*AH173+AI245*AI173+AJ245*AJ173+AK245*AK173+AL245*AL173+AM245*AM173+AN245*AN173+AO245*AO173+AP245*AP173+AQ245*AQ173+AR245*AR173+AS245*AS173+AT245*AT173+AU245*AU173+AV245*AV173+AW245*AW173+AX245*AX173+AY245*AY173+AZ245*AZ173+BA245*BA173+BB245*BB173+BC245*BC173+BD245*BD173+BE245*BE173+BF245*BF173+BG245*BG173+BH245*BH173+BI245*BI173+BJ245*BJ173+BK245*BK173+BL245*BL173+BM245*BM173+BN245*BN173+BO245*BO173+BP245*BP173+BQ245*BQ173+BR245*BR173+BS245*BS173+BT245*BT173+BU245*BU173+BV245*BV173+BW245*BW173+BX245*BX173+BY245*BY173+BZ245*BZ173+CA245*CA173+CB245*CB173+CC245*CC173+CD245*CD173+CE245*CE173+CF245*CF173+CG245*CG173+CH245*CH173+CI245*CI173+CJ245*CJ173+CK245*CK173</f>
        <v>0</v>
      </c>
      <c r="CX173" s="2297">
        <f>E246*E173+F246*F173+G246*G173+H246*H173+I246*I173+J246*J173+K246*K173+L246*L173+M246*M173+N246*N173+O246*O173+P246*P173+Q246*Q173+R246*R173+S246*S173+T246*T173+U246*U173+V246*V173+W246*W173+X246*X173+Y246*Y173+Z246*Z173+AA246*AA173+AB246*AB173+AC246*AC173+AD246*AD173+AE246*AE173+AF246*AF173+AG246*AG173+AH246*AH173+AI246*AI173+AJ246*AJ173+AK246*AK173+AL246*AL173+AM246*AM173+AN246*AN173+AO246*AO173+AP246*AP173+AQ246*AQ173+AR246*AR173+AS246*AS173+AT246*AT173+AU246*AU173+AV246*AV173+AW246*AW173+AX246*AX173+AY246*AY173+AZ246*AZ173+BA246*BA173+BB246*BB173+BC246*BC173+BD246*BD173+BE246*BE173+BF246*BF173+BG246*BG173+BH246*BH173+BI246*BI173+BJ246*BJ173+BK246*BK173+BL246*BL173+BM246*BM173+BN246*BN173+BO246*BO173+BP246*BP173+BQ246*BQ173+BR246*BR173+BS246*BS173+BT246*BT173+BU246*BU173+BV246*BV173+BW246*BW173+BX246*BX173+BY246*BY173+BZ246*BZ173+CA246*CA173+CB246*CB173+CC246*CC173+CD246*CD173+CE246*CE173+CF246*CF173+CG246*CG173+CH246*CH173+CI246*CI173+CJ246*CJ173+CK246*CK173</f>
        <v>0</v>
      </c>
    </row>
    <row r="174" spans="2:102" ht="18" x14ac:dyDescent="0.25">
      <c r="B174" s="1249">
        <v>47</v>
      </c>
      <c r="C174" s="1196" t="s">
        <v>464</v>
      </c>
      <c r="D174" s="608" t="s">
        <v>294</v>
      </c>
      <c r="E174" s="2667">
        <f>0</f>
        <v>0</v>
      </c>
      <c r="F174" s="2667">
        <f>0</f>
        <v>0</v>
      </c>
      <c r="G174" s="2667">
        <f>0</f>
        <v>0</v>
      </c>
      <c r="H174" s="2667">
        <f>0</f>
        <v>0</v>
      </c>
      <c r="I174" s="2667">
        <f>0</f>
        <v>0</v>
      </c>
      <c r="J174" s="2667">
        <f>1-f_E</f>
        <v>0.92</v>
      </c>
      <c r="K174" s="2667">
        <f>0</f>
        <v>0</v>
      </c>
      <c r="L174" s="2667">
        <f>0</f>
        <v>0</v>
      </c>
      <c r="M174" s="2667">
        <f>0</f>
        <v>0</v>
      </c>
      <c r="N174" s="2667">
        <f>0</f>
        <v>0</v>
      </c>
      <c r="O174" s="2667">
        <f>0</f>
        <v>0</v>
      </c>
      <c r="P174" s="2667">
        <f>f_E</f>
        <v>0.08</v>
      </c>
      <c r="Q174" s="2667">
        <f>0</f>
        <v>0</v>
      </c>
      <c r="R174" s="2667">
        <f>0</f>
        <v>0</v>
      </c>
      <c r="S174" s="2667">
        <f>0</f>
        <v>0</v>
      </c>
      <c r="T174" s="2667">
        <f>0</f>
        <v>0</v>
      </c>
      <c r="U174" s="2667">
        <f>0</f>
        <v>0</v>
      </c>
      <c r="V174" s="2667">
        <f>0</f>
        <v>0</v>
      </c>
      <c r="W174" s="2667">
        <f>0</f>
        <v>0</v>
      </c>
      <c r="X174" s="2667">
        <f>-1</f>
        <v>-1</v>
      </c>
      <c r="Y174" s="2667">
        <f>0</f>
        <v>0</v>
      </c>
      <c r="Z174" s="2718">
        <f>0</f>
        <v>0</v>
      </c>
      <c r="AA174" s="2667">
        <f>-f_E*(i_N_XE-i_N_BIO)</f>
        <v>8.0000000000000069E-4</v>
      </c>
      <c r="AB174" s="2667">
        <f>0</f>
        <v>0</v>
      </c>
      <c r="AC174" s="2667">
        <f>0</f>
        <v>0</v>
      </c>
      <c r="AD174" s="2667">
        <f>0</f>
        <v>0</v>
      </c>
      <c r="AE174" s="2667">
        <f>0</f>
        <v>0</v>
      </c>
      <c r="AF174" s="2667">
        <f>0</f>
        <v>0</v>
      </c>
      <c r="AG174" s="2667">
        <f>(1-f_E)*i_N_BIO</f>
        <v>6.4400000000000013E-2</v>
      </c>
      <c r="AH174" s="2667">
        <f>0</f>
        <v>0</v>
      </c>
      <c r="AI174" s="2666">
        <f>0</f>
        <v>0</v>
      </c>
      <c r="AJ174" s="2667">
        <f>0</f>
        <v>0</v>
      </c>
      <c r="AK174" s="2667">
        <f>0</f>
        <v>0</v>
      </c>
      <c r="AL174" s="2667">
        <f>0</f>
        <v>0</v>
      </c>
      <c r="AM174" s="2667">
        <f>(1-f_E)*i_P_BIO</f>
        <v>1.84E-2</v>
      </c>
      <c r="AN174" s="2667">
        <f>0</f>
        <v>0</v>
      </c>
      <c r="AO174" s="2667">
        <f>0</f>
        <v>0</v>
      </c>
      <c r="AP174" s="2667">
        <f>0</f>
        <v>0</v>
      </c>
      <c r="AQ174" s="2667">
        <f>0</f>
        <v>0</v>
      </c>
      <c r="AR174" s="2736">
        <f>(1-f_E)*(i_CIT_BIO-i_CIT_XBe)</f>
        <v>6.0720000000000003E-2</v>
      </c>
      <c r="AS174" s="2736">
        <f>0</f>
        <v>0</v>
      </c>
      <c r="AT174" s="2736">
        <f>0</f>
        <v>0</v>
      </c>
      <c r="AU174" s="2736">
        <f>0</f>
        <v>0</v>
      </c>
      <c r="AV174" s="2736">
        <f>0</f>
        <v>0</v>
      </c>
      <c r="AW174" s="2736">
        <f>0</f>
        <v>0</v>
      </c>
      <c r="AX174" s="2736">
        <f>0</f>
        <v>0</v>
      </c>
      <c r="AY174" s="2667">
        <f>0</f>
        <v>0</v>
      </c>
      <c r="AZ174" s="2667">
        <f>0</f>
        <v>0</v>
      </c>
      <c r="BA174" s="2667">
        <f>0</f>
        <v>0</v>
      </c>
      <c r="BB174" s="2667">
        <f>0</f>
        <v>0</v>
      </c>
      <c r="BC174" s="2667">
        <f>0</f>
        <v>0</v>
      </c>
      <c r="BD174" s="2667">
        <f>0</f>
        <v>0</v>
      </c>
      <c r="BE174" s="2667">
        <f>0</f>
        <v>0</v>
      </c>
      <c r="BF174" s="2667">
        <f>0</f>
        <v>0</v>
      </c>
      <c r="BG174" s="2667">
        <f>0</f>
        <v>0</v>
      </c>
      <c r="BH174" s="2667">
        <f>0</f>
        <v>0</v>
      </c>
      <c r="BI174" s="2667">
        <f>0</f>
        <v>0</v>
      </c>
      <c r="BJ174" s="2667">
        <f>0</f>
        <v>0</v>
      </c>
      <c r="BK174" s="2667">
        <f>0</f>
        <v>0</v>
      </c>
      <c r="BL174" s="2667">
        <f>0</f>
        <v>0</v>
      </c>
      <c r="BM174" s="2667">
        <f>0</f>
        <v>0</v>
      </c>
      <c r="BN174" s="2667">
        <f>0</f>
        <v>0</v>
      </c>
      <c r="BO174" s="2667">
        <f>0</f>
        <v>0</v>
      </c>
      <c r="BP174" s="2760">
        <f>0</f>
        <v>0</v>
      </c>
      <c r="BQ174" s="2667">
        <f>0</f>
        <v>0</v>
      </c>
      <c r="BR174" s="2667">
        <f>0</f>
        <v>0</v>
      </c>
      <c r="BS174" s="2718">
        <f>0</f>
        <v>0</v>
      </c>
      <c r="BT174" s="2718">
        <f>0</f>
        <v>0</v>
      </c>
      <c r="BU174" s="2718">
        <f>0</f>
        <v>0</v>
      </c>
      <c r="BV174" s="2718">
        <f>0</f>
        <v>0</v>
      </c>
      <c r="BW174" s="2667">
        <f>0</f>
        <v>0</v>
      </c>
      <c r="BX174" s="2781">
        <f>0</f>
        <v>0</v>
      </c>
      <c r="BY174" s="2718">
        <f>0</f>
        <v>0</v>
      </c>
      <c r="BZ174" s="2667">
        <f>0</f>
        <v>0</v>
      </c>
      <c r="CA174" s="2667">
        <f>0</f>
        <v>0</v>
      </c>
      <c r="CB174" s="2667">
        <f>0</f>
        <v>0</v>
      </c>
      <c r="CC174" s="2667">
        <f>0</f>
        <v>0</v>
      </c>
      <c r="CD174" s="2667">
        <f>0</f>
        <v>0</v>
      </c>
      <c r="CE174" s="2667">
        <f>0</f>
        <v>0</v>
      </c>
      <c r="CF174" s="2667">
        <f>0</f>
        <v>0</v>
      </c>
      <c r="CG174" s="2667">
        <f>0</f>
        <v>0</v>
      </c>
      <c r="CH174" s="2667">
        <f>0</f>
        <v>0</v>
      </c>
      <c r="CI174" s="2667">
        <f>0</f>
        <v>0</v>
      </c>
      <c r="CJ174" s="2667">
        <f>0</f>
        <v>0</v>
      </c>
      <c r="CK174" s="2667">
        <f>0</f>
        <v>0</v>
      </c>
      <c r="CL174" s="2806">
        <f>b_AMETO_T*X_AMETO*(m_tox_aer*M_satSO2_KiO2_AMETO+m_tox_anox*M_satSNOx_KNO3_AMETO*M_inhSO2_KiO2_AMETO)</f>
        <v>8.8891783092588217E-2</v>
      </c>
      <c r="CN174" s="2295">
        <f>E236*E174+F236*F174+G236*G174+H236*H174+I236*I174+J236*J174+K236*K174+L236*L174+M236*M174+N236*N174+O236*O174+P236*P174+Q236*Q174+R236*R174+S236*S174+T236*T174+U236*U174+V236*V174+W236*W174+X236*X174+Y236*Y174+Z236*Z174+AA236*AA174+AB236*AB174+AC236*AC174+AD236*AD174+AE236*AE174+AF236*AF174+AG236*AG174+AH236*AH174+AI236*AI174+AJ236*AJ174+AK236*AK174+AL236*AL174+AM236*AM174+AN236*AN174+AO236*AO174+AP236*AP174+AQ236*AQ174+AR236*AR174+AS236*AS174+AT236*AT174+AU236*AU174+AV236*AV174+AW236*AW174+AX236*AX174+AY236*AY174+AZ236*AZ174+BA236*BA174+BB236*BB174+BC236*BC174+BD236*BD174+BE236*BE174+BF236*BF174+BG236*BG174+BH236*BH174+BI236*BI174+BJ236*BJ174+BK236*BK174+BL236*BL174+BM236*BM174+BN236*BN174+BO236*BO174+BP236*BP174+BQ236*BQ174+BR236*BR174+BS236*BS174+BT236*BT174+BU236*BU174+BV236*BV174+BW236*BW174+BX236*BX174+BY236*BY174+BZ236*BZ174+CA236*CA174+CB236*CB174+CC236*CC174+CD236*CD174+CE236*CE174+CF236*CF174+CG236*CG174+CH236*CH174+CI236*CI174+CJ236*CJ174+CK236*CK174</f>
        <v>0</v>
      </c>
      <c r="CO174" s="2295">
        <f>E237*E174+F237*F174+G237*G174+H237*H174+I237*I174+J237*J174+K237*K174+L237*L174+M237*M174+N237*N174+O237*O174+P237*P174+Q237*Q174+R237*R174+S237*S174+T237*T174+U237*U174+V237*V174+W237*W174+X237*X174+Y237*Y174+Z237*Z174+AA237*AA174+AB237*AB174+AC237*AC174+AD237*AD174+AE237*AE174+AF237*AF174+AG237*AG174+AH237*AH174+AI237*AI174+AJ237*AJ174+AK237*AK174+AL237*AL174+AM237*AM174+AN237*AN174+AO237*AO174+AP237*AP174+AQ237*AQ174+AR237*AR174+AS237*AS174+AT237*AT174+AU237*AU174+AV237*AV174+AW237*AW174+AX237*AX174+AY237*AY174+AZ237*AZ174+BA237*BA174+BB237*BB174+BC237*BC174+BD237*BD174+BE237*BE174+BF237*BF174+BG237*BG174+BH237*BH174+BI237*BI174+BJ237*BJ174+BK237*BK174+BL237*BL174+BM237*BM174+BN237*BN174+BO237*BO174+BP237*BP174+BQ237*BQ174+BR237*BR174+BS237*BS174+BT237*BT174+BU237*BU174+BV237*BV174+BW237*BW174+BX237*BX174+BY237*BY174+BZ237*BZ174+CA237*CA174+CB237*CB174+CC237*CC174+CD237*CD174+CE237*CE174+CF237*CF174+CG237*CG174+CH237*CH174+CI237*CI174+CJ237*CJ174+CK237*CK174</f>
        <v>6.9388939039072284E-18</v>
      </c>
      <c r="CP174" s="2296">
        <f>E238*E174+F238*F174+G238*G174+H238*H174+I238*I174+J238*J174+K238*K174+L238*L174+M238*M174+N238*N174+O238*O174+P238*P174+Q238*Q174+R238*R174+S238*S174+T238*T174+U238*U174+V238*V174+W238*W174+X238*X174+Y238*Y174+Z238*Z174+AA238*AA174+AB238*AB174+AC238*AC174+AD238*AD174+AE238*AE174+AF238*AF174+AG238*AG174+AH238*AH174+AI238*AI174+AJ238*AJ174+AK238*AK174+AL238*AL174+AM238*AM174+AN238*AN174+AO238*AO174+AP238*AP174+AQ238*AQ174+AR238*AR174+AS238*AS174+AT238*AT174+AU238*AU174+AV238*AV174+AW238*AW174+AX238*AX174+AY238*AY174+AZ238*AZ174+BA238*BA174+BB238*BB174+BC238*BC174+BD238*BD174+BE238*BE174+BF238*BF174+BG238*BG174+BH238*BH174+BI238*BI174+BJ238*BJ174+BK238*BK174+BL238*BL174+BM238*BM174+BN238*BN174+BO238*BO174+BP238*BP174+BQ238*BQ174+BR238*BR174+BS238*BS174+BT238*BT174+BU238*BU174+BV238*BV174+BW238*BW174+BX238*BX174+BY238*BY174+BZ238*BZ174+CA238*CA174+CB238*CB174+CC238*CC174+CD238*CD174+CE238*CE174+CF238*CF174+CG238*CG174+CH238*CH174+CI238*CI174+CJ238*CJ174+CK238*CK174</f>
        <v>0</v>
      </c>
      <c r="CQ174" s="2297">
        <f>E239*E174+F239*F174+G239*G174+H239*H174+I239*I174+J239*J174+K239*K174+L239*L174+M239*M174+N239*N174+O239*O174+P239*P174+Q239*Q174+R239*R174+S239*S174+T239*T174+U239*U174+V239*V174+W239*W174+X239*X174+Y239*Y174+Z239*Z174+AA239*AA174+AB239*AB174+AC239*AC174+AD239*AD174+AE239*AE174+AF239*AF174+AG239*AG174+AH239*AH174+AI239*AI174+AJ239*AJ174+AK239*AK174+AL239*AL174+AM239*AM174+AN239*AN174+AO239*AO174+AP239*AP174+AQ239*AQ174+AR239*AR174+AS239*AS174+AT239*AT174+AU239*AU174+AV239*AV174+AW239*AW174+AX239*AX174+AY239*AY174+AZ239*AZ174+BA239*BA174+BB239*BB174+BC239*BC174+BD239*BD174+BE239*BE174+BF239*BF174+BG239*BG174+BH239*BH174+BI239*BI174+BJ239*BJ174+BK239*BK174+BL239*BL174+BM239*BM174+BN239*BN174+BO239*BO174+BP239*BP174+BQ239*BQ174+BR239*BR174+BS239*BS174+BT239*BT174+BU239*BU174+BV239*BV174+BW239*BW174+BX239*BX174+BY239*BY174+BZ239*BZ174+CA239*CA174+CB239*CB174+CC239*CC174+CD239*CD174+CE239*CE174+CF239*CF174+CG239*CG174+CH239*CH174+CI239*CI174+CJ239*CJ174+CK239*CK174</f>
        <v>0</v>
      </c>
      <c r="CR174" s="2297">
        <f>E240*E174+F240*F174+G240*G174+H240*H174+I240*I174+J240*J174+K240*K174+L240*L174+M240*M174+N240*N174+O240*O174+P240*P174+Q240*Q174+R240*R174+S240*S174+T240*T174+U240*U174+V240*V174+W240*W174+X240*X174+Y240*Y174+Z240*Z174+AA240*AA174+AB240*AB174+AC240*AC174+AD240*AD174+AE240*AE174+AF240*AF174+AG240*AG174+AH240*AH174+AI240*AI174+AJ240*AJ174+AK240*AK174+AL240*AL174+AM240*AM174+AN240*AN174+AO240*AO174+AP240*AP174+AQ240*AQ174+AR240*AR174+AS240*AS174+AT240*AT174+AU240*AU174+AV240*AV174+AW240*AW174+AX240*AX174+AY240*AY174+AZ240*AZ174+BA240*BA174+BB240*BB174+BC240*BC174+BD240*BD174+BE240*BE174+BF240*BF174+BG240*BG174+BH240*BH174+BI240*BI174+BJ240*BJ174+BK240*BK174+BL240*BL174+BM240*BM174+BN240*BN174+BO240*BO174+BP240*BP174+BQ240*BQ174+BR240*BR174+BS240*BS174+BT240*BT174+BU240*BU174+BV240*BV174+BW240*BW174+BX240*BX174+BY240*BY174+BZ240*BZ174+CA240*CA174+CB240*CB174+CC240*CC174+CD240*CD174+CE240*CE174+CF240*CF174+CG240*CG174+CH240*CH174+CI240*CI174+CJ240*CJ174+CK240*CK174</f>
        <v>0</v>
      </c>
      <c r="CS174" s="2297">
        <f>E241*E174+F241*F174+G241*G174+H241*H174+I241*I174+J241*J174+K241*K174+L241*L174+M241*M174+N241*N174+O241*O174+P241*P174+Q241*Q174+R241*R174+S241*S174+T241*T174+U241*U174+V241*V174+W241*W174+X241*X174+Y241*Y174+Z241*Z174+AA241*AA174+AB241*AB174+AC241*AC174+AD241*AD174+AE241*AE174+AF241*AF174+AG241*AG174+AH241*AH174+AI241*AI174+AJ241*AJ174+AK241*AK174+AL241*AL174+AM241*AM174+AN241*AN174+AO241*AO174+AP241*AP174+AQ241*AQ174+AR241*AR174+AS241*AS174+AT241*AT174+AU241*AU174+AV241*AV174+AW241*AW174+AX241*AX174+AY241*AY174+AZ241*AZ174+BA241*BA174+BB241*BB174+BC241*BC174+BD241*BD174+BE241*BE174+BF241*BF174+BG241*BG174+BH241*BH174+BI241*BI174+BJ241*BJ174+BK241*BK174+BL241*BL174+BM241*BM174+BN241*BN174+BO241*BO174+BP241*BP174+BQ241*BQ174+BR241*BR174+BS241*BS174+BT241*BT174+BU241*BU174+BV241*BV174+BW241*BW174+BX241*BX174+BY241*BY174+BZ241*BZ174+CA241*CA174+CB241*CB174+CC241*CC174+CD241*CD174+CE241*CE174+CF241*CF174+CG241*CG174+CH241*CH174+CI241*CI174+CJ241*CJ174+CK241*CK174</f>
        <v>0</v>
      </c>
      <c r="CT174" s="2297">
        <f>E242*E174+F242*F174+G242*G174+H242*H174+I242*I174+J242*J174+K242*K174+L242*L174+M242*M174+N242*N174+O242*O174+P242*P174+Q242*Q174+R242*R174+S242*S174+T242*T174+U242*U174+V242*V174+W242*W174+X242*X174+Y242*Y174+Z242*Z174+AA242*AA174+AB242*AB174+AC242*AC174+AD242*AD174+AE242*AE174+AF242*AF174+AG242*AG174+AH242*AH174+AI242*AI174+AJ242*AJ174+AK242*AK174+AL242*AL174+AM242*AM174+AN242*AN174+AO242*AO174+AP242*AP174+AQ242*AQ174+AR242*AR174+AS242*AS174+AT242*AT174+AU242*AU174+AV242*AV174+AW242*AW174+AX242*AX174+AY242*AY174+AZ242*AZ174+BA242*BA174+BB242*BB174+BC242*BC174+BD242*BD174+BE242*BE174+BF242*BF174+BG242*BG174+BH242*BH174+BI242*BI174+BJ242*BJ174+BK242*BK174+BL242*BL174+BM242*BM174+BN242*BN174+BO242*BO174+BP242*BP174+BQ242*BQ174+BR242*BR174+BS242*BS174+BT242*BT174+BU242*BU174+BV242*BV174+BW242*BW174+BX242*BX174+BY242*BY174+BZ242*BZ174+CA242*CA174+CB242*CB174+CC242*CC174+CD242*CD174+CE242*CE174+CF242*CF174+CG242*CG174+CH242*CH174+CI242*CI174+CJ242*CJ174+CK242*CK174</f>
        <v>0</v>
      </c>
      <c r="CU174" s="2297">
        <f>E243*E174+F243*F174+G243*G174+H243*H174+I243*I174+J243*J174+K243*K174+L243*L174+M243*M174+N243*N174+O243*O174+P243*P174+Q243*Q174+R243*R174+S243*S174+T243*T174+U243*U174+V243*V174+W243*W174+X243*X174+Y243*Y174+Z243*Z174+AA243*AA174+AB243*AB174+AC243*AC174+AD243*AD174+AE243*AE174+AF243*AF174+AG243*AG174+AH243*AH174+AI243*AI174+AJ243*AJ174+AK243*AK174+AL243*AL174+AM243*AM174+AN243*AN174+AO243*AO174+AP243*AP174+AQ243*AQ174+AR243*AR174+AS243*AS174+AT243*AT174+AU243*AU174+AV243*AV174+AW243*AW174+AX243*AX174+AY243*AY174+AZ243*AZ174+BA243*BA174+BB243*BB174+BC243*BC174+BD243*BD174+BE243*BE174+BF243*BF174+BG243*BG174+BH243*BH174+BI243*BI174+BJ243*BJ174+BK243*BK174+BL243*BL174+BM243*BM174+BN243*BN174+BO243*BO174+BP243*BP174+BQ243*BQ174+BR243*BR174+BS243*BS174+BT243*BT174+BU243*BU174+BV243*BV174+BW243*BW174+BX243*BX174+BY243*BY174+BZ243*BZ174+CA243*CA174+CB243*CB174+CC243*CC174+CD243*CD174+CE243*CE174+CF243*CF174+CG243*CG174+CH243*CH174+CI243*CI174+CJ243*CJ174+CK243*CK174</f>
        <v>0</v>
      </c>
      <c r="CV174" s="2297">
        <f>E244*E174+F244*F174+G244*G174+H244*H174+I244*I174+J244*J174+K244*K174+L244*L174+M244*M174+N244*N174+O244*O174+P244*P174+Q244*Q174+R244*R174+S244*S174+T244*T174+U244*U174+V244*V174+W244*W174+X244*X174+Y244*Y174+Z244*Z174+AA244*AA174+AB244*AB174+AC244*AC174+AD244*AD174+AE244*AE174+AF244*AF174+AG244*AG174+AH244*AH174+AI244*AI174+AJ244*AJ174+AK244*AK174+AL244*AL174+AM244*AM174+AN244*AN174+AO244*AO174+AP244*AP174+AQ244*AQ174+AR244*AR174+AS244*AS174+AT244*AT174+AU244*AU174+AV244*AV174+AW244*AW174+AX244*AX174+AY244*AY174+AZ244*AZ174+BA244*BA174+BB244*BB174+BC244*BC174+BD244*BD174+BE244*BE174+BF244*BF174+BG244*BG174+BH244*BH174+BI244*BI174+BJ244*BJ174+BK244*BK174+BL244*BL174+BM244*BM174+BN244*BN174+BO244*BO174+BP244*BP174+BQ244*BQ174+BR244*BR174+BS244*BS174+BT244*BT174+BU244*BU174+BV244*BV174+BW244*BW174+BX244*BX174+BY244*BY174+BZ244*BZ174+CA244*CA174+CB244*CB174+CC244*CC174+CD244*CD174+CE244*CE174+CF244*CF174+CG244*CG174+CH244*CH174+CI244*CI174+CJ244*CJ174+CK244*CK174</f>
        <v>0</v>
      </c>
      <c r="CW174" s="2297">
        <f>E245*E174+F245*F174+G245*G174+H245*H174+I245*I174+J245*J174+K245*K174+L245*L174+M245*M174+N245*N174+O245*O174+P245*P174+Q245*Q174+R245*R174+S245*S174+T245*T174+U245*U174+V245*V174+W245*W174+X245*X174+Y245*Y174+Z245*Z174+AA245*AA174+AB245*AB174+AC245*AC174+AD245*AD174+AE245*AE174+AF245*AF174+AG245*AG174+AH245*AH174+AI245*AI174+AJ245*AJ174+AK245*AK174+AL245*AL174+AM245*AM174+AN245*AN174+AO245*AO174+AP245*AP174+AQ245*AQ174+AR245*AR174+AS245*AS174+AT245*AT174+AU245*AU174+AV245*AV174+AW245*AW174+AX245*AX174+AY245*AY174+AZ245*AZ174+BA245*BA174+BB245*BB174+BC245*BC174+BD245*BD174+BE245*BE174+BF245*BF174+BG245*BG174+BH245*BH174+BI245*BI174+BJ245*BJ174+BK245*BK174+BL245*BL174+BM245*BM174+BN245*BN174+BO245*BO174+BP245*BP174+BQ245*BQ174+BR245*BR174+BS245*BS174+BT245*BT174+BU245*BU174+BV245*BV174+BW245*BW174+BX245*BX174+BY245*BY174+BZ245*BZ174+CA245*CA174+CB245*CB174+CC245*CC174+CD245*CD174+CE245*CE174+CF245*CF174+CG245*CG174+CH245*CH174+CI245*CI174+CJ245*CJ174+CK245*CK174</f>
        <v>0</v>
      </c>
      <c r="CX174" s="2297">
        <f>E246*E174+F246*F174+G246*G174+H246*H174+I246*I174+J246*J174+K246*K174+L246*L174+M246*M174+N246*N174+O246*O174+P246*P174+Q246*Q174+R246*R174+S246*S174+T246*T174+U246*U174+V246*V174+W246*W174+X246*X174+Y246*Y174+Z246*Z174+AA246*AA174+AB246*AB174+AC246*AC174+AD246*AD174+AE246*AE174+AF246*AF174+AG246*AG174+AH246*AH174+AI246*AI174+AJ246*AJ174+AK246*AK174+AL246*AL174+AM246*AM174+AN246*AN174+AO246*AO174+AP246*AP174+AQ246*AQ174+AR246*AR174+AS246*AS174+AT246*AT174+AU246*AU174+AV246*AV174+AW246*AW174+AX246*AX174+AY246*AY174+AZ246*AZ174+BA246*BA174+BB246*BB174+BC246*BC174+BD246*BD174+BE246*BE174+BF246*BF174+BG246*BG174+BH246*BH174+BI246*BI174+BJ246*BJ174+BK246*BK174+BL246*BL174+BM246*BM174+BN246*BN174+BO246*BO174+BP246*BP174+BQ246*BQ174+BR246*BR174+BS246*BS174+BT246*BT174+BU246*BU174+BV246*BV174+BW246*BW174+BX246*BX174+BY246*BY174+BZ246*BZ174+CA246*CA174+CB246*CB174+CC246*CC174+CD246*CD174+CE246*CE174+CF246*CF174+CG246*CG174+CH246*CH174+CI246*CI174+CJ246*CJ174+CK246*CK174</f>
        <v>0</v>
      </c>
    </row>
    <row r="175" spans="2:102" ht="18" x14ac:dyDescent="0.25">
      <c r="B175" s="1249">
        <v>48</v>
      </c>
      <c r="C175" s="1196" t="s">
        <v>465</v>
      </c>
      <c r="D175" s="608" t="s">
        <v>2980</v>
      </c>
      <c r="E175" s="2667">
        <f>0</f>
        <v>0</v>
      </c>
      <c r="F175" s="2667">
        <f>0</f>
        <v>0</v>
      </c>
      <c r="G175" s="2667">
        <f>0</f>
        <v>0</v>
      </c>
      <c r="H175" s="2667">
        <f>0</f>
        <v>0</v>
      </c>
      <c r="I175" s="2667">
        <f>0</f>
        <v>0</v>
      </c>
      <c r="J175" s="2667">
        <f>1-f_E</f>
        <v>0.92</v>
      </c>
      <c r="K175" s="2667">
        <f>0</f>
        <v>0</v>
      </c>
      <c r="L175" s="2667">
        <f>0</f>
        <v>0</v>
      </c>
      <c r="M175" s="2667">
        <f>0</f>
        <v>0</v>
      </c>
      <c r="N175" s="2667">
        <f>0</f>
        <v>0</v>
      </c>
      <c r="O175" s="2667">
        <f>0</f>
        <v>0</v>
      </c>
      <c r="P175" s="2667">
        <f>0</f>
        <v>0</v>
      </c>
      <c r="Q175" s="2667">
        <f>f_E</f>
        <v>0.08</v>
      </c>
      <c r="R175" s="2667">
        <f>0</f>
        <v>0</v>
      </c>
      <c r="S175" s="2667">
        <f>0</f>
        <v>0</v>
      </c>
      <c r="T175" s="2667">
        <f>0</f>
        <v>0</v>
      </c>
      <c r="U175" s="2667">
        <f>0</f>
        <v>0</v>
      </c>
      <c r="V175" s="2667">
        <f>0</f>
        <v>0</v>
      </c>
      <c r="W175" s="2667">
        <f>0</f>
        <v>0</v>
      </c>
      <c r="X175" s="2667">
        <f>-1</f>
        <v>-1</v>
      </c>
      <c r="Y175" s="2667">
        <f>0</f>
        <v>0</v>
      </c>
      <c r="Z175" s="2718">
        <f>0</f>
        <v>0</v>
      </c>
      <c r="AA175" s="2667">
        <f>-f_E*(i_N_XE-i_N_BIO)</f>
        <v>8.0000000000000069E-4</v>
      </c>
      <c r="AB175" s="2667">
        <f>0</f>
        <v>0</v>
      </c>
      <c r="AC175" s="2667">
        <f>0</f>
        <v>0</v>
      </c>
      <c r="AD175" s="2667">
        <f>0</f>
        <v>0</v>
      </c>
      <c r="AE175" s="2667">
        <f>0</f>
        <v>0</v>
      </c>
      <c r="AF175" s="2667">
        <f>0</f>
        <v>0</v>
      </c>
      <c r="AG175" s="2667">
        <f>(1-f_E)*i_N_BIO</f>
        <v>6.4400000000000013E-2</v>
      </c>
      <c r="AH175" s="2667">
        <f>0</f>
        <v>0</v>
      </c>
      <c r="AI175" s="2666">
        <f>0</f>
        <v>0</v>
      </c>
      <c r="AJ175" s="2667">
        <f>0</f>
        <v>0</v>
      </c>
      <c r="AK175" s="2667">
        <f>0</f>
        <v>0</v>
      </c>
      <c r="AL175" s="2667">
        <f>0</f>
        <v>0</v>
      </c>
      <c r="AM175" s="2667">
        <f>(1-f_E)*i_P_BIO</f>
        <v>1.84E-2</v>
      </c>
      <c r="AN175" s="2667">
        <f>0</f>
        <v>0</v>
      </c>
      <c r="AO175" s="2667">
        <f>0</f>
        <v>0</v>
      </c>
      <c r="AP175" s="2667">
        <f>0</f>
        <v>0</v>
      </c>
      <c r="AQ175" s="2667">
        <f>0</f>
        <v>0</v>
      </c>
      <c r="AR175" s="2736">
        <f>(1-f_E)*(i_CIT_BIO-i_CIT_XBe)</f>
        <v>6.0720000000000003E-2</v>
      </c>
      <c r="AS175" s="2736">
        <f>0</f>
        <v>0</v>
      </c>
      <c r="AT175" s="2736">
        <f>0</f>
        <v>0</v>
      </c>
      <c r="AU175" s="2736">
        <f>0</f>
        <v>0</v>
      </c>
      <c r="AV175" s="2736">
        <f>0</f>
        <v>0</v>
      </c>
      <c r="AW175" s="2736">
        <f>0</f>
        <v>0</v>
      </c>
      <c r="AX175" s="2736">
        <f>0</f>
        <v>0</v>
      </c>
      <c r="AY175" s="2667">
        <f>0</f>
        <v>0</v>
      </c>
      <c r="AZ175" s="2667">
        <f>0</f>
        <v>0</v>
      </c>
      <c r="BA175" s="2667">
        <f>0</f>
        <v>0</v>
      </c>
      <c r="BB175" s="2667">
        <f>0</f>
        <v>0</v>
      </c>
      <c r="BC175" s="2667">
        <f>0</f>
        <v>0</v>
      </c>
      <c r="BD175" s="2667">
        <f>0</f>
        <v>0</v>
      </c>
      <c r="BE175" s="2667">
        <f>0</f>
        <v>0</v>
      </c>
      <c r="BF175" s="2667">
        <f>0</f>
        <v>0</v>
      </c>
      <c r="BG175" s="2667">
        <f>0</f>
        <v>0</v>
      </c>
      <c r="BH175" s="2667">
        <f>0</f>
        <v>0</v>
      </c>
      <c r="BI175" s="2667">
        <f>0</f>
        <v>0</v>
      </c>
      <c r="BJ175" s="2667">
        <f>0</f>
        <v>0</v>
      </c>
      <c r="BK175" s="2667">
        <f>0</f>
        <v>0</v>
      </c>
      <c r="BL175" s="2667">
        <f>0</f>
        <v>0</v>
      </c>
      <c r="BM175" s="2667">
        <f>0</f>
        <v>0</v>
      </c>
      <c r="BN175" s="2667">
        <f>0</f>
        <v>0</v>
      </c>
      <c r="BO175" s="2667">
        <f>0</f>
        <v>0</v>
      </c>
      <c r="BP175" s="2760">
        <f>0</f>
        <v>0</v>
      </c>
      <c r="BQ175" s="2667">
        <f>0</f>
        <v>0</v>
      </c>
      <c r="BR175" s="2667">
        <f>0</f>
        <v>0</v>
      </c>
      <c r="BS175" s="2718">
        <f>0</f>
        <v>0</v>
      </c>
      <c r="BT175" s="2718">
        <f>0</f>
        <v>0</v>
      </c>
      <c r="BU175" s="2718">
        <f>0</f>
        <v>0</v>
      </c>
      <c r="BV175" s="2718">
        <f>0</f>
        <v>0</v>
      </c>
      <c r="BW175" s="2667">
        <f>0</f>
        <v>0</v>
      </c>
      <c r="BX175" s="2781">
        <f>0</f>
        <v>0</v>
      </c>
      <c r="BY175" s="2718">
        <f>0</f>
        <v>0</v>
      </c>
      <c r="BZ175" s="2667">
        <f>0</f>
        <v>0</v>
      </c>
      <c r="CA175" s="2667">
        <f>0</f>
        <v>0</v>
      </c>
      <c r="CB175" s="2667">
        <f>0</f>
        <v>0</v>
      </c>
      <c r="CC175" s="2667">
        <f>0</f>
        <v>0</v>
      </c>
      <c r="CD175" s="2667">
        <f>0</f>
        <v>0</v>
      </c>
      <c r="CE175" s="2667">
        <f>0</f>
        <v>0</v>
      </c>
      <c r="CF175" s="2667">
        <f>0</f>
        <v>0</v>
      </c>
      <c r="CG175" s="2667">
        <f>0</f>
        <v>0</v>
      </c>
      <c r="CH175" s="2667">
        <f>0</f>
        <v>0</v>
      </c>
      <c r="CI175" s="2667">
        <f>0</f>
        <v>0</v>
      </c>
      <c r="CJ175" s="2667">
        <f>0</f>
        <v>0</v>
      </c>
      <c r="CK175" s="2667">
        <f>0</f>
        <v>0</v>
      </c>
      <c r="CL175" s="2806">
        <f>b_AMETO_T*X_AMETO*M_inhSNOx_KNO3_AMETO*M_inhSO2_KiO2_AMETO</f>
        <v>2.1311863604072938E-6</v>
      </c>
      <c r="CN175" s="2295">
        <f>E236*E175+F236*F175+G236*G175+H236*H175+I236*I175+J236*J175+K236*K175+L236*L175+M236*M175+N236*N175+O236*O175+P236*P175+Q236*Q175+R236*R175+S236*S175+T236*T175+U236*U175+V236*V175+W236*W175+X236*X175+Y236*Y175+Z236*Z175+AA236*AA175+AB236*AB175+AC236*AC175+AD236*AD175+AE236*AE175+AF236*AF175+AG236*AG175+AH236*AH175+AI236*AI175+AJ236*AJ175+AK236*AK175+AL236*AL175+AM236*AM175+AN236*AN175+AO236*AO175+AP236*AP175+AQ236*AQ175+AR236*AR175+AS236*AS175+AT236*AT175+AU236*AU175+AV236*AV175+AW236*AW175+AX236*AX175+AY236*AY175+AZ236*AZ175+BA236*BA175+BB236*BB175+BC236*BC175+BD236*BD175+BE236*BE175+BF236*BF175+BG236*BG175+BH236*BH175+BI236*BI175+BJ236*BJ175+BK236*BK175+BL236*BL175+BM236*BM175+BN236*BN175+BO236*BO175+BP236*BP175+BQ236*BQ175+BR236*BR175+BS236*BS175+BT236*BT175+BU236*BU175+BV236*BV175+BW236*BW175+BX236*BX175+BY236*BY175+BZ236*BZ175+CA236*CA175+CB236*CB175+CC236*CC175+CD236*CD175+CE236*CE175+CF236*CF175+CG236*CG175+CH236*CH175+CI236*CI175+CJ236*CJ175+CK236*CK175</f>
        <v>0</v>
      </c>
      <c r="CO175" s="2295">
        <f>E237*E175+F237*F175+G237*G175+H237*H175+I237*I175+J237*J175+K237*K175+L237*L175+M237*M175+N237*N175+O237*O175+P237*P175+Q237*Q175+R237*R175+S237*S175+T237*T175+U237*U175+V237*V175+W237*W175+X237*X175+Y237*Y175+Z237*Z175+AA237*AA175+AB237*AB175+AC237*AC175+AD237*AD175+AE237*AE175+AF237*AF175+AG237*AG175+AH237*AH175+AI237*AI175+AJ237*AJ175+AK237*AK175+AL237*AL175+AM237*AM175+AN237*AN175+AO237*AO175+AP237*AP175+AQ237*AQ175+AR237*AR175+AS237*AS175+AT237*AT175+AU237*AU175+AV237*AV175+AW237*AW175+AX237*AX175+AY237*AY175+AZ237*AZ175+BA237*BA175+BB237*BB175+BC237*BC175+BD237*BD175+BE237*BE175+BF237*BF175+BG237*BG175+BH237*BH175+BI237*BI175+BJ237*BJ175+BK237*BK175+BL237*BL175+BM237*BM175+BN237*BN175+BO237*BO175+BP237*BP175+BQ237*BQ175+BR237*BR175+BS237*BS175+BT237*BT175+BU237*BU175+BV237*BV175+BW237*BW175+BX237*BX175+BY237*BY175+BZ237*BZ175+CA237*CA175+CB237*CB175+CC237*CC175+CD237*CD175+CE237*CE175+CF237*CF175+CG237*CG175+CH237*CH175+CI237*CI175+CJ237*CJ175+CK237*CK175</f>
        <v>6.9388939039072284E-18</v>
      </c>
      <c r="CP175" s="2296">
        <f>E238*E175+F238*F175+G238*G175+H238*H175+I238*I175+J238*J175+K238*K175+L238*L175+M238*M175+N238*N175+O238*O175+P238*P175+Q238*Q175+R238*R175+S238*S175+T238*T175+U238*U175+V238*V175+W238*W175+X238*X175+Y238*Y175+Z238*Z175+AA238*AA175+AB238*AB175+AC238*AC175+AD238*AD175+AE238*AE175+AF238*AF175+AG238*AG175+AH238*AH175+AI238*AI175+AJ238*AJ175+AK238*AK175+AL238*AL175+AM238*AM175+AN238*AN175+AO238*AO175+AP238*AP175+AQ238*AQ175+AR238*AR175+AS238*AS175+AT238*AT175+AU238*AU175+AV238*AV175+AW238*AW175+AX238*AX175+AY238*AY175+AZ238*AZ175+BA238*BA175+BB238*BB175+BC238*BC175+BD238*BD175+BE238*BE175+BF238*BF175+BG238*BG175+BH238*BH175+BI238*BI175+BJ238*BJ175+BK238*BK175+BL238*BL175+BM238*BM175+BN238*BN175+BO238*BO175+BP238*BP175+BQ238*BQ175+BR238*BR175+BS238*BS175+BT238*BT175+BU238*BU175+BV238*BV175+BW238*BW175+BX238*BX175+BY238*BY175+BZ238*BZ175+CA238*CA175+CB238*CB175+CC238*CC175+CD238*CD175+CE238*CE175+CF238*CF175+CG238*CG175+CH238*CH175+CI238*CI175+CJ238*CJ175+CK238*CK175</f>
        <v>0</v>
      </c>
      <c r="CQ175" s="2297">
        <f>E239*E175+F239*F175+G239*G175+H239*H175+I239*I175+J239*J175+K239*K175+L239*L175+M239*M175+N239*N175+O239*O175+P239*P175+Q239*Q175+R239*R175+S239*S175+T239*T175+U239*U175+V239*V175+W239*W175+X239*X175+Y239*Y175+Z239*Z175+AA239*AA175+AB239*AB175+AC239*AC175+AD239*AD175+AE239*AE175+AF239*AF175+AG239*AG175+AH239*AH175+AI239*AI175+AJ239*AJ175+AK239*AK175+AL239*AL175+AM239*AM175+AN239*AN175+AO239*AO175+AP239*AP175+AQ239*AQ175+AR239*AR175+AS239*AS175+AT239*AT175+AU239*AU175+AV239*AV175+AW239*AW175+AX239*AX175+AY239*AY175+AZ239*AZ175+BA239*BA175+BB239*BB175+BC239*BC175+BD239*BD175+BE239*BE175+BF239*BF175+BG239*BG175+BH239*BH175+BI239*BI175+BJ239*BJ175+BK239*BK175+BL239*BL175+BM239*BM175+BN239*BN175+BO239*BO175+BP239*BP175+BQ239*BQ175+BR239*BR175+BS239*BS175+BT239*BT175+BU239*BU175+BV239*BV175+BW239*BW175+BX239*BX175+BY239*BY175+BZ239*BZ175+CA239*CA175+CB239*CB175+CC239*CC175+CD239*CD175+CE239*CE175+CF239*CF175+CG239*CG175+CH239*CH175+CI239*CI175+CJ239*CJ175+CK239*CK175</f>
        <v>0</v>
      </c>
      <c r="CR175" s="2297">
        <f>E240*E175+F240*F175+G240*G175+H240*H175+I240*I175+J240*J175+K240*K175+L240*L175+M240*M175+N240*N175+O240*O175+P240*P175+Q240*Q175+R240*R175+S240*S175+T240*T175+U240*U175+V240*V175+W240*W175+X240*X175+Y240*Y175+Z240*Z175+AA240*AA175+AB240*AB175+AC240*AC175+AD240*AD175+AE240*AE175+AF240*AF175+AG240*AG175+AH240*AH175+AI240*AI175+AJ240*AJ175+AK240*AK175+AL240*AL175+AM240*AM175+AN240*AN175+AO240*AO175+AP240*AP175+AQ240*AQ175+AR240*AR175+AS240*AS175+AT240*AT175+AU240*AU175+AV240*AV175+AW240*AW175+AX240*AX175+AY240*AY175+AZ240*AZ175+BA240*BA175+BB240*BB175+BC240*BC175+BD240*BD175+BE240*BE175+BF240*BF175+BG240*BG175+BH240*BH175+BI240*BI175+BJ240*BJ175+BK240*BK175+BL240*BL175+BM240*BM175+BN240*BN175+BO240*BO175+BP240*BP175+BQ240*BQ175+BR240*BR175+BS240*BS175+BT240*BT175+BU240*BU175+BV240*BV175+BW240*BW175+BX240*BX175+BY240*BY175+BZ240*BZ175+CA240*CA175+CB240*CB175+CC240*CC175+CD240*CD175+CE240*CE175+CF240*CF175+CG240*CG175+CH240*CH175+CI240*CI175+CJ240*CJ175+CK240*CK175</f>
        <v>0</v>
      </c>
      <c r="CS175" s="2297">
        <f>E241*E175+F241*F175+G241*G175+H241*H175+I241*I175+J241*J175+K241*K175+L241*L175+M241*M175+N241*N175+O241*O175+P241*P175+Q241*Q175+R241*R175+S241*S175+T241*T175+U241*U175+V241*V175+W241*W175+X241*X175+Y241*Y175+Z241*Z175+AA241*AA175+AB241*AB175+AC241*AC175+AD241*AD175+AE241*AE175+AF241*AF175+AG241*AG175+AH241*AH175+AI241*AI175+AJ241*AJ175+AK241*AK175+AL241*AL175+AM241*AM175+AN241*AN175+AO241*AO175+AP241*AP175+AQ241*AQ175+AR241*AR175+AS241*AS175+AT241*AT175+AU241*AU175+AV241*AV175+AW241*AW175+AX241*AX175+AY241*AY175+AZ241*AZ175+BA241*BA175+BB241*BB175+BC241*BC175+BD241*BD175+BE241*BE175+BF241*BF175+BG241*BG175+BH241*BH175+BI241*BI175+BJ241*BJ175+BK241*BK175+BL241*BL175+BM241*BM175+BN241*BN175+BO241*BO175+BP241*BP175+BQ241*BQ175+BR241*BR175+BS241*BS175+BT241*BT175+BU241*BU175+BV241*BV175+BW241*BW175+BX241*BX175+BY241*BY175+BZ241*BZ175+CA241*CA175+CB241*CB175+CC241*CC175+CD241*CD175+CE241*CE175+CF241*CF175+CG241*CG175+CH241*CH175+CI241*CI175+CJ241*CJ175+CK241*CK175</f>
        <v>0</v>
      </c>
      <c r="CT175" s="2297">
        <f>E242*E175+F242*F175+G242*G175+H242*H175+I242*I175+J242*J175+K242*K175+L242*L175+M242*M175+N242*N175+O242*O175+P242*P175+Q242*Q175+R242*R175+S242*S175+T242*T175+U242*U175+V242*V175+W242*W175+X242*X175+Y242*Y175+Z242*Z175+AA242*AA175+AB242*AB175+AC242*AC175+AD242*AD175+AE242*AE175+AF242*AF175+AG242*AG175+AH242*AH175+AI242*AI175+AJ242*AJ175+AK242*AK175+AL242*AL175+AM242*AM175+AN242*AN175+AO242*AO175+AP242*AP175+AQ242*AQ175+AR242*AR175+AS242*AS175+AT242*AT175+AU242*AU175+AV242*AV175+AW242*AW175+AX242*AX175+AY242*AY175+AZ242*AZ175+BA242*BA175+BB242*BB175+BC242*BC175+BD242*BD175+BE242*BE175+BF242*BF175+BG242*BG175+BH242*BH175+BI242*BI175+BJ242*BJ175+BK242*BK175+BL242*BL175+BM242*BM175+BN242*BN175+BO242*BO175+BP242*BP175+BQ242*BQ175+BR242*BR175+BS242*BS175+BT242*BT175+BU242*BU175+BV242*BV175+BW242*BW175+BX242*BX175+BY242*BY175+BZ242*BZ175+CA242*CA175+CB242*CB175+CC242*CC175+CD242*CD175+CE242*CE175+CF242*CF175+CG242*CG175+CH242*CH175+CI242*CI175+CJ242*CJ175+CK242*CK175</f>
        <v>0</v>
      </c>
      <c r="CU175" s="2297">
        <f>E243*E175+F243*F175+G243*G175+H243*H175+I243*I175+J243*J175+K243*K175+L243*L175+M243*M175+N243*N175+O243*O175+P243*P175+Q243*Q175+R243*R175+S243*S175+T243*T175+U243*U175+V243*V175+W243*W175+X243*X175+Y243*Y175+Z243*Z175+AA243*AA175+AB243*AB175+AC243*AC175+AD243*AD175+AE243*AE175+AF243*AF175+AG243*AG175+AH243*AH175+AI243*AI175+AJ243*AJ175+AK243*AK175+AL243*AL175+AM243*AM175+AN243*AN175+AO243*AO175+AP243*AP175+AQ243*AQ175+AR243*AR175+AS243*AS175+AT243*AT175+AU243*AU175+AV243*AV175+AW243*AW175+AX243*AX175+AY243*AY175+AZ243*AZ175+BA243*BA175+BB243*BB175+BC243*BC175+BD243*BD175+BE243*BE175+BF243*BF175+BG243*BG175+BH243*BH175+BI243*BI175+BJ243*BJ175+BK243*BK175+BL243*BL175+BM243*BM175+BN243*BN175+BO243*BO175+BP243*BP175+BQ243*BQ175+BR243*BR175+BS243*BS175+BT243*BT175+BU243*BU175+BV243*BV175+BW243*BW175+BX243*BX175+BY243*BY175+BZ243*BZ175+CA243*CA175+CB243*CB175+CC243*CC175+CD243*CD175+CE243*CE175+CF243*CF175+CG243*CG175+CH243*CH175+CI243*CI175+CJ243*CJ175+CK243*CK175</f>
        <v>0</v>
      </c>
      <c r="CV175" s="2297">
        <f>E244*E175+F244*F175+G244*G175+H244*H175+I244*I175+J244*J175+K244*K175+L244*L175+M244*M175+N244*N175+O244*O175+P244*P175+Q244*Q175+R244*R175+S244*S175+T244*T175+U244*U175+V244*V175+W244*W175+X244*X175+Y244*Y175+Z244*Z175+AA244*AA175+AB244*AB175+AC244*AC175+AD244*AD175+AE244*AE175+AF244*AF175+AG244*AG175+AH244*AH175+AI244*AI175+AJ244*AJ175+AK244*AK175+AL244*AL175+AM244*AM175+AN244*AN175+AO244*AO175+AP244*AP175+AQ244*AQ175+AR244*AR175+AS244*AS175+AT244*AT175+AU244*AU175+AV244*AV175+AW244*AW175+AX244*AX175+AY244*AY175+AZ244*AZ175+BA244*BA175+BB244*BB175+BC244*BC175+BD244*BD175+BE244*BE175+BF244*BF175+BG244*BG175+BH244*BH175+BI244*BI175+BJ244*BJ175+BK244*BK175+BL244*BL175+BM244*BM175+BN244*BN175+BO244*BO175+BP244*BP175+BQ244*BQ175+BR244*BR175+BS244*BS175+BT244*BT175+BU244*BU175+BV244*BV175+BW244*BW175+BX244*BX175+BY244*BY175+BZ244*BZ175+CA244*CA175+CB244*CB175+CC244*CC175+CD244*CD175+CE244*CE175+CF244*CF175+CG244*CG175+CH244*CH175+CI244*CI175+CJ244*CJ175+CK244*CK175</f>
        <v>0</v>
      </c>
      <c r="CW175" s="2297">
        <f>E245*E175+F245*F175+G245*G175+H245*H175+I245*I175+J245*J175+K245*K175+L245*L175+M245*M175+N245*N175+O245*O175+P245*P175+Q245*Q175+R245*R175+S245*S175+T245*T175+U245*U175+V245*V175+W245*W175+X245*X175+Y245*Y175+Z245*Z175+AA245*AA175+AB245*AB175+AC245*AC175+AD245*AD175+AE245*AE175+AF245*AF175+AG245*AG175+AH245*AH175+AI245*AI175+AJ245*AJ175+AK245*AK175+AL245*AL175+AM245*AM175+AN245*AN175+AO245*AO175+AP245*AP175+AQ245*AQ175+AR245*AR175+AS245*AS175+AT245*AT175+AU245*AU175+AV245*AV175+AW245*AW175+AX245*AX175+AY245*AY175+AZ245*AZ175+BA245*BA175+BB245*BB175+BC245*BC175+BD245*BD175+BE245*BE175+BF245*BF175+BG245*BG175+BH245*BH175+BI245*BI175+BJ245*BJ175+BK245*BK175+BL245*BL175+BM245*BM175+BN245*BN175+BO245*BO175+BP245*BP175+BQ245*BQ175+BR245*BR175+BS245*BS175+BT245*BT175+BU245*BU175+BV245*BV175+BW245*BW175+BX245*BX175+BY245*BY175+BZ245*BZ175+CA245*CA175+CB245*CB175+CC245*CC175+CD245*CD175+CE245*CE175+CF245*CF175+CG245*CG175+CH245*CH175+CI245*CI175+CJ245*CJ175+CK245*CK175</f>
        <v>0</v>
      </c>
      <c r="CX175" s="2297">
        <f>E246*E175+F246*F175+G246*G175+H246*H175+I246*I175+J246*J175+K246*K175+L246*L175+M246*M175+N246*N175+O246*O175+P246*P175+Q246*Q175+R246*R175+S246*S175+T246*T175+U246*U175+V246*V175+W246*W175+X246*X175+Y246*Y175+Z246*Z175+AA246*AA175+AB246*AB175+AC246*AC175+AD246*AD175+AE246*AE175+AF246*AF175+AG246*AG175+AH246*AH175+AI246*AI175+AJ246*AJ175+AK246*AK175+AL246*AL175+AM246*AM175+AN246*AN175+AO246*AO175+AP246*AP175+AQ246*AQ175+AR246*AR175+AS246*AS175+AT246*AT175+AU246*AU175+AV246*AV175+AW246*AW175+AX246*AX175+AY246*AY175+AZ246*AZ175+BA246*BA175+BB246*BB175+BC246*BC175+BD246*BD175+BE246*BE175+BF246*BF175+BG246*BG175+BH246*BH175+BI246*BI175+BJ246*BJ175+BK246*BK175+BL246*BL175+BM246*BM175+BN246*BN175+BO246*BO175+BP246*BP175+BQ246*BQ175+BR246*BR175+BS246*BS175+BT246*BT175+BU246*BU175+BV246*BV175+BW246*BW175+BX246*BX175+BY246*BY175+BZ246*BZ175+CA246*CA175+CB246*CB175+CC246*CC175+CD246*CD175+CE246*CE175+CF246*CF175+CG246*CG175+CH246*CH175+CI246*CI175+CJ246*CJ175+CK246*CK175</f>
        <v>0</v>
      </c>
    </row>
    <row r="176" spans="2:102" ht="18" x14ac:dyDescent="0.25">
      <c r="B176" s="1250">
        <v>49</v>
      </c>
      <c r="C176" s="1197" t="s">
        <v>466</v>
      </c>
      <c r="D176" s="613" t="s">
        <v>303</v>
      </c>
      <c r="E176" s="2668">
        <f>0</f>
        <v>0</v>
      </c>
      <c r="F176" s="2668">
        <f>0</f>
        <v>0</v>
      </c>
      <c r="G176" s="2668">
        <f>0</f>
        <v>0</v>
      </c>
      <c r="H176" s="2668">
        <f>0</f>
        <v>0</v>
      </c>
      <c r="I176" s="2668">
        <f>0</f>
        <v>0</v>
      </c>
      <c r="J176" s="2668">
        <f>0</f>
        <v>0</v>
      </c>
      <c r="K176" s="2668">
        <f>0</f>
        <v>0</v>
      </c>
      <c r="L176" s="2668">
        <f>0</f>
        <v>0</v>
      </c>
      <c r="M176" s="2668">
        <f>0</f>
        <v>0</v>
      </c>
      <c r="N176" s="2668">
        <f>0</f>
        <v>0</v>
      </c>
      <c r="O176" s="2668">
        <f>0</f>
        <v>0</v>
      </c>
      <c r="P176" s="2668">
        <f>0</f>
        <v>0</v>
      </c>
      <c r="Q176" s="2668">
        <f>0</f>
        <v>0</v>
      </c>
      <c r="R176" s="2668">
        <f>0</f>
        <v>0</v>
      </c>
      <c r="S176" s="2668">
        <f>0</f>
        <v>0</v>
      </c>
      <c r="T176" s="2668">
        <f>0</f>
        <v>0</v>
      </c>
      <c r="U176" s="2668">
        <f>0</f>
        <v>0</v>
      </c>
      <c r="V176" s="2668">
        <f>0</f>
        <v>0</v>
      </c>
      <c r="W176" s="2668">
        <f>0</f>
        <v>0</v>
      </c>
      <c r="X176" s="2668">
        <f>0</f>
        <v>0</v>
      </c>
      <c r="Y176" s="2668">
        <f>1</f>
        <v>1</v>
      </c>
      <c r="Z176" s="2719">
        <f>0</f>
        <v>0</v>
      </c>
      <c r="AA176" s="2668">
        <f>-i_N_BIO</f>
        <v>-7.0000000000000007E-2</v>
      </c>
      <c r="AB176" s="2668">
        <f>0</f>
        <v>0</v>
      </c>
      <c r="AC176" s="2668">
        <f>0</f>
        <v>0</v>
      </c>
      <c r="AD176" s="2668">
        <f>0</f>
        <v>0</v>
      </c>
      <c r="AE176" s="2668">
        <f>0</f>
        <v>0</v>
      </c>
      <c r="AF176" s="2668">
        <f>0</f>
        <v>0</v>
      </c>
      <c r="AG176" s="2668">
        <f>0</f>
        <v>0</v>
      </c>
      <c r="AH176" s="2668">
        <f>0</f>
        <v>0</v>
      </c>
      <c r="AI176" s="2731">
        <f>-i_P_BIO</f>
        <v>-0.02</v>
      </c>
      <c r="AJ176" s="2668">
        <f>0</f>
        <v>0</v>
      </c>
      <c r="AK176" s="2668">
        <f>0</f>
        <v>0</v>
      </c>
      <c r="AL176" s="2668">
        <f>0</f>
        <v>0</v>
      </c>
      <c r="AM176" s="2668">
        <f>0</f>
        <v>0</v>
      </c>
      <c r="AN176" s="2668">
        <f>0</f>
        <v>0</v>
      </c>
      <c r="AO176" s="2668">
        <f>0</f>
        <v>0</v>
      </c>
      <c r="AP176" s="2668">
        <f>(1-Y_HMETO)/Y_HMETO</f>
        <v>9</v>
      </c>
      <c r="AQ176" s="2731">
        <f>-1/Y_HMETO</f>
        <v>-10</v>
      </c>
      <c r="AR176" s="2731">
        <f>-i_CIT_BIO-i_CIT_CH4*(1-Y_HMETO)/Y_HMETO</f>
        <v>-2.044</v>
      </c>
      <c r="AS176" s="2731">
        <f>i_INORG</f>
        <v>0.11</v>
      </c>
      <c r="AT176" s="2731">
        <f>-i_INORG*(1-i_Ca_INORG*(A_MCa+2*A_MCl)/A_MCa-i_Mg_INORG*(A_MMg+2*A_MCl)/A_MMg)*f_Na</f>
        <v>-2.8804303582798466E-2</v>
      </c>
      <c r="AU176" s="2731">
        <f>-i_INORG*(i_Ca_INORG*(2*A_MCl)/A_MCa+i_Mg_INORG*(2*A_MCl)/A_MMg)-i_INORG*(1-i_Ca_INORG*(A_MCa+2*A_MCl)/A_MCa-i_Mg_INORG*(A_MMg+2*A_MCl)/A_MMg)*(1-f_Na)</f>
        <v>-7.0195696417201539E-2</v>
      </c>
      <c r="AV176" s="2731">
        <f>-i_INORG*i_Ca_INORG</f>
        <v>-5.5000000000000005E-3</v>
      </c>
      <c r="AW176" s="2731">
        <f>-i_INORG*i_Mg_INORG</f>
        <v>-5.5000000000000005E-3</v>
      </c>
      <c r="AX176" s="2731">
        <f>0</f>
        <v>0</v>
      </c>
      <c r="AY176" s="2731">
        <f>0</f>
        <v>0</v>
      </c>
      <c r="AZ176" s="2731">
        <f>0</f>
        <v>0</v>
      </c>
      <c r="BA176" s="2731">
        <f>0</f>
        <v>0</v>
      </c>
      <c r="BB176" s="2731">
        <f>0</f>
        <v>0</v>
      </c>
      <c r="BC176" s="2731">
        <f>0</f>
        <v>0</v>
      </c>
      <c r="BD176" s="2731">
        <f>0</f>
        <v>0</v>
      </c>
      <c r="BE176" s="2731">
        <f>0</f>
        <v>0</v>
      </c>
      <c r="BF176" s="2731">
        <f>0</f>
        <v>0</v>
      </c>
      <c r="BG176" s="2731">
        <f>0</f>
        <v>0</v>
      </c>
      <c r="BH176" s="2731">
        <f>0</f>
        <v>0</v>
      </c>
      <c r="BI176" s="2731">
        <f>0</f>
        <v>0</v>
      </c>
      <c r="BJ176" s="2731">
        <f>0</f>
        <v>0</v>
      </c>
      <c r="BK176" s="2731">
        <f>0</f>
        <v>0</v>
      </c>
      <c r="BL176" s="2731">
        <f>0</f>
        <v>0</v>
      </c>
      <c r="BM176" s="2731">
        <f>0</f>
        <v>0</v>
      </c>
      <c r="BN176" s="2731">
        <f>0</f>
        <v>0</v>
      </c>
      <c r="BO176" s="2731">
        <f>0</f>
        <v>0</v>
      </c>
      <c r="BP176" s="2761">
        <f>0</f>
        <v>0</v>
      </c>
      <c r="BQ176" s="2731">
        <f>0</f>
        <v>0</v>
      </c>
      <c r="BR176" s="2731">
        <f>0</f>
        <v>0</v>
      </c>
      <c r="BS176" s="2769">
        <f>0</f>
        <v>0</v>
      </c>
      <c r="BT176" s="2769">
        <f>0</f>
        <v>0</v>
      </c>
      <c r="BU176" s="2769">
        <f>0</f>
        <v>0</v>
      </c>
      <c r="BV176" s="2769">
        <f>0</f>
        <v>0</v>
      </c>
      <c r="BW176" s="2731">
        <f>0</f>
        <v>0</v>
      </c>
      <c r="BX176" s="2782">
        <f>0</f>
        <v>0</v>
      </c>
      <c r="BY176" s="2769">
        <f>0</f>
        <v>0</v>
      </c>
      <c r="BZ176" s="2731">
        <f>0</f>
        <v>0</v>
      </c>
      <c r="CA176" s="2731">
        <f>0</f>
        <v>0</v>
      </c>
      <c r="CB176" s="2731">
        <f>0</f>
        <v>0</v>
      </c>
      <c r="CC176" s="2731">
        <f>0</f>
        <v>0</v>
      </c>
      <c r="CD176" s="2731">
        <f>0</f>
        <v>0</v>
      </c>
      <c r="CE176" s="2731">
        <f>0</f>
        <v>0</v>
      </c>
      <c r="CF176" s="2731">
        <f>0</f>
        <v>0</v>
      </c>
      <c r="CG176" s="2731">
        <f>0</f>
        <v>0</v>
      </c>
      <c r="CH176" s="2731">
        <f>0</f>
        <v>0</v>
      </c>
      <c r="CI176" s="2731">
        <f>0</f>
        <v>0</v>
      </c>
      <c r="CJ176" s="2731">
        <f>0</f>
        <v>0</v>
      </c>
      <c r="CK176" s="2731">
        <f>0</f>
        <v>0</v>
      </c>
      <c r="CL176" s="2807">
        <f>µ_HMETO_T*X_HMETO*M_satSCO2_KCO2_BIO*M_satSH2_KH2_HMETO*M_inhSO2_KiO2_HMETO*M_inhSNOx_KNO3_HMETO*M_satSNHx_KNHx_BIO*M_satSPO4_KPO4_BIO*M_satSCAT_KCAT*M_satSAN_KAN*M_satSCa_KCa*M_satSMg_KMg*B_ellinhpH_HMETO</f>
        <v>5.4356003550265865E-6</v>
      </c>
      <c r="CN176" s="2295">
        <f>E236*E176+F236*F176+G236*G176+H236*H176+I236*I176+J236*J176+K236*K176+L236*L176+M236*M176+N236*N176+O236*O176+P236*P176+Q236*Q176+R236*R176+S236*S176+T236*T176+U236*U176+V236*V176+W236*W176+X236*X176+Y236*Y176+Z236*Z176+AA236*AA176+AB236*AB176+AC236*AC176+AD236*AD176+AE236*AE176+AF236*AF176+AG236*AG176+AH236*AH176+AI236*AI176+AJ236*AJ176+AK236*AK176+AL236*AL176+AM236*AM176+AN236*AN176+AO236*AO176+AP236*AP176+AQ236*AQ176+AR236*AR176+AS236*AS176+AT236*AT176+AU236*AU176+AV236*AV176+AW236*AW176+AX236*AX176+AY236*AY176+AZ236*AZ176+BA236*BA176+BB236*BB176+BC236*BC176+BD236*BD176+BE236*BE176+BF236*BF176+BG236*BG176+BH236*BH176+BI236*BI176+BJ236*BJ176+BK236*BK176+BL236*BL176+BM236*BM176+BN236*BN176+BO236*BO176+BP236*BP176+BQ236*BQ176+BR236*BR176+BS236*BS176+BT236*BT176+BU236*BU176+BV236*BV176+BW236*BW176+BX236*BX176+BY236*BY176+BZ236*BZ176+CA236*CA176+CB236*CB176+CC236*CC176+CD236*CD176+CE236*CE176+CF236*CF176+CG236*CG176+CH236*CH176+CI236*CI176+CJ236*CJ176+CK236*CK176</f>
        <v>0</v>
      </c>
      <c r="CO176" s="2295">
        <f>E237*E176+F237*F176+G237*G176+H237*H176+I237*I176+J237*J176+K237*K176+L237*L176+M237*M176+N237*N176+O237*O176+P237*P176+Q237*Q176+R237*R176+S237*S176+T237*T176+U237*U176+V237*V176+W237*W176+X237*X176+Y237*Y176+Z237*Z176+AA237*AA176+AB237*AB176+AC237*AC176+AD237*AD176+AE237*AE176+AF237*AF176+AG237*AG176+AH237*AH176+AI237*AI176+AJ237*AJ176+AK237*AK176+AL237*AL176+AM237*AM176+AN237*AN176+AO237*AO176+AP237*AP176+AQ237*AQ176+AR237*AR176+AS237*AS176+AT237*AT176+AU237*AU176+AV237*AV176+AW237*AW176+AX237*AX176+AY237*AY176+AZ237*AZ176+BA237*BA176+BB237*BB176+BC237*BC176+BD237*BD176+BE237*BE176+BF237*BF176+BG237*BG176+BH237*BH176+BI237*BI176+BJ237*BJ176+BK237*BK176+BL237*BL176+BM237*BM176+BN237*BN176+BO237*BO176+BP237*BP176+BQ237*BQ176+BR237*BR176+BS237*BS176+BT237*BT176+BU237*BU176+BV237*BV176+BW237*BW176+BX237*BX176+BY237*BY176+BZ237*BZ176+CA237*CA176+CB237*CB176+CC237*CC176+CD237*CD176+CE237*CE176+CF237*CF176+CG237*CG176+CH237*CH176+CI237*CI176+CJ237*CJ176+CK237*CK176</f>
        <v>0</v>
      </c>
      <c r="CP176" s="2296">
        <f>E238*E176+F238*F176+G238*G176+H238*H176+I238*I176+J238*J176+K238*K176+L238*L176+M238*M176+N238*N176+O238*O176+P238*P176+Q238*Q176+R238*R176+S238*S176+T238*T176+U238*U176+V238*V176+W238*W176+X238*X176+Y238*Y176+Z238*Z176+AA238*AA176+AB238*AB176+AC238*AC176+AD238*AD176+AE238*AE176+AF238*AF176+AG238*AG176+AH238*AH176+AI238*AI176+AJ238*AJ176+AK238*AK176+AL238*AL176+AM238*AM176+AN238*AN176+AO238*AO176+AP238*AP176+AQ238*AQ176+AR238*AR176+AS238*AS176+AT238*AT176+AU238*AU176+AV238*AV176+AW238*AW176+AX238*AX176+AY238*AY176+AZ238*AZ176+BA238*BA176+BB238*BB176+BC238*BC176+BD238*BD176+BE238*BE176+BF238*BF176+BG238*BG176+BH238*BH176+BI238*BI176+BJ238*BJ176+BK238*BK176+BL238*BL176+BM238*BM176+BN238*BN176+BO238*BO176+BP238*BP176+BQ238*BQ176+BR238*BR176+BS238*BS176+BT238*BT176+BU238*BU176+BV238*BV176+BW238*BW176+BX238*BX176+BY238*BY176+BZ238*BZ176+CA238*CA176+CB238*CB176+CC238*CC176+CD238*CD176+CE238*CE176+CF238*CF176+CG238*CG176+CH238*CH176+CI238*CI176+CJ238*CJ176+CK238*CK176</f>
        <v>0</v>
      </c>
      <c r="CQ176" s="2297">
        <f>E239*E176+F239*F176+G239*G176+H239*H176+I239*I176+J239*J176+K239*K176+L239*L176+M239*M176+N239*N176+O239*O176+P239*P176+Q239*Q176+R239*R176+S239*S176+T239*T176+U239*U176+V239*V176+W239*W176+X239*X176+Y239*Y176+Z239*Z176+AA239*AA176+AB239*AB176+AC239*AC176+AD239*AD176+AE239*AE176+AF239*AF176+AG239*AG176+AH239*AH176+AI239*AI176+AJ239*AJ176+AK239*AK176+AL239*AL176+AM239*AM176+AN239*AN176+AO239*AO176+AP239*AP176+AQ239*AQ176+AR239*AR176+AS239*AS176+AT239*AT176+AU239*AU176+AV239*AV176+AW239*AW176+AX239*AX176+AY239*AY176+AZ239*AZ176+BA239*BA176+BB239*BB176+BC239*BC176+BD239*BD176+BE239*BE176+BF239*BF176+BG239*BG176+BH239*BH176+BI239*BI176+BJ239*BJ176+BK239*BK176+BL239*BL176+BM239*BM176+BN239*BN176+BO239*BO176+BP239*BP176+BQ239*BQ176+BR239*BR176+BS239*BS176+BT239*BT176+BU239*BU176+BV239*BV176+BW239*BW176+BX239*BX176+BY239*BY176+BZ239*BZ176+CA239*CA176+CB239*CB176+CC239*CC176+CD239*CD176+CE239*CE176+CF239*CF176+CG239*CG176+CH239*CH176+CI239*CI176+CJ239*CJ176+CK239*CK176</f>
        <v>0</v>
      </c>
      <c r="CR176" s="2297">
        <f>E240*E176+F240*F176+G240*G176+H240*H176+I240*I176+J240*J176+K240*K176+L240*L176+M240*M176+N240*N176+O240*O176+P240*P176+Q240*Q176+R240*R176+S240*S176+T240*T176+U240*U176+V240*V176+W240*W176+X240*X176+Y240*Y176+Z240*Z176+AA240*AA176+AB240*AB176+AC240*AC176+AD240*AD176+AE240*AE176+AF240*AF176+AG240*AG176+AH240*AH176+AI240*AI176+AJ240*AJ176+AK240*AK176+AL240*AL176+AM240*AM176+AN240*AN176+AO240*AO176+AP240*AP176+AQ240*AQ176+AR240*AR176+AS240*AS176+AT240*AT176+AU240*AU176+AV240*AV176+AW240*AW176+AX240*AX176+AY240*AY176+AZ240*AZ176+BA240*BA176+BB240*BB176+BC240*BC176+BD240*BD176+BE240*BE176+BF240*BF176+BG240*BG176+BH240*BH176+BI240*BI176+BJ240*BJ176+BK240*BK176+BL240*BL176+BM240*BM176+BN240*BN176+BO240*BO176+BP240*BP176+BQ240*BQ176+BR240*BR176+BS240*BS176+BT240*BT176+BU240*BU176+BV240*BV176+BW240*BW176+BX240*BX176+BY240*BY176+BZ240*BZ176+CA240*CA176+CB240*CB176+CC240*CC176+CD240*CD176+CE240*CE176+CF240*CF176+CG240*CG176+CH240*CH176+CI240*CI176+CJ240*CJ176+CK240*CK176</f>
        <v>0</v>
      </c>
      <c r="CS176" s="2297">
        <f>E241*E176+F241*F176+G241*G176+H241*H176+I241*I176+J241*J176+K241*K176+L241*L176+M241*M176+N241*N176+O241*O176+P241*P176+Q241*Q176+R241*R176+S241*S176+T241*T176+U241*U176+V241*V176+W241*W176+X241*X176+Y241*Y176+Z241*Z176+AA241*AA176+AB241*AB176+AC241*AC176+AD241*AD176+AE241*AE176+AF241*AF176+AG241*AG176+AH241*AH176+AI241*AI176+AJ241*AJ176+AK241*AK176+AL241*AL176+AM241*AM176+AN241*AN176+AO241*AO176+AP241*AP176+AQ241*AQ176+AR241*AR176+AS241*AS176+AT241*AT176+AU241*AU176+AV241*AV176+AW241*AW176+AX241*AX176+AY241*AY176+AZ241*AZ176+BA241*BA176+BB241*BB176+BC241*BC176+BD241*BD176+BE241*BE176+BF241*BF176+BG241*BG176+BH241*BH176+BI241*BI176+BJ241*BJ176+BK241*BK176+BL241*BL176+BM241*BM176+BN241*BN176+BO241*BO176+BP241*BP176+BQ241*BQ176+BR241*BR176+BS241*BS176+BT241*BT176+BU241*BU176+BV241*BV176+BW241*BW176+BX241*BX176+BY241*BY176+BZ241*BZ176+CA241*CA176+CB241*CB176+CC241*CC176+CD241*CD176+CE241*CE176+CF241*CF176+CG241*CG176+CH241*CH176+CI241*CI176+CJ241*CJ176+CK241*CK176</f>
        <v>0</v>
      </c>
      <c r="CT176" s="2297">
        <f>E242*E176+F242*F176+G242*G176+H242*H176+I242*I176+J242*J176+K242*K176+L242*L176+M242*M176+N242*N176+O242*O176+P242*P176+Q242*Q176+R242*R176+S242*S176+T242*T176+U242*U176+V242*V176+W242*W176+X242*X176+Y242*Y176+Z242*Z176+AA242*AA176+AB242*AB176+AC242*AC176+AD242*AD176+AE242*AE176+AF242*AF176+AG242*AG176+AH242*AH176+AI242*AI176+AJ242*AJ176+AK242*AK176+AL242*AL176+AM242*AM176+AN242*AN176+AO242*AO176+AP242*AP176+AQ242*AQ176+AR242*AR176+AS242*AS176+AT242*AT176+AU242*AU176+AV242*AV176+AW242*AW176+AX242*AX176+AY242*AY176+AZ242*AZ176+BA242*BA176+BB242*BB176+BC242*BC176+BD242*BD176+BE242*BE176+BF242*BF176+BG242*BG176+BH242*BH176+BI242*BI176+BJ242*BJ176+BK242*BK176+BL242*BL176+BM242*BM176+BN242*BN176+BO242*BO176+BP242*BP176+BQ242*BQ176+BR242*BR176+BS242*BS176+BT242*BT176+BU242*BU176+BV242*BV176+BW242*BW176+BX242*BX176+BY242*BY176+BZ242*BZ176+CA242*CA176+CB242*CB176+CC242*CC176+CD242*CD176+CE242*CE176+CF242*CF176+CG242*CG176+CH242*CH176+CI242*CI176+CJ242*CJ176+CK242*CK176</f>
        <v>0</v>
      </c>
      <c r="CU176" s="2297">
        <f>E243*E176+F243*F176+G243*G176+H243*H176+I243*I176+J243*J176+K243*K176+L243*L176+M243*M176+N243*N176+O243*O176+P243*P176+Q243*Q176+R243*R176+S243*S176+T243*T176+U243*U176+V243*V176+W243*W176+X243*X176+Y243*Y176+Z243*Z176+AA243*AA176+AB243*AB176+AC243*AC176+AD243*AD176+AE243*AE176+AF243*AF176+AG243*AG176+AH243*AH176+AI243*AI176+AJ243*AJ176+AK243*AK176+AL243*AL176+AM243*AM176+AN243*AN176+AO243*AO176+AP243*AP176+AQ243*AQ176+AR243*AR176+AS243*AS176+AT243*AT176+AU243*AU176+AV243*AV176+AW243*AW176+AX243*AX176+AY243*AY176+AZ243*AZ176+BA243*BA176+BB243*BB176+BC243*BC176+BD243*BD176+BE243*BE176+BF243*BF176+BG243*BG176+BH243*BH176+BI243*BI176+BJ243*BJ176+BK243*BK176+BL243*BL176+BM243*BM176+BN243*BN176+BO243*BO176+BP243*BP176+BQ243*BQ176+BR243*BR176+BS243*BS176+BT243*BT176+BU243*BU176+BV243*BV176+BW243*BW176+BX243*BX176+BY243*BY176+BZ243*BZ176+CA243*CA176+CB243*CB176+CC243*CC176+CD243*CD176+CE243*CE176+CF243*CF176+CG243*CG176+CH243*CH176+CI243*CI176+CJ243*CJ176+CK243*CK176</f>
        <v>0</v>
      </c>
      <c r="CV176" s="2297">
        <f>E244*E176+F244*F176+G244*G176+H244*H176+I244*I176+J244*J176+K244*K176+L244*L176+M244*M176+N244*N176+O244*O176+P244*P176+Q244*Q176+R244*R176+S244*S176+T244*T176+U244*U176+V244*V176+W244*W176+X244*X176+Y244*Y176+Z244*Z176+AA244*AA176+AB244*AB176+AC244*AC176+AD244*AD176+AE244*AE176+AF244*AF176+AG244*AG176+AH244*AH176+AI244*AI176+AJ244*AJ176+AK244*AK176+AL244*AL176+AM244*AM176+AN244*AN176+AO244*AO176+AP244*AP176+AQ244*AQ176+AR244*AR176+AS244*AS176+AT244*AT176+AU244*AU176+AV244*AV176+AW244*AW176+AX244*AX176+AY244*AY176+AZ244*AZ176+BA244*BA176+BB244*BB176+BC244*BC176+BD244*BD176+BE244*BE176+BF244*BF176+BG244*BG176+BH244*BH176+BI244*BI176+BJ244*BJ176+BK244*BK176+BL244*BL176+BM244*BM176+BN244*BN176+BO244*BO176+BP244*BP176+BQ244*BQ176+BR244*BR176+BS244*BS176+BT244*BT176+BU244*BU176+BV244*BV176+BW244*BW176+BX244*BX176+BY244*BY176+BZ244*BZ176+CA244*CA176+CB244*CB176+CC244*CC176+CD244*CD176+CE244*CE176+CF244*CF176+CG244*CG176+CH244*CH176+CI244*CI176+CJ244*CJ176+CK244*CK176</f>
        <v>0</v>
      </c>
      <c r="CW176" s="2297">
        <f>E245*E176+F245*F176+G245*G176+H245*H176+I245*I176+J245*J176+K245*K176+L245*L176+M245*M176+N245*N176+O245*O176+P245*P176+Q245*Q176+R245*R176+S245*S176+T245*T176+U245*U176+V245*V176+W245*W176+X245*X176+Y245*Y176+Z245*Z176+AA245*AA176+AB245*AB176+AC245*AC176+AD245*AD176+AE245*AE176+AF245*AF176+AG245*AG176+AH245*AH176+AI245*AI176+AJ245*AJ176+AK245*AK176+AL245*AL176+AM245*AM176+AN245*AN176+AO245*AO176+AP245*AP176+AQ245*AQ176+AR245*AR176+AS245*AS176+AT245*AT176+AU245*AU176+AV245*AV176+AW245*AW176+AX245*AX176+AY245*AY176+AZ245*AZ176+BA245*BA176+BB245*BB176+BC245*BC176+BD245*BD176+BE245*BE176+BF245*BF176+BG245*BG176+BH245*BH176+BI245*BI176+BJ245*BJ176+BK245*BK176+BL245*BL176+BM245*BM176+BN245*BN176+BO245*BO176+BP245*BP176+BQ245*BQ176+BR245*BR176+BS245*BS176+BT245*BT176+BU245*BU176+BV245*BV176+BW245*BW176+BX245*BX176+BY245*BY176+BZ245*BZ176+CA245*CA176+CB245*CB176+CC245*CC176+CD245*CD176+CE245*CE176+CF245*CF176+CG245*CG176+CH245*CH176+CI245*CI176+CJ245*CJ176+CK245*CK176</f>
        <v>0</v>
      </c>
      <c r="CX176" s="2297">
        <f>E246*E176+F246*F176+G246*G176+H246*H176+I246*I176+J246*J176+K246*K176+L246*L176+M246*M176+N246*N176+O246*O176+P246*P176+Q246*Q176+R246*R176+S246*S176+T246*T176+U246*U176+V246*V176+W246*W176+X246*X176+Y246*Y176+Z246*Z176+AA246*AA176+AB246*AB176+AC246*AC176+AD246*AD176+AE246*AE176+AF246*AF176+AG246*AG176+AH246*AH176+AI246*AI176+AJ246*AJ176+AK246*AK176+AL246*AL176+AM246*AM176+AN246*AN176+AO246*AO176+AP246*AP176+AQ246*AQ176+AR246*AR176+AS246*AS176+AT246*AT176+AU246*AU176+AV246*AV176+AW246*AW176+AX246*AX176+AY246*AY176+AZ246*AZ176+BA246*BA176+BB246*BB176+BC246*BC176+BD246*BD176+BE246*BE176+BF246*BF176+BG246*BG176+BH246*BH176+BI246*BI176+BJ246*BJ176+BK246*BK176+BL246*BL176+BM246*BM176+BN246*BN176+BO246*BO176+BP246*BP176+BQ246*BQ176+BR246*BR176+BS246*BS176+BT246*BT176+BU246*BU176+BV246*BV176+BW246*BW176+BX246*BX176+BY246*BY176+BZ246*BZ176+CA246*CA176+CB246*CB176+CC246*CC176+CD246*CD176+CE246*CE176+CF246*CF176+CG246*CG176+CH246*CH176+CI246*CI176+CJ246*CJ176+CK246*CK176</f>
        <v>0</v>
      </c>
    </row>
    <row r="177" spans="2:102" ht="18" x14ac:dyDescent="0.25">
      <c r="B177" s="1250">
        <v>50</v>
      </c>
      <c r="C177" s="1197" t="s">
        <v>2115</v>
      </c>
      <c r="D177" s="613" t="s">
        <v>293</v>
      </c>
      <c r="E177" s="2668">
        <f>0</f>
        <v>0</v>
      </c>
      <c r="F177" s="2668">
        <f>0</f>
        <v>0</v>
      </c>
      <c r="G177" s="2668">
        <f>0</f>
        <v>0</v>
      </c>
      <c r="H177" s="2668">
        <f>0</f>
        <v>0</v>
      </c>
      <c r="I177" s="2668">
        <f>0</f>
        <v>0</v>
      </c>
      <c r="J177" s="2668">
        <f>1-f_E</f>
        <v>0.92</v>
      </c>
      <c r="K177" s="2668">
        <f>0</f>
        <v>0</v>
      </c>
      <c r="L177" s="2668">
        <f>0</f>
        <v>0</v>
      </c>
      <c r="M177" s="2668">
        <f>0</f>
        <v>0</v>
      </c>
      <c r="N177" s="2668">
        <f>0</f>
        <v>0</v>
      </c>
      <c r="O177" s="2668">
        <f>0</f>
        <v>0</v>
      </c>
      <c r="P177" s="2668">
        <f>f_E</f>
        <v>0.08</v>
      </c>
      <c r="Q177" s="2668">
        <f>0</f>
        <v>0</v>
      </c>
      <c r="R177" s="2668">
        <f>0</f>
        <v>0</v>
      </c>
      <c r="S177" s="2668">
        <f>0</f>
        <v>0</v>
      </c>
      <c r="T177" s="2668">
        <f>0</f>
        <v>0</v>
      </c>
      <c r="U177" s="2668">
        <f>0</f>
        <v>0</v>
      </c>
      <c r="V177" s="2668">
        <f>0</f>
        <v>0</v>
      </c>
      <c r="W177" s="2668">
        <f>0</f>
        <v>0</v>
      </c>
      <c r="X177" s="2668">
        <f>0</f>
        <v>0</v>
      </c>
      <c r="Y177" s="2668">
        <f>-1</f>
        <v>-1</v>
      </c>
      <c r="Z177" s="2719">
        <f>0</f>
        <v>0</v>
      </c>
      <c r="AA177" s="2668">
        <f>-f_E*(i_N_XE-i_N_BIO)</f>
        <v>8.0000000000000069E-4</v>
      </c>
      <c r="AB177" s="2668">
        <f>0</f>
        <v>0</v>
      </c>
      <c r="AC177" s="2668">
        <f>0</f>
        <v>0</v>
      </c>
      <c r="AD177" s="2668">
        <f>0</f>
        <v>0</v>
      </c>
      <c r="AE177" s="2668">
        <f>0</f>
        <v>0</v>
      </c>
      <c r="AF177" s="2668">
        <f>0</f>
        <v>0</v>
      </c>
      <c r="AG177" s="2668">
        <f>(1-f_E)*i_N_BIO</f>
        <v>6.4400000000000013E-2</v>
      </c>
      <c r="AH177" s="2668">
        <f>0</f>
        <v>0</v>
      </c>
      <c r="AI177" s="2668">
        <f>0</f>
        <v>0</v>
      </c>
      <c r="AJ177" s="2668">
        <f>0</f>
        <v>0</v>
      </c>
      <c r="AK177" s="2668">
        <f>0</f>
        <v>0</v>
      </c>
      <c r="AL177" s="2668">
        <f>0</f>
        <v>0</v>
      </c>
      <c r="AM177" s="2668">
        <f>(1-f_E)*i_P_BIO</f>
        <v>1.84E-2</v>
      </c>
      <c r="AN177" s="2668">
        <f>0</f>
        <v>0</v>
      </c>
      <c r="AO177" s="2668">
        <f>0</f>
        <v>0</v>
      </c>
      <c r="AP177" s="2668">
        <f>0</f>
        <v>0</v>
      </c>
      <c r="AQ177" s="2668">
        <f>0</f>
        <v>0</v>
      </c>
      <c r="AR177" s="2700">
        <f>(1-f_E)*(i_CIT_BIO-i_CIT_XBe)</f>
        <v>6.0720000000000003E-2</v>
      </c>
      <c r="AS177" s="2700">
        <f>0</f>
        <v>0</v>
      </c>
      <c r="AT177" s="2700">
        <f>0</f>
        <v>0</v>
      </c>
      <c r="AU177" s="2700">
        <f>0</f>
        <v>0</v>
      </c>
      <c r="AV177" s="2700">
        <f>0</f>
        <v>0</v>
      </c>
      <c r="AW177" s="2700">
        <f>0</f>
        <v>0</v>
      </c>
      <c r="AX177" s="2668">
        <f>0</f>
        <v>0</v>
      </c>
      <c r="AY177" s="2668">
        <f>0</f>
        <v>0</v>
      </c>
      <c r="AZ177" s="2668">
        <f>0</f>
        <v>0</v>
      </c>
      <c r="BA177" s="2668">
        <f>0</f>
        <v>0</v>
      </c>
      <c r="BB177" s="2668">
        <f>0</f>
        <v>0</v>
      </c>
      <c r="BC177" s="2668">
        <f>0</f>
        <v>0</v>
      </c>
      <c r="BD177" s="2668">
        <f>0</f>
        <v>0</v>
      </c>
      <c r="BE177" s="2668">
        <f>0</f>
        <v>0</v>
      </c>
      <c r="BF177" s="2668">
        <f>0</f>
        <v>0</v>
      </c>
      <c r="BG177" s="2668">
        <f>0</f>
        <v>0</v>
      </c>
      <c r="BH177" s="2668">
        <f>0</f>
        <v>0</v>
      </c>
      <c r="BI177" s="2668">
        <f>0</f>
        <v>0</v>
      </c>
      <c r="BJ177" s="2668">
        <f>0</f>
        <v>0</v>
      </c>
      <c r="BK177" s="2668">
        <f>0</f>
        <v>0</v>
      </c>
      <c r="BL177" s="2668">
        <f>0</f>
        <v>0</v>
      </c>
      <c r="BM177" s="2668">
        <f>0</f>
        <v>0</v>
      </c>
      <c r="BN177" s="2668">
        <f>0</f>
        <v>0</v>
      </c>
      <c r="BO177" s="2668">
        <f>0</f>
        <v>0</v>
      </c>
      <c r="BP177" s="2762">
        <f>0</f>
        <v>0</v>
      </c>
      <c r="BQ177" s="2668">
        <f>0</f>
        <v>0</v>
      </c>
      <c r="BR177" s="2668">
        <f>0</f>
        <v>0</v>
      </c>
      <c r="BS177" s="2719">
        <f>0</f>
        <v>0</v>
      </c>
      <c r="BT177" s="2719">
        <f>0</f>
        <v>0</v>
      </c>
      <c r="BU177" s="2719">
        <f>0</f>
        <v>0</v>
      </c>
      <c r="BV177" s="2719">
        <f>0</f>
        <v>0</v>
      </c>
      <c r="BW177" s="2668">
        <f>0</f>
        <v>0</v>
      </c>
      <c r="BX177" s="2683">
        <f>0</f>
        <v>0</v>
      </c>
      <c r="BY177" s="2719">
        <f>0</f>
        <v>0</v>
      </c>
      <c r="BZ177" s="2668">
        <f>0</f>
        <v>0</v>
      </c>
      <c r="CA177" s="2668">
        <f>0</f>
        <v>0</v>
      </c>
      <c r="CB177" s="2668">
        <f>0</f>
        <v>0</v>
      </c>
      <c r="CC177" s="2668">
        <f>0</f>
        <v>0</v>
      </c>
      <c r="CD177" s="2668">
        <f>0</f>
        <v>0</v>
      </c>
      <c r="CE177" s="2668">
        <f>0</f>
        <v>0</v>
      </c>
      <c r="CF177" s="2668">
        <f>0</f>
        <v>0</v>
      </c>
      <c r="CG177" s="2668">
        <f>0</f>
        <v>0</v>
      </c>
      <c r="CH177" s="2668">
        <f>0</f>
        <v>0</v>
      </c>
      <c r="CI177" s="2668">
        <f>0</f>
        <v>0</v>
      </c>
      <c r="CJ177" s="2668">
        <f>0</f>
        <v>0</v>
      </c>
      <c r="CK177" s="2668">
        <f>0</f>
        <v>0</v>
      </c>
      <c r="CL177" s="2807">
        <f>b_HMETO_T*X_HMETO*(m_tox_aer*M_satSO2_KiO2_HMETO+m_tox_anox*M_satSNOx_KNO3_HMETO*M_inhSO2_KiO2_HMETO)</f>
        <v>0.25679848448969933</v>
      </c>
      <c r="CN177" s="2295">
        <f>E236*E177+F236*F177+G236*G177+H236*H177+I236*I177+J236*J177+K236*K177+L236*L177+M236*M177+N236*N177+O236*O177+P236*P177+Q236*Q177+R236*R177+S236*S177+T236*T177+U236*U177+V236*V177+W236*W177+X236*X177+Y236*Y177+Z236*Z177+AA236*AA177+AB236*AB177+AC236*AC177+AD236*AD177+AE236*AE177+AF236*AF177+AG236*AG177+AH236*AH177+AI236*AI177+AJ236*AJ177+AK236*AK177+AL236*AL177+AM236*AM177+AN236*AN177+AO236*AO177+AP236*AP177+AQ236*AQ177+AR236*AR177+AS236*AS177+AT236*AT177+AU236*AU177+AV236*AV177+AW236*AW177+AX236*AX177+AY236*AY177+AZ236*AZ177+BA236*BA177+BB236*BB177+BC236*BC177+BD236*BD177+BE236*BE177+BF236*BF177+BG236*BG177+BH236*BH177+BI236*BI177+BJ236*BJ177+BK236*BK177+BL236*BL177+BM236*BM177+BN236*BN177+BO236*BO177+BP236*BP177+BQ236*BQ177+BR236*BR177+BS236*BS177+BT236*BT177+BU236*BU177+BV236*BV177+BW236*BW177+BX236*BX177+BY236*BY177+BZ236*BZ177+CA236*CA177+CB236*CB177+CC236*CC177+CD236*CD177+CE236*CE177+CF236*CF177+CG236*CG177+CH236*CH177+CI236*CI177+CJ236*CJ177+CK236*CK177</f>
        <v>0</v>
      </c>
      <c r="CO177" s="2295">
        <f>E237*E177+F237*F177+G237*G177+H237*H177+I237*I177+J237*J177+K237*K177+L237*L177+M237*M177+N237*N177+O237*O177+P237*P177+Q237*Q177+R237*R177+S237*S177+T237*T177+U237*U177+V237*V177+W237*W177+X237*X177+Y237*Y177+Z237*Z177+AA237*AA177+AB237*AB177+AC237*AC177+AD237*AD177+AE237*AE177+AF237*AF177+AG237*AG177+AH237*AH177+AI237*AI177+AJ237*AJ177+AK237*AK177+AL237*AL177+AM237*AM177+AN237*AN177+AO237*AO177+AP237*AP177+AQ237*AQ177+AR237*AR177+AS237*AS177+AT237*AT177+AU237*AU177+AV237*AV177+AW237*AW177+AX237*AX177+AY237*AY177+AZ237*AZ177+BA237*BA177+BB237*BB177+BC237*BC177+BD237*BD177+BE237*BE177+BF237*BF177+BG237*BG177+BH237*BH177+BI237*BI177+BJ237*BJ177+BK237*BK177+BL237*BL177+BM237*BM177+BN237*BN177+BO237*BO177+BP237*BP177+BQ237*BQ177+BR237*BR177+BS237*BS177+BT237*BT177+BU237*BU177+BV237*BV177+BW237*BW177+BX237*BX177+BY237*BY177+BZ237*BZ177+CA237*CA177+CB237*CB177+CC237*CC177+CD237*CD177+CE237*CE177+CF237*CF177+CG237*CG177+CH237*CH177+CI237*CI177+CJ237*CJ177+CK237*CK177</f>
        <v>6.9388939039072284E-18</v>
      </c>
      <c r="CP177" s="2296">
        <f>E238*E177+F238*F177+G238*G177+H238*H177+I238*I177+J238*J177+K238*K177+L238*L177+M238*M177+N238*N177+O238*O177+P238*P177+Q238*Q177+R238*R177+S238*S177+T238*T177+U238*U177+V238*V177+W238*W177+X238*X177+Y238*Y177+Z238*Z177+AA238*AA177+AB238*AB177+AC238*AC177+AD238*AD177+AE238*AE177+AF238*AF177+AG238*AG177+AH238*AH177+AI238*AI177+AJ238*AJ177+AK238*AK177+AL238*AL177+AM238*AM177+AN238*AN177+AO238*AO177+AP238*AP177+AQ238*AQ177+AR238*AR177+AS238*AS177+AT238*AT177+AU238*AU177+AV238*AV177+AW238*AW177+AX238*AX177+AY238*AY177+AZ238*AZ177+BA238*BA177+BB238*BB177+BC238*BC177+BD238*BD177+BE238*BE177+BF238*BF177+BG238*BG177+BH238*BH177+BI238*BI177+BJ238*BJ177+BK238*BK177+BL238*BL177+BM238*BM177+BN238*BN177+BO238*BO177+BP238*BP177+BQ238*BQ177+BR238*BR177+BS238*BS177+BT238*BT177+BU238*BU177+BV238*BV177+BW238*BW177+BX238*BX177+BY238*BY177+BZ238*BZ177+CA238*CA177+CB238*CB177+CC238*CC177+CD238*CD177+CE238*CE177+CF238*CF177+CG238*CG177+CH238*CH177+CI238*CI177+CJ238*CJ177+CK238*CK177</f>
        <v>0</v>
      </c>
      <c r="CQ177" s="2297">
        <f>E239*E177+F239*F177+G239*G177+H239*H177+I239*I177+J239*J177+K239*K177+L239*L177+M239*M177+N239*N177+O239*O177+P239*P177+Q239*Q177+R239*R177+S239*S177+T239*T177+U239*U177+V239*V177+W239*W177+X239*X177+Y239*Y177+Z239*Z177+AA239*AA177+AB239*AB177+AC239*AC177+AD239*AD177+AE239*AE177+AF239*AF177+AG239*AG177+AH239*AH177+AI239*AI177+AJ239*AJ177+AK239*AK177+AL239*AL177+AM239*AM177+AN239*AN177+AO239*AO177+AP239*AP177+AQ239*AQ177+AR239*AR177+AS239*AS177+AT239*AT177+AU239*AU177+AV239*AV177+AW239*AW177+AX239*AX177+AY239*AY177+AZ239*AZ177+BA239*BA177+BB239*BB177+BC239*BC177+BD239*BD177+BE239*BE177+BF239*BF177+BG239*BG177+BH239*BH177+BI239*BI177+BJ239*BJ177+BK239*BK177+BL239*BL177+BM239*BM177+BN239*BN177+BO239*BO177+BP239*BP177+BQ239*BQ177+BR239*BR177+BS239*BS177+BT239*BT177+BU239*BU177+BV239*BV177+BW239*BW177+BX239*BX177+BY239*BY177+BZ239*BZ177+CA239*CA177+CB239*CB177+CC239*CC177+CD239*CD177+CE239*CE177+CF239*CF177+CG239*CG177+CH239*CH177+CI239*CI177+CJ239*CJ177+CK239*CK177</f>
        <v>0</v>
      </c>
      <c r="CR177" s="2297">
        <f>E240*E177+F240*F177+G240*G177+H240*H177+I240*I177+J240*J177+K240*K177+L240*L177+M240*M177+N240*N177+O240*O177+P240*P177+Q240*Q177+R240*R177+S240*S177+T240*T177+U240*U177+V240*V177+W240*W177+X240*X177+Y240*Y177+Z240*Z177+AA240*AA177+AB240*AB177+AC240*AC177+AD240*AD177+AE240*AE177+AF240*AF177+AG240*AG177+AH240*AH177+AI240*AI177+AJ240*AJ177+AK240*AK177+AL240*AL177+AM240*AM177+AN240*AN177+AO240*AO177+AP240*AP177+AQ240*AQ177+AR240*AR177+AS240*AS177+AT240*AT177+AU240*AU177+AV240*AV177+AW240*AW177+AX240*AX177+AY240*AY177+AZ240*AZ177+BA240*BA177+BB240*BB177+BC240*BC177+BD240*BD177+BE240*BE177+BF240*BF177+BG240*BG177+BH240*BH177+BI240*BI177+BJ240*BJ177+BK240*BK177+BL240*BL177+BM240*BM177+BN240*BN177+BO240*BO177+BP240*BP177+BQ240*BQ177+BR240*BR177+BS240*BS177+BT240*BT177+BU240*BU177+BV240*BV177+BW240*BW177+BX240*BX177+BY240*BY177+BZ240*BZ177+CA240*CA177+CB240*CB177+CC240*CC177+CD240*CD177+CE240*CE177+CF240*CF177+CG240*CG177+CH240*CH177+CI240*CI177+CJ240*CJ177+CK240*CK177</f>
        <v>0</v>
      </c>
      <c r="CS177" s="2297">
        <f>E241*E177+F241*F177+G241*G177+H241*H177+I241*I177+J241*J177+K241*K177+L241*L177+M241*M177+N241*N177+O241*O177+P241*P177+Q241*Q177+R241*R177+S241*S177+T241*T177+U241*U177+V241*V177+W241*W177+X241*X177+Y241*Y177+Z241*Z177+AA241*AA177+AB241*AB177+AC241*AC177+AD241*AD177+AE241*AE177+AF241*AF177+AG241*AG177+AH241*AH177+AI241*AI177+AJ241*AJ177+AK241*AK177+AL241*AL177+AM241*AM177+AN241*AN177+AO241*AO177+AP241*AP177+AQ241*AQ177+AR241*AR177+AS241*AS177+AT241*AT177+AU241*AU177+AV241*AV177+AW241*AW177+AX241*AX177+AY241*AY177+AZ241*AZ177+BA241*BA177+BB241*BB177+BC241*BC177+BD241*BD177+BE241*BE177+BF241*BF177+BG241*BG177+BH241*BH177+BI241*BI177+BJ241*BJ177+BK241*BK177+BL241*BL177+BM241*BM177+BN241*BN177+BO241*BO177+BP241*BP177+BQ241*BQ177+BR241*BR177+BS241*BS177+BT241*BT177+BU241*BU177+BV241*BV177+BW241*BW177+BX241*BX177+BY241*BY177+BZ241*BZ177+CA241*CA177+CB241*CB177+CC241*CC177+CD241*CD177+CE241*CE177+CF241*CF177+CG241*CG177+CH241*CH177+CI241*CI177+CJ241*CJ177+CK241*CK177</f>
        <v>0</v>
      </c>
      <c r="CT177" s="2297">
        <f>E242*E177+F242*F177+G242*G177+H242*H177+I242*I177+J242*J177+K242*K177+L242*L177+M242*M177+N242*N177+O242*O177+P242*P177+Q242*Q177+R242*R177+S242*S177+T242*T177+U242*U177+V242*V177+W242*W177+X242*X177+Y242*Y177+Z242*Z177+AA242*AA177+AB242*AB177+AC242*AC177+AD242*AD177+AE242*AE177+AF242*AF177+AG242*AG177+AH242*AH177+AI242*AI177+AJ242*AJ177+AK242*AK177+AL242*AL177+AM242*AM177+AN242*AN177+AO242*AO177+AP242*AP177+AQ242*AQ177+AR242*AR177+AS242*AS177+AT242*AT177+AU242*AU177+AV242*AV177+AW242*AW177+AX242*AX177+AY242*AY177+AZ242*AZ177+BA242*BA177+BB242*BB177+BC242*BC177+BD242*BD177+BE242*BE177+BF242*BF177+BG242*BG177+BH242*BH177+BI242*BI177+BJ242*BJ177+BK242*BK177+BL242*BL177+BM242*BM177+BN242*BN177+BO242*BO177+BP242*BP177+BQ242*BQ177+BR242*BR177+BS242*BS177+BT242*BT177+BU242*BU177+BV242*BV177+BW242*BW177+BX242*BX177+BY242*BY177+BZ242*BZ177+CA242*CA177+CB242*CB177+CC242*CC177+CD242*CD177+CE242*CE177+CF242*CF177+CG242*CG177+CH242*CH177+CI242*CI177+CJ242*CJ177+CK242*CK177</f>
        <v>0</v>
      </c>
      <c r="CU177" s="2297">
        <f>E243*E177+F243*F177+G243*G177+H243*H177+I243*I177+J243*J177+K243*K177+L243*L177+M243*M177+N243*N177+O243*O177+P243*P177+Q243*Q177+R243*R177+S243*S177+T243*T177+U243*U177+V243*V177+W243*W177+X243*X177+Y243*Y177+Z243*Z177+AA243*AA177+AB243*AB177+AC243*AC177+AD243*AD177+AE243*AE177+AF243*AF177+AG243*AG177+AH243*AH177+AI243*AI177+AJ243*AJ177+AK243*AK177+AL243*AL177+AM243*AM177+AN243*AN177+AO243*AO177+AP243*AP177+AQ243*AQ177+AR243*AR177+AS243*AS177+AT243*AT177+AU243*AU177+AV243*AV177+AW243*AW177+AX243*AX177+AY243*AY177+AZ243*AZ177+BA243*BA177+BB243*BB177+BC243*BC177+BD243*BD177+BE243*BE177+BF243*BF177+BG243*BG177+BH243*BH177+BI243*BI177+BJ243*BJ177+BK243*BK177+BL243*BL177+BM243*BM177+BN243*BN177+BO243*BO177+BP243*BP177+BQ243*BQ177+BR243*BR177+BS243*BS177+BT243*BT177+BU243*BU177+BV243*BV177+BW243*BW177+BX243*BX177+BY243*BY177+BZ243*BZ177+CA243*CA177+CB243*CB177+CC243*CC177+CD243*CD177+CE243*CE177+CF243*CF177+CG243*CG177+CH243*CH177+CI243*CI177+CJ243*CJ177+CK243*CK177</f>
        <v>0</v>
      </c>
      <c r="CV177" s="2297">
        <f>E244*E177+F244*F177+G244*G177+H244*H177+I244*I177+J244*J177+K244*K177+L244*L177+M244*M177+N244*N177+O244*O177+P244*P177+Q244*Q177+R244*R177+S244*S177+T244*T177+U244*U177+V244*V177+W244*W177+X244*X177+Y244*Y177+Z244*Z177+AA244*AA177+AB244*AB177+AC244*AC177+AD244*AD177+AE244*AE177+AF244*AF177+AG244*AG177+AH244*AH177+AI244*AI177+AJ244*AJ177+AK244*AK177+AL244*AL177+AM244*AM177+AN244*AN177+AO244*AO177+AP244*AP177+AQ244*AQ177+AR244*AR177+AS244*AS177+AT244*AT177+AU244*AU177+AV244*AV177+AW244*AW177+AX244*AX177+AY244*AY177+AZ244*AZ177+BA244*BA177+BB244*BB177+BC244*BC177+BD244*BD177+BE244*BE177+BF244*BF177+BG244*BG177+BH244*BH177+BI244*BI177+BJ244*BJ177+BK244*BK177+BL244*BL177+BM244*BM177+BN244*BN177+BO244*BO177+BP244*BP177+BQ244*BQ177+BR244*BR177+BS244*BS177+BT244*BT177+BU244*BU177+BV244*BV177+BW244*BW177+BX244*BX177+BY244*BY177+BZ244*BZ177+CA244*CA177+CB244*CB177+CC244*CC177+CD244*CD177+CE244*CE177+CF244*CF177+CG244*CG177+CH244*CH177+CI244*CI177+CJ244*CJ177+CK244*CK177</f>
        <v>0</v>
      </c>
      <c r="CW177" s="2297">
        <f>E245*E177+F245*F177+G245*G177+H245*H177+I245*I177+J245*J177+K245*K177+L245*L177+M245*M177+N245*N177+O245*O177+P245*P177+Q245*Q177+R245*R177+S245*S177+T245*T177+U245*U177+V245*V177+W245*W177+X245*X177+Y245*Y177+Z245*Z177+AA245*AA177+AB245*AB177+AC245*AC177+AD245*AD177+AE245*AE177+AF245*AF177+AG245*AG177+AH245*AH177+AI245*AI177+AJ245*AJ177+AK245*AK177+AL245*AL177+AM245*AM177+AN245*AN177+AO245*AO177+AP245*AP177+AQ245*AQ177+AR245*AR177+AS245*AS177+AT245*AT177+AU245*AU177+AV245*AV177+AW245*AW177+AX245*AX177+AY245*AY177+AZ245*AZ177+BA245*BA177+BB245*BB177+BC245*BC177+BD245*BD177+BE245*BE177+BF245*BF177+BG245*BG177+BH245*BH177+BI245*BI177+BJ245*BJ177+BK245*BK177+BL245*BL177+BM245*BM177+BN245*BN177+BO245*BO177+BP245*BP177+BQ245*BQ177+BR245*BR177+BS245*BS177+BT245*BT177+BU245*BU177+BV245*BV177+BW245*BW177+BX245*BX177+BY245*BY177+BZ245*BZ177+CA245*CA177+CB245*CB177+CC245*CC177+CD245*CD177+CE245*CE177+CF245*CF177+CG245*CG177+CH245*CH177+CI245*CI177+CJ245*CJ177+CK245*CK177</f>
        <v>0</v>
      </c>
      <c r="CX177" s="2297">
        <f>E246*E177+F246*F177+G246*G177+H246*H177+I246*I177+J246*J177+K246*K177+L246*L177+M246*M177+N246*N177+O246*O177+P246*P177+Q246*Q177+R246*R177+S246*S177+T246*T177+U246*U177+V246*V177+W246*W177+X246*X177+Y246*Y177+Z246*Z177+AA246*AA177+AB246*AB177+AC246*AC177+AD246*AD177+AE246*AE177+AF246*AF177+AG246*AG177+AH246*AH177+AI246*AI177+AJ246*AJ177+AK246*AK177+AL246*AL177+AM246*AM177+AN246*AN177+AO246*AO177+AP246*AP177+AQ246*AQ177+AR246*AR177+AS246*AS177+AT246*AT177+AU246*AU177+AV246*AV177+AW246*AW177+AX246*AX177+AY246*AY177+AZ246*AZ177+BA246*BA177+BB246*BB177+BC246*BC177+BD246*BD177+BE246*BE177+BF246*BF177+BG246*BG177+BH246*BH177+BI246*BI177+BJ246*BJ177+BK246*BK177+BL246*BL177+BM246*BM177+BN246*BN177+BO246*BO177+BP246*BP177+BQ246*BQ177+BR246*BR177+BS246*BS177+BT246*BT177+BU246*BU177+BV246*BV177+BW246*BW177+BX246*BX177+BY246*BY177+BZ246*BZ177+CA246*CA177+CB246*CB177+CC246*CC177+CD246*CD177+CE246*CE177+CF246*CF177+CG246*CG177+CH246*CH177+CI246*CI177+CJ246*CJ177+CK246*CK177</f>
        <v>0</v>
      </c>
    </row>
    <row r="178" spans="2:102" ht="18" x14ac:dyDescent="0.25">
      <c r="B178" s="1250">
        <v>51</v>
      </c>
      <c r="C178" s="1197" t="s">
        <v>2116</v>
      </c>
      <c r="D178" s="613" t="s">
        <v>2981</v>
      </c>
      <c r="E178" s="2668">
        <f>0</f>
        <v>0</v>
      </c>
      <c r="F178" s="2668">
        <f>0</f>
        <v>0</v>
      </c>
      <c r="G178" s="2668">
        <f>0</f>
        <v>0</v>
      </c>
      <c r="H178" s="2668">
        <f>0</f>
        <v>0</v>
      </c>
      <c r="I178" s="2668">
        <f>0</f>
        <v>0</v>
      </c>
      <c r="J178" s="2668">
        <f>1-f_E</f>
        <v>0.92</v>
      </c>
      <c r="K178" s="2668">
        <f>0</f>
        <v>0</v>
      </c>
      <c r="L178" s="2668">
        <f>0</f>
        <v>0</v>
      </c>
      <c r="M178" s="2668">
        <f>0</f>
        <v>0</v>
      </c>
      <c r="N178" s="2668">
        <f>0</f>
        <v>0</v>
      </c>
      <c r="O178" s="2668">
        <f>0</f>
        <v>0</v>
      </c>
      <c r="P178" s="2668">
        <f>0</f>
        <v>0</v>
      </c>
      <c r="Q178" s="2668">
        <f>f_E</f>
        <v>0.08</v>
      </c>
      <c r="R178" s="2668">
        <f>0</f>
        <v>0</v>
      </c>
      <c r="S178" s="2668">
        <f>0</f>
        <v>0</v>
      </c>
      <c r="T178" s="2668">
        <f>0</f>
        <v>0</v>
      </c>
      <c r="U178" s="2668">
        <f>0</f>
        <v>0</v>
      </c>
      <c r="V178" s="2668">
        <f>0</f>
        <v>0</v>
      </c>
      <c r="W178" s="2668">
        <f>0</f>
        <v>0</v>
      </c>
      <c r="X178" s="2668">
        <f>0</f>
        <v>0</v>
      </c>
      <c r="Y178" s="2668">
        <f>-1</f>
        <v>-1</v>
      </c>
      <c r="Z178" s="2719">
        <f>0</f>
        <v>0</v>
      </c>
      <c r="AA178" s="2668">
        <f>-f_E*(i_N_XE-i_N_BIO)</f>
        <v>8.0000000000000069E-4</v>
      </c>
      <c r="AB178" s="2668">
        <f>0</f>
        <v>0</v>
      </c>
      <c r="AC178" s="2668">
        <f>0</f>
        <v>0</v>
      </c>
      <c r="AD178" s="2668">
        <f>0</f>
        <v>0</v>
      </c>
      <c r="AE178" s="2668">
        <f>0</f>
        <v>0</v>
      </c>
      <c r="AF178" s="2668">
        <f>0</f>
        <v>0</v>
      </c>
      <c r="AG178" s="2668">
        <f>(1-f_E)*i_N_BIO</f>
        <v>6.4400000000000013E-2</v>
      </c>
      <c r="AH178" s="2668">
        <f>0</f>
        <v>0</v>
      </c>
      <c r="AI178" s="2668">
        <f>0</f>
        <v>0</v>
      </c>
      <c r="AJ178" s="2668">
        <f>0</f>
        <v>0</v>
      </c>
      <c r="AK178" s="2668">
        <f>0</f>
        <v>0</v>
      </c>
      <c r="AL178" s="2668">
        <f>0</f>
        <v>0</v>
      </c>
      <c r="AM178" s="2668">
        <f>(1-f_E)*i_P_BIO</f>
        <v>1.84E-2</v>
      </c>
      <c r="AN178" s="2668">
        <f>0</f>
        <v>0</v>
      </c>
      <c r="AO178" s="2668">
        <f>0</f>
        <v>0</v>
      </c>
      <c r="AP178" s="2668">
        <f>0</f>
        <v>0</v>
      </c>
      <c r="AQ178" s="2668">
        <f>0</f>
        <v>0</v>
      </c>
      <c r="AR178" s="2700">
        <f>(1-f_E)*(i_CIT_BIO-i_CIT_XBe)</f>
        <v>6.0720000000000003E-2</v>
      </c>
      <c r="AS178" s="2700">
        <f>0</f>
        <v>0</v>
      </c>
      <c r="AT178" s="2700">
        <f>0</f>
        <v>0</v>
      </c>
      <c r="AU178" s="2700">
        <f>0</f>
        <v>0</v>
      </c>
      <c r="AV178" s="2700">
        <f>0</f>
        <v>0</v>
      </c>
      <c r="AW178" s="2700">
        <f>0</f>
        <v>0</v>
      </c>
      <c r="AX178" s="2668">
        <f>0</f>
        <v>0</v>
      </c>
      <c r="AY178" s="2668">
        <f>0</f>
        <v>0</v>
      </c>
      <c r="AZ178" s="2668">
        <f>0</f>
        <v>0</v>
      </c>
      <c r="BA178" s="2668">
        <f>0</f>
        <v>0</v>
      </c>
      <c r="BB178" s="2668">
        <f>0</f>
        <v>0</v>
      </c>
      <c r="BC178" s="2668">
        <f>0</f>
        <v>0</v>
      </c>
      <c r="BD178" s="2668">
        <f>0</f>
        <v>0</v>
      </c>
      <c r="BE178" s="2668">
        <f>0</f>
        <v>0</v>
      </c>
      <c r="BF178" s="2668">
        <f>0</f>
        <v>0</v>
      </c>
      <c r="BG178" s="2668">
        <f>0</f>
        <v>0</v>
      </c>
      <c r="BH178" s="2668">
        <f>0</f>
        <v>0</v>
      </c>
      <c r="BI178" s="2668">
        <f>0</f>
        <v>0</v>
      </c>
      <c r="BJ178" s="2668">
        <f>0</f>
        <v>0</v>
      </c>
      <c r="BK178" s="2668">
        <f>0</f>
        <v>0</v>
      </c>
      <c r="BL178" s="2668">
        <f>0</f>
        <v>0</v>
      </c>
      <c r="BM178" s="2668">
        <f>0</f>
        <v>0</v>
      </c>
      <c r="BN178" s="2668">
        <f>0</f>
        <v>0</v>
      </c>
      <c r="BO178" s="2668">
        <f>0</f>
        <v>0</v>
      </c>
      <c r="BP178" s="2762">
        <f>0</f>
        <v>0</v>
      </c>
      <c r="BQ178" s="2668">
        <f>0</f>
        <v>0</v>
      </c>
      <c r="BR178" s="2668">
        <f>0</f>
        <v>0</v>
      </c>
      <c r="BS178" s="2719">
        <f>0</f>
        <v>0</v>
      </c>
      <c r="BT178" s="2719">
        <f>0</f>
        <v>0</v>
      </c>
      <c r="BU178" s="2719">
        <f>0</f>
        <v>0</v>
      </c>
      <c r="BV178" s="2719">
        <f>0</f>
        <v>0</v>
      </c>
      <c r="BW178" s="2668">
        <f>0</f>
        <v>0</v>
      </c>
      <c r="BX178" s="2683">
        <f>0</f>
        <v>0</v>
      </c>
      <c r="BY178" s="2719">
        <f>0</f>
        <v>0</v>
      </c>
      <c r="BZ178" s="2668">
        <f>0</f>
        <v>0</v>
      </c>
      <c r="CA178" s="2668">
        <f>0</f>
        <v>0</v>
      </c>
      <c r="CB178" s="2668">
        <f>0</f>
        <v>0</v>
      </c>
      <c r="CC178" s="2668">
        <f>0</f>
        <v>0</v>
      </c>
      <c r="CD178" s="2668">
        <f>0</f>
        <v>0</v>
      </c>
      <c r="CE178" s="2668">
        <f>0</f>
        <v>0</v>
      </c>
      <c r="CF178" s="2668">
        <f>0</f>
        <v>0</v>
      </c>
      <c r="CG178" s="2668">
        <f>0</f>
        <v>0</v>
      </c>
      <c r="CH178" s="2668">
        <f>0</f>
        <v>0</v>
      </c>
      <c r="CI178" s="2668">
        <f>0</f>
        <v>0</v>
      </c>
      <c r="CJ178" s="2668">
        <f>0</f>
        <v>0</v>
      </c>
      <c r="CK178" s="2668">
        <f>0</f>
        <v>0</v>
      </c>
      <c r="CL178" s="2807">
        <f>b_HMETO_T*X_HMETO*(M_inhSNOx_KNO3_HMETO*M_inhSO2_KiO2_HMETO)</f>
        <v>6.1567605967321836E-6</v>
      </c>
      <c r="CN178" s="2295">
        <f>E236*E178+F236*F178+G236*G178+H236*H178+I236*I178+J236*J178+K236*K178+L236*L178+M236*M178+N236*N178+O236*O178+P236*P178+Q236*Q178+R236*R178+S236*S178+T236*T178+U236*U178+V236*V178+W236*W178+X236*X178+Y236*Y178+Z236*Z178+AA236*AA178+AB236*AB178+AC236*AC178+AD236*AD178+AE236*AE178+AF236*AF178+AG236*AG178+AH236*AH178+AI236*AI178+AJ236*AJ178+AK236*AK178+AL236*AL178+AM236*AM178+AN236*AN178+AO236*AO178+AP236*AP178+AQ236*AQ178+AR236*AR178+AS236*AS178+AT236*AT178+AU236*AU178+AV236*AV178+AW236*AW178+AX236*AX178+AY236*AY178+AZ236*AZ178+BA236*BA178+BB236*BB178+BC236*BC178+BD236*BD178+BE236*BE178+BF236*BF178+BG236*BG178+BH236*BH178+BI236*BI178+BJ236*BJ178+BK236*BK178+BL236*BL178+BM236*BM178+BN236*BN178+BO236*BO178+BP236*BP178+BQ236*BQ178+BR236*BR178+BS236*BS178+BT236*BT178+BU236*BU178+BV236*BV178+BW236*BW178+BX236*BX178+BY236*BY178+BZ236*BZ178+CA236*CA178+CB236*CB178+CC236*CC178+CD236*CD178+CE236*CE178+CF236*CF178+CG236*CG178+CH236*CH178+CI236*CI178+CJ236*CJ178+CK236*CK178</f>
        <v>0</v>
      </c>
      <c r="CO178" s="2295">
        <f>E237*E178+F237*F178+G237*G178+H237*H178+I237*I178+J237*J178+K237*K178+L237*L178+M237*M178+N237*N178+O237*O178+P237*P178+Q237*Q178+R237*R178+S237*S178+T237*T178+U237*U178+V237*V178+W237*W178+X237*X178+Y237*Y178+Z237*Z178+AA237*AA178+AB237*AB178+AC237*AC178+AD237*AD178+AE237*AE178+AF237*AF178+AG237*AG178+AH237*AH178+AI237*AI178+AJ237*AJ178+AK237*AK178+AL237*AL178+AM237*AM178+AN237*AN178+AO237*AO178+AP237*AP178+AQ237*AQ178+AR237*AR178+AS237*AS178+AT237*AT178+AU237*AU178+AV237*AV178+AW237*AW178+AX237*AX178+AY237*AY178+AZ237*AZ178+BA237*BA178+BB237*BB178+BC237*BC178+BD237*BD178+BE237*BE178+BF237*BF178+BG237*BG178+BH237*BH178+BI237*BI178+BJ237*BJ178+BK237*BK178+BL237*BL178+BM237*BM178+BN237*BN178+BO237*BO178+BP237*BP178+BQ237*BQ178+BR237*BR178+BS237*BS178+BT237*BT178+BU237*BU178+BV237*BV178+BW237*BW178+BX237*BX178+BY237*BY178+BZ237*BZ178+CA237*CA178+CB237*CB178+CC237*CC178+CD237*CD178+CE237*CE178+CF237*CF178+CG237*CG178+CH237*CH178+CI237*CI178+CJ237*CJ178+CK237*CK178</f>
        <v>6.9388939039072284E-18</v>
      </c>
      <c r="CP178" s="2296">
        <f>E238*E178+F238*F178+G238*G178+H238*H178+I238*I178+J238*J178+K238*K178+L238*L178+M238*M178+N238*N178+O238*O178+P238*P178+Q238*Q178+R238*R178+S238*S178+T238*T178+U238*U178+V238*V178+W238*W178+X238*X178+Y238*Y178+Z238*Z178+AA238*AA178+AB238*AB178+AC238*AC178+AD238*AD178+AE238*AE178+AF238*AF178+AG238*AG178+AH238*AH178+AI238*AI178+AJ238*AJ178+AK238*AK178+AL238*AL178+AM238*AM178+AN238*AN178+AO238*AO178+AP238*AP178+AQ238*AQ178+AR238*AR178+AS238*AS178+AT238*AT178+AU238*AU178+AV238*AV178+AW238*AW178+AX238*AX178+AY238*AY178+AZ238*AZ178+BA238*BA178+BB238*BB178+BC238*BC178+BD238*BD178+BE238*BE178+BF238*BF178+BG238*BG178+BH238*BH178+BI238*BI178+BJ238*BJ178+BK238*BK178+BL238*BL178+BM238*BM178+BN238*BN178+BO238*BO178+BP238*BP178+BQ238*BQ178+BR238*BR178+BS238*BS178+BT238*BT178+BU238*BU178+BV238*BV178+BW238*BW178+BX238*BX178+BY238*BY178+BZ238*BZ178+CA238*CA178+CB238*CB178+CC238*CC178+CD238*CD178+CE238*CE178+CF238*CF178+CG238*CG178+CH238*CH178+CI238*CI178+CJ238*CJ178+CK238*CK178</f>
        <v>0</v>
      </c>
      <c r="CQ178" s="2297">
        <f>E239*E178+F239*F178+G239*G178+H239*H178+I239*I178+J239*J178+K239*K178+L239*L178+M239*M178+N239*N178+O239*O178+P239*P178+Q239*Q178+R239*R178+S239*S178+T239*T178+U239*U178+V239*V178+W239*W178+X239*X178+Y239*Y178+Z239*Z178+AA239*AA178+AB239*AB178+AC239*AC178+AD239*AD178+AE239*AE178+AF239*AF178+AG239*AG178+AH239*AH178+AI239*AI178+AJ239*AJ178+AK239*AK178+AL239*AL178+AM239*AM178+AN239*AN178+AO239*AO178+AP239*AP178+AQ239*AQ178+AR239*AR178+AS239*AS178+AT239*AT178+AU239*AU178+AV239*AV178+AW239*AW178+AX239*AX178+AY239*AY178+AZ239*AZ178+BA239*BA178+BB239*BB178+BC239*BC178+BD239*BD178+BE239*BE178+BF239*BF178+BG239*BG178+BH239*BH178+BI239*BI178+BJ239*BJ178+BK239*BK178+BL239*BL178+BM239*BM178+BN239*BN178+BO239*BO178+BP239*BP178+BQ239*BQ178+BR239*BR178+BS239*BS178+BT239*BT178+BU239*BU178+BV239*BV178+BW239*BW178+BX239*BX178+BY239*BY178+BZ239*BZ178+CA239*CA178+CB239*CB178+CC239*CC178+CD239*CD178+CE239*CE178+CF239*CF178+CG239*CG178+CH239*CH178+CI239*CI178+CJ239*CJ178+CK239*CK178</f>
        <v>0</v>
      </c>
      <c r="CR178" s="2297">
        <f>E240*E178+F240*F178+G240*G178+H240*H178+I240*I178+J240*J178+K240*K178+L240*L178+M240*M178+N240*N178+O240*O178+P240*P178+Q240*Q178+R240*R178+S240*S178+T240*T178+U240*U178+V240*V178+W240*W178+X240*X178+Y240*Y178+Z240*Z178+AA240*AA178+AB240*AB178+AC240*AC178+AD240*AD178+AE240*AE178+AF240*AF178+AG240*AG178+AH240*AH178+AI240*AI178+AJ240*AJ178+AK240*AK178+AL240*AL178+AM240*AM178+AN240*AN178+AO240*AO178+AP240*AP178+AQ240*AQ178+AR240*AR178+AS240*AS178+AT240*AT178+AU240*AU178+AV240*AV178+AW240*AW178+AX240*AX178+AY240*AY178+AZ240*AZ178+BA240*BA178+BB240*BB178+BC240*BC178+BD240*BD178+BE240*BE178+BF240*BF178+BG240*BG178+BH240*BH178+BI240*BI178+BJ240*BJ178+BK240*BK178+BL240*BL178+BM240*BM178+BN240*BN178+BO240*BO178+BP240*BP178+BQ240*BQ178+BR240*BR178+BS240*BS178+BT240*BT178+BU240*BU178+BV240*BV178+BW240*BW178+BX240*BX178+BY240*BY178+BZ240*BZ178+CA240*CA178+CB240*CB178+CC240*CC178+CD240*CD178+CE240*CE178+CF240*CF178+CG240*CG178+CH240*CH178+CI240*CI178+CJ240*CJ178+CK240*CK178</f>
        <v>0</v>
      </c>
      <c r="CS178" s="2297">
        <f>E241*E178+F241*F178+G241*G178+H241*H178+I241*I178+J241*J178+K241*K178+L241*L178+M241*M178+N241*N178+O241*O178+P241*P178+Q241*Q178+R241*R178+S241*S178+T241*T178+U241*U178+V241*V178+W241*W178+X241*X178+Y241*Y178+Z241*Z178+AA241*AA178+AB241*AB178+AC241*AC178+AD241*AD178+AE241*AE178+AF241*AF178+AG241*AG178+AH241*AH178+AI241*AI178+AJ241*AJ178+AK241*AK178+AL241*AL178+AM241*AM178+AN241*AN178+AO241*AO178+AP241*AP178+AQ241*AQ178+AR241*AR178+AS241*AS178+AT241*AT178+AU241*AU178+AV241*AV178+AW241*AW178+AX241*AX178+AY241*AY178+AZ241*AZ178+BA241*BA178+BB241*BB178+BC241*BC178+BD241*BD178+BE241*BE178+BF241*BF178+BG241*BG178+BH241*BH178+BI241*BI178+BJ241*BJ178+BK241*BK178+BL241*BL178+BM241*BM178+BN241*BN178+BO241*BO178+BP241*BP178+BQ241*BQ178+BR241*BR178+BS241*BS178+BT241*BT178+BU241*BU178+BV241*BV178+BW241*BW178+BX241*BX178+BY241*BY178+BZ241*BZ178+CA241*CA178+CB241*CB178+CC241*CC178+CD241*CD178+CE241*CE178+CF241*CF178+CG241*CG178+CH241*CH178+CI241*CI178+CJ241*CJ178+CK241*CK178</f>
        <v>0</v>
      </c>
      <c r="CT178" s="2297">
        <f>E242*E178+F242*F178+G242*G178+H242*H178+I242*I178+J242*J178+K242*K178+L242*L178+M242*M178+N242*N178+O242*O178+P242*P178+Q242*Q178+R242*R178+S242*S178+T242*T178+U242*U178+V242*V178+W242*W178+X242*X178+Y242*Y178+Z242*Z178+AA242*AA178+AB242*AB178+AC242*AC178+AD242*AD178+AE242*AE178+AF242*AF178+AG242*AG178+AH242*AH178+AI242*AI178+AJ242*AJ178+AK242*AK178+AL242*AL178+AM242*AM178+AN242*AN178+AO242*AO178+AP242*AP178+AQ242*AQ178+AR242*AR178+AS242*AS178+AT242*AT178+AU242*AU178+AV242*AV178+AW242*AW178+AX242*AX178+AY242*AY178+AZ242*AZ178+BA242*BA178+BB242*BB178+BC242*BC178+BD242*BD178+BE242*BE178+BF242*BF178+BG242*BG178+BH242*BH178+BI242*BI178+BJ242*BJ178+BK242*BK178+BL242*BL178+BM242*BM178+BN242*BN178+BO242*BO178+BP242*BP178+BQ242*BQ178+BR242*BR178+BS242*BS178+BT242*BT178+BU242*BU178+BV242*BV178+BW242*BW178+BX242*BX178+BY242*BY178+BZ242*BZ178+CA242*CA178+CB242*CB178+CC242*CC178+CD242*CD178+CE242*CE178+CF242*CF178+CG242*CG178+CH242*CH178+CI242*CI178+CJ242*CJ178+CK242*CK178</f>
        <v>0</v>
      </c>
      <c r="CU178" s="2297">
        <f>E243*E178+F243*F178+G243*G178+H243*H178+I243*I178+J243*J178+K243*K178+L243*L178+M243*M178+N243*N178+O243*O178+P243*P178+Q243*Q178+R243*R178+S243*S178+T243*T178+U243*U178+V243*V178+W243*W178+X243*X178+Y243*Y178+Z243*Z178+AA243*AA178+AB243*AB178+AC243*AC178+AD243*AD178+AE243*AE178+AF243*AF178+AG243*AG178+AH243*AH178+AI243*AI178+AJ243*AJ178+AK243*AK178+AL243*AL178+AM243*AM178+AN243*AN178+AO243*AO178+AP243*AP178+AQ243*AQ178+AR243*AR178+AS243*AS178+AT243*AT178+AU243*AU178+AV243*AV178+AW243*AW178+AX243*AX178+AY243*AY178+AZ243*AZ178+BA243*BA178+BB243*BB178+BC243*BC178+BD243*BD178+BE243*BE178+BF243*BF178+BG243*BG178+BH243*BH178+BI243*BI178+BJ243*BJ178+BK243*BK178+BL243*BL178+BM243*BM178+BN243*BN178+BO243*BO178+BP243*BP178+BQ243*BQ178+BR243*BR178+BS243*BS178+BT243*BT178+BU243*BU178+BV243*BV178+BW243*BW178+BX243*BX178+BY243*BY178+BZ243*BZ178+CA243*CA178+CB243*CB178+CC243*CC178+CD243*CD178+CE243*CE178+CF243*CF178+CG243*CG178+CH243*CH178+CI243*CI178+CJ243*CJ178+CK243*CK178</f>
        <v>0</v>
      </c>
      <c r="CV178" s="2297">
        <f>E244*E178+F244*F178+G244*G178+H244*H178+I244*I178+J244*J178+K244*K178+L244*L178+M244*M178+N244*N178+O244*O178+P244*P178+Q244*Q178+R244*R178+S244*S178+T244*T178+U244*U178+V244*V178+W244*W178+X244*X178+Y244*Y178+Z244*Z178+AA244*AA178+AB244*AB178+AC244*AC178+AD244*AD178+AE244*AE178+AF244*AF178+AG244*AG178+AH244*AH178+AI244*AI178+AJ244*AJ178+AK244*AK178+AL244*AL178+AM244*AM178+AN244*AN178+AO244*AO178+AP244*AP178+AQ244*AQ178+AR244*AR178+AS244*AS178+AT244*AT178+AU244*AU178+AV244*AV178+AW244*AW178+AX244*AX178+AY244*AY178+AZ244*AZ178+BA244*BA178+BB244*BB178+BC244*BC178+BD244*BD178+BE244*BE178+BF244*BF178+BG244*BG178+BH244*BH178+BI244*BI178+BJ244*BJ178+BK244*BK178+BL244*BL178+BM244*BM178+BN244*BN178+BO244*BO178+BP244*BP178+BQ244*BQ178+BR244*BR178+BS244*BS178+BT244*BT178+BU244*BU178+BV244*BV178+BW244*BW178+BX244*BX178+BY244*BY178+BZ244*BZ178+CA244*CA178+CB244*CB178+CC244*CC178+CD244*CD178+CE244*CE178+CF244*CF178+CG244*CG178+CH244*CH178+CI244*CI178+CJ244*CJ178+CK244*CK178</f>
        <v>0</v>
      </c>
      <c r="CW178" s="2297">
        <f>E245*E178+F245*F178+G245*G178+H245*H178+I245*I178+J245*J178+K245*K178+L245*L178+M245*M178+N245*N178+O245*O178+P245*P178+Q245*Q178+R245*R178+S245*S178+T245*T178+U245*U178+V245*V178+W245*W178+X245*X178+Y245*Y178+Z245*Z178+AA245*AA178+AB245*AB178+AC245*AC178+AD245*AD178+AE245*AE178+AF245*AF178+AG245*AG178+AH245*AH178+AI245*AI178+AJ245*AJ178+AK245*AK178+AL245*AL178+AM245*AM178+AN245*AN178+AO245*AO178+AP245*AP178+AQ245*AQ178+AR245*AR178+AS245*AS178+AT245*AT178+AU245*AU178+AV245*AV178+AW245*AW178+AX245*AX178+AY245*AY178+AZ245*AZ178+BA245*BA178+BB245*BB178+BC245*BC178+BD245*BD178+BE245*BE178+BF245*BF178+BG245*BG178+BH245*BH178+BI245*BI178+BJ245*BJ178+BK245*BK178+BL245*BL178+BM245*BM178+BN245*BN178+BO245*BO178+BP245*BP178+BQ245*BQ178+BR245*BR178+BS245*BS178+BT245*BT178+BU245*BU178+BV245*BV178+BW245*BW178+BX245*BX178+BY245*BY178+BZ245*BZ178+CA245*CA178+CB245*CB178+CC245*CC178+CD245*CD178+CE245*CE178+CF245*CF178+CG245*CG178+CH245*CH178+CI245*CI178+CJ245*CJ178+CK245*CK178</f>
        <v>0</v>
      </c>
      <c r="CX178" s="2297">
        <f>E246*E178+F246*F178+G246*G178+H246*H178+I246*I178+J246*J178+K246*K178+L246*L178+M246*M178+N246*N178+O246*O178+P246*P178+Q246*Q178+R246*R178+S246*S178+T246*T178+U246*U178+V246*V178+W246*W178+X246*X178+Y246*Y178+Z246*Z178+AA246*AA178+AB246*AB178+AC246*AC178+AD246*AD178+AE246*AE178+AF246*AF178+AG246*AG178+AH246*AH178+AI246*AI178+AJ246*AJ178+AK246*AK178+AL246*AL178+AM246*AM178+AN246*AN178+AO246*AO178+AP246*AP178+AQ246*AQ178+AR246*AR178+AS246*AS178+AT246*AT178+AU246*AU178+AV246*AV178+AW246*AW178+AX246*AX178+AY246*AY178+AZ246*AZ178+BA246*BA178+BB246*BB178+BC246*BC178+BD246*BD178+BE246*BE178+BF246*BF178+BG246*BG178+BH246*BH178+BI246*BI178+BJ246*BJ178+BK246*BK178+BL246*BL178+BM246*BM178+BN246*BN178+BO246*BO178+BP246*BP178+BQ246*BQ178+BR246*BR178+BS246*BS178+BT246*BT178+BU246*BU178+BV246*BV178+BW246*BW178+BX246*BX178+BY246*BY178+BZ246*BZ178+CA246*CA178+CB246*CB178+CC246*CC178+CD246*CD178+CE246*CE178+CF246*CF178+CG246*CG178+CH246*CH178+CI246*CI178+CJ246*CJ178+CK246*CK178</f>
        <v>0</v>
      </c>
    </row>
    <row r="179" spans="2:102" ht="18" x14ac:dyDescent="0.35">
      <c r="B179" s="2032">
        <v>52</v>
      </c>
      <c r="C179" s="2033" t="s">
        <v>2117</v>
      </c>
      <c r="D179" s="2034" t="s">
        <v>4611</v>
      </c>
      <c r="E179" s="2669">
        <f>0</f>
        <v>0</v>
      </c>
      <c r="F179" s="2669">
        <f>0</f>
        <v>0</v>
      </c>
      <c r="G179" s="2669">
        <f>0</f>
        <v>0</v>
      </c>
      <c r="H179" s="2669">
        <f>0</f>
        <v>0</v>
      </c>
      <c r="I179" s="2669">
        <f>0</f>
        <v>0</v>
      </c>
      <c r="J179" s="2669">
        <f>0</f>
        <v>0</v>
      </c>
      <c r="K179" s="2669">
        <f>0</f>
        <v>0</v>
      </c>
      <c r="L179" s="2669">
        <f>0</f>
        <v>0</v>
      </c>
      <c r="M179" s="2669">
        <f>0</f>
        <v>0</v>
      </c>
      <c r="N179" s="2669">
        <f>0</f>
        <v>0</v>
      </c>
      <c r="O179" s="2669">
        <f>0</f>
        <v>0</v>
      </c>
      <c r="P179" s="2669">
        <f>0</f>
        <v>0</v>
      </c>
      <c r="Q179" s="2669">
        <f>0</f>
        <v>0</v>
      </c>
      <c r="R179" s="2669">
        <f>0</f>
        <v>0</v>
      </c>
      <c r="S179" s="2669">
        <f>0</f>
        <v>0</v>
      </c>
      <c r="T179" s="2669">
        <f>0</f>
        <v>0</v>
      </c>
      <c r="U179" s="2669">
        <f>0</f>
        <v>0</v>
      </c>
      <c r="V179" s="2669">
        <f>0</f>
        <v>0</v>
      </c>
      <c r="W179" s="2669">
        <f>0</f>
        <v>0</v>
      </c>
      <c r="X179" s="2669">
        <f>0</f>
        <v>0</v>
      </c>
      <c r="Y179" s="2669">
        <f>0</f>
        <v>0</v>
      </c>
      <c r="Z179" s="2669">
        <f>1</f>
        <v>1</v>
      </c>
      <c r="AA179" s="2669">
        <f>0</f>
        <v>0</v>
      </c>
      <c r="AB179" s="2725">
        <f>-i_N_ALGAE*S_NO2/S_NOx</f>
        <v>-1.3725490196078434E-3</v>
      </c>
      <c r="AC179" s="2725">
        <f>-i_N_ALGAE*S_NO3/S_NOx</f>
        <v>-6.8627450980392163E-2</v>
      </c>
      <c r="AD179" s="2669">
        <f>0</f>
        <v>0</v>
      </c>
      <c r="AE179" s="2669">
        <f>0</f>
        <v>0</v>
      </c>
      <c r="AF179" s="2669">
        <f>0</f>
        <v>0</v>
      </c>
      <c r="AG179" s="2669">
        <f>0</f>
        <v>0</v>
      </c>
      <c r="AH179" s="2669">
        <f>0</f>
        <v>0</v>
      </c>
      <c r="AI179" s="2725">
        <f>-i_P_ALGAE</f>
        <v>-0.02</v>
      </c>
      <c r="AJ179" s="2669">
        <f>0</f>
        <v>0</v>
      </c>
      <c r="AK179" s="2669">
        <f>0</f>
        <v>0</v>
      </c>
      <c r="AL179" s="2669">
        <f>0</f>
        <v>0</v>
      </c>
      <c r="AM179" s="2669">
        <f>0</f>
        <v>0</v>
      </c>
      <c r="AN179" s="2669">
        <f>0</f>
        <v>0</v>
      </c>
      <c r="AO179" s="2725">
        <f>1+i_N_ALGAE*(E_EQNO3*S_NO3/S_NOx+E_EQNO2*S_NO2/S_NOx)</f>
        <v>1.318267117823305</v>
      </c>
      <c r="AP179" s="2669">
        <f>0</f>
        <v>0</v>
      </c>
      <c r="AQ179" s="2669">
        <f>0</f>
        <v>0</v>
      </c>
      <c r="AR179" s="2737">
        <f>-i_CIT_ALGAE</f>
        <v>-0.375</v>
      </c>
      <c r="AS179" s="2669">
        <f>i_INORG</f>
        <v>0.11</v>
      </c>
      <c r="AT179" s="2747">
        <f>-i_INORG*(1-i_Ca_INORG*(A_MCa+2*A_MCl)/A_MCa-i_Mg_INORG*(A_MMg+2*A_MCl)/A_MMg)*f_Na</f>
        <v>-2.8804303582798466E-2</v>
      </c>
      <c r="AU179" s="2747">
        <f>-i_INORG*(i_Ca_INORG*(2*A_MCl)/A_MCa+i_Mg_INORG*(2*A_MCl)/A_MMg)-i_INORG*(1-i_Ca_INORG*(A_MCa+2*A_MCl)/A_MCa-i_Mg_INORG*(A_MMg+2*A_MCl)/A_MMg)*(1-f_Na)</f>
        <v>-7.0195696417201539E-2</v>
      </c>
      <c r="AV179" s="2747">
        <f>-i_INORG*i_Ca_INORG</f>
        <v>-5.5000000000000005E-3</v>
      </c>
      <c r="AW179" s="2747">
        <f>-i_INORG*i_Mg_INORG</f>
        <v>-5.5000000000000005E-3</v>
      </c>
      <c r="AX179" s="2669">
        <f>0</f>
        <v>0</v>
      </c>
      <c r="AY179" s="2669">
        <f>0</f>
        <v>0</v>
      </c>
      <c r="AZ179" s="2669">
        <f>0</f>
        <v>0</v>
      </c>
      <c r="BA179" s="2669">
        <f>0</f>
        <v>0</v>
      </c>
      <c r="BB179" s="2669">
        <f>0</f>
        <v>0</v>
      </c>
      <c r="BC179" s="2669">
        <f>0</f>
        <v>0</v>
      </c>
      <c r="BD179" s="2669">
        <f>0</f>
        <v>0</v>
      </c>
      <c r="BE179" s="2669">
        <f>0</f>
        <v>0</v>
      </c>
      <c r="BF179" s="2669">
        <f>0</f>
        <v>0</v>
      </c>
      <c r="BG179" s="2669">
        <f>0</f>
        <v>0</v>
      </c>
      <c r="BH179" s="2669">
        <f>0</f>
        <v>0</v>
      </c>
      <c r="BI179" s="2669">
        <f>0</f>
        <v>0</v>
      </c>
      <c r="BJ179" s="2669">
        <f>0</f>
        <v>0</v>
      </c>
      <c r="BK179" s="2669">
        <f>0</f>
        <v>0</v>
      </c>
      <c r="BL179" s="2669">
        <f>0</f>
        <v>0</v>
      </c>
      <c r="BM179" s="2669">
        <f>0</f>
        <v>0</v>
      </c>
      <c r="BN179" s="2669">
        <f>0</f>
        <v>0</v>
      </c>
      <c r="BO179" s="2669">
        <f>0</f>
        <v>0</v>
      </c>
      <c r="BP179" s="2669">
        <f>0</f>
        <v>0</v>
      </c>
      <c r="BQ179" s="2669">
        <f>0</f>
        <v>0</v>
      </c>
      <c r="BR179" s="2669">
        <f>0</f>
        <v>0</v>
      </c>
      <c r="BS179" s="2669">
        <f>0</f>
        <v>0</v>
      </c>
      <c r="BT179" s="2669">
        <f>0</f>
        <v>0</v>
      </c>
      <c r="BU179" s="2669">
        <f>0</f>
        <v>0</v>
      </c>
      <c r="BV179" s="2669">
        <f>0</f>
        <v>0</v>
      </c>
      <c r="BW179" s="2669">
        <f>0</f>
        <v>0</v>
      </c>
      <c r="BX179" s="2669">
        <f>0</f>
        <v>0</v>
      </c>
      <c r="BY179" s="2669">
        <f>0</f>
        <v>0</v>
      </c>
      <c r="BZ179" s="2669">
        <f>0</f>
        <v>0</v>
      </c>
      <c r="CA179" s="2669">
        <f>0</f>
        <v>0</v>
      </c>
      <c r="CB179" s="2669">
        <f>0</f>
        <v>0</v>
      </c>
      <c r="CC179" s="2669">
        <f>0</f>
        <v>0</v>
      </c>
      <c r="CD179" s="2669">
        <f>0</f>
        <v>0</v>
      </c>
      <c r="CE179" s="2669">
        <f>0</f>
        <v>0</v>
      </c>
      <c r="CF179" s="2669">
        <f>0</f>
        <v>0</v>
      </c>
      <c r="CG179" s="2669">
        <f>0</f>
        <v>0</v>
      </c>
      <c r="CH179" s="2669">
        <f>0</f>
        <v>0</v>
      </c>
      <c r="CI179" s="2669">
        <f>0</f>
        <v>0</v>
      </c>
      <c r="CJ179" s="2669">
        <f>0</f>
        <v>0</v>
      </c>
      <c r="CK179" s="2669">
        <f>0</f>
        <v>0</v>
      </c>
      <c r="CL179" s="2808">
        <f>µ_ALGAE_T*X_ALGAE*M_satSPO4_KPO4_BIO*M_satSCO2_KCO2_ALGAE*L_ightSwitch*M_satSNOx_KNOx_ALGAE*M_inhSNHx_KiNHx_ALGAE</f>
        <v>0</v>
      </c>
      <c r="CN179" s="2295">
        <f>E236*E179+F236*F179+G236*G179+H236*H179+I236*I179+J236*J179+K236*K179+L236*L179+M236*M179+N236*N179+O236*O179+P236*P179+Q236*Q179+R236*R179+S236*S179+T236*T179+U236*U179+V236*V179+W236*W179+X236*X179+Y236*Y179+Z236*Z179+AA236*AA179+AB236*AB179+AC236*AC179+AD236*AD179+AE236*AE179+AF236*AF179+AG236*AG179+AH236*AH179+AI236*AI179+AJ236*AJ179+AK236*AK179+AL236*AL179+AM236*AM179+AN236*AN179+AO236*AO179+AP236*AP179+AQ236*AQ179+AR236*AR179+AS236*AS179+AT236*AT179+AU236*AU179+AV236*AV179+AW236*AW179+AX236*AX179+AY236*AY179+AZ236*AZ179+BA236*BA179+BB236*BB179+BC236*BC179+BD236*BD179+BE236*BE179+BF236*BF179+BG236*BG179+BH236*BH179+BI236*BI179+BJ236*BJ179+BK236*BK179+BL236*BL179+BM236*BM179+BN236*BN179+BO236*BO179+BP236*BP179+BQ236*BQ179+BR236*BR179+BS236*BS179+BT236*BT179+BU236*BU179+BV236*BV179+BW236*BW179+BX236*BX179+BY236*BY179+BZ236*BZ179+CA236*CA179+CB236*CB179+CC236*CC179+CD236*CD179+CE236*CE179+CF236*CF179+CG236*CG179+CH236*CH179+CI236*CI179+CJ236*CJ179+CK236*CK179</f>
        <v>0</v>
      </c>
      <c r="CO179" s="2295">
        <f>E237*E179+F237*F179+G237*G179+H237*H179+I237*I179+J237*J179+K237*K179+L237*L179+M237*M179+N237*N179+O237*O179+P237*P179+Q237*Q179+R237*R179+S237*S179+T237*T179+U237*U179+V237*V179+W237*W179+X237*X179+Y237*Y179+Z237*Z179+AA237*AA179+AB237*AB179+AC237*AC179+AD237*AD179+AE237*AE179+AF237*AF179+AG237*AG179+AH237*AH179+AI237*AI179+AJ237*AJ179+AK237*AK179+AL237*AL179+AM237*AM179+AN237*AN179+AO237*AO179+AP237*AP179+AQ237*AQ179+AR237*AR179+AS237*AS179+AT237*AT179+AU237*AU179+AV237*AV179+AW237*AW179+AX237*AX179+AY237*AY179+AZ237*AZ179+BA237*BA179+BB237*BB179+BC237*BC179+BD237*BD179+BE237*BE179+BF237*BF179+BG237*BG179+BH237*BH179+BI237*BI179+BJ237*BJ179+BK237*BK179+BL237*BL179+BM237*BM179+BN237*BN179+BO237*BO179+BP237*BP179+BQ237*BQ179+BR237*BR179+BS237*BS179+BT237*BT179+BU237*BU179+BV237*BV179+BW237*BW179+BX237*BX179+BY237*BY179+BZ237*BZ179+CA237*CA179+CB237*CB179+CC237*CC179+CD237*CD179+CE237*CE179+CF237*CF179+CG237*CG179+CH237*CH179+CI237*CI179+CJ237*CJ179+CK237*CK179</f>
        <v>0</v>
      </c>
      <c r="CP179" s="2296">
        <f>E238*E179+F238*F179+G238*G179+H238*H179+I238*I179+J238*J179+K238*K179+L238*L179+M238*M179+N238*N179+O238*O179+P238*P179+Q238*Q179+R238*R179+S238*S179+T238*T179+U238*U179+V238*V179+W238*W179+X238*X179+Y238*Y179+Z238*Z179+AA238*AA179+AB238*AB179+AC238*AC179+AD238*AD179+AE238*AE179+AF238*AF179+AG238*AG179+AH238*AH179+AI238*AI179+AJ238*AJ179+AK238*AK179+AL238*AL179+AM238*AM179+AN238*AN179+AO238*AO179+AP238*AP179+AQ238*AQ179+AR238*AR179+AS238*AS179+AT238*AT179+AU238*AU179+AV238*AV179+AW238*AW179+AX238*AX179+AY238*AY179+AZ238*AZ179+BA238*BA179+BB238*BB179+BC238*BC179+BD238*BD179+BE238*BE179+BF238*BF179+BG238*BG179+BH238*BH179+BI238*BI179+BJ238*BJ179+BK238*BK179+BL238*BL179+BM238*BM179+BN238*BN179+BO238*BO179+BP238*BP179+BQ238*BQ179+BR238*BR179+BS238*BS179+BT238*BT179+BU238*BU179+BV238*BV179+BW238*BW179+BX238*BX179+BY238*BY179+BZ238*BZ179+CA238*CA179+CB238*CB179+CC238*CC179+CD238*CD179+CE238*CE179+CF238*CF179+CG238*CG179+CH238*CH179+CI238*CI179+CJ238*CJ179+CK238*CK179</f>
        <v>0</v>
      </c>
      <c r="CQ179" s="2297">
        <f>E239*E179+F239*F179+G239*G179+H239*H179+I239*I179+J239*J179+K239*K179+L239*L179+M239*M179+N239*N179+O239*O179+P239*P179+Q239*Q179+R239*R179+S239*S179+T239*T179+U239*U179+V239*V179+W239*W179+X239*X179+Y239*Y179+Z239*Z179+AA239*AA179+AB239*AB179+AC239*AC179+AD239*AD179+AE239*AE179+AF239*AF179+AG239*AG179+AH239*AH179+AI239*AI179+AJ239*AJ179+AK239*AK179+AL239*AL179+AM239*AM179+AN239*AN179+AO239*AO179+AP239*AP179+AQ239*AQ179+AR239*AR179+AS239*AS179+AT239*AT179+AU239*AU179+AV239*AV179+AW239*AW179+AX239*AX179+AY239*AY179+AZ239*AZ179+BA239*BA179+BB239*BB179+BC239*BC179+BD239*BD179+BE239*BE179+BF239*BF179+BG239*BG179+BH239*BH179+BI239*BI179+BJ239*BJ179+BK239*BK179+BL239*BL179+BM239*BM179+BN239*BN179+BO239*BO179+BP239*BP179+BQ239*BQ179+BR239*BR179+BS239*BS179+BT239*BT179+BU239*BU179+BV239*BV179+BW239*BW179+BX239*BX179+BY239*BY179+BZ239*BZ179+CA239*CA179+CB239*CB179+CC239*CC179+CD239*CD179+CE239*CE179+CF239*CF179+CG239*CG179+CH239*CH179+CI239*CI179+CJ239*CJ179+CK239*CK179</f>
        <v>0</v>
      </c>
      <c r="CR179" s="2297">
        <f>E240*E179+F240*F179+G240*G179+H240*H179+I240*I179+J240*J179+K240*K179+L240*L179+M240*M179+N240*N179+O240*O179+P240*P179+Q240*Q179+R240*R179+S240*S179+T240*T179+U240*U179+V240*V179+W240*W179+X240*X179+Y240*Y179+Z240*Z179+AA240*AA179+AB240*AB179+AC240*AC179+AD240*AD179+AE240*AE179+AF240*AF179+AG240*AG179+AH240*AH179+AI240*AI179+AJ240*AJ179+AK240*AK179+AL240*AL179+AM240*AM179+AN240*AN179+AO240*AO179+AP240*AP179+AQ240*AQ179+AR240*AR179+AS240*AS179+AT240*AT179+AU240*AU179+AV240*AV179+AW240*AW179+AX240*AX179+AY240*AY179+AZ240*AZ179+BA240*BA179+BB240*BB179+BC240*BC179+BD240*BD179+BE240*BE179+BF240*BF179+BG240*BG179+BH240*BH179+BI240*BI179+BJ240*BJ179+BK240*BK179+BL240*BL179+BM240*BM179+BN240*BN179+BO240*BO179+BP240*BP179+BQ240*BQ179+BR240*BR179+BS240*BS179+BT240*BT179+BU240*BU179+BV240*BV179+BW240*BW179+BX240*BX179+BY240*BY179+BZ240*BZ179+CA240*CA179+CB240*CB179+CC240*CC179+CD240*CD179+CE240*CE179+CF240*CF179+CG240*CG179+CH240*CH179+CI240*CI179+CJ240*CJ179+CK240*CK179</f>
        <v>0</v>
      </c>
      <c r="CS179" s="2297">
        <f>E241*E179+F241*F179+G241*G179+H241*H179+I241*I179+J241*J179+K241*K179+L241*L179+M241*M179+N241*N179+O241*O179+P241*P179+Q241*Q179+R241*R179+S241*S179+T241*T179+U241*U179+V241*V179+W241*W179+X241*X179+Y241*Y179+Z241*Z179+AA241*AA179+AB241*AB179+AC241*AC179+AD241*AD179+AE241*AE179+AF241*AF179+AG241*AG179+AH241*AH179+AI241*AI179+AJ241*AJ179+AK241*AK179+AL241*AL179+AM241*AM179+AN241*AN179+AO241*AO179+AP241*AP179+AQ241*AQ179+AR241*AR179+AS241*AS179+AT241*AT179+AU241*AU179+AV241*AV179+AW241*AW179+AX241*AX179+AY241*AY179+AZ241*AZ179+BA241*BA179+BB241*BB179+BC241*BC179+BD241*BD179+BE241*BE179+BF241*BF179+BG241*BG179+BH241*BH179+BI241*BI179+BJ241*BJ179+BK241*BK179+BL241*BL179+BM241*BM179+BN241*BN179+BO241*BO179+BP241*BP179+BQ241*BQ179+BR241*BR179+BS241*BS179+BT241*BT179+BU241*BU179+BV241*BV179+BW241*BW179+BX241*BX179+BY241*BY179+BZ241*BZ179+CA241*CA179+CB241*CB179+CC241*CC179+CD241*CD179+CE241*CE179+CF241*CF179+CG241*CG179+CH241*CH179+CI241*CI179+CJ241*CJ179+CK241*CK179</f>
        <v>0</v>
      </c>
      <c r="CT179" s="2297">
        <f>E242*E179+F242*F179+G242*G179+H242*H179+I242*I179+J242*J179+K242*K179+L242*L179+M242*M179+N242*N179+O242*O179+P242*P179+Q242*Q179+R242*R179+S242*S179+T242*T179+U242*U179+V242*V179+W242*W179+X242*X179+Y242*Y179+Z242*Z179+AA242*AA179+AB242*AB179+AC242*AC179+AD242*AD179+AE242*AE179+AF242*AF179+AG242*AG179+AH242*AH179+AI242*AI179+AJ242*AJ179+AK242*AK179+AL242*AL179+AM242*AM179+AN242*AN179+AO242*AO179+AP242*AP179+AQ242*AQ179+AR242*AR179+AS242*AS179+AT242*AT179+AU242*AU179+AV242*AV179+AW242*AW179+AX242*AX179+AY242*AY179+AZ242*AZ179+BA242*BA179+BB242*BB179+BC242*BC179+BD242*BD179+BE242*BE179+BF242*BF179+BG242*BG179+BH242*BH179+BI242*BI179+BJ242*BJ179+BK242*BK179+BL242*BL179+BM242*BM179+BN242*BN179+BO242*BO179+BP242*BP179+BQ242*BQ179+BR242*BR179+BS242*BS179+BT242*BT179+BU242*BU179+BV242*BV179+BW242*BW179+BX242*BX179+BY242*BY179+BZ242*BZ179+CA242*CA179+CB242*CB179+CC242*CC179+CD242*CD179+CE242*CE179+CF242*CF179+CG242*CG179+CH242*CH179+CI242*CI179+CJ242*CJ179+CK242*CK179</f>
        <v>0</v>
      </c>
      <c r="CU179" s="2297">
        <f>E243*E179+F243*F179+G243*G179+H243*H179+I243*I179+J243*J179+K243*K179+L243*L179+M243*M179+N243*N179+O243*O179+P243*P179+Q243*Q179+R243*R179+S243*S179+T243*T179+U243*U179+V243*V179+W243*W179+X243*X179+Y243*Y179+Z243*Z179+AA243*AA179+AB243*AB179+AC243*AC179+AD243*AD179+AE243*AE179+AF243*AF179+AG243*AG179+AH243*AH179+AI243*AI179+AJ243*AJ179+AK243*AK179+AL243*AL179+AM243*AM179+AN243*AN179+AO243*AO179+AP243*AP179+AQ243*AQ179+AR243*AR179+AS243*AS179+AT243*AT179+AU243*AU179+AV243*AV179+AW243*AW179+AX243*AX179+AY243*AY179+AZ243*AZ179+BA243*BA179+BB243*BB179+BC243*BC179+BD243*BD179+BE243*BE179+BF243*BF179+BG243*BG179+BH243*BH179+BI243*BI179+BJ243*BJ179+BK243*BK179+BL243*BL179+BM243*BM179+BN243*BN179+BO243*BO179+BP243*BP179+BQ243*BQ179+BR243*BR179+BS243*BS179+BT243*BT179+BU243*BU179+BV243*BV179+BW243*BW179+BX243*BX179+BY243*BY179+BZ243*BZ179+CA243*CA179+CB243*CB179+CC243*CC179+CD243*CD179+CE243*CE179+CF243*CF179+CG243*CG179+CH243*CH179+CI243*CI179+CJ243*CJ179+CK243*CK179</f>
        <v>0</v>
      </c>
      <c r="CV179" s="2297">
        <f>E244*E179+F244*F179+G244*G179+H244*H179+I244*I179+J244*J179+K244*K179+L244*L179+M244*M179+N244*N179+O244*O179+P244*P179+Q244*Q179+R244*R179+S244*S179+T244*T179+U244*U179+V244*V179+W244*W179+X244*X179+Y244*Y179+Z244*Z179+AA244*AA179+AB244*AB179+AC244*AC179+AD244*AD179+AE244*AE179+AF244*AF179+AG244*AG179+AH244*AH179+AI244*AI179+AJ244*AJ179+AK244*AK179+AL244*AL179+AM244*AM179+AN244*AN179+AO244*AO179+AP244*AP179+AQ244*AQ179+AR244*AR179+AS244*AS179+AT244*AT179+AU244*AU179+AV244*AV179+AW244*AW179+AX244*AX179+AY244*AY179+AZ244*AZ179+BA244*BA179+BB244*BB179+BC244*BC179+BD244*BD179+BE244*BE179+BF244*BF179+BG244*BG179+BH244*BH179+BI244*BI179+BJ244*BJ179+BK244*BK179+BL244*BL179+BM244*BM179+BN244*BN179+BO244*BO179+BP244*BP179+BQ244*BQ179+BR244*BR179+BS244*BS179+BT244*BT179+BU244*BU179+BV244*BV179+BW244*BW179+BX244*BX179+BY244*BY179+BZ244*BZ179+CA244*CA179+CB244*CB179+CC244*CC179+CD244*CD179+CE244*CE179+CF244*CF179+CG244*CG179+CH244*CH179+CI244*CI179+CJ244*CJ179+CK244*CK179</f>
        <v>0</v>
      </c>
      <c r="CW179" s="2297">
        <f>E245*E179+F245*F179+G245*G179+H245*H179+I245*I179+J245*J179+K245*K179+L245*L179+M245*M179+N245*N179+O245*O179+P245*P179+Q245*Q179+R245*R179+S245*S179+T245*T179+U245*U179+V245*V179+W245*W179+X245*X179+Y245*Y179+Z245*Z179+AA245*AA179+AB245*AB179+AC245*AC179+AD245*AD179+AE245*AE179+AF245*AF179+AG245*AG179+AH245*AH179+AI245*AI179+AJ245*AJ179+AK245*AK179+AL245*AL179+AM245*AM179+AN245*AN179+AO245*AO179+AP245*AP179+AQ245*AQ179+AR245*AR179+AS245*AS179+AT245*AT179+AU245*AU179+AV245*AV179+AW245*AW179+AX245*AX179+AY245*AY179+AZ245*AZ179+BA245*BA179+BB245*BB179+BC245*BC179+BD245*BD179+BE245*BE179+BF245*BF179+BG245*BG179+BH245*BH179+BI245*BI179+BJ245*BJ179+BK245*BK179+BL245*BL179+BM245*BM179+BN245*BN179+BO245*BO179+BP245*BP179+BQ245*BQ179+BR245*BR179+BS245*BS179+BT245*BT179+BU245*BU179+BV245*BV179+BW245*BW179+BX245*BX179+BY245*BY179+BZ245*BZ179+CA245*CA179+CB245*CB179+CC245*CC179+CD245*CD179+CE245*CE179+CF245*CF179+CG245*CG179+CH245*CH179+CI245*CI179+CJ245*CJ179+CK245*CK179</f>
        <v>0</v>
      </c>
      <c r="CX179" s="2297">
        <f>E246*E179+F246*F179+G246*G179+H246*H179+I246*I179+J246*J179+K246*K179+L246*L179+M246*M179+N246*N179+O246*O179+P246*P179+Q246*Q179+R246*R179+S246*S179+T246*T179+U246*U179+V246*V179+W246*W179+X246*X179+Y246*Y179+Z246*Z179+AA246*AA179+AB246*AB179+AC246*AC179+AD246*AD179+AE246*AE179+AF246*AF179+AG246*AG179+AH246*AH179+AI246*AI179+AJ246*AJ179+AK246*AK179+AL246*AL179+AM246*AM179+AN246*AN179+AO246*AO179+AP246*AP179+AQ246*AQ179+AR246*AR179+AS246*AS179+AT246*AT179+AU246*AU179+AV246*AV179+AW246*AW179+AX246*AX179+AY246*AY179+AZ246*AZ179+BA246*BA179+BB246*BB179+BC246*BC179+BD246*BD179+BE246*BE179+BF246*BF179+BG246*BG179+BH246*BH179+BI246*BI179+BJ246*BJ179+BK246*BK179+BL246*BL179+BM246*BM179+BN246*BN179+BO246*BO179+BP246*BP179+BQ246*BQ179+BR246*BR179+BS246*BS179+BT246*BT179+BU246*BU179+BV246*BV179+BW246*BW179+BX246*BX179+BY246*BY179+BZ246*BZ179+CA246*CA179+CB246*CB179+CC246*CC179+CD246*CD179+CE246*CE179+CF246*CF179+CG246*CG179+CH246*CH179+CI246*CI179+CJ246*CJ179+CK246*CK179</f>
        <v>0</v>
      </c>
    </row>
    <row r="180" spans="2:102" ht="18" x14ac:dyDescent="0.35">
      <c r="B180" s="2032">
        <v>53</v>
      </c>
      <c r="C180" s="2033" t="s">
        <v>2118</v>
      </c>
      <c r="D180" s="2034" t="s">
        <v>4612</v>
      </c>
      <c r="E180" s="2669">
        <f>0</f>
        <v>0</v>
      </c>
      <c r="F180" s="2669">
        <f>0</f>
        <v>0</v>
      </c>
      <c r="G180" s="2669">
        <f>0</f>
        <v>0</v>
      </c>
      <c r="H180" s="2669">
        <f>0</f>
        <v>0</v>
      </c>
      <c r="I180" s="2669">
        <f>0</f>
        <v>0</v>
      </c>
      <c r="J180" s="2669">
        <f>0</f>
        <v>0</v>
      </c>
      <c r="K180" s="2669">
        <f>0</f>
        <v>0</v>
      </c>
      <c r="L180" s="2669">
        <f>0</f>
        <v>0</v>
      </c>
      <c r="M180" s="2669">
        <f>0</f>
        <v>0</v>
      </c>
      <c r="N180" s="2669">
        <f>0</f>
        <v>0</v>
      </c>
      <c r="O180" s="2669">
        <f>0</f>
        <v>0</v>
      </c>
      <c r="P180" s="2669">
        <f>0</f>
        <v>0</v>
      </c>
      <c r="Q180" s="2669">
        <f>0</f>
        <v>0</v>
      </c>
      <c r="R180" s="2669">
        <f>0</f>
        <v>0</v>
      </c>
      <c r="S180" s="2669">
        <f>0</f>
        <v>0</v>
      </c>
      <c r="T180" s="2669">
        <f>0</f>
        <v>0</v>
      </c>
      <c r="U180" s="2669">
        <f>0</f>
        <v>0</v>
      </c>
      <c r="V180" s="2669">
        <f>0</f>
        <v>0</v>
      </c>
      <c r="W180" s="2669">
        <f>0</f>
        <v>0</v>
      </c>
      <c r="X180" s="2669">
        <f>0</f>
        <v>0</v>
      </c>
      <c r="Y180" s="2669">
        <f>0</f>
        <v>0</v>
      </c>
      <c r="Z180" s="2669">
        <f>1</f>
        <v>1</v>
      </c>
      <c r="AA180" s="2725">
        <f>-i_N_ALGAE</f>
        <v>-7.0000000000000007E-2</v>
      </c>
      <c r="AB180" s="2669">
        <f>0</f>
        <v>0</v>
      </c>
      <c r="AC180" s="2669">
        <f>0</f>
        <v>0</v>
      </c>
      <c r="AD180" s="2669">
        <f>0</f>
        <v>0</v>
      </c>
      <c r="AE180" s="2669">
        <f>0</f>
        <v>0</v>
      </c>
      <c r="AF180" s="2669">
        <f>0</f>
        <v>0</v>
      </c>
      <c r="AG180" s="2669">
        <f>0</f>
        <v>0</v>
      </c>
      <c r="AH180" s="2669">
        <f>0</f>
        <v>0</v>
      </c>
      <c r="AI180" s="2725">
        <f>-i_P_ALGAE</f>
        <v>-0.02</v>
      </c>
      <c r="AJ180" s="2669">
        <f>0</f>
        <v>0</v>
      </c>
      <c r="AK180" s="2669">
        <f>0</f>
        <v>0</v>
      </c>
      <c r="AL180" s="2669">
        <f>0</f>
        <v>0</v>
      </c>
      <c r="AM180" s="2669">
        <f>0</f>
        <v>0</v>
      </c>
      <c r="AN180" s="2669">
        <f>0</f>
        <v>0</v>
      </c>
      <c r="AO180" s="2669">
        <f>1</f>
        <v>1</v>
      </c>
      <c r="AP180" s="2669">
        <f>0</f>
        <v>0</v>
      </c>
      <c r="AQ180" s="2669">
        <f>0</f>
        <v>0</v>
      </c>
      <c r="AR180" s="2737">
        <f>-i_CIT_ALGAE</f>
        <v>-0.375</v>
      </c>
      <c r="AS180" s="2669">
        <f>i_INORG</f>
        <v>0.11</v>
      </c>
      <c r="AT180" s="2747">
        <f>-i_INORG*(1-i_Ca_INORG*(A_MCa+2*A_MCl)/A_MCa-i_Mg_INORG*(A_MMg+2*A_MCl)/A_MMg)*f_Na</f>
        <v>-2.8804303582798466E-2</v>
      </c>
      <c r="AU180" s="2747">
        <f>-i_INORG*(i_Ca_INORG*(2*A_MCl)/A_MCa+i_Mg_INORG*(2*A_MCl)/A_MMg)-i_INORG*(1-i_Ca_INORG*(A_MCa+2*A_MCl)/A_MCa-i_Mg_INORG*(A_MMg+2*A_MCl)/A_MMg)*(1-f_Na)</f>
        <v>-7.0195696417201539E-2</v>
      </c>
      <c r="AV180" s="2747">
        <f>-i_INORG*i_Ca_INORG</f>
        <v>-5.5000000000000005E-3</v>
      </c>
      <c r="AW180" s="2747">
        <f>-i_INORG*i_Mg_INORG</f>
        <v>-5.5000000000000005E-3</v>
      </c>
      <c r="AX180" s="2669">
        <f>0</f>
        <v>0</v>
      </c>
      <c r="AY180" s="2669">
        <f>0</f>
        <v>0</v>
      </c>
      <c r="AZ180" s="2669">
        <f>0</f>
        <v>0</v>
      </c>
      <c r="BA180" s="2669">
        <f>0</f>
        <v>0</v>
      </c>
      <c r="BB180" s="2669">
        <f>0</f>
        <v>0</v>
      </c>
      <c r="BC180" s="2669">
        <f>0</f>
        <v>0</v>
      </c>
      <c r="BD180" s="2669">
        <f>0</f>
        <v>0</v>
      </c>
      <c r="BE180" s="2669">
        <f>0</f>
        <v>0</v>
      </c>
      <c r="BF180" s="2669">
        <f>0</f>
        <v>0</v>
      </c>
      <c r="BG180" s="2669">
        <f>0</f>
        <v>0</v>
      </c>
      <c r="BH180" s="2669">
        <f>0</f>
        <v>0</v>
      </c>
      <c r="BI180" s="2669">
        <f>0</f>
        <v>0</v>
      </c>
      <c r="BJ180" s="2669">
        <f>0</f>
        <v>0</v>
      </c>
      <c r="BK180" s="2669">
        <f>0</f>
        <v>0</v>
      </c>
      <c r="BL180" s="2669">
        <f>0</f>
        <v>0</v>
      </c>
      <c r="BM180" s="2669">
        <f>0</f>
        <v>0</v>
      </c>
      <c r="BN180" s="2669">
        <f>0</f>
        <v>0</v>
      </c>
      <c r="BO180" s="2669">
        <f>0</f>
        <v>0</v>
      </c>
      <c r="BP180" s="2669">
        <f>0</f>
        <v>0</v>
      </c>
      <c r="BQ180" s="2669">
        <f>0</f>
        <v>0</v>
      </c>
      <c r="BR180" s="2669">
        <f>0</f>
        <v>0</v>
      </c>
      <c r="BS180" s="2669">
        <f>0</f>
        <v>0</v>
      </c>
      <c r="BT180" s="2669">
        <f>0</f>
        <v>0</v>
      </c>
      <c r="BU180" s="2669">
        <f>0</f>
        <v>0</v>
      </c>
      <c r="BV180" s="2669">
        <f>0</f>
        <v>0</v>
      </c>
      <c r="BW180" s="2669">
        <f>0</f>
        <v>0</v>
      </c>
      <c r="BX180" s="2669">
        <f>0</f>
        <v>0</v>
      </c>
      <c r="BY180" s="2669">
        <f>0</f>
        <v>0</v>
      </c>
      <c r="BZ180" s="2669">
        <f>0</f>
        <v>0</v>
      </c>
      <c r="CA180" s="2669">
        <f>0</f>
        <v>0</v>
      </c>
      <c r="CB180" s="2669">
        <f>0</f>
        <v>0</v>
      </c>
      <c r="CC180" s="2669">
        <f>0</f>
        <v>0</v>
      </c>
      <c r="CD180" s="2669">
        <f>0</f>
        <v>0</v>
      </c>
      <c r="CE180" s="2669">
        <f>0</f>
        <v>0</v>
      </c>
      <c r="CF180" s="2669">
        <f>0</f>
        <v>0</v>
      </c>
      <c r="CG180" s="2669">
        <f>0</f>
        <v>0</v>
      </c>
      <c r="CH180" s="2669">
        <f>0</f>
        <v>0</v>
      </c>
      <c r="CI180" s="2669">
        <f>0</f>
        <v>0</v>
      </c>
      <c r="CJ180" s="2669">
        <f>0</f>
        <v>0</v>
      </c>
      <c r="CK180" s="2669">
        <f>0</f>
        <v>0</v>
      </c>
      <c r="CL180" s="2808">
        <f>µ_ALGAE_T*X_ALGAE*M_satSNHx_KNHx_ALGAE*M_satSPO4_KPO4_BIO*M_satSCO2_KCO2_ALGAE*L_ightSwitch</f>
        <v>0</v>
      </c>
      <c r="CN180" s="2295">
        <f>E236*E180+F236*F180+G236*G180+H236*H180+I236*I180+J236*J180+K236*K180+L236*L180+M236*M180+N236*N180+O236*O180+P236*P180+Q236*Q180+R236*R180+S236*S180+T236*T180+U236*U180+V236*V180+W236*W180+X236*X180+Y236*Y180+Z236*Z180+AA236*AA180+AB236*AB180+AC236*AC180+AD236*AD180+AE236*AE180+AF236*AF180+AG236*AG180+AH236*AH180+AI236*AI180+AJ236*AJ180+AK236*AK180+AL236*AL180+AM236*AM180+AN236*AN180+AO236*AO180+AP236*AP180+AQ236*AQ180+AR236*AR180+AS236*AS180+AT236*AT180+AU236*AU180+AV236*AV180+AW236*AW180+AX236*AX180+AY236*AY180+AZ236*AZ180+BA236*BA180+BB236*BB180+BC236*BC180+BD236*BD180+BE236*BE180+BF236*BF180+BG236*BG180+BH236*BH180+BI236*BI180+BJ236*BJ180+BK236*BK180+BL236*BL180+BM236*BM180+BN236*BN180+BO236*BO180+BP236*BP180+BQ236*BQ180+BR236*BR180+BS236*BS180+BT236*BT180+BU236*BU180+BV236*BV180+BW236*BW180+BX236*BX180+BY236*BY180+BZ236*BZ180+CA236*CA180+CB236*CB180+CC236*CC180+CD236*CD180+CE236*CE180+CF236*CF180+CG236*CG180+CH236*CH180+CI236*CI180+CJ236*CJ180+CK236*CK180</f>
        <v>0</v>
      </c>
      <c r="CO180" s="2295">
        <f>E237*E180+F237*F180+G237*G180+H237*H180+I237*I180+J237*J180+K237*K180+L237*L180+M237*M180+N237*N180+O237*O180+P237*P180+Q237*Q180+R237*R180+S237*S180+T237*T180+U237*U180+V237*V180+W237*W180+X237*X180+Y237*Y180+Z237*Z180+AA237*AA180+AB237*AB180+AC237*AC180+AD237*AD180+AE237*AE180+AF237*AF180+AG237*AG180+AH237*AH180+AI237*AI180+AJ237*AJ180+AK237*AK180+AL237*AL180+AM237*AM180+AN237*AN180+AO237*AO180+AP237*AP180+AQ237*AQ180+AR237*AR180+AS237*AS180+AT237*AT180+AU237*AU180+AV237*AV180+AW237*AW180+AX237*AX180+AY237*AY180+AZ237*AZ180+BA237*BA180+BB237*BB180+BC237*BC180+BD237*BD180+BE237*BE180+BF237*BF180+BG237*BG180+BH237*BH180+BI237*BI180+BJ237*BJ180+BK237*BK180+BL237*BL180+BM237*BM180+BN237*BN180+BO237*BO180+BP237*BP180+BQ237*BQ180+BR237*BR180+BS237*BS180+BT237*BT180+BU237*BU180+BV237*BV180+BW237*BW180+BX237*BX180+BY237*BY180+BZ237*BZ180+CA237*CA180+CB237*CB180+CC237*CC180+CD237*CD180+CE237*CE180+CF237*CF180+CG237*CG180+CH237*CH180+CI237*CI180+CJ237*CJ180+CK237*CK180</f>
        <v>0</v>
      </c>
      <c r="CP180" s="2296">
        <f>E238*E180+F238*F180+G238*G180+H238*H180+I238*I180+J238*J180+K238*K180+L238*L180+M238*M180+N238*N180+O238*O180+P238*P180+Q238*Q180+R238*R180+S238*S180+T238*T180+U238*U180+V238*V180+W238*W180+X238*X180+Y238*Y180+Z238*Z180+AA238*AA180+AB238*AB180+AC238*AC180+AD238*AD180+AE238*AE180+AF238*AF180+AG238*AG180+AH238*AH180+AI238*AI180+AJ238*AJ180+AK238*AK180+AL238*AL180+AM238*AM180+AN238*AN180+AO238*AO180+AP238*AP180+AQ238*AQ180+AR238*AR180+AS238*AS180+AT238*AT180+AU238*AU180+AV238*AV180+AW238*AW180+AX238*AX180+AY238*AY180+AZ238*AZ180+BA238*BA180+BB238*BB180+BC238*BC180+BD238*BD180+BE238*BE180+BF238*BF180+BG238*BG180+BH238*BH180+BI238*BI180+BJ238*BJ180+BK238*BK180+BL238*BL180+BM238*BM180+BN238*BN180+BO238*BO180+BP238*BP180+BQ238*BQ180+BR238*BR180+BS238*BS180+BT238*BT180+BU238*BU180+BV238*BV180+BW238*BW180+BX238*BX180+BY238*BY180+BZ238*BZ180+CA238*CA180+CB238*CB180+CC238*CC180+CD238*CD180+CE238*CE180+CF238*CF180+CG238*CG180+CH238*CH180+CI238*CI180+CJ238*CJ180+CK238*CK180</f>
        <v>0</v>
      </c>
      <c r="CQ180" s="2297">
        <f>E239*E180+F239*F180+G239*G180+H239*H180+I239*I180+J239*J180+K239*K180+L239*L180+M239*M180+N239*N180+O239*O180+P239*P180+Q239*Q180+R239*R180+S239*S180+T239*T180+U239*U180+V239*V180+W239*W180+X239*X180+Y239*Y180+Z239*Z180+AA239*AA180+AB239*AB180+AC239*AC180+AD239*AD180+AE239*AE180+AF239*AF180+AG239*AG180+AH239*AH180+AI239*AI180+AJ239*AJ180+AK239*AK180+AL239*AL180+AM239*AM180+AN239*AN180+AO239*AO180+AP239*AP180+AQ239*AQ180+AR239*AR180+AS239*AS180+AT239*AT180+AU239*AU180+AV239*AV180+AW239*AW180+AX239*AX180+AY239*AY180+AZ239*AZ180+BA239*BA180+BB239*BB180+BC239*BC180+BD239*BD180+BE239*BE180+BF239*BF180+BG239*BG180+BH239*BH180+BI239*BI180+BJ239*BJ180+BK239*BK180+BL239*BL180+BM239*BM180+BN239*BN180+BO239*BO180+BP239*BP180+BQ239*BQ180+BR239*BR180+BS239*BS180+BT239*BT180+BU239*BU180+BV239*BV180+BW239*BW180+BX239*BX180+BY239*BY180+BZ239*BZ180+CA239*CA180+CB239*CB180+CC239*CC180+CD239*CD180+CE239*CE180+CF239*CF180+CG239*CG180+CH239*CH180+CI239*CI180+CJ239*CJ180+CK239*CK180</f>
        <v>0</v>
      </c>
      <c r="CR180" s="2297">
        <f>E240*E180+F240*F180+G240*G180+H240*H180+I240*I180+J240*J180+K240*K180+L240*L180+M240*M180+N240*N180+O240*O180+P240*P180+Q240*Q180+R240*R180+S240*S180+T240*T180+U240*U180+V240*V180+W240*W180+X240*X180+Y240*Y180+Z240*Z180+AA240*AA180+AB240*AB180+AC240*AC180+AD240*AD180+AE240*AE180+AF240*AF180+AG240*AG180+AH240*AH180+AI240*AI180+AJ240*AJ180+AK240*AK180+AL240*AL180+AM240*AM180+AN240*AN180+AO240*AO180+AP240*AP180+AQ240*AQ180+AR240*AR180+AS240*AS180+AT240*AT180+AU240*AU180+AV240*AV180+AW240*AW180+AX240*AX180+AY240*AY180+AZ240*AZ180+BA240*BA180+BB240*BB180+BC240*BC180+BD240*BD180+BE240*BE180+BF240*BF180+BG240*BG180+BH240*BH180+BI240*BI180+BJ240*BJ180+BK240*BK180+BL240*BL180+BM240*BM180+BN240*BN180+BO240*BO180+BP240*BP180+BQ240*BQ180+BR240*BR180+BS240*BS180+BT240*BT180+BU240*BU180+BV240*BV180+BW240*BW180+BX240*BX180+BY240*BY180+BZ240*BZ180+CA240*CA180+CB240*CB180+CC240*CC180+CD240*CD180+CE240*CE180+CF240*CF180+CG240*CG180+CH240*CH180+CI240*CI180+CJ240*CJ180+CK240*CK180</f>
        <v>0</v>
      </c>
      <c r="CS180" s="2297">
        <f>E241*E180+F241*F180+G241*G180+H241*H180+I241*I180+J241*J180+K241*K180+L241*L180+M241*M180+N241*N180+O241*O180+P241*P180+Q241*Q180+R241*R180+S241*S180+T241*T180+U241*U180+V241*V180+W241*W180+X241*X180+Y241*Y180+Z241*Z180+AA241*AA180+AB241*AB180+AC241*AC180+AD241*AD180+AE241*AE180+AF241*AF180+AG241*AG180+AH241*AH180+AI241*AI180+AJ241*AJ180+AK241*AK180+AL241*AL180+AM241*AM180+AN241*AN180+AO241*AO180+AP241*AP180+AQ241*AQ180+AR241*AR180+AS241*AS180+AT241*AT180+AU241*AU180+AV241*AV180+AW241*AW180+AX241*AX180+AY241*AY180+AZ241*AZ180+BA241*BA180+BB241*BB180+BC241*BC180+BD241*BD180+BE241*BE180+BF241*BF180+BG241*BG180+BH241*BH180+BI241*BI180+BJ241*BJ180+BK241*BK180+BL241*BL180+BM241*BM180+BN241*BN180+BO241*BO180+BP241*BP180+BQ241*BQ180+BR241*BR180+BS241*BS180+BT241*BT180+BU241*BU180+BV241*BV180+BW241*BW180+BX241*BX180+BY241*BY180+BZ241*BZ180+CA241*CA180+CB241*CB180+CC241*CC180+CD241*CD180+CE241*CE180+CF241*CF180+CG241*CG180+CH241*CH180+CI241*CI180+CJ241*CJ180+CK241*CK180</f>
        <v>0</v>
      </c>
      <c r="CT180" s="2297">
        <f>E242*E180+F242*F180+G242*G180+H242*H180+I242*I180+J242*J180+K242*K180+L242*L180+M242*M180+N242*N180+O242*O180+P242*P180+Q242*Q180+R242*R180+S242*S180+T242*T180+U242*U180+V242*V180+W242*W180+X242*X180+Y242*Y180+Z242*Z180+AA242*AA180+AB242*AB180+AC242*AC180+AD242*AD180+AE242*AE180+AF242*AF180+AG242*AG180+AH242*AH180+AI242*AI180+AJ242*AJ180+AK242*AK180+AL242*AL180+AM242*AM180+AN242*AN180+AO242*AO180+AP242*AP180+AQ242*AQ180+AR242*AR180+AS242*AS180+AT242*AT180+AU242*AU180+AV242*AV180+AW242*AW180+AX242*AX180+AY242*AY180+AZ242*AZ180+BA242*BA180+BB242*BB180+BC242*BC180+BD242*BD180+BE242*BE180+BF242*BF180+BG242*BG180+BH242*BH180+BI242*BI180+BJ242*BJ180+BK242*BK180+BL242*BL180+BM242*BM180+BN242*BN180+BO242*BO180+BP242*BP180+BQ242*BQ180+BR242*BR180+BS242*BS180+BT242*BT180+BU242*BU180+BV242*BV180+BW242*BW180+BX242*BX180+BY242*BY180+BZ242*BZ180+CA242*CA180+CB242*CB180+CC242*CC180+CD242*CD180+CE242*CE180+CF242*CF180+CG242*CG180+CH242*CH180+CI242*CI180+CJ242*CJ180+CK242*CK180</f>
        <v>0</v>
      </c>
      <c r="CU180" s="2297">
        <f>E243*E180+F243*F180+G243*G180+H243*H180+I243*I180+J243*J180+K243*K180+L243*L180+M243*M180+N243*N180+O243*O180+P243*P180+Q243*Q180+R243*R180+S243*S180+T243*T180+U243*U180+V243*V180+W243*W180+X243*X180+Y243*Y180+Z243*Z180+AA243*AA180+AB243*AB180+AC243*AC180+AD243*AD180+AE243*AE180+AF243*AF180+AG243*AG180+AH243*AH180+AI243*AI180+AJ243*AJ180+AK243*AK180+AL243*AL180+AM243*AM180+AN243*AN180+AO243*AO180+AP243*AP180+AQ243*AQ180+AR243*AR180+AS243*AS180+AT243*AT180+AU243*AU180+AV243*AV180+AW243*AW180+AX243*AX180+AY243*AY180+AZ243*AZ180+BA243*BA180+BB243*BB180+BC243*BC180+BD243*BD180+BE243*BE180+BF243*BF180+BG243*BG180+BH243*BH180+BI243*BI180+BJ243*BJ180+BK243*BK180+BL243*BL180+BM243*BM180+BN243*BN180+BO243*BO180+BP243*BP180+BQ243*BQ180+BR243*BR180+BS243*BS180+BT243*BT180+BU243*BU180+BV243*BV180+BW243*BW180+BX243*BX180+BY243*BY180+BZ243*BZ180+CA243*CA180+CB243*CB180+CC243*CC180+CD243*CD180+CE243*CE180+CF243*CF180+CG243*CG180+CH243*CH180+CI243*CI180+CJ243*CJ180+CK243*CK180</f>
        <v>0</v>
      </c>
      <c r="CV180" s="2297">
        <f>E244*E180+F244*F180+G244*G180+H244*H180+I244*I180+J244*J180+K244*K180+L244*L180+M244*M180+N244*N180+O244*O180+P244*P180+Q244*Q180+R244*R180+S244*S180+T244*T180+U244*U180+V244*V180+W244*W180+X244*X180+Y244*Y180+Z244*Z180+AA244*AA180+AB244*AB180+AC244*AC180+AD244*AD180+AE244*AE180+AF244*AF180+AG244*AG180+AH244*AH180+AI244*AI180+AJ244*AJ180+AK244*AK180+AL244*AL180+AM244*AM180+AN244*AN180+AO244*AO180+AP244*AP180+AQ244*AQ180+AR244*AR180+AS244*AS180+AT244*AT180+AU244*AU180+AV244*AV180+AW244*AW180+AX244*AX180+AY244*AY180+AZ244*AZ180+BA244*BA180+BB244*BB180+BC244*BC180+BD244*BD180+BE244*BE180+BF244*BF180+BG244*BG180+BH244*BH180+BI244*BI180+BJ244*BJ180+BK244*BK180+BL244*BL180+BM244*BM180+BN244*BN180+BO244*BO180+BP244*BP180+BQ244*BQ180+BR244*BR180+BS244*BS180+BT244*BT180+BU244*BU180+BV244*BV180+BW244*BW180+BX244*BX180+BY244*BY180+BZ244*BZ180+CA244*CA180+CB244*CB180+CC244*CC180+CD244*CD180+CE244*CE180+CF244*CF180+CG244*CG180+CH244*CH180+CI244*CI180+CJ244*CJ180+CK244*CK180</f>
        <v>0</v>
      </c>
      <c r="CW180" s="2297">
        <f>E245*E180+F245*F180+G245*G180+H245*H180+I245*I180+J245*J180+K245*K180+L245*L180+M245*M180+N245*N180+O245*O180+P245*P180+Q245*Q180+R245*R180+S245*S180+T245*T180+U245*U180+V245*V180+W245*W180+X245*X180+Y245*Y180+Z245*Z180+AA245*AA180+AB245*AB180+AC245*AC180+AD245*AD180+AE245*AE180+AF245*AF180+AG245*AG180+AH245*AH180+AI245*AI180+AJ245*AJ180+AK245*AK180+AL245*AL180+AM245*AM180+AN245*AN180+AO245*AO180+AP245*AP180+AQ245*AQ180+AR245*AR180+AS245*AS180+AT245*AT180+AU245*AU180+AV245*AV180+AW245*AW180+AX245*AX180+AY245*AY180+AZ245*AZ180+BA245*BA180+BB245*BB180+BC245*BC180+BD245*BD180+BE245*BE180+BF245*BF180+BG245*BG180+BH245*BH180+BI245*BI180+BJ245*BJ180+BK245*BK180+BL245*BL180+BM245*BM180+BN245*BN180+BO245*BO180+BP245*BP180+BQ245*BQ180+BR245*BR180+BS245*BS180+BT245*BT180+BU245*BU180+BV245*BV180+BW245*BW180+BX245*BX180+BY245*BY180+BZ245*BZ180+CA245*CA180+CB245*CB180+CC245*CC180+CD245*CD180+CE245*CE180+CF245*CF180+CG245*CG180+CH245*CH180+CI245*CI180+CJ245*CJ180+CK245*CK180</f>
        <v>0</v>
      </c>
      <c r="CX180" s="2297">
        <f>E246*E180+F246*F180+G246*G180+H246*H180+I246*I180+J246*J180+K246*K180+L246*L180+M246*M180+N246*N180+O246*O180+P246*P180+Q246*Q180+R246*R180+S246*S180+T246*T180+U246*U180+V246*V180+W246*W180+X246*X180+Y246*Y180+Z246*Z180+AA246*AA180+AB246*AB180+AC246*AC180+AD246*AD180+AE246*AE180+AF246*AF180+AG246*AG180+AH246*AH180+AI246*AI180+AJ246*AJ180+AK246*AK180+AL246*AL180+AM246*AM180+AN246*AN180+AO246*AO180+AP246*AP180+AQ246*AQ180+AR246*AR180+AS246*AS180+AT246*AT180+AU246*AU180+AV246*AV180+AW246*AW180+AX246*AX180+AY246*AY180+AZ246*AZ180+BA246*BA180+BB246*BB180+BC246*BC180+BD246*BD180+BE246*BE180+BF246*BF180+BG246*BG180+BH246*BH180+BI246*BI180+BJ246*BJ180+BK246*BK180+BL246*BL180+BM246*BM180+BN246*BN180+BO246*BO180+BP246*BP180+BQ246*BQ180+BR246*BR180+BS246*BS180+BT246*BT180+BU246*BU180+BV246*BV180+BW246*BW180+BX246*BX180+BY246*BY180+BZ246*BZ180+CA246*CA180+CB246*CB180+CC246*CC180+CD246*CD180+CE246*CE180+CF246*CF180+CG246*CG180+CH246*CH180+CI246*CI180+CJ246*CJ180+CK246*CK180</f>
        <v>0</v>
      </c>
    </row>
    <row r="181" spans="2:102" ht="18" x14ac:dyDescent="0.35">
      <c r="B181" s="2032">
        <v>54</v>
      </c>
      <c r="C181" s="2033" t="s">
        <v>2119</v>
      </c>
      <c r="D181" s="2034" t="s">
        <v>4613</v>
      </c>
      <c r="E181" s="2669">
        <f>0</f>
        <v>0</v>
      </c>
      <c r="F181" s="2669">
        <f>0</f>
        <v>0</v>
      </c>
      <c r="G181" s="2669">
        <f>0</f>
        <v>0</v>
      </c>
      <c r="H181" s="2669">
        <f>0</f>
        <v>0</v>
      </c>
      <c r="I181" s="2669">
        <f>0</f>
        <v>0</v>
      </c>
      <c r="J181" s="2669">
        <f>0</f>
        <v>0</v>
      </c>
      <c r="K181" s="2669">
        <f>0</f>
        <v>0</v>
      </c>
      <c r="L181" s="2669">
        <f>0</f>
        <v>0</v>
      </c>
      <c r="M181" s="2669">
        <f>0</f>
        <v>0</v>
      </c>
      <c r="N181" s="2669">
        <f>0</f>
        <v>0</v>
      </c>
      <c r="O181" s="2669">
        <f>0</f>
        <v>0</v>
      </c>
      <c r="P181" s="2669">
        <f>0</f>
        <v>0</v>
      </c>
      <c r="Q181" s="2669">
        <f>0</f>
        <v>0</v>
      </c>
      <c r="R181" s="2669">
        <f>0</f>
        <v>0</v>
      </c>
      <c r="S181" s="2669">
        <f>0</f>
        <v>0</v>
      </c>
      <c r="T181" s="2669">
        <f>0</f>
        <v>0</v>
      </c>
      <c r="U181" s="2669">
        <f>0</f>
        <v>0</v>
      </c>
      <c r="V181" s="2669">
        <f>0</f>
        <v>0</v>
      </c>
      <c r="W181" s="2669">
        <f>0</f>
        <v>0</v>
      </c>
      <c r="X181" s="2669">
        <f>0</f>
        <v>0</v>
      </c>
      <c r="Y181" s="2669">
        <f>0</f>
        <v>0</v>
      </c>
      <c r="Z181" s="2669">
        <f>-1</f>
        <v>-1</v>
      </c>
      <c r="AA181" s="2725">
        <f>i_N_ALGAE</f>
        <v>7.0000000000000007E-2</v>
      </c>
      <c r="AB181" s="2669">
        <f>0</f>
        <v>0</v>
      </c>
      <c r="AC181" s="2669">
        <f>0</f>
        <v>0</v>
      </c>
      <c r="AD181" s="2669">
        <f>0</f>
        <v>0</v>
      </c>
      <c r="AE181" s="2669">
        <f>0</f>
        <v>0</v>
      </c>
      <c r="AF181" s="2669">
        <f>0</f>
        <v>0</v>
      </c>
      <c r="AG181" s="2669">
        <f>0</f>
        <v>0</v>
      </c>
      <c r="AH181" s="2669">
        <f>0</f>
        <v>0</v>
      </c>
      <c r="AI181" s="2725">
        <f>i_P_ALGAE</f>
        <v>0.02</v>
      </c>
      <c r="AJ181" s="2669">
        <f>0</f>
        <v>0</v>
      </c>
      <c r="AK181" s="2669">
        <f>0</f>
        <v>0</v>
      </c>
      <c r="AL181" s="2669">
        <f>0</f>
        <v>0</v>
      </c>
      <c r="AM181" s="2669">
        <f>0</f>
        <v>0</v>
      </c>
      <c r="AN181" s="2669">
        <f>0</f>
        <v>0</v>
      </c>
      <c r="AO181" s="2669">
        <f>-1</f>
        <v>-1</v>
      </c>
      <c r="AP181" s="2669">
        <f>0</f>
        <v>0</v>
      </c>
      <c r="AQ181" s="2669">
        <f>0</f>
        <v>0</v>
      </c>
      <c r="AR181" s="2737">
        <f>i_CIT_ALGAE</f>
        <v>0.375</v>
      </c>
      <c r="AS181" s="2744">
        <f>0</f>
        <v>0</v>
      </c>
      <c r="AT181" s="2748">
        <f>0</f>
        <v>0</v>
      </c>
      <c r="AU181" s="2748">
        <f>0</f>
        <v>0</v>
      </c>
      <c r="AV181" s="2748">
        <f>0</f>
        <v>0</v>
      </c>
      <c r="AW181" s="2748">
        <f>0</f>
        <v>0</v>
      </c>
      <c r="AX181" s="2744">
        <f>0</f>
        <v>0</v>
      </c>
      <c r="AY181" s="2669">
        <f>0</f>
        <v>0</v>
      </c>
      <c r="AZ181" s="2669">
        <f>0</f>
        <v>0</v>
      </c>
      <c r="BA181" s="2669">
        <f>0</f>
        <v>0</v>
      </c>
      <c r="BB181" s="2669">
        <f>0</f>
        <v>0</v>
      </c>
      <c r="BC181" s="2669">
        <f>0</f>
        <v>0</v>
      </c>
      <c r="BD181" s="2669">
        <f>0</f>
        <v>0</v>
      </c>
      <c r="BE181" s="2669">
        <f>0</f>
        <v>0</v>
      </c>
      <c r="BF181" s="2669">
        <f>0</f>
        <v>0</v>
      </c>
      <c r="BG181" s="2669">
        <f>0</f>
        <v>0</v>
      </c>
      <c r="BH181" s="2669">
        <f>0</f>
        <v>0</v>
      </c>
      <c r="BI181" s="2669">
        <f>0</f>
        <v>0</v>
      </c>
      <c r="BJ181" s="2669">
        <f>0</f>
        <v>0</v>
      </c>
      <c r="BK181" s="2669">
        <f>0</f>
        <v>0</v>
      </c>
      <c r="BL181" s="2669">
        <f>0</f>
        <v>0</v>
      </c>
      <c r="BM181" s="2669">
        <f>0</f>
        <v>0</v>
      </c>
      <c r="BN181" s="2669">
        <f>0</f>
        <v>0</v>
      </c>
      <c r="BO181" s="2669">
        <f>0</f>
        <v>0</v>
      </c>
      <c r="BP181" s="2669">
        <f>0</f>
        <v>0</v>
      </c>
      <c r="BQ181" s="2669">
        <f>0</f>
        <v>0</v>
      </c>
      <c r="BR181" s="2669">
        <f>0</f>
        <v>0</v>
      </c>
      <c r="BS181" s="2669">
        <f>0</f>
        <v>0</v>
      </c>
      <c r="BT181" s="2669">
        <f>0</f>
        <v>0</v>
      </c>
      <c r="BU181" s="2669">
        <f>0</f>
        <v>0</v>
      </c>
      <c r="BV181" s="2669">
        <f>0</f>
        <v>0</v>
      </c>
      <c r="BW181" s="2669">
        <f>0</f>
        <v>0</v>
      </c>
      <c r="BX181" s="2669">
        <f>0</f>
        <v>0</v>
      </c>
      <c r="BY181" s="2669">
        <f>0</f>
        <v>0</v>
      </c>
      <c r="BZ181" s="2669">
        <f>0</f>
        <v>0</v>
      </c>
      <c r="CA181" s="2669">
        <f>0</f>
        <v>0</v>
      </c>
      <c r="CB181" s="2669">
        <f>0</f>
        <v>0</v>
      </c>
      <c r="CC181" s="2669">
        <f>0</f>
        <v>0</v>
      </c>
      <c r="CD181" s="2669">
        <f>0</f>
        <v>0</v>
      </c>
      <c r="CE181" s="2669">
        <f>0</f>
        <v>0</v>
      </c>
      <c r="CF181" s="2669">
        <f>0</f>
        <v>0</v>
      </c>
      <c r="CG181" s="2669">
        <f>0</f>
        <v>0</v>
      </c>
      <c r="CH181" s="2669">
        <f>0</f>
        <v>0</v>
      </c>
      <c r="CI181" s="2669">
        <f>0</f>
        <v>0</v>
      </c>
      <c r="CJ181" s="2669">
        <f>0</f>
        <v>0</v>
      </c>
      <c r="CK181" s="2669">
        <f>0</f>
        <v>0</v>
      </c>
      <c r="CL181" s="2809">
        <f>b_ALGAE_T*X_ALGAE*M_satSO2_KO2_ALGAE</f>
        <v>0</v>
      </c>
      <c r="CN181" s="2295">
        <f>E236*E181+F236*F181+G236*G181+H236*H181+I236*I181+J236*J181+K236*K181+L236*L181+M236*M181+N236*N181+O236*O181+P236*P181+Q236*Q181+R236*R181+S236*S181+T236*T181+U236*U181+V236*V181+W236*W181+X236*X181+Y236*Y181+Z236*Z181+AA236*AA181+AB236*AB181+AC236*AC181+AD236*AD181+AE236*AE181+AF236*AF181+AG236*AG181+AH236*AH181+AI236*AI181+AJ236*AJ181+AK236*AK181+AL236*AL181+AM236*AM181+AN236*AN181+AO236*AO181+AP236*AP181+AQ236*AQ181+AR236*AR181+AS236*AS181+AT236*AT181+AU236*AU181+AV236*AV181+AW236*AW181+AX236*AX181+AY236*AY181+AZ236*AZ181+BA236*BA181+BB236*BB181+BC236*BC181+BD236*BD181+BE236*BE181+BF236*BF181+BG236*BG181+BH236*BH181+BI236*BI181+BJ236*BJ181+BK236*BK181+BL236*BL181+BM236*BM181+BN236*BN181+BO236*BO181+BP236*BP181+BQ236*BQ181+BR236*BR181+BS236*BS181+BT236*BT181+BU236*BU181+BV236*BV181+BW236*BW181+BX236*BX181+BY236*BY181+BZ236*BZ181+CA236*CA181+CB236*CB181+CC236*CC181+CD236*CD181+CE236*CE181+CF236*CF181+CG236*CG181+CH236*CH181+CI236*CI181+CJ236*CJ181+CK236*CK181</f>
        <v>0</v>
      </c>
      <c r="CO181" s="2295">
        <f>E237*E181+F237*F181+G237*G181+H237*H181+I237*I181+J237*J181+K237*K181+L237*L181+M237*M181+N237*N181+O237*O181+P237*P181+Q237*Q181+R237*R181+S237*S181+T237*T181+U237*U181+V237*V181+W237*W181+X237*X181+Y237*Y181+Z237*Z181+AA237*AA181+AB237*AB181+AC237*AC181+AD237*AD181+AE237*AE181+AF237*AF181+AG237*AG181+AH237*AH181+AI237*AI181+AJ237*AJ181+AK237*AK181+AL237*AL181+AM237*AM181+AN237*AN181+AO237*AO181+AP237*AP181+AQ237*AQ181+AR237*AR181+AS237*AS181+AT237*AT181+AU237*AU181+AV237*AV181+AW237*AW181+AX237*AX181+AY237*AY181+AZ237*AZ181+BA237*BA181+BB237*BB181+BC237*BC181+BD237*BD181+BE237*BE181+BF237*BF181+BG237*BG181+BH237*BH181+BI237*BI181+BJ237*BJ181+BK237*BK181+BL237*BL181+BM237*BM181+BN237*BN181+BO237*BO181+BP237*BP181+BQ237*BQ181+BR237*BR181+BS237*BS181+BT237*BT181+BU237*BU181+BV237*BV181+BW237*BW181+BX237*BX181+BY237*BY181+BZ237*BZ181+CA237*CA181+CB237*CB181+CC237*CC181+CD237*CD181+CE237*CE181+CF237*CF181+CG237*CG181+CH237*CH181+CI237*CI181+CJ237*CJ181+CK237*CK181</f>
        <v>0</v>
      </c>
      <c r="CP181" s="2296">
        <f>E238*E181+F238*F181+G238*G181+H238*H181+I238*I181+J238*J181+K238*K181+L238*L181+M238*M181+N238*N181+O238*O181+P238*P181+Q238*Q181+R238*R181+S238*S181+T238*T181+U238*U181+V238*V181+W238*W181+X238*X181+Y238*Y181+Z238*Z181+AA238*AA181+AB238*AB181+AC238*AC181+AD238*AD181+AE238*AE181+AF238*AF181+AG238*AG181+AH238*AH181+AI238*AI181+AJ238*AJ181+AK238*AK181+AL238*AL181+AM238*AM181+AN238*AN181+AO238*AO181+AP238*AP181+AQ238*AQ181+AR238*AR181+AS238*AS181+AT238*AT181+AU238*AU181+AV238*AV181+AW238*AW181+AX238*AX181+AY238*AY181+AZ238*AZ181+BA238*BA181+BB238*BB181+BC238*BC181+BD238*BD181+BE238*BE181+BF238*BF181+BG238*BG181+BH238*BH181+BI238*BI181+BJ238*BJ181+BK238*BK181+BL238*BL181+BM238*BM181+BN238*BN181+BO238*BO181+BP238*BP181+BQ238*BQ181+BR238*BR181+BS238*BS181+BT238*BT181+BU238*BU181+BV238*BV181+BW238*BW181+BX238*BX181+BY238*BY181+BZ238*BZ181+CA238*CA181+CB238*CB181+CC238*CC181+CD238*CD181+CE238*CE181+CF238*CF181+CG238*CG181+CH238*CH181+CI238*CI181+CJ238*CJ181+CK238*CK181</f>
        <v>0</v>
      </c>
      <c r="CQ181" s="2297">
        <f>E239*E181+F239*F181+G239*G181+H239*H181+I239*I181+J239*J181+K239*K181+L239*L181+M239*M181+N239*N181+O239*O181+P239*P181+Q239*Q181+R239*R181+S239*S181+T239*T181+U239*U181+V239*V181+W239*W181+X239*X181+Y239*Y181+Z239*Z181+AA239*AA181+AB239*AB181+AC239*AC181+AD239*AD181+AE239*AE181+AF239*AF181+AG239*AG181+AH239*AH181+AI239*AI181+AJ239*AJ181+AK239*AK181+AL239*AL181+AM239*AM181+AN239*AN181+AO239*AO181+AP239*AP181+AQ239*AQ181+AR239*AR181+AS239*AS181+AT239*AT181+AU239*AU181+AV239*AV181+AW239*AW181+AX239*AX181+AY239*AY181+AZ239*AZ181+BA239*BA181+BB239*BB181+BC239*BC181+BD239*BD181+BE239*BE181+BF239*BF181+BG239*BG181+BH239*BH181+BI239*BI181+BJ239*BJ181+BK239*BK181+BL239*BL181+BM239*BM181+BN239*BN181+BO239*BO181+BP239*BP181+BQ239*BQ181+BR239*BR181+BS239*BS181+BT239*BT181+BU239*BU181+BV239*BV181+BW239*BW181+BX239*BX181+BY239*BY181+BZ239*BZ181+CA239*CA181+CB239*CB181+CC239*CC181+CD239*CD181+CE239*CE181+CF239*CF181+CG239*CG181+CH239*CH181+CI239*CI181+CJ239*CJ181+CK239*CK181</f>
        <v>0</v>
      </c>
      <c r="CR181" s="2297">
        <f>E240*E181+F240*F181+G240*G181+H240*H181+I240*I181+J240*J181+K240*K181+L240*L181+M240*M181+N240*N181+O240*O181+P240*P181+Q240*Q181+R240*R181+S240*S181+T240*T181+U240*U181+V240*V181+W240*W181+X240*X181+Y240*Y181+Z240*Z181+AA240*AA181+AB240*AB181+AC240*AC181+AD240*AD181+AE240*AE181+AF240*AF181+AG240*AG181+AH240*AH181+AI240*AI181+AJ240*AJ181+AK240*AK181+AL240*AL181+AM240*AM181+AN240*AN181+AO240*AO181+AP240*AP181+AQ240*AQ181+AR240*AR181+AS240*AS181+AT240*AT181+AU240*AU181+AV240*AV181+AW240*AW181+AX240*AX181+AY240*AY181+AZ240*AZ181+BA240*BA181+BB240*BB181+BC240*BC181+BD240*BD181+BE240*BE181+BF240*BF181+BG240*BG181+BH240*BH181+BI240*BI181+BJ240*BJ181+BK240*BK181+BL240*BL181+BM240*BM181+BN240*BN181+BO240*BO181+BP240*BP181+BQ240*BQ181+BR240*BR181+BS240*BS181+BT240*BT181+BU240*BU181+BV240*BV181+BW240*BW181+BX240*BX181+BY240*BY181+BZ240*BZ181+CA240*CA181+CB240*CB181+CC240*CC181+CD240*CD181+CE240*CE181+CF240*CF181+CG240*CG181+CH240*CH181+CI240*CI181+CJ240*CJ181+CK240*CK181</f>
        <v>0</v>
      </c>
      <c r="CS181" s="2297">
        <f>E241*E181+F241*F181+G241*G181+H241*H181+I241*I181+J241*J181+K241*K181+L241*L181+M241*M181+N241*N181+O241*O181+P241*P181+Q241*Q181+R241*R181+S241*S181+T241*T181+U241*U181+V241*V181+W241*W181+X241*X181+Y241*Y181+Z241*Z181+AA241*AA181+AB241*AB181+AC241*AC181+AD241*AD181+AE241*AE181+AF241*AF181+AG241*AG181+AH241*AH181+AI241*AI181+AJ241*AJ181+AK241*AK181+AL241*AL181+AM241*AM181+AN241*AN181+AO241*AO181+AP241*AP181+AQ241*AQ181+AR241*AR181+AS241*AS181+AT241*AT181+AU241*AU181+AV241*AV181+AW241*AW181+AX241*AX181+AY241*AY181+AZ241*AZ181+BA241*BA181+BB241*BB181+BC241*BC181+BD241*BD181+BE241*BE181+BF241*BF181+BG241*BG181+BH241*BH181+BI241*BI181+BJ241*BJ181+BK241*BK181+BL241*BL181+BM241*BM181+BN241*BN181+BO241*BO181+BP241*BP181+BQ241*BQ181+BR241*BR181+BS241*BS181+BT241*BT181+BU241*BU181+BV241*BV181+BW241*BW181+BX241*BX181+BY241*BY181+BZ241*BZ181+CA241*CA181+CB241*CB181+CC241*CC181+CD241*CD181+CE241*CE181+CF241*CF181+CG241*CG181+CH241*CH181+CI241*CI181+CJ241*CJ181+CK241*CK181</f>
        <v>0</v>
      </c>
      <c r="CT181" s="2297">
        <f>E242*E181+F242*F181+G242*G181+H242*H181+I242*I181+J242*J181+K242*K181+L242*L181+M242*M181+N242*N181+O242*O181+P242*P181+Q242*Q181+R242*R181+S242*S181+T242*T181+U242*U181+V242*V181+W242*W181+X242*X181+Y242*Y181+Z242*Z181+AA242*AA181+AB242*AB181+AC242*AC181+AD242*AD181+AE242*AE181+AF242*AF181+AG242*AG181+AH242*AH181+AI242*AI181+AJ242*AJ181+AK242*AK181+AL242*AL181+AM242*AM181+AN242*AN181+AO242*AO181+AP242*AP181+AQ242*AQ181+AR242*AR181+AS242*AS181+AT242*AT181+AU242*AU181+AV242*AV181+AW242*AW181+AX242*AX181+AY242*AY181+AZ242*AZ181+BA242*BA181+BB242*BB181+BC242*BC181+BD242*BD181+BE242*BE181+BF242*BF181+BG242*BG181+BH242*BH181+BI242*BI181+BJ242*BJ181+BK242*BK181+BL242*BL181+BM242*BM181+BN242*BN181+BO242*BO181+BP242*BP181+BQ242*BQ181+BR242*BR181+BS242*BS181+BT242*BT181+BU242*BU181+BV242*BV181+BW242*BW181+BX242*BX181+BY242*BY181+BZ242*BZ181+CA242*CA181+CB242*CB181+CC242*CC181+CD242*CD181+CE242*CE181+CF242*CF181+CG242*CG181+CH242*CH181+CI242*CI181+CJ242*CJ181+CK242*CK181</f>
        <v>0</v>
      </c>
      <c r="CU181" s="2297">
        <f>E243*E181+F243*F181+G243*G181+H243*H181+I243*I181+J243*J181+K243*K181+L243*L181+M243*M181+N243*N181+O243*O181+P243*P181+Q243*Q181+R243*R181+S243*S181+T243*T181+U243*U181+V243*V181+W243*W181+X243*X181+Y243*Y181+Z243*Z181+AA243*AA181+AB243*AB181+AC243*AC181+AD243*AD181+AE243*AE181+AF243*AF181+AG243*AG181+AH243*AH181+AI243*AI181+AJ243*AJ181+AK243*AK181+AL243*AL181+AM243*AM181+AN243*AN181+AO243*AO181+AP243*AP181+AQ243*AQ181+AR243*AR181+AS243*AS181+AT243*AT181+AU243*AU181+AV243*AV181+AW243*AW181+AX243*AX181+AY243*AY181+AZ243*AZ181+BA243*BA181+BB243*BB181+BC243*BC181+BD243*BD181+BE243*BE181+BF243*BF181+BG243*BG181+BH243*BH181+BI243*BI181+BJ243*BJ181+BK243*BK181+BL243*BL181+BM243*BM181+BN243*BN181+BO243*BO181+BP243*BP181+BQ243*BQ181+BR243*BR181+BS243*BS181+BT243*BT181+BU243*BU181+BV243*BV181+BW243*BW181+BX243*BX181+BY243*BY181+BZ243*BZ181+CA243*CA181+CB243*CB181+CC243*CC181+CD243*CD181+CE243*CE181+CF243*CF181+CG243*CG181+CH243*CH181+CI243*CI181+CJ243*CJ181+CK243*CK181</f>
        <v>0</v>
      </c>
      <c r="CV181" s="2297">
        <f>E244*E181+F244*F181+G244*G181+H244*H181+I244*I181+J244*J181+K244*K181+L244*L181+M244*M181+N244*N181+O244*O181+P244*P181+Q244*Q181+R244*R181+S244*S181+T244*T181+U244*U181+V244*V181+W244*W181+X244*X181+Y244*Y181+Z244*Z181+AA244*AA181+AB244*AB181+AC244*AC181+AD244*AD181+AE244*AE181+AF244*AF181+AG244*AG181+AH244*AH181+AI244*AI181+AJ244*AJ181+AK244*AK181+AL244*AL181+AM244*AM181+AN244*AN181+AO244*AO181+AP244*AP181+AQ244*AQ181+AR244*AR181+AS244*AS181+AT244*AT181+AU244*AU181+AV244*AV181+AW244*AW181+AX244*AX181+AY244*AY181+AZ244*AZ181+BA244*BA181+BB244*BB181+BC244*BC181+BD244*BD181+BE244*BE181+BF244*BF181+BG244*BG181+BH244*BH181+BI244*BI181+BJ244*BJ181+BK244*BK181+BL244*BL181+BM244*BM181+BN244*BN181+BO244*BO181+BP244*BP181+BQ244*BQ181+BR244*BR181+BS244*BS181+BT244*BT181+BU244*BU181+BV244*BV181+BW244*BW181+BX244*BX181+BY244*BY181+BZ244*BZ181+CA244*CA181+CB244*CB181+CC244*CC181+CD244*CD181+CE244*CE181+CF244*CF181+CG244*CG181+CH244*CH181+CI244*CI181+CJ244*CJ181+CK244*CK181</f>
        <v>0</v>
      </c>
      <c r="CW181" s="2297">
        <f>E245*E181+F245*F181+G245*G181+H245*H181+I245*I181+J245*J181+K245*K181+L245*L181+M245*M181+N245*N181+O245*O181+P245*P181+Q245*Q181+R245*R181+S245*S181+T245*T181+U245*U181+V245*V181+W245*W181+X245*X181+Y245*Y181+Z245*Z181+AA245*AA181+AB245*AB181+AC245*AC181+AD245*AD181+AE245*AE181+AF245*AF181+AG245*AG181+AH245*AH181+AI245*AI181+AJ245*AJ181+AK245*AK181+AL245*AL181+AM245*AM181+AN245*AN181+AO245*AO181+AP245*AP181+AQ245*AQ181+AR245*AR181+AS245*AS181+AT245*AT181+AU245*AU181+AV245*AV181+AW245*AW181+AX245*AX181+AY245*AY181+AZ245*AZ181+BA245*BA181+BB245*BB181+BC245*BC181+BD245*BD181+BE245*BE181+BF245*BF181+BG245*BG181+BH245*BH181+BI245*BI181+BJ245*BJ181+BK245*BK181+BL245*BL181+BM245*BM181+BN245*BN181+BO245*BO181+BP245*BP181+BQ245*BQ181+BR245*BR181+BS245*BS181+BT245*BT181+BU245*BU181+BV245*BV181+BW245*BW181+BX245*BX181+BY245*BY181+BZ245*BZ181+CA245*CA181+CB245*CB181+CC245*CC181+CD245*CD181+CE245*CE181+CF245*CF181+CG245*CG181+CH245*CH181+CI245*CI181+CJ245*CJ181+CK245*CK181</f>
        <v>0</v>
      </c>
      <c r="CX181" s="2297">
        <f>E246*E181+F246*F181+G246*G181+H246*H181+I246*I181+J246*J181+K246*K181+L246*L181+M246*M181+N246*N181+O246*O181+P246*P181+Q246*Q181+R246*R181+S246*S181+T246*T181+U246*U181+V246*V181+W246*W181+X246*X181+Y246*Y181+Z246*Z181+AA246*AA181+AB246*AB181+AC246*AC181+AD246*AD181+AE246*AE181+AF246*AF181+AG246*AG181+AH246*AH181+AI246*AI181+AJ246*AJ181+AK246*AK181+AL246*AL181+AM246*AM181+AN246*AN181+AO246*AO181+AP246*AP181+AQ246*AQ181+AR246*AR181+AS246*AS181+AT246*AT181+AU246*AU181+AV246*AV181+AW246*AW181+AX246*AX181+AY246*AY181+AZ246*AZ181+BA246*BA181+BB246*BB181+BC246*BC181+BD246*BD181+BE246*BE181+BF246*BF181+BG246*BG181+BH246*BH181+BI246*BI181+BJ246*BJ181+BK246*BK181+BL246*BL181+BM246*BM181+BN246*BN181+BO246*BO181+BP246*BP181+BQ246*BQ181+BR246*BR181+BS246*BS181+BT246*BT181+BU246*BU181+BV246*BV181+BW246*BW181+BX246*BX181+BY246*BY181+BZ246*BZ181+CA246*CA181+CB246*CB181+CC246*CC181+CD246*CD181+CE246*CE181+CF246*CF181+CG246*CG181+CH246*CH181+CI246*CI181+CJ246*CJ181+CK246*CK181</f>
        <v>0</v>
      </c>
    </row>
    <row r="182" spans="2:102" ht="18" x14ac:dyDescent="0.35">
      <c r="B182" s="2032">
        <v>55</v>
      </c>
      <c r="C182" s="2033" t="s">
        <v>2120</v>
      </c>
      <c r="D182" s="2034" t="s">
        <v>4614</v>
      </c>
      <c r="E182" s="2669">
        <f>0</f>
        <v>0</v>
      </c>
      <c r="F182" s="2669">
        <f>0</f>
        <v>0</v>
      </c>
      <c r="G182" s="2669">
        <f>0</f>
        <v>0</v>
      </c>
      <c r="H182" s="2669">
        <f>0</f>
        <v>0</v>
      </c>
      <c r="I182" s="2669">
        <f>0</f>
        <v>0</v>
      </c>
      <c r="J182" s="2669">
        <f>1-f_E</f>
        <v>0.92</v>
      </c>
      <c r="K182" s="2669">
        <f>0</f>
        <v>0</v>
      </c>
      <c r="L182" s="2669">
        <f>0</f>
        <v>0</v>
      </c>
      <c r="M182" s="2669">
        <f>0</f>
        <v>0</v>
      </c>
      <c r="N182" s="2669">
        <f>0</f>
        <v>0</v>
      </c>
      <c r="O182" s="2669">
        <f>0</f>
        <v>0</v>
      </c>
      <c r="P182" s="2669">
        <f>f_E</f>
        <v>0.08</v>
      </c>
      <c r="Q182" s="2669">
        <f>0</f>
        <v>0</v>
      </c>
      <c r="R182" s="2669">
        <f>0</f>
        <v>0</v>
      </c>
      <c r="S182" s="2669">
        <f>0</f>
        <v>0</v>
      </c>
      <c r="T182" s="2669">
        <f>0</f>
        <v>0</v>
      </c>
      <c r="U182" s="2669">
        <f>0</f>
        <v>0</v>
      </c>
      <c r="V182" s="2669">
        <f>0</f>
        <v>0</v>
      </c>
      <c r="W182" s="2669">
        <f>0</f>
        <v>0</v>
      </c>
      <c r="X182" s="2669">
        <f>0</f>
        <v>0</v>
      </c>
      <c r="Y182" s="2669">
        <f>0</f>
        <v>0</v>
      </c>
      <c r="Z182" s="2669">
        <f>-1</f>
        <v>-1</v>
      </c>
      <c r="AA182" s="2725">
        <f>-f_E*(i_N_XE-i_N_BIO)</f>
        <v>8.0000000000000069E-4</v>
      </c>
      <c r="AB182" s="2669">
        <f>0</f>
        <v>0</v>
      </c>
      <c r="AC182" s="2669">
        <f>0</f>
        <v>0</v>
      </c>
      <c r="AD182" s="2669">
        <f>0</f>
        <v>0</v>
      </c>
      <c r="AE182" s="2669">
        <f>0</f>
        <v>0</v>
      </c>
      <c r="AF182" s="2669">
        <f>0</f>
        <v>0</v>
      </c>
      <c r="AG182" s="2669">
        <f>(1-f_E)*i_N_BIO</f>
        <v>6.4400000000000013E-2</v>
      </c>
      <c r="AH182" s="2669">
        <f>0</f>
        <v>0</v>
      </c>
      <c r="AI182" s="2725">
        <f>i_P_ALGAE-i_P_BIO</f>
        <v>0</v>
      </c>
      <c r="AJ182" s="2669">
        <f>0</f>
        <v>0</v>
      </c>
      <c r="AK182" s="2669">
        <f>0</f>
        <v>0</v>
      </c>
      <c r="AL182" s="2669">
        <f>0</f>
        <v>0</v>
      </c>
      <c r="AM182" s="2669">
        <f>(1-f_E)*i_P_BIO</f>
        <v>1.84E-2</v>
      </c>
      <c r="AN182" s="2669">
        <f>0</f>
        <v>0</v>
      </c>
      <c r="AO182" s="2669">
        <f>0</f>
        <v>0</v>
      </c>
      <c r="AP182" s="2669">
        <f>0</f>
        <v>0</v>
      </c>
      <c r="AQ182" s="2669">
        <f>0</f>
        <v>0</v>
      </c>
      <c r="AR182" s="2738">
        <f>i_CIT_ALGAE-(1-f_E)*i_CIT_XBe-f_E*i_CIT_BIO</f>
        <v>8.3720000000000044E-2</v>
      </c>
      <c r="AS182" s="2744">
        <f>0</f>
        <v>0</v>
      </c>
      <c r="AT182" s="2748">
        <f>0</f>
        <v>0</v>
      </c>
      <c r="AU182" s="2748">
        <f>0</f>
        <v>0</v>
      </c>
      <c r="AV182" s="2748">
        <f>0</f>
        <v>0</v>
      </c>
      <c r="AW182" s="2748">
        <f>0</f>
        <v>0</v>
      </c>
      <c r="AX182" s="2744">
        <f>0</f>
        <v>0</v>
      </c>
      <c r="AY182" s="2669">
        <f>0</f>
        <v>0</v>
      </c>
      <c r="AZ182" s="2669">
        <f>0</f>
        <v>0</v>
      </c>
      <c r="BA182" s="2669">
        <f>0</f>
        <v>0</v>
      </c>
      <c r="BB182" s="2669">
        <f>0</f>
        <v>0</v>
      </c>
      <c r="BC182" s="2669">
        <f>0</f>
        <v>0</v>
      </c>
      <c r="BD182" s="2669">
        <f>0</f>
        <v>0</v>
      </c>
      <c r="BE182" s="2669">
        <f>0</f>
        <v>0</v>
      </c>
      <c r="BF182" s="2669">
        <f>0</f>
        <v>0</v>
      </c>
      <c r="BG182" s="2669">
        <f>0</f>
        <v>0</v>
      </c>
      <c r="BH182" s="2669">
        <f>0</f>
        <v>0</v>
      </c>
      <c r="BI182" s="2669">
        <f>0</f>
        <v>0</v>
      </c>
      <c r="BJ182" s="2669">
        <f>0</f>
        <v>0</v>
      </c>
      <c r="BK182" s="2669">
        <f>0</f>
        <v>0</v>
      </c>
      <c r="BL182" s="2669">
        <f>0</f>
        <v>0</v>
      </c>
      <c r="BM182" s="2669">
        <f>0</f>
        <v>0</v>
      </c>
      <c r="BN182" s="2669">
        <f>0</f>
        <v>0</v>
      </c>
      <c r="BO182" s="2669">
        <f>0</f>
        <v>0</v>
      </c>
      <c r="BP182" s="2669">
        <f>0</f>
        <v>0</v>
      </c>
      <c r="BQ182" s="2669">
        <f>0</f>
        <v>0</v>
      </c>
      <c r="BR182" s="2669">
        <f>0</f>
        <v>0</v>
      </c>
      <c r="BS182" s="2669">
        <f>0</f>
        <v>0</v>
      </c>
      <c r="BT182" s="2669">
        <f>0</f>
        <v>0</v>
      </c>
      <c r="BU182" s="2669">
        <f>0</f>
        <v>0</v>
      </c>
      <c r="BV182" s="2669">
        <f>0</f>
        <v>0</v>
      </c>
      <c r="BW182" s="2669">
        <f>0</f>
        <v>0</v>
      </c>
      <c r="BX182" s="2669">
        <f>0</f>
        <v>0</v>
      </c>
      <c r="BY182" s="2669">
        <f>0</f>
        <v>0</v>
      </c>
      <c r="BZ182" s="2669">
        <f>0</f>
        <v>0</v>
      </c>
      <c r="CA182" s="2669">
        <f>0</f>
        <v>0</v>
      </c>
      <c r="CB182" s="2669">
        <f>0</f>
        <v>0</v>
      </c>
      <c r="CC182" s="2669">
        <f>0</f>
        <v>0</v>
      </c>
      <c r="CD182" s="2669">
        <f>0</f>
        <v>0</v>
      </c>
      <c r="CE182" s="2669">
        <f>0</f>
        <v>0</v>
      </c>
      <c r="CF182" s="2669">
        <f>0</f>
        <v>0</v>
      </c>
      <c r="CG182" s="2669">
        <f>0</f>
        <v>0</v>
      </c>
      <c r="CH182" s="2669">
        <f>0</f>
        <v>0</v>
      </c>
      <c r="CI182" s="2669">
        <f>0</f>
        <v>0</v>
      </c>
      <c r="CJ182" s="2669">
        <f>0</f>
        <v>0</v>
      </c>
      <c r="CK182" s="2669">
        <f>0</f>
        <v>0</v>
      </c>
      <c r="CL182" s="2809">
        <f>b_ALGAE_T*X_ALGAE*M_inhSO2_KO2_ALGAE</f>
        <v>0</v>
      </c>
      <c r="CN182" s="2295">
        <f>E236*E182+F236*F182+G236*G182+H236*H182+I236*I182+J236*J182+K236*K182+L236*L182+M236*M182+N236*N182+O236*O182+P236*P182+Q236*Q182+R236*R182+S236*S182+T236*T182+U236*U182+V236*V182+W236*W182+X236*X182+Y236*Y182+Z236*Z182+AA236*AA182+AB236*AB182+AC236*AC182+AD236*AD182+AE236*AE182+AF236*AF182+AG236*AG182+AH236*AH182+AI236*AI182+AJ236*AJ182+AK236*AK182+AL236*AL182+AM236*AM182+AN236*AN182+AO236*AO182+AP236*AP182+AQ236*AQ182+AR236*AR182+AS236*AS182+AT236*AT182+AU236*AU182+AV236*AV182+AW236*AW182+AX236*AX182+AY236*AY182+AZ236*AZ182+BA236*BA182+BB236*BB182+BC236*BC182+BD236*BD182+BE236*BE182+BF236*BF182+BG236*BG182+BH236*BH182+BI236*BI182+BJ236*BJ182+BK236*BK182+BL236*BL182+BM236*BM182+BN236*BN182+BO236*BO182+BP236*BP182+BQ236*BQ182+BR236*BR182+BS236*BS182+BT236*BT182+BU236*BU182+BV236*BV182+BW236*BW182+BX236*BX182+BY236*BY182+BZ236*BZ182+CA236*CA182+CB236*CB182+CC236*CC182+CD236*CD182+CE236*CE182+CF236*CF182+CG236*CG182+CH236*CH182+CI236*CI182+CJ236*CJ182+CK236*CK182</f>
        <v>0</v>
      </c>
      <c r="CO182" s="2295">
        <f>E237*E182+F237*F182+G237*G182+H237*H182+I237*I182+J237*J182+K237*K182+L237*L182+M237*M182+N237*N182+O237*O182+P237*P182+Q237*Q182+R237*R182+S237*S182+T237*T182+U237*U182+V237*V182+W237*W182+X237*X182+Y237*Y182+Z237*Z182+AA237*AA182+AB237*AB182+AC237*AC182+AD237*AD182+AE237*AE182+AF237*AF182+AG237*AG182+AH237*AH182+AI237*AI182+AJ237*AJ182+AK237*AK182+AL237*AL182+AM237*AM182+AN237*AN182+AO237*AO182+AP237*AP182+AQ237*AQ182+AR237*AR182+AS237*AS182+AT237*AT182+AU237*AU182+AV237*AV182+AW237*AW182+AX237*AX182+AY237*AY182+AZ237*AZ182+BA237*BA182+BB237*BB182+BC237*BC182+BD237*BD182+BE237*BE182+BF237*BF182+BG237*BG182+BH237*BH182+BI237*BI182+BJ237*BJ182+BK237*BK182+BL237*BL182+BM237*BM182+BN237*BN182+BO237*BO182+BP237*BP182+BQ237*BQ182+BR237*BR182+BS237*BS182+BT237*BT182+BU237*BU182+BV237*BV182+BW237*BW182+BX237*BX182+BY237*BY182+BZ237*BZ182+CA237*CA182+CB237*CB182+CC237*CC182+CD237*CD182+CE237*CE182+CF237*CF182+CG237*CG182+CH237*CH182+CI237*CI182+CJ237*CJ182+CK237*CK182</f>
        <v>2.7755575615628914E-17</v>
      </c>
      <c r="CP182" s="2296">
        <f>E238*E182+F238*F182+G238*G182+H238*H182+I238*I182+J238*J182+K238*K182+L238*L182+M238*M182+N238*N182+O238*O182+P238*P182+Q238*Q182+R238*R182+S238*S182+T238*T182+U238*U182+V238*V182+W238*W182+X238*X182+Y238*Y182+Z238*Z182+AA238*AA182+AB238*AB182+AC238*AC182+AD238*AD182+AE238*AE182+AF238*AF182+AG238*AG182+AH238*AH182+AI238*AI182+AJ238*AJ182+AK238*AK182+AL238*AL182+AM238*AM182+AN238*AN182+AO238*AO182+AP238*AP182+AQ238*AQ182+AR238*AR182+AS238*AS182+AT238*AT182+AU238*AU182+AV238*AV182+AW238*AW182+AX238*AX182+AY238*AY182+AZ238*AZ182+BA238*BA182+BB238*BB182+BC238*BC182+BD238*BD182+BE238*BE182+BF238*BF182+BG238*BG182+BH238*BH182+BI238*BI182+BJ238*BJ182+BK238*BK182+BL238*BL182+BM238*BM182+BN238*BN182+BO238*BO182+BP238*BP182+BQ238*BQ182+BR238*BR182+BS238*BS182+BT238*BT182+BU238*BU182+BV238*BV182+BW238*BW182+BX238*BX182+BY238*BY182+BZ238*BZ182+CA238*CA182+CB238*CB182+CC238*CC182+CD238*CD182+CE238*CE182+CF238*CF182+CG238*CG182+CH238*CH182+CI238*CI182+CJ238*CJ182+CK238*CK182</f>
        <v>0</v>
      </c>
      <c r="CQ182" s="2297">
        <f>E239*E182+F239*F182+G239*G182+H239*H182+I239*I182+J239*J182+K239*K182+L239*L182+M239*M182+N239*N182+O239*O182+P239*P182+Q239*Q182+R239*R182+S239*S182+T239*T182+U239*U182+V239*V182+W239*W182+X239*X182+Y239*Y182+Z239*Z182+AA239*AA182+AB239*AB182+AC239*AC182+AD239*AD182+AE239*AE182+AF239*AF182+AG239*AG182+AH239*AH182+AI239*AI182+AJ239*AJ182+AK239*AK182+AL239*AL182+AM239*AM182+AN239*AN182+AO239*AO182+AP239*AP182+AQ239*AQ182+AR239*AR182+AS239*AS182+AT239*AT182+AU239*AU182+AV239*AV182+AW239*AW182+AX239*AX182+AY239*AY182+AZ239*AZ182+BA239*BA182+BB239*BB182+BC239*BC182+BD239*BD182+BE239*BE182+BF239*BF182+BG239*BG182+BH239*BH182+BI239*BI182+BJ239*BJ182+BK239*BK182+BL239*BL182+BM239*BM182+BN239*BN182+BO239*BO182+BP239*BP182+BQ239*BQ182+BR239*BR182+BS239*BS182+BT239*BT182+BU239*BU182+BV239*BV182+BW239*BW182+BX239*BX182+BY239*BY182+BZ239*BZ182+CA239*CA182+CB239*CB182+CC239*CC182+CD239*CD182+CE239*CE182+CF239*CF182+CG239*CG182+CH239*CH182+CI239*CI182+CJ239*CJ182+CK239*CK182</f>
        <v>0</v>
      </c>
      <c r="CR182" s="2297">
        <f>E240*E182+F240*F182+G240*G182+H240*H182+I240*I182+J240*J182+K240*K182+L240*L182+M240*M182+N240*N182+O240*O182+P240*P182+Q240*Q182+R240*R182+S240*S182+T240*T182+U240*U182+V240*V182+W240*W182+X240*X182+Y240*Y182+Z240*Z182+AA240*AA182+AB240*AB182+AC240*AC182+AD240*AD182+AE240*AE182+AF240*AF182+AG240*AG182+AH240*AH182+AI240*AI182+AJ240*AJ182+AK240*AK182+AL240*AL182+AM240*AM182+AN240*AN182+AO240*AO182+AP240*AP182+AQ240*AQ182+AR240*AR182+AS240*AS182+AT240*AT182+AU240*AU182+AV240*AV182+AW240*AW182+AX240*AX182+AY240*AY182+AZ240*AZ182+BA240*BA182+BB240*BB182+BC240*BC182+BD240*BD182+BE240*BE182+BF240*BF182+BG240*BG182+BH240*BH182+BI240*BI182+BJ240*BJ182+BK240*BK182+BL240*BL182+BM240*BM182+BN240*BN182+BO240*BO182+BP240*BP182+BQ240*BQ182+BR240*BR182+BS240*BS182+BT240*BT182+BU240*BU182+BV240*BV182+BW240*BW182+BX240*BX182+BY240*BY182+BZ240*BZ182+CA240*CA182+CB240*CB182+CC240*CC182+CD240*CD182+CE240*CE182+CF240*CF182+CG240*CG182+CH240*CH182+CI240*CI182+CJ240*CJ182+CK240*CK182</f>
        <v>0</v>
      </c>
      <c r="CS182" s="2297">
        <f>E241*E182+F241*F182+G241*G182+H241*H182+I241*I182+J241*J182+K241*K182+L241*L182+M241*M182+N241*N182+O241*O182+P241*P182+Q241*Q182+R241*R182+S241*S182+T241*T182+U241*U182+V241*V182+W241*W182+X241*X182+Y241*Y182+Z241*Z182+AA241*AA182+AB241*AB182+AC241*AC182+AD241*AD182+AE241*AE182+AF241*AF182+AG241*AG182+AH241*AH182+AI241*AI182+AJ241*AJ182+AK241*AK182+AL241*AL182+AM241*AM182+AN241*AN182+AO241*AO182+AP241*AP182+AQ241*AQ182+AR241*AR182+AS241*AS182+AT241*AT182+AU241*AU182+AV241*AV182+AW241*AW182+AX241*AX182+AY241*AY182+AZ241*AZ182+BA241*BA182+BB241*BB182+BC241*BC182+BD241*BD182+BE241*BE182+BF241*BF182+BG241*BG182+BH241*BH182+BI241*BI182+BJ241*BJ182+BK241*BK182+BL241*BL182+BM241*BM182+BN241*BN182+BO241*BO182+BP241*BP182+BQ241*BQ182+BR241*BR182+BS241*BS182+BT241*BT182+BU241*BU182+BV241*BV182+BW241*BW182+BX241*BX182+BY241*BY182+BZ241*BZ182+CA241*CA182+CB241*CB182+CC241*CC182+CD241*CD182+CE241*CE182+CF241*CF182+CG241*CG182+CH241*CH182+CI241*CI182+CJ241*CJ182+CK241*CK182</f>
        <v>0</v>
      </c>
      <c r="CT182" s="2297">
        <f>E242*E182+F242*F182+G242*G182+H242*H182+I242*I182+J242*J182+K242*K182+L242*L182+M242*M182+N242*N182+O242*O182+P242*P182+Q242*Q182+R242*R182+S242*S182+T242*T182+U242*U182+V242*V182+W242*W182+X242*X182+Y242*Y182+Z242*Z182+AA242*AA182+AB242*AB182+AC242*AC182+AD242*AD182+AE242*AE182+AF242*AF182+AG242*AG182+AH242*AH182+AI242*AI182+AJ242*AJ182+AK242*AK182+AL242*AL182+AM242*AM182+AN242*AN182+AO242*AO182+AP242*AP182+AQ242*AQ182+AR242*AR182+AS242*AS182+AT242*AT182+AU242*AU182+AV242*AV182+AW242*AW182+AX242*AX182+AY242*AY182+AZ242*AZ182+BA242*BA182+BB242*BB182+BC242*BC182+BD242*BD182+BE242*BE182+BF242*BF182+BG242*BG182+BH242*BH182+BI242*BI182+BJ242*BJ182+BK242*BK182+BL242*BL182+BM242*BM182+BN242*BN182+BO242*BO182+BP242*BP182+BQ242*BQ182+BR242*BR182+BS242*BS182+BT242*BT182+BU242*BU182+BV242*BV182+BW242*BW182+BX242*BX182+BY242*BY182+BZ242*BZ182+CA242*CA182+CB242*CB182+CC242*CC182+CD242*CD182+CE242*CE182+CF242*CF182+CG242*CG182+CH242*CH182+CI242*CI182+CJ242*CJ182+CK242*CK182</f>
        <v>0</v>
      </c>
      <c r="CU182" s="2297">
        <f>E243*E182+F243*F182+G243*G182+H243*H182+I243*I182+J243*J182+K243*K182+L243*L182+M243*M182+N243*N182+O243*O182+P243*P182+Q243*Q182+R243*R182+S243*S182+T243*T182+U243*U182+V243*V182+W243*W182+X243*X182+Y243*Y182+Z243*Z182+AA243*AA182+AB243*AB182+AC243*AC182+AD243*AD182+AE243*AE182+AF243*AF182+AG243*AG182+AH243*AH182+AI243*AI182+AJ243*AJ182+AK243*AK182+AL243*AL182+AM243*AM182+AN243*AN182+AO243*AO182+AP243*AP182+AQ243*AQ182+AR243*AR182+AS243*AS182+AT243*AT182+AU243*AU182+AV243*AV182+AW243*AW182+AX243*AX182+AY243*AY182+AZ243*AZ182+BA243*BA182+BB243*BB182+BC243*BC182+BD243*BD182+BE243*BE182+BF243*BF182+BG243*BG182+BH243*BH182+BI243*BI182+BJ243*BJ182+BK243*BK182+BL243*BL182+BM243*BM182+BN243*BN182+BO243*BO182+BP243*BP182+BQ243*BQ182+BR243*BR182+BS243*BS182+BT243*BT182+BU243*BU182+BV243*BV182+BW243*BW182+BX243*BX182+BY243*BY182+BZ243*BZ182+CA243*CA182+CB243*CB182+CC243*CC182+CD243*CD182+CE243*CE182+CF243*CF182+CG243*CG182+CH243*CH182+CI243*CI182+CJ243*CJ182+CK243*CK182</f>
        <v>0</v>
      </c>
      <c r="CV182" s="2297">
        <f>E244*E182+F244*F182+G244*G182+H244*H182+I244*I182+J244*J182+K244*K182+L244*L182+M244*M182+N244*N182+O244*O182+P244*P182+Q244*Q182+R244*R182+S244*S182+T244*T182+U244*U182+V244*V182+W244*W182+X244*X182+Y244*Y182+Z244*Z182+AA244*AA182+AB244*AB182+AC244*AC182+AD244*AD182+AE244*AE182+AF244*AF182+AG244*AG182+AH244*AH182+AI244*AI182+AJ244*AJ182+AK244*AK182+AL244*AL182+AM244*AM182+AN244*AN182+AO244*AO182+AP244*AP182+AQ244*AQ182+AR244*AR182+AS244*AS182+AT244*AT182+AU244*AU182+AV244*AV182+AW244*AW182+AX244*AX182+AY244*AY182+AZ244*AZ182+BA244*BA182+BB244*BB182+BC244*BC182+BD244*BD182+BE244*BE182+BF244*BF182+BG244*BG182+BH244*BH182+BI244*BI182+BJ244*BJ182+BK244*BK182+BL244*BL182+BM244*BM182+BN244*BN182+BO244*BO182+BP244*BP182+BQ244*BQ182+BR244*BR182+BS244*BS182+BT244*BT182+BU244*BU182+BV244*BV182+BW244*BW182+BX244*BX182+BY244*BY182+BZ244*BZ182+CA244*CA182+CB244*CB182+CC244*CC182+CD244*CD182+CE244*CE182+CF244*CF182+CG244*CG182+CH244*CH182+CI244*CI182+CJ244*CJ182+CK244*CK182</f>
        <v>0</v>
      </c>
      <c r="CW182" s="2297">
        <f>E245*E182+F245*F182+G245*G182+H245*H182+I245*I182+J245*J182+K245*K182+L245*L182+M245*M182+N245*N182+O245*O182+P245*P182+Q245*Q182+R245*R182+S245*S182+T245*T182+U245*U182+V245*V182+W245*W182+X245*X182+Y245*Y182+Z245*Z182+AA245*AA182+AB245*AB182+AC245*AC182+AD245*AD182+AE245*AE182+AF245*AF182+AG245*AG182+AH245*AH182+AI245*AI182+AJ245*AJ182+AK245*AK182+AL245*AL182+AM245*AM182+AN245*AN182+AO245*AO182+AP245*AP182+AQ245*AQ182+AR245*AR182+AS245*AS182+AT245*AT182+AU245*AU182+AV245*AV182+AW245*AW182+AX245*AX182+AY245*AY182+AZ245*AZ182+BA245*BA182+BB245*BB182+BC245*BC182+BD245*BD182+BE245*BE182+BF245*BF182+BG245*BG182+BH245*BH182+BI245*BI182+BJ245*BJ182+BK245*BK182+BL245*BL182+BM245*BM182+BN245*BN182+BO245*BO182+BP245*BP182+BQ245*BQ182+BR245*BR182+BS245*BS182+BT245*BT182+BU245*BU182+BV245*BV182+BW245*BW182+BX245*BX182+BY245*BY182+BZ245*BZ182+CA245*CA182+CB245*CB182+CC245*CC182+CD245*CD182+CE245*CE182+CF245*CF182+CG245*CG182+CH245*CH182+CI245*CI182+CJ245*CJ182+CK245*CK182</f>
        <v>0</v>
      </c>
      <c r="CX182" s="2297">
        <f>E246*E182+F246*F182+G246*G182+H246*H182+I246*I182+J246*J182+K246*K182+L246*L182+M246*M182+N246*N182+O246*O182+P246*P182+Q246*Q182+R246*R182+S246*S182+T246*T182+U246*U182+V246*V182+W246*W182+X246*X182+Y246*Y182+Z246*Z182+AA246*AA182+AB246*AB182+AC246*AC182+AD246*AD182+AE246*AE182+AF246*AF182+AG246*AG182+AH246*AH182+AI246*AI182+AJ246*AJ182+AK246*AK182+AL246*AL182+AM246*AM182+AN246*AN182+AO246*AO182+AP246*AP182+AQ246*AQ182+AR246*AR182+AS246*AS182+AT246*AT182+AU246*AU182+AV246*AV182+AW246*AW182+AX246*AX182+AY246*AY182+AZ246*AZ182+BA246*BA182+BB246*BB182+BC246*BC182+BD246*BD182+BE246*BE182+BF246*BF182+BG246*BG182+BH246*BH182+BI246*BI182+BJ246*BJ182+BK246*BK182+BL246*BL182+BM246*BM182+BN246*BN182+BO246*BO182+BP246*BP182+BQ246*BQ182+BR246*BR182+BS246*BS182+BT246*BT182+BU246*BU182+BV246*BV182+BW246*BW182+BX246*BX182+BY246*BY182+BZ246*BZ182+CA246*CA182+CB246*CB182+CC246*CC182+CD246*CD182+CE246*CE182+CF246*CF182+CG246*CG182+CH246*CH182+CI246*CI182+CJ246*CJ182+CK246*CK182</f>
        <v>0</v>
      </c>
    </row>
    <row r="183" spans="2:102" ht="18" x14ac:dyDescent="0.25">
      <c r="B183" s="1251">
        <v>56</v>
      </c>
      <c r="C183" s="1198" t="s">
        <v>2121</v>
      </c>
      <c r="D183" s="616" t="s">
        <v>1675</v>
      </c>
      <c r="E183" s="2670">
        <f>0</f>
        <v>0</v>
      </c>
      <c r="F183" s="2670">
        <f>0</f>
        <v>0</v>
      </c>
      <c r="G183" s="2670">
        <f>0</f>
        <v>0</v>
      </c>
      <c r="H183" s="2670">
        <f>-1</f>
        <v>-1</v>
      </c>
      <c r="I183" s="2670">
        <f>1</f>
        <v>1</v>
      </c>
      <c r="J183" s="2693">
        <f>0</f>
        <v>0</v>
      </c>
      <c r="K183" s="2670">
        <f>0</f>
        <v>0</v>
      </c>
      <c r="L183" s="2670">
        <f>0</f>
        <v>0</v>
      </c>
      <c r="M183" s="2670">
        <f>0</f>
        <v>0</v>
      </c>
      <c r="N183" s="2670">
        <f>0</f>
        <v>0</v>
      </c>
      <c r="O183" s="2670">
        <f>0</f>
        <v>0</v>
      </c>
      <c r="P183" s="2670">
        <f>0</f>
        <v>0</v>
      </c>
      <c r="Q183" s="2670">
        <f>0</f>
        <v>0</v>
      </c>
      <c r="R183" s="2670">
        <f>0</f>
        <v>0</v>
      </c>
      <c r="S183" s="2670">
        <f>0</f>
        <v>0</v>
      </c>
      <c r="T183" s="2670">
        <f>0</f>
        <v>0</v>
      </c>
      <c r="U183" s="2670">
        <f>0</f>
        <v>0</v>
      </c>
      <c r="V183" s="2670">
        <f>0</f>
        <v>0</v>
      </c>
      <c r="W183" s="2670">
        <f>0</f>
        <v>0</v>
      </c>
      <c r="X183" s="2670">
        <f>0</f>
        <v>0</v>
      </c>
      <c r="Y183" s="2670">
        <f>0</f>
        <v>0</v>
      </c>
      <c r="Z183" s="2671">
        <f>0</f>
        <v>0</v>
      </c>
      <c r="AA183" s="2670">
        <f>0</f>
        <v>0</v>
      </c>
      <c r="AB183" s="2670">
        <f>0</f>
        <v>0</v>
      </c>
      <c r="AC183" s="2670">
        <f>0</f>
        <v>0</v>
      </c>
      <c r="AD183" s="2670">
        <f>0</f>
        <v>0</v>
      </c>
      <c r="AE183" s="2670">
        <f>0</f>
        <v>0</v>
      </c>
      <c r="AF183" s="2670">
        <f>i_N_CB</f>
        <v>0.01</v>
      </c>
      <c r="AG183" s="2693">
        <f>0</f>
        <v>0</v>
      </c>
      <c r="AH183" s="2670">
        <f>0</f>
        <v>0</v>
      </c>
      <c r="AI183" s="2670">
        <f>0</f>
        <v>0</v>
      </c>
      <c r="AJ183" s="2670">
        <f>0</f>
        <v>0</v>
      </c>
      <c r="AK183" s="2670">
        <f>0</f>
        <v>0</v>
      </c>
      <c r="AL183" s="2670">
        <f>i_P_CB</f>
        <v>2E-3</v>
      </c>
      <c r="AM183" s="2693">
        <f>0</f>
        <v>0</v>
      </c>
      <c r="AN183" s="2670">
        <f>0</f>
        <v>0</v>
      </c>
      <c r="AO183" s="2670">
        <f>0</f>
        <v>0</v>
      </c>
      <c r="AP183" s="2670">
        <f>0</f>
        <v>0</v>
      </c>
      <c r="AQ183" s="2670">
        <f>0</f>
        <v>0</v>
      </c>
      <c r="AR183" s="2670">
        <f>0</f>
        <v>0</v>
      </c>
      <c r="AS183" s="2670">
        <f>0</f>
        <v>0</v>
      </c>
      <c r="AT183" s="2670">
        <f>0</f>
        <v>0</v>
      </c>
      <c r="AU183" s="2670">
        <f>0</f>
        <v>0</v>
      </c>
      <c r="AV183" s="2670">
        <f>0</f>
        <v>0</v>
      </c>
      <c r="AW183" s="2670">
        <f>0</f>
        <v>0</v>
      </c>
      <c r="AX183" s="2670">
        <f>0</f>
        <v>0</v>
      </c>
      <c r="AY183" s="2670">
        <f>0</f>
        <v>0</v>
      </c>
      <c r="AZ183" s="2670">
        <f>0</f>
        <v>0</v>
      </c>
      <c r="BA183" s="2670">
        <f>0</f>
        <v>0</v>
      </c>
      <c r="BB183" s="2670">
        <f>0</f>
        <v>0</v>
      </c>
      <c r="BC183" s="2670">
        <f>0</f>
        <v>0</v>
      </c>
      <c r="BD183" s="2670">
        <f>0</f>
        <v>0</v>
      </c>
      <c r="BE183" s="2670">
        <f>0</f>
        <v>0</v>
      </c>
      <c r="BF183" s="2670">
        <f>0</f>
        <v>0</v>
      </c>
      <c r="BG183" s="2670">
        <f>0</f>
        <v>0</v>
      </c>
      <c r="BH183" s="2670">
        <f>0</f>
        <v>0</v>
      </c>
      <c r="BI183" s="2670">
        <f>0</f>
        <v>0</v>
      </c>
      <c r="BJ183" s="2670">
        <f>0</f>
        <v>0</v>
      </c>
      <c r="BK183" s="2670">
        <f>0</f>
        <v>0</v>
      </c>
      <c r="BL183" s="2670">
        <f>0</f>
        <v>0</v>
      </c>
      <c r="BM183" s="2670">
        <f>0</f>
        <v>0</v>
      </c>
      <c r="BN183" s="2670">
        <f>0</f>
        <v>0</v>
      </c>
      <c r="BO183" s="2670">
        <f>0</f>
        <v>0</v>
      </c>
      <c r="BP183" s="2676">
        <f>0</f>
        <v>0</v>
      </c>
      <c r="BQ183" s="2670">
        <f>0</f>
        <v>0</v>
      </c>
      <c r="BR183" s="2670">
        <f>0</f>
        <v>0</v>
      </c>
      <c r="BS183" s="2671">
        <f>0</f>
        <v>0</v>
      </c>
      <c r="BT183" s="2671">
        <f>0</f>
        <v>0</v>
      </c>
      <c r="BU183" s="2671">
        <f>0</f>
        <v>0</v>
      </c>
      <c r="BV183" s="2671">
        <f>0</f>
        <v>0</v>
      </c>
      <c r="BW183" s="2670">
        <f>0</f>
        <v>0</v>
      </c>
      <c r="BX183" s="2783">
        <f>0</f>
        <v>0</v>
      </c>
      <c r="BY183" s="2671">
        <f>0</f>
        <v>0</v>
      </c>
      <c r="BZ183" s="2670">
        <f>0</f>
        <v>0</v>
      </c>
      <c r="CA183" s="2670">
        <f>0</f>
        <v>0</v>
      </c>
      <c r="CB183" s="2670">
        <f>0</f>
        <v>0</v>
      </c>
      <c r="CC183" s="2670">
        <f>0</f>
        <v>0</v>
      </c>
      <c r="CD183" s="2670">
        <f>0</f>
        <v>0</v>
      </c>
      <c r="CE183" s="2670">
        <f>0</f>
        <v>0</v>
      </c>
      <c r="CF183" s="2670">
        <f>0</f>
        <v>0</v>
      </c>
      <c r="CG183" s="2670">
        <f>0</f>
        <v>0</v>
      </c>
      <c r="CH183" s="2670">
        <f>0</f>
        <v>0</v>
      </c>
      <c r="CI183" s="2670">
        <f>0</f>
        <v>0</v>
      </c>
      <c r="CJ183" s="2670">
        <f>0</f>
        <v>0</v>
      </c>
      <c r="CK183" s="2670">
        <f>0</f>
        <v>0</v>
      </c>
      <c r="CL183" s="2810">
        <f>q_FLOC_T*X_BIO*M_satCB_KCB_FLOC+q_FLOC_HFO_T*X_HFO*M_satCB_KCB_FLOC_HFO*B_ellinhpH_FLOC_HFO+q_FLOC_HAO_T*X_HAO*M_satCB_KCB_FLOC_HAO*B_ellinhpH_FLOC_HAO</f>
        <v>1.0932290733346786</v>
      </c>
      <c r="CN183" s="2295">
        <f>E236*E183+F236*F183+G236*G183+H236*H183+I236*I183+J236*J183+K236*K183+L236*L183+M236*M183+N236*N183+O236*O183+P236*P183+Q236*Q183+R236*R183+S236*S183+T236*T183+U236*U183+V236*V183+W236*W183+X236*X183+Y236*Y183+Z236*Z183+AA236*AA183+AB236*AB183+AC236*AC183+AD236*AD183+AE236*AE183+AF236*AF183+AG236*AG183+AH236*AH183+AI236*AI183+AJ236*AJ183+AK236*AK183+AL236*AL183+AM236*AM183+AN236*AN183+AO236*AO183+AP236*AP183+AQ236*AQ183+AR236*AR183+AS236*AS183+AT236*AT183+AU236*AU183+AV236*AV183+AW236*AW183+AX236*AX183+AY236*AY183+AZ236*AZ183+BA236*BA183+BB236*BB183+BC236*BC183+BD236*BD183+BE236*BE183+BF236*BF183+BG236*BG183+BH236*BH183+BI236*BI183+BJ236*BJ183+BK236*BK183+BL236*BL183+BM236*BM183+BN236*BN183+BO236*BO183+BP236*BP183+BQ236*BQ183+BR236*BR183+BS236*BS183+BT236*BT183+BU236*BU183+BV236*BV183+BW236*BW183+BX236*BX183+BY236*BY183+BZ236*BZ183+CA236*CA183+CB236*CB183+CC236*CC183+CD236*CD183+CE236*CE183+CF236*CF183+CG236*CG183+CH236*CH183+CI236*CI183+CJ236*CJ183+CK236*CK183</f>
        <v>0</v>
      </c>
      <c r="CO183" s="2295">
        <f>E237*E183+F237*F183+G237*G183+H237*H183+I237*I183+J237*J183+K237*K183+L237*L183+M237*M183+N237*N183+O237*O183+P237*P183+Q237*Q183+R237*R183+S237*S183+T237*T183+U237*U183+V237*V183+W237*W183+X237*X183+Y237*Y183+Z237*Z183+AA237*AA183+AB237*AB183+AC237*AC183+AD237*AD183+AE237*AE183+AF237*AF183+AG237*AG183+AH237*AH183+AI237*AI183+AJ237*AJ183+AK237*AK183+AL237*AL183+AM237*AM183+AN237*AN183+AO237*AO183+AP237*AP183+AQ237*AQ183+AR237*AR183+AS237*AS183+AT237*AT183+AU237*AU183+AV237*AV183+AW237*AW183+AX237*AX183+AY237*AY183+AZ237*AZ183+BA237*BA183+BB237*BB183+BC237*BC183+BD237*BD183+BE237*BE183+BF237*BF183+BG237*BG183+BH237*BH183+BI237*BI183+BJ237*BJ183+BK237*BK183+BL237*BL183+BM237*BM183+BN237*BN183+BO237*BO183+BP237*BP183+BQ237*BQ183+BR237*BR183+BS237*BS183+BT237*BT183+BU237*BU183+BV237*BV183+BW237*BW183+BX237*BX183+BY237*BY183+BZ237*BZ183+CA237*CA183+CB237*CB183+CC237*CC183+CD237*CD183+CE237*CE183+CF237*CF183+CG237*CG183+CH237*CH183+CI237*CI183+CJ237*CJ183+CK237*CK183</f>
        <v>0</v>
      </c>
      <c r="CP183" s="2296">
        <f>E238*E183+F238*F183+G238*G183+H238*H183+I238*I183+J238*J183+K238*K183+L238*L183+M238*M183+N238*N183+O238*O183+P238*P183+Q238*Q183+R238*R183+S238*S183+T238*T183+U238*U183+V238*V183+W238*W183+X238*X183+Y238*Y183+Z238*Z183+AA238*AA183+AB238*AB183+AC238*AC183+AD238*AD183+AE238*AE183+AF238*AF183+AG238*AG183+AH238*AH183+AI238*AI183+AJ238*AJ183+AK238*AK183+AL238*AL183+AM238*AM183+AN238*AN183+AO238*AO183+AP238*AP183+AQ238*AQ183+AR238*AR183+AS238*AS183+AT238*AT183+AU238*AU183+AV238*AV183+AW238*AW183+AX238*AX183+AY238*AY183+AZ238*AZ183+BA238*BA183+BB238*BB183+BC238*BC183+BD238*BD183+BE238*BE183+BF238*BF183+BG238*BG183+BH238*BH183+BI238*BI183+BJ238*BJ183+BK238*BK183+BL238*BL183+BM238*BM183+BN238*BN183+BO238*BO183+BP238*BP183+BQ238*BQ183+BR238*BR183+BS238*BS183+BT238*BT183+BU238*BU183+BV238*BV183+BW238*BW183+BX238*BX183+BY238*BY183+BZ238*BZ183+CA238*CA183+CB238*CB183+CC238*CC183+CD238*CD183+CE238*CE183+CF238*CF183+CG238*CG183+CH238*CH183+CI238*CI183+CJ238*CJ183+CK238*CK183</f>
        <v>0</v>
      </c>
      <c r="CQ183" s="2297">
        <f>E239*E183+F239*F183+G239*G183+H239*H183+I239*I183+J239*J183+K239*K183+L239*L183+M239*M183+N239*N183+O239*O183+P239*P183+Q239*Q183+R239*R183+S239*S183+T239*T183+U239*U183+V239*V183+W239*W183+X239*X183+Y239*Y183+Z239*Z183+AA239*AA183+AB239*AB183+AC239*AC183+AD239*AD183+AE239*AE183+AF239*AF183+AG239*AG183+AH239*AH183+AI239*AI183+AJ239*AJ183+AK239*AK183+AL239*AL183+AM239*AM183+AN239*AN183+AO239*AO183+AP239*AP183+AQ239*AQ183+AR239*AR183+AS239*AS183+AT239*AT183+AU239*AU183+AV239*AV183+AW239*AW183+AX239*AX183+AY239*AY183+AZ239*AZ183+BA239*BA183+BB239*BB183+BC239*BC183+BD239*BD183+BE239*BE183+BF239*BF183+BG239*BG183+BH239*BH183+BI239*BI183+BJ239*BJ183+BK239*BK183+BL239*BL183+BM239*BM183+BN239*BN183+BO239*BO183+BP239*BP183+BQ239*BQ183+BR239*BR183+BS239*BS183+BT239*BT183+BU239*BU183+BV239*BV183+BW239*BW183+BX239*BX183+BY239*BY183+BZ239*BZ183+CA239*CA183+CB239*CB183+CC239*CC183+CD239*CD183+CE239*CE183+CF239*CF183+CG239*CG183+CH239*CH183+CI239*CI183+CJ239*CJ183+CK239*CK183</f>
        <v>0</v>
      </c>
      <c r="CR183" s="2297">
        <f>E240*E183+F240*F183+G240*G183+H240*H183+I240*I183+J240*J183+K240*K183+L240*L183+M240*M183+N240*N183+O240*O183+P240*P183+Q240*Q183+R240*R183+S240*S183+T240*T183+U240*U183+V240*V183+W240*W183+X240*X183+Y240*Y183+Z240*Z183+AA240*AA183+AB240*AB183+AC240*AC183+AD240*AD183+AE240*AE183+AF240*AF183+AG240*AG183+AH240*AH183+AI240*AI183+AJ240*AJ183+AK240*AK183+AL240*AL183+AM240*AM183+AN240*AN183+AO240*AO183+AP240*AP183+AQ240*AQ183+AR240*AR183+AS240*AS183+AT240*AT183+AU240*AU183+AV240*AV183+AW240*AW183+AX240*AX183+AY240*AY183+AZ240*AZ183+BA240*BA183+BB240*BB183+BC240*BC183+BD240*BD183+BE240*BE183+BF240*BF183+BG240*BG183+BH240*BH183+BI240*BI183+BJ240*BJ183+BK240*BK183+BL240*BL183+BM240*BM183+BN240*BN183+BO240*BO183+BP240*BP183+BQ240*BQ183+BR240*BR183+BS240*BS183+BT240*BT183+BU240*BU183+BV240*BV183+BW240*BW183+BX240*BX183+BY240*BY183+BZ240*BZ183+CA240*CA183+CB240*CB183+CC240*CC183+CD240*CD183+CE240*CE183+CF240*CF183+CG240*CG183+CH240*CH183+CI240*CI183+CJ240*CJ183+CK240*CK183</f>
        <v>0</v>
      </c>
      <c r="CS183" s="2297">
        <f>E241*E183+F241*F183+G241*G183+H241*H183+I241*I183+J241*J183+K241*K183+L241*L183+M241*M183+N241*N183+O241*O183+P241*P183+Q241*Q183+R241*R183+S241*S183+T241*T183+U241*U183+V241*V183+W241*W183+X241*X183+Y241*Y183+Z241*Z183+AA241*AA183+AB241*AB183+AC241*AC183+AD241*AD183+AE241*AE183+AF241*AF183+AG241*AG183+AH241*AH183+AI241*AI183+AJ241*AJ183+AK241*AK183+AL241*AL183+AM241*AM183+AN241*AN183+AO241*AO183+AP241*AP183+AQ241*AQ183+AR241*AR183+AS241*AS183+AT241*AT183+AU241*AU183+AV241*AV183+AW241*AW183+AX241*AX183+AY241*AY183+AZ241*AZ183+BA241*BA183+BB241*BB183+BC241*BC183+BD241*BD183+BE241*BE183+BF241*BF183+BG241*BG183+BH241*BH183+BI241*BI183+BJ241*BJ183+BK241*BK183+BL241*BL183+BM241*BM183+BN241*BN183+BO241*BO183+BP241*BP183+BQ241*BQ183+BR241*BR183+BS241*BS183+BT241*BT183+BU241*BU183+BV241*BV183+BW241*BW183+BX241*BX183+BY241*BY183+BZ241*BZ183+CA241*CA183+CB241*CB183+CC241*CC183+CD241*CD183+CE241*CE183+CF241*CF183+CG241*CG183+CH241*CH183+CI241*CI183+CJ241*CJ183+CK241*CK183</f>
        <v>0</v>
      </c>
      <c r="CT183" s="2297">
        <f>E242*E183+F242*F183+G242*G183+H242*H183+I242*I183+J242*J183+K242*K183+L242*L183+M242*M183+N242*N183+O242*O183+P242*P183+Q242*Q183+R242*R183+S242*S183+T242*T183+U242*U183+V242*V183+W242*W183+X242*X183+Y242*Y183+Z242*Z183+AA242*AA183+AB242*AB183+AC242*AC183+AD242*AD183+AE242*AE183+AF242*AF183+AG242*AG183+AH242*AH183+AI242*AI183+AJ242*AJ183+AK242*AK183+AL242*AL183+AM242*AM183+AN242*AN183+AO242*AO183+AP242*AP183+AQ242*AQ183+AR242*AR183+AS242*AS183+AT242*AT183+AU242*AU183+AV242*AV183+AW242*AW183+AX242*AX183+AY242*AY183+AZ242*AZ183+BA242*BA183+BB242*BB183+BC242*BC183+BD242*BD183+BE242*BE183+BF242*BF183+BG242*BG183+BH242*BH183+BI242*BI183+BJ242*BJ183+BK242*BK183+BL242*BL183+BM242*BM183+BN242*BN183+BO242*BO183+BP242*BP183+BQ242*BQ183+BR242*BR183+BS242*BS183+BT242*BT183+BU242*BU183+BV242*BV183+BW242*BW183+BX242*BX183+BY242*BY183+BZ242*BZ183+CA242*CA183+CB242*CB183+CC242*CC183+CD242*CD183+CE242*CE183+CF242*CF183+CG242*CG183+CH242*CH183+CI242*CI183+CJ242*CJ183+CK242*CK183</f>
        <v>0</v>
      </c>
      <c r="CU183" s="2297">
        <f>E243*E183+F243*F183+G243*G183+H243*H183+I243*I183+J243*J183+K243*K183+L243*L183+M243*M183+N243*N183+O243*O183+P243*P183+Q243*Q183+R243*R183+S243*S183+T243*T183+U243*U183+V243*V183+W243*W183+X243*X183+Y243*Y183+Z243*Z183+AA243*AA183+AB243*AB183+AC243*AC183+AD243*AD183+AE243*AE183+AF243*AF183+AG243*AG183+AH243*AH183+AI243*AI183+AJ243*AJ183+AK243*AK183+AL243*AL183+AM243*AM183+AN243*AN183+AO243*AO183+AP243*AP183+AQ243*AQ183+AR243*AR183+AS243*AS183+AT243*AT183+AU243*AU183+AV243*AV183+AW243*AW183+AX243*AX183+AY243*AY183+AZ243*AZ183+BA243*BA183+BB243*BB183+BC243*BC183+BD243*BD183+BE243*BE183+BF243*BF183+BG243*BG183+BH243*BH183+BI243*BI183+BJ243*BJ183+BK243*BK183+BL243*BL183+BM243*BM183+BN243*BN183+BO243*BO183+BP243*BP183+BQ243*BQ183+BR243*BR183+BS243*BS183+BT243*BT183+BU243*BU183+BV243*BV183+BW243*BW183+BX243*BX183+BY243*BY183+BZ243*BZ183+CA243*CA183+CB243*CB183+CC243*CC183+CD243*CD183+CE243*CE183+CF243*CF183+CG243*CG183+CH243*CH183+CI243*CI183+CJ243*CJ183+CK243*CK183</f>
        <v>0</v>
      </c>
      <c r="CV183" s="2297">
        <f>E244*E183+F244*F183+G244*G183+H244*H183+I244*I183+J244*J183+K244*K183+L244*L183+M244*M183+N244*N183+O244*O183+P244*P183+Q244*Q183+R244*R183+S244*S183+T244*T183+U244*U183+V244*V183+W244*W183+X244*X183+Y244*Y183+Z244*Z183+AA244*AA183+AB244*AB183+AC244*AC183+AD244*AD183+AE244*AE183+AF244*AF183+AG244*AG183+AH244*AH183+AI244*AI183+AJ244*AJ183+AK244*AK183+AL244*AL183+AM244*AM183+AN244*AN183+AO244*AO183+AP244*AP183+AQ244*AQ183+AR244*AR183+AS244*AS183+AT244*AT183+AU244*AU183+AV244*AV183+AW244*AW183+AX244*AX183+AY244*AY183+AZ244*AZ183+BA244*BA183+BB244*BB183+BC244*BC183+BD244*BD183+BE244*BE183+BF244*BF183+BG244*BG183+BH244*BH183+BI244*BI183+BJ244*BJ183+BK244*BK183+BL244*BL183+BM244*BM183+BN244*BN183+BO244*BO183+BP244*BP183+BQ244*BQ183+BR244*BR183+BS244*BS183+BT244*BT183+BU244*BU183+BV244*BV183+BW244*BW183+BX244*BX183+BY244*BY183+BZ244*BZ183+CA244*CA183+CB244*CB183+CC244*CC183+CD244*CD183+CE244*CE183+CF244*CF183+CG244*CG183+CH244*CH183+CI244*CI183+CJ244*CJ183+CK244*CK183</f>
        <v>0</v>
      </c>
      <c r="CW183" s="2297">
        <f>E245*E183+F245*F183+G245*G183+H245*H183+I245*I183+J245*J183+K245*K183+L245*L183+M245*M183+N245*N183+O245*O183+P245*P183+Q245*Q183+R245*R183+S245*S183+T245*T183+U245*U183+V245*V183+W245*W183+X245*X183+Y245*Y183+Z245*Z183+AA245*AA183+AB245*AB183+AC245*AC183+AD245*AD183+AE245*AE183+AF245*AF183+AG245*AG183+AH245*AH183+AI245*AI183+AJ245*AJ183+AK245*AK183+AL245*AL183+AM245*AM183+AN245*AN183+AO245*AO183+AP245*AP183+AQ245*AQ183+AR245*AR183+AS245*AS183+AT245*AT183+AU245*AU183+AV245*AV183+AW245*AW183+AX245*AX183+AY245*AY183+AZ245*AZ183+BA245*BA183+BB245*BB183+BC245*BC183+BD245*BD183+BE245*BE183+BF245*BF183+BG245*BG183+BH245*BH183+BI245*BI183+BJ245*BJ183+BK245*BK183+BL245*BL183+BM245*BM183+BN245*BN183+BO245*BO183+BP245*BP183+BQ245*BQ183+BR245*BR183+BS245*BS183+BT245*BT183+BU245*BU183+BV245*BV183+BW245*BW183+BX245*BX183+BY245*BY183+BZ245*BZ183+CA245*CA183+CB245*CB183+CC245*CC183+CD245*CD183+CE245*CE183+CF245*CF183+CG245*CG183+CH245*CH183+CI245*CI183+CJ245*CJ183+CK245*CK183</f>
        <v>0</v>
      </c>
      <c r="CX183" s="2297">
        <f>E246*E183+F246*F183+G246*G183+H246*H183+I246*I183+J246*J183+K246*K183+L246*L183+M246*M183+N246*N183+O246*O183+P246*P183+Q246*Q183+R246*R183+S246*S183+T246*T183+U246*U183+V246*V183+W246*W183+X246*X183+Y246*Y183+Z246*Z183+AA246*AA183+AB246*AB183+AC246*AC183+AD246*AD183+AE246*AE183+AF246*AF183+AG246*AG183+AH246*AH183+AI246*AI183+AJ246*AJ183+AK246*AK183+AL246*AL183+AM246*AM183+AN246*AN183+AO246*AO183+AP246*AP183+AQ246*AQ183+AR246*AR183+AS246*AS183+AT246*AT183+AU246*AU183+AV246*AV183+AW246*AW183+AX246*AX183+AY246*AY183+AZ246*AZ183+BA246*BA183+BB246*BB183+BC246*BC183+BD246*BD183+BE246*BE183+BF246*BF183+BG246*BG183+BH246*BH183+BI246*BI183+BJ246*BJ183+BK246*BK183+BL246*BL183+BM246*BM183+BN246*BN183+BO246*BO183+BP246*BP183+BQ246*BQ183+BR246*BR183+BS246*BS183+BT246*BT183+BU246*BU183+BV246*BV183+BW246*BW183+BX246*BX183+BY246*BY183+BZ246*BZ183+CA246*CA183+CB246*CB183+CC246*CC183+CD246*CD183+CE246*CE183+CF246*CF183+CG246*CG183+CH246*CH183+CI246*CI183+CJ246*CJ183+CK246*CK183</f>
        <v>0</v>
      </c>
    </row>
    <row r="184" spans="2:102" ht="18" x14ac:dyDescent="0.25">
      <c r="B184" s="1251">
        <v>57</v>
      </c>
      <c r="C184" s="1198" t="s">
        <v>2122</v>
      </c>
      <c r="D184" s="616" t="s">
        <v>1678</v>
      </c>
      <c r="E184" s="2670">
        <f>0</f>
        <v>0</v>
      </c>
      <c r="F184" s="2670">
        <f>0</f>
        <v>0</v>
      </c>
      <c r="G184" s="2670">
        <f>0</f>
        <v>0</v>
      </c>
      <c r="H184" s="2670">
        <f>0</f>
        <v>0</v>
      </c>
      <c r="I184" s="2670">
        <f>0</f>
        <v>0</v>
      </c>
      <c r="J184" s="2693">
        <f>0</f>
        <v>0</v>
      </c>
      <c r="K184" s="2670">
        <f>0</f>
        <v>0</v>
      </c>
      <c r="L184" s="2670">
        <f>-1</f>
        <v>-1</v>
      </c>
      <c r="M184" s="2670">
        <f>1</f>
        <v>1</v>
      </c>
      <c r="N184" s="2670">
        <f>0</f>
        <v>0</v>
      </c>
      <c r="O184" s="2670">
        <f>0</f>
        <v>0</v>
      </c>
      <c r="P184" s="2670">
        <f>0</f>
        <v>0</v>
      </c>
      <c r="Q184" s="2670">
        <f>0</f>
        <v>0</v>
      </c>
      <c r="R184" s="2670">
        <f>0</f>
        <v>0</v>
      </c>
      <c r="S184" s="2670">
        <f>0</f>
        <v>0</v>
      </c>
      <c r="T184" s="2670">
        <f>0</f>
        <v>0</v>
      </c>
      <c r="U184" s="2670">
        <f>0</f>
        <v>0</v>
      </c>
      <c r="V184" s="2670">
        <f>0</f>
        <v>0</v>
      </c>
      <c r="W184" s="2670">
        <f>0</f>
        <v>0</v>
      </c>
      <c r="X184" s="2670">
        <f>0</f>
        <v>0</v>
      </c>
      <c r="Y184" s="2670">
        <f>0</f>
        <v>0</v>
      </c>
      <c r="Z184" s="2671">
        <f>0</f>
        <v>0</v>
      </c>
      <c r="AA184" s="2670">
        <f>0</f>
        <v>0</v>
      </c>
      <c r="AB184" s="2670">
        <f>0</f>
        <v>0</v>
      </c>
      <c r="AC184" s="2670">
        <f>0</f>
        <v>0</v>
      </c>
      <c r="AD184" s="2670">
        <f>0</f>
        <v>0</v>
      </c>
      <c r="AE184" s="2670">
        <f>0</f>
        <v>0</v>
      </c>
      <c r="AF184" s="2670">
        <f>0</f>
        <v>0</v>
      </c>
      <c r="AG184" s="2693">
        <f>0</f>
        <v>0</v>
      </c>
      <c r="AH184" s="2670">
        <f>i_N_CU</f>
        <v>0.01</v>
      </c>
      <c r="AI184" s="2670">
        <f>0</f>
        <v>0</v>
      </c>
      <c r="AJ184" s="2670">
        <f>0</f>
        <v>0</v>
      </c>
      <c r="AK184" s="2670">
        <f>0</f>
        <v>0</v>
      </c>
      <c r="AL184" s="2670">
        <f>0</f>
        <v>0</v>
      </c>
      <c r="AM184" s="2693">
        <f>0</f>
        <v>0</v>
      </c>
      <c r="AN184" s="2670">
        <f>i_P_CU</f>
        <v>2E-3</v>
      </c>
      <c r="AO184" s="2670">
        <f>0</f>
        <v>0</v>
      </c>
      <c r="AP184" s="2670">
        <f>0</f>
        <v>0</v>
      </c>
      <c r="AQ184" s="2670">
        <f>0</f>
        <v>0</v>
      </c>
      <c r="AR184" s="2670">
        <f>0</f>
        <v>0</v>
      </c>
      <c r="AS184" s="2670">
        <f>0</f>
        <v>0</v>
      </c>
      <c r="AT184" s="2670">
        <f>0</f>
        <v>0</v>
      </c>
      <c r="AU184" s="2670">
        <f>0</f>
        <v>0</v>
      </c>
      <c r="AV184" s="2670">
        <f>0</f>
        <v>0</v>
      </c>
      <c r="AW184" s="2670">
        <f>0</f>
        <v>0</v>
      </c>
      <c r="AX184" s="2670">
        <f>0</f>
        <v>0</v>
      </c>
      <c r="AY184" s="2670">
        <f>0</f>
        <v>0</v>
      </c>
      <c r="AZ184" s="2670">
        <f>0</f>
        <v>0</v>
      </c>
      <c r="BA184" s="2670">
        <f>0</f>
        <v>0</v>
      </c>
      <c r="BB184" s="2670">
        <f>0</f>
        <v>0</v>
      </c>
      <c r="BC184" s="2670">
        <f>0</f>
        <v>0</v>
      </c>
      <c r="BD184" s="2670">
        <f>0</f>
        <v>0</v>
      </c>
      <c r="BE184" s="2670">
        <f>0</f>
        <v>0</v>
      </c>
      <c r="BF184" s="2670">
        <f>0</f>
        <v>0</v>
      </c>
      <c r="BG184" s="2670">
        <f>0</f>
        <v>0</v>
      </c>
      <c r="BH184" s="2670">
        <f>0</f>
        <v>0</v>
      </c>
      <c r="BI184" s="2670">
        <f>0</f>
        <v>0</v>
      </c>
      <c r="BJ184" s="2670">
        <f>0</f>
        <v>0</v>
      </c>
      <c r="BK184" s="2670">
        <f>0</f>
        <v>0</v>
      </c>
      <c r="BL184" s="2670">
        <f>0</f>
        <v>0</v>
      </c>
      <c r="BM184" s="2670">
        <f>0</f>
        <v>0</v>
      </c>
      <c r="BN184" s="2670">
        <f>0</f>
        <v>0</v>
      </c>
      <c r="BO184" s="2670">
        <f>0</f>
        <v>0</v>
      </c>
      <c r="BP184" s="2676">
        <f>0</f>
        <v>0</v>
      </c>
      <c r="BQ184" s="2670">
        <f>0</f>
        <v>0</v>
      </c>
      <c r="BR184" s="2670">
        <f>0</f>
        <v>0</v>
      </c>
      <c r="BS184" s="2671">
        <f>0</f>
        <v>0</v>
      </c>
      <c r="BT184" s="2671">
        <f>0</f>
        <v>0</v>
      </c>
      <c r="BU184" s="2671">
        <f>0</f>
        <v>0</v>
      </c>
      <c r="BV184" s="2671">
        <f>0</f>
        <v>0</v>
      </c>
      <c r="BW184" s="2670">
        <f>0</f>
        <v>0</v>
      </c>
      <c r="BX184" s="2783">
        <f>0</f>
        <v>0</v>
      </c>
      <c r="BY184" s="2671">
        <f>0</f>
        <v>0</v>
      </c>
      <c r="BZ184" s="2670">
        <f>0</f>
        <v>0</v>
      </c>
      <c r="CA184" s="2670">
        <f>0</f>
        <v>0</v>
      </c>
      <c r="CB184" s="2670">
        <f>0</f>
        <v>0</v>
      </c>
      <c r="CC184" s="2670">
        <f>0</f>
        <v>0</v>
      </c>
      <c r="CD184" s="2670">
        <f>0</f>
        <v>0</v>
      </c>
      <c r="CE184" s="2670">
        <f>0</f>
        <v>0</v>
      </c>
      <c r="CF184" s="2670">
        <f>0</f>
        <v>0</v>
      </c>
      <c r="CG184" s="2670">
        <f>0</f>
        <v>0</v>
      </c>
      <c r="CH184" s="2670">
        <f>0</f>
        <v>0</v>
      </c>
      <c r="CI184" s="2670">
        <f>0</f>
        <v>0</v>
      </c>
      <c r="CJ184" s="2670">
        <f>0</f>
        <v>0</v>
      </c>
      <c r="CK184" s="2670">
        <f>0</f>
        <v>0</v>
      </c>
      <c r="CL184" s="2810">
        <f>q_FLOC_T*X_BIO*M_satCU_KCU_FLOC+q_FLOC_HFO_T*X_HFO*M_satCU_KCU_FLOC_HFO*B_ellinhpH_FLOC_HFO+q_FLOC_HAO_T*X_HAO*M_satCU_KCU_FLOC_HAO*B_ellinhpH_FLOC_HAO</f>
        <v>5.4228491657492466</v>
      </c>
      <c r="CN184" s="2295">
        <f>E236*E184+F236*F184+G236*G184+H236*H184+I236*I184+J236*J184+K236*K184+L236*L184+M236*M184+N236*N184+O236*O184+P236*P184+Q236*Q184+R236*R184+S236*S184+T236*T184+U236*U184+V236*V184+W236*W184+X236*X184+Y236*Y184+Z236*Z184+AA236*AA184+AB236*AB184+AC236*AC184+AD236*AD184+AE236*AE184+AF236*AF184+AG236*AG184+AH236*AH184+AI236*AI184+AJ236*AJ184+AK236*AK184+AL236*AL184+AM236*AM184+AN236*AN184+AO236*AO184+AP236*AP184+AQ236*AQ184+AR236*AR184+AS236*AS184+AT236*AT184+AU236*AU184+AV236*AV184+AW236*AW184+AX236*AX184+AY236*AY184+AZ236*AZ184+BA236*BA184+BB236*BB184+BC236*BC184+BD236*BD184+BE236*BE184+BF236*BF184+BG236*BG184+BH236*BH184+BI236*BI184+BJ236*BJ184+BK236*BK184+BL236*BL184+BM236*BM184+BN236*BN184+BO236*BO184+BP236*BP184+BQ236*BQ184+BR236*BR184+BS236*BS184+BT236*BT184+BU236*BU184+BV236*BV184+BW236*BW184+BX236*BX184+BY236*BY184+BZ236*BZ184+CA236*CA184+CB236*CB184+CC236*CC184+CD236*CD184+CE236*CE184+CF236*CF184+CG236*CG184+CH236*CH184+CI236*CI184+CJ236*CJ184+CK236*CK184</f>
        <v>0</v>
      </c>
      <c r="CO184" s="2295">
        <f>E237*E184+F237*F184+G237*G184+H237*H184+I237*I184+J237*J184+K237*K184+L237*L184+M237*M184+N237*N184+O237*O184+P237*P184+Q237*Q184+R237*R184+S237*S184+T237*T184+U237*U184+V237*V184+W237*W184+X237*X184+Y237*Y184+Z237*Z184+AA237*AA184+AB237*AB184+AC237*AC184+AD237*AD184+AE237*AE184+AF237*AF184+AG237*AG184+AH237*AH184+AI237*AI184+AJ237*AJ184+AK237*AK184+AL237*AL184+AM237*AM184+AN237*AN184+AO237*AO184+AP237*AP184+AQ237*AQ184+AR237*AR184+AS237*AS184+AT237*AT184+AU237*AU184+AV237*AV184+AW237*AW184+AX237*AX184+AY237*AY184+AZ237*AZ184+BA237*BA184+BB237*BB184+BC237*BC184+BD237*BD184+BE237*BE184+BF237*BF184+BG237*BG184+BH237*BH184+BI237*BI184+BJ237*BJ184+BK237*BK184+BL237*BL184+BM237*BM184+BN237*BN184+BO237*BO184+BP237*BP184+BQ237*BQ184+BR237*BR184+BS237*BS184+BT237*BT184+BU237*BU184+BV237*BV184+BW237*BW184+BX237*BX184+BY237*BY184+BZ237*BZ184+CA237*CA184+CB237*CB184+CC237*CC184+CD237*CD184+CE237*CE184+CF237*CF184+CG237*CG184+CH237*CH184+CI237*CI184+CJ237*CJ184+CK237*CK184</f>
        <v>0</v>
      </c>
      <c r="CP184" s="2296">
        <f>E238*E184+F238*F184+G238*G184+H238*H184+I238*I184+J238*J184+K238*K184+L238*L184+M238*M184+N238*N184+O238*O184+P238*P184+Q238*Q184+R238*R184+S238*S184+T238*T184+U238*U184+V238*V184+W238*W184+X238*X184+Y238*Y184+Z238*Z184+AA238*AA184+AB238*AB184+AC238*AC184+AD238*AD184+AE238*AE184+AF238*AF184+AG238*AG184+AH238*AH184+AI238*AI184+AJ238*AJ184+AK238*AK184+AL238*AL184+AM238*AM184+AN238*AN184+AO238*AO184+AP238*AP184+AQ238*AQ184+AR238*AR184+AS238*AS184+AT238*AT184+AU238*AU184+AV238*AV184+AW238*AW184+AX238*AX184+AY238*AY184+AZ238*AZ184+BA238*BA184+BB238*BB184+BC238*BC184+BD238*BD184+BE238*BE184+BF238*BF184+BG238*BG184+BH238*BH184+BI238*BI184+BJ238*BJ184+BK238*BK184+BL238*BL184+BM238*BM184+BN238*BN184+BO238*BO184+BP238*BP184+BQ238*BQ184+BR238*BR184+BS238*BS184+BT238*BT184+BU238*BU184+BV238*BV184+BW238*BW184+BX238*BX184+BY238*BY184+BZ238*BZ184+CA238*CA184+CB238*CB184+CC238*CC184+CD238*CD184+CE238*CE184+CF238*CF184+CG238*CG184+CH238*CH184+CI238*CI184+CJ238*CJ184+CK238*CK184</f>
        <v>0</v>
      </c>
      <c r="CQ184" s="2297">
        <f>E239*E184+F239*F184+G239*G184+H239*H184+I239*I184+J239*J184+K239*K184+L239*L184+M239*M184+N239*N184+O239*O184+P239*P184+Q239*Q184+R239*R184+S239*S184+T239*T184+U239*U184+V239*V184+W239*W184+X239*X184+Y239*Y184+Z239*Z184+AA239*AA184+AB239*AB184+AC239*AC184+AD239*AD184+AE239*AE184+AF239*AF184+AG239*AG184+AH239*AH184+AI239*AI184+AJ239*AJ184+AK239*AK184+AL239*AL184+AM239*AM184+AN239*AN184+AO239*AO184+AP239*AP184+AQ239*AQ184+AR239*AR184+AS239*AS184+AT239*AT184+AU239*AU184+AV239*AV184+AW239*AW184+AX239*AX184+AY239*AY184+AZ239*AZ184+BA239*BA184+BB239*BB184+BC239*BC184+BD239*BD184+BE239*BE184+BF239*BF184+BG239*BG184+BH239*BH184+BI239*BI184+BJ239*BJ184+BK239*BK184+BL239*BL184+BM239*BM184+BN239*BN184+BO239*BO184+BP239*BP184+BQ239*BQ184+BR239*BR184+BS239*BS184+BT239*BT184+BU239*BU184+BV239*BV184+BW239*BW184+BX239*BX184+BY239*BY184+BZ239*BZ184+CA239*CA184+CB239*CB184+CC239*CC184+CD239*CD184+CE239*CE184+CF239*CF184+CG239*CG184+CH239*CH184+CI239*CI184+CJ239*CJ184+CK239*CK184</f>
        <v>0</v>
      </c>
      <c r="CR184" s="2297">
        <f>E240*E184+F240*F184+G240*G184+H240*H184+I240*I184+J240*J184+K240*K184+L240*L184+M240*M184+N240*N184+O240*O184+P240*P184+Q240*Q184+R240*R184+S240*S184+T240*T184+U240*U184+V240*V184+W240*W184+X240*X184+Y240*Y184+Z240*Z184+AA240*AA184+AB240*AB184+AC240*AC184+AD240*AD184+AE240*AE184+AF240*AF184+AG240*AG184+AH240*AH184+AI240*AI184+AJ240*AJ184+AK240*AK184+AL240*AL184+AM240*AM184+AN240*AN184+AO240*AO184+AP240*AP184+AQ240*AQ184+AR240*AR184+AS240*AS184+AT240*AT184+AU240*AU184+AV240*AV184+AW240*AW184+AX240*AX184+AY240*AY184+AZ240*AZ184+BA240*BA184+BB240*BB184+BC240*BC184+BD240*BD184+BE240*BE184+BF240*BF184+BG240*BG184+BH240*BH184+BI240*BI184+BJ240*BJ184+BK240*BK184+BL240*BL184+BM240*BM184+BN240*BN184+BO240*BO184+BP240*BP184+BQ240*BQ184+BR240*BR184+BS240*BS184+BT240*BT184+BU240*BU184+BV240*BV184+BW240*BW184+BX240*BX184+BY240*BY184+BZ240*BZ184+CA240*CA184+CB240*CB184+CC240*CC184+CD240*CD184+CE240*CE184+CF240*CF184+CG240*CG184+CH240*CH184+CI240*CI184+CJ240*CJ184+CK240*CK184</f>
        <v>0</v>
      </c>
      <c r="CS184" s="2297">
        <f>E241*E184+F241*F184+G241*G184+H241*H184+I241*I184+J241*J184+K241*K184+L241*L184+M241*M184+N241*N184+O241*O184+P241*P184+Q241*Q184+R241*R184+S241*S184+T241*T184+U241*U184+V241*V184+W241*W184+X241*X184+Y241*Y184+Z241*Z184+AA241*AA184+AB241*AB184+AC241*AC184+AD241*AD184+AE241*AE184+AF241*AF184+AG241*AG184+AH241*AH184+AI241*AI184+AJ241*AJ184+AK241*AK184+AL241*AL184+AM241*AM184+AN241*AN184+AO241*AO184+AP241*AP184+AQ241*AQ184+AR241*AR184+AS241*AS184+AT241*AT184+AU241*AU184+AV241*AV184+AW241*AW184+AX241*AX184+AY241*AY184+AZ241*AZ184+BA241*BA184+BB241*BB184+BC241*BC184+BD241*BD184+BE241*BE184+BF241*BF184+BG241*BG184+BH241*BH184+BI241*BI184+BJ241*BJ184+BK241*BK184+BL241*BL184+BM241*BM184+BN241*BN184+BO241*BO184+BP241*BP184+BQ241*BQ184+BR241*BR184+BS241*BS184+BT241*BT184+BU241*BU184+BV241*BV184+BW241*BW184+BX241*BX184+BY241*BY184+BZ241*BZ184+CA241*CA184+CB241*CB184+CC241*CC184+CD241*CD184+CE241*CE184+CF241*CF184+CG241*CG184+CH241*CH184+CI241*CI184+CJ241*CJ184+CK241*CK184</f>
        <v>0</v>
      </c>
      <c r="CT184" s="2297">
        <f>E242*E184+F242*F184+G242*G184+H242*H184+I242*I184+J242*J184+K242*K184+L242*L184+M242*M184+N242*N184+O242*O184+P242*P184+Q242*Q184+R242*R184+S242*S184+T242*T184+U242*U184+V242*V184+W242*W184+X242*X184+Y242*Y184+Z242*Z184+AA242*AA184+AB242*AB184+AC242*AC184+AD242*AD184+AE242*AE184+AF242*AF184+AG242*AG184+AH242*AH184+AI242*AI184+AJ242*AJ184+AK242*AK184+AL242*AL184+AM242*AM184+AN242*AN184+AO242*AO184+AP242*AP184+AQ242*AQ184+AR242*AR184+AS242*AS184+AT242*AT184+AU242*AU184+AV242*AV184+AW242*AW184+AX242*AX184+AY242*AY184+AZ242*AZ184+BA242*BA184+BB242*BB184+BC242*BC184+BD242*BD184+BE242*BE184+BF242*BF184+BG242*BG184+BH242*BH184+BI242*BI184+BJ242*BJ184+BK242*BK184+BL242*BL184+BM242*BM184+BN242*BN184+BO242*BO184+BP242*BP184+BQ242*BQ184+BR242*BR184+BS242*BS184+BT242*BT184+BU242*BU184+BV242*BV184+BW242*BW184+BX242*BX184+BY242*BY184+BZ242*BZ184+CA242*CA184+CB242*CB184+CC242*CC184+CD242*CD184+CE242*CE184+CF242*CF184+CG242*CG184+CH242*CH184+CI242*CI184+CJ242*CJ184+CK242*CK184</f>
        <v>0</v>
      </c>
      <c r="CU184" s="2297">
        <f>E243*E184+F243*F184+G243*G184+H243*H184+I243*I184+J243*J184+K243*K184+L243*L184+M243*M184+N243*N184+O243*O184+P243*P184+Q243*Q184+R243*R184+S243*S184+T243*T184+U243*U184+V243*V184+W243*W184+X243*X184+Y243*Y184+Z243*Z184+AA243*AA184+AB243*AB184+AC243*AC184+AD243*AD184+AE243*AE184+AF243*AF184+AG243*AG184+AH243*AH184+AI243*AI184+AJ243*AJ184+AK243*AK184+AL243*AL184+AM243*AM184+AN243*AN184+AO243*AO184+AP243*AP184+AQ243*AQ184+AR243*AR184+AS243*AS184+AT243*AT184+AU243*AU184+AV243*AV184+AW243*AW184+AX243*AX184+AY243*AY184+AZ243*AZ184+BA243*BA184+BB243*BB184+BC243*BC184+BD243*BD184+BE243*BE184+BF243*BF184+BG243*BG184+BH243*BH184+BI243*BI184+BJ243*BJ184+BK243*BK184+BL243*BL184+BM243*BM184+BN243*BN184+BO243*BO184+BP243*BP184+BQ243*BQ184+BR243*BR184+BS243*BS184+BT243*BT184+BU243*BU184+BV243*BV184+BW243*BW184+BX243*BX184+BY243*BY184+BZ243*BZ184+CA243*CA184+CB243*CB184+CC243*CC184+CD243*CD184+CE243*CE184+CF243*CF184+CG243*CG184+CH243*CH184+CI243*CI184+CJ243*CJ184+CK243*CK184</f>
        <v>0</v>
      </c>
      <c r="CV184" s="2297">
        <f>E244*E184+F244*F184+G244*G184+H244*H184+I244*I184+J244*J184+K244*K184+L244*L184+M244*M184+N244*N184+O244*O184+P244*P184+Q244*Q184+R244*R184+S244*S184+T244*T184+U244*U184+V244*V184+W244*W184+X244*X184+Y244*Y184+Z244*Z184+AA244*AA184+AB244*AB184+AC244*AC184+AD244*AD184+AE244*AE184+AF244*AF184+AG244*AG184+AH244*AH184+AI244*AI184+AJ244*AJ184+AK244*AK184+AL244*AL184+AM244*AM184+AN244*AN184+AO244*AO184+AP244*AP184+AQ244*AQ184+AR244*AR184+AS244*AS184+AT244*AT184+AU244*AU184+AV244*AV184+AW244*AW184+AX244*AX184+AY244*AY184+AZ244*AZ184+BA244*BA184+BB244*BB184+BC244*BC184+BD244*BD184+BE244*BE184+BF244*BF184+BG244*BG184+BH244*BH184+BI244*BI184+BJ244*BJ184+BK244*BK184+BL244*BL184+BM244*BM184+BN244*BN184+BO244*BO184+BP244*BP184+BQ244*BQ184+BR244*BR184+BS244*BS184+BT244*BT184+BU244*BU184+BV244*BV184+BW244*BW184+BX244*BX184+BY244*BY184+BZ244*BZ184+CA244*CA184+CB244*CB184+CC244*CC184+CD244*CD184+CE244*CE184+CF244*CF184+CG244*CG184+CH244*CH184+CI244*CI184+CJ244*CJ184+CK244*CK184</f>
        <v>0</v>
      </c>
      <c r="CW184" s="2297">
        <f>E245*E184+F245*F184+G245*G184+H245*H184+I245*I184+J245*J184+K245*K184+L245*L184+M245*M184+N245*N184+O245*O184+P245*P184+Q245*Q184+R245*R184+S245*S184+T245*T184+U245*U184+V245*V184+W245*W184+X245*X184+Y245*Y184+Z245*Z184+AA245*AA184+AB245*AB184+AC245*AC184+AD245*AD184+AE245*AE184+AF245*AF184+AG245*AG184+AH245*AH184+AI245*AI184+AJ245*AJ184+AK245*AK184+AL245*AL184+AM245*AM184+AN245*AN184+AO245*AO184+AP245*AP184+AQ245*AQ184+AR245*AR184+AS245*AS184+AT245*AT184+AU245*AU184+AV245*AV184+AW245*AW184+AX245*AX184+AY245*AY184+AZ245*AZ184+BA245*BA184+BB245*BB184+BC245*BC184+BD245*BD184+BE245*BE184+BF245*BF184+BG245*BG184+BH245*BH184+BI245*BI184+BJ245*BJ184+BK245*BK184+BL245*BL184+BM245*BM184+BN245*BN184+BO245*BO184+BP245*BP184+BQ245*BQ184+BR245*BR184+BS245*BS184+BT245*BT184+BU245*BU184+BV245*BV184+BW245*BW184+BX245*BX184+BY245*BY184+BZ245*BZ184+CA245*CA184+CB245*CB184+CC245*CC184+CD245*CD184+CE245*CE184+CF245*CF184+CG245*CG184+CH245*CH184+CI245*CI184+CJ245*CJ184+CK245*CK184</f>
        <v>0</v>
      </c>
      <c r="CX184" s="2297">
        <f>E246*E184+F246*F184+G246*G184+H246*H184+I246*I184+J246*J184+K246*K184+L246*L184+M246*M184+N246*N184+O246*O184+P246*P184+Q246*Q184+R246*R184+S246*S184+T246*T184+U246*U184+V246*V184+W246*W184+X246*X184+Y246*Y184+Z246*Z184+AA246*AA184+AB246*AB184+AC246*AC184+AD246*AD184+AE246*AE184+AF246*AF184+AG246*AG184+AH246*AH184+AI246*AI184+AJ246*AJ184+AK246*AK184+AL246*AL184+AM246*AM184+AN246*AN184+AO246*AO184+AP246*AP184+AQ246*AQ184+AR246*AR184+AS246*AS184+AT246*AT184+AU246*AU184+AV246*AV184+AW246*AW184+AX246*AX184+AY246*AY184+AZ246*AZ184+BA246*BA184+BB246*BB184+BC246*BC184+BD246*BD184+BE246*BE184+BF246*BF184+BG246*BG184+BH246*BH184+BI246*BI184+BJ246*BJ184+BK246*BK184+BL246*BL184+BM246*BM184+BN246*BN184+BO246*BO184+BP246*BP184+BQ246*BQ184+BR246*BR184+BS246*BS184+BT246*BT184+BU246*BU184+BV246*BV184+BW246*BW184+BX246*BX184+BY246*BY184+BZ246*BZ184+CA246*CA184+CB246*CB184+CC246*CC184+CD246*CD184+CE246*CE184+CF246*CF184+CG246*CG184+CH246*CH184+CI246*CI184+CJ246*CJ184+CK246*CK184</f>
        <v>0</v>
      </c>
    </row>
    <row r="185" spans="2:102" ht="18" x14ac:dyDescent="0.25">
      <c r="B185" s="1251">
        <v>58</v>
      </c>
      <c r="C185" s="1199" t="s">
        <v>2155</v>
      </c>
      <c r="D185" s="687" t="s">
        <v>3328</v>
      </c>
      <c r="E185" s="2670">
        <f>0</f>
        <v>0</v>
      </c>
      <c r="F185" s="2670">
        <f>0</f>
        <v>0</v>
      </c>
      <c r="G185" s="2670">
        <f>0</f>
        <v>0</v>
      </c>
      <c r="H185" s="2670">
        <f>-1</f>
        <v>-1</v>
      </c>
      <c r="I185" s="2670">
        <f>1</f>
        <v>1</v>
      </c>
      <c r="J185" s="2693">
        <f>0</f>
        <v>0</v>
      </c>
      <c r="K185" s="2670">
        <f>0</f>
        <v>0</v>
      </c>
      <c r="L185" s="2670">
        <f>0</f>
        <v>0</v>
      </c>
      <c r="M185" s="2670">
        <f>0</f>
        <v>0</v>
      </c>
      <c r="N185" s="2670">
        <f>0</f>
        <v>0</v>
      </c>
      <c r="O185" s="2670">
        <f>0</f>
        <v>0</v>
      </c>
      <c r="P185" s="2670">
        <f>0</f>
        <v>0</v>
      </c>
      <c r="Q185" s="2670">
        <f>0</f>
        <v>0</v>
      </c>
      <c r="R185" s="2670">
        <f>0</f>
        <v>0</v>
      </c>
      <c r="S185" s="2670">
        <f>0</f>
        <v>0</v>
      </c>
      <c r="T185" s="2670">
        <f>0</f>
        <v>0</v>
      </c>
      <c r="U185" s="2670">
        <f>0</f>
        <v>0</v>
      </c>
      <c r="V185" s="2670">
        <f>0</f>
        <v>0</v>
      </c>
      <c r="W185" s="2670">
        <f>0</f>
        <v>0</v>
      </c>
      <c r="X185" s="2670">
        <f>0</f>
        <v>0</v>
      </c>
      <c r="Y185" s="2670">
        <f>0</f>
        <v>0</v>
      </c>
      <c r="Z185" s="2671">
        <f>0</f>
        <v>0</v>
      </c>
      <c r="AA185" s="2670">
        <f>0</f>
        <v>0</v>
      </c>
      <c r="AB185" s="2670">
        <f>0</f>
        <v>0</v>
      </c>
      <c r="AC185" s="2670">
        <f>0</f>
        <v>0</v>
      </c>
      <c r="AD185" s="2670">
        <f>0</f>
        <v>0</v>
      </c>
      <c r="AE185" s="2670">
        <f>0</f>
        <v>0</v>
      </c>
      <c r="AF185" s="2670">
        <f>i_N_CB</f>
        <v>0.01</v>
      </c>
      <c r="AG185" s="2693">
        <f>0</f>
        <v>0</v>
      </c>
      <c r="AH185" s="2670">
        <f>0</f>
        <v>0</v>
      </c>
      <c r="AI185" s="2670">
        <f>0</f>
        <v>0</v>
      </c>
      <c r="AJ185" s="2670">
        <f>0</f>
        <v>0</v>
      </c>
      <c r="AK185" s="2670">
        <f>0</f>
        <v>0</v>
      </c>
      <c r="AL185" s="2670">
        <f>i_P_CB</f>
        <v>2E-3</v>
      </c>
      <c r="AM185" s="2693">
        <f>0</f>
        <v>0</v>
      </c>
      <c r="AN185" s="2670">
        <f>0</f>
        <v>0</v>
      </c>
      <c r="AO185" s="2670">
        <f>0</f>
        <v>0</v>
      </c>
      <c r="AP185" s="2670">
        <f>0</f>
        <v>0</v>
      </c>
      <c r="AQ185" s="2670">
        <f>0</f>
        <v>0</v>
      </c>
      <c r="AR185" s="2670">
        <f>0</f>
        <v>0</v>
      </c>
      <c r="AS185" s="2670">
        <f>0</f>
        <v>0</v>
      </c>
      <c r="AT185" s="2670">
        <f>0</f>
        <v>0</v>
      </c>
      <c r="AU185" s="2670">
        <f>0</f>
        <v>0</v>
      </c>
      <c r="AV185" s="2670">
        <f>0</f>
        <v>0</v>
      </c>
      <c r="AW185" s="2670">
        <f>0</f>
        <v>0</v>
      </c>
      <c r="AX185" s="2670">
        <f>0</f>
        <v>0</v>
      </c>
      <c r="AY185" s="2670">
        <f>0</f>
        <v>0</v>
      </c>
      <c r="AZ185" s="2670">
        <f>0</f>
        <v>0</v>
      </c>
      <c r="BA185" s="2670">
        <f>0</f>
        <v>0</v>
      </c>
      <c r="BB185" s="2670">
        <f>0</f>
        <v>0</v>
      </c>
      <c r="BC185" s="2670">
        <f>0</f>
        <v>0</v>
      </c>
      <c r="BD185" s="2670">
        <f>0</f>
        <v>0</v>
      </c>
      <c r="BE185" s="2670">
        <f>0</f>
        <v>0</v>
      </c>
      <c r="BF185" s="2670">
        <f>0</f>
        <v>0</v>
      </c>
      <c r="BG185" s="2670">
        <f>0</f>
        <v>0</v>
      </c>
      <c r="BH185" s="2670">
        <f>0</f>
        <v>0</v>
      </c>
      <c r="BI185" s="2670">
        <f>0</f>
        <v>0</v>
      </c>
      <c r="BJ185" s="2670">
        <f>0</f>
        <v>0</v>
      </c>
      <c r="BK185" s="2670">
        <f>0</f>
        <v>0</v>
      </c>
      <c r="BL185" s="2670">
        <f>0</f>
        <v>0</v>
      </c>
      <c r="BM185" s="2670">
        <f>0</f>
        <v>0</v>
      </c>
      <c r="BN185" s="2670">
        <f>0</f>
        <v>0</v>
      </c>
      <c r="BO185" s="2670">
        <f>0</f>
        <v>0</v>
      </c>
      <c r="BP185" s="2676">
        <f>0</f>
        <v>0</v>
      </c>
      <c r="BQ185" s="2670">
        <f>0</f>
        <v>0</v>
      </c>
      <c r="BR185" s="2670">
        <f>0</f>
        <v>0</v>
      </c>
      <c r="BS185" s="2671">
        <f>0</f>
        <v>0</v>
      </c>
      <c r="BT185" s="2671">
        <f>0</f>
        <v>0</v>
      </c>
      <c r="BU185" s="2671">
        <f>0</f>
        <v>0</v>
      </c>
      <c r="BV185" s="2671">
        <f>0</f>
        <v>0</v>
      </c>
      <c r="BW185" s="2670">
        <f>0</f>
        <v>0</v>
      </c>
      <c r="BX185" s="2783">
        <f>0</f>
        <v>0</v>
      </c>
      <c r="BY185" s="2671">
        <f>0</f>
        <v>0</v>
      </c>
      <c r="BZ185" s="2670">
        <f>0</f>
        <v>0</v>
      </c>
      <c r="CA185" s="2670">
        <f>0</f>
        <v>0</v>
      </c>
      <c r="CB185" s="2670">
        <f>0</f>
        <v>0</v>
      </c>
      <c r="CC185" s="2670">
        <f>0</f>
        <v>0</v>
      </c>
      <c r="CD185" s="2670">
        <f>0</f>
        <v>0</v>
      </c>
      <c r="CE185" s="2670">
        <f>0</f>
        <v>0</v>
      </c>
      <c r="CF185" s="2670">
        <f>0</f>
        <v>0</v>
      </c>
      <c r="CG185" s="2670">
        <f>0</f>
        <v>0</v>
      </c>
      <c r="CH185" s="2670">
        <f>0</f>
        <v>0</v>
      </c>
      <c r="CI185" s="2670">
        <f>0</f>
        <v>0</v>
      </c>
      <c r="CJ185" s="2670">
        <f>0</f>
        <v>0</v>
      </c>
      <c r="CK185" s="2670">
        <f>0</f>
        <v>0</v>
      </c>
      <c r="CL185" s="2811">
        <f>r_ateFLOC_CB_polymer</f>
        <v>0</v>
      </c>
      <c r="CN185" s="2295">
        <f>E236*E185+F236*F185+G236*G185+H236*H185+I236*I185+J236*J185+K236*K185+L236*L185+M236*M185+N236*N185+O236*O185+P236*P185+Q236*Q185+R236*R185+S236*S185+T236*T185+U236*U185+V236*V185+W236*W185+X236*X185+Y236*Y185+Z236*Z185+AA236*AA185+AB236*AB185+AC236*AC185+AD236*AD185+AE236*AE185+AF236*AF185+AG236*AG185+AH236*AH185+AI236*AI185+AJ236*AJ185+AK236*AK185+AL236*AL185+AM236*AM185+AN236*AN185+AO236*AO185+AP236*AP185+AQ236*AQ185+AR236*AR185+AS236*AS185+AT236*AT185+AU236*AU185+AV236*AV185+AW236*AW185+AX236*AX185+AY236*AY185+AZ236*AZ185+BA236*BA185+BB236*BB185+BC236*BC185+BD236*BD185+BE236*BE185+BF236*BF185+BG236*BG185+BH236*BH185+BI236*BI185+BJ236*BJ185+BK236*BK185+BL236*BL185+BM236*BM185+BN236*BN185+BO236*BO185+BP236*BP185+BQ236*BQ185+BR236*BR185+BS236*BS185+BT236*BT185+BU236*BU185+BV236*BV185+BW236*BW185+BX236*BX185+BY236*BY185+BZ236*BZ185+CA236*CA185+CB236*CB185+CC236*CC185+CD236*CD185+CE236*CE185+CF236*CF185+CG236*CG185+CH236*CH185+CI236*CI185+CJ236*CJ185+CK236*CK185</f>
        <v>0</v>
      </c>
      <c r="CO185" s="2295">
        <f>E237*E185+F237*F185+G237*G185+H237*H185+I237*I185+J237*J185+K237*K185+L237*L185+M237*M185+N237*N185+O237*O185+P237*P185+Q237*Q185+R237*R185+S237*S185+T237*T185+U237*U185+V237*V185+W237*W185+X237*X185+Y237*Y185+Z237*Z185+AA237*AA185+AB237*AB185+AC237*AC185+AD237*AD185+AE237*AE185+AF237*AF185+AG237*AG185+AH237*AH185+AI237*AI185+AJ237*AJ185+AK237*AK185+AL237*AL185+AM237*AM185+AN237*AN185+AO237*AO185+AP237*AP185+AQ237*AQ185+AR237*AR185+AS237*AS185+AT237*AT185+AU237*AU185+AV237*AV185+AW237*AW185+AX237*AX185+AY237*AY185+AZ237*AZ185+BA237*BA185+BB237*BB185+BC237*BC185+BD237*BD185+BE237*BE185+BF237*BF185+BG237*BG185+BH237*BH185+BI237*BI185+BJ237*BJ185+BK237*BK185+BL237*BL185+BM237*BM185+BN237*BN185+BO237*BO185+BP237*BP185+BQ237*BQ185+BR237*BR185+BS237*BS185+BT237*BT185+BU237*BU185+BV237*BV185+BW237*BW185+BX237*BX185+BY237*BY185+BZ237*BZ185+CA237*CA185+CB237*CB185+CC237*CC185+CD237*CD185+CE237*CE185+CF237*CF185+CG237*CG185+CH237*CH185+CI237*CI185+CJ237*CJ185+CK237*CK185</f>
        <v>0</v>
      </c>
      <c r="CP185" s="2296">
        <f>E238*E185+F238*F185+G238*G185+H238*H185+I238*I185+J238*J185+K238*K185+L238*L185+M238*M185+N238*N185+O238*O185+P238*P185+Q238*Q185+R238*R185+S238*S185+T238*T185+U238*U185+V238*V185+W238*W185+X238*X185+Y238*Y185+Z238*Z185+AA238*AA185+AB238*AB185+AC238*AC185+AD238*AD185+AE238*AE185+AF238*AF185+AG238*AG185+AH238*AH185+AI238*AI185+AJ238*AJ185+AK238*AK185+AL238*AL185+AM238*AM185+AN238*AN185+AO238*AO185+AP238*AP185+AQ238*AQ185+AR238*AR185+AS238*AS185+AT238*AT185+AU238*AU185+AV238*AV185+AW238*AW185+AX238*AX185+AY238*AY185+AZ238*AZ185+BA238*BA185+BB238*BB185+BC238*BC185+BD238*BD185+BE238*BE185+BF238*BF185+BG238*BG185+BH238*BH185+BI238*BI185+BJ238*BJ185+BK238*BK185+BL238*BL185+BM238*BM185+BN238*BN185+BO238*BO185+BP238*BP185+BQ238*BQ185+BR238*BR185+BS238*BS185+BT238*BT185+BU238*BU185+BV238*BV185+BW238*BW185+BX238*BX185+BY238*BY185+BZ238*BZ185+CA238*CA185+CB238*CB185+CC238*CC185+CD238*CD185+CE238*CE185+CF238*CF185+CG238*CG185+CH238*CH185+CI238*CI185+CJ238*CJ185+CK238*CK185</f>
        <v>0</v>
      </c>
      <c r="CQ185" s="2297">
        <f>E239*E185+F239*F185+G239*G185+H239*H185+I239*I185+J239*J185+K239*K185+L239*L185+M239*M185+N239*N185+O239*O185+P239*P185+Q239*Q185+R239*R185+S239*S185+T239*T185+U239*U185+V239*V185+W239*W185+X239*X185+Y239*Y185+Z239*Z185+AA239*AA185+AB239*AB185+AC239*AC185+AD239*AD185+AE239*AE185+AF239*AF185+AG239*AG185+AH239*AH185+AI239*AI185+AJ239*AJ185+AK239*AK185+AL239*AL185+AM239*AM185+AN239*AN185+AO239*AO185+AP239*AP185+AQ239*AQ185+AR239*AR185+AS239*AS185+AT239*AT185+AU239*AU185+AV239*AV185+AW239*AW185+AX239*AX185+AY239*AY185+AZ239*AZ185+BA239*BA185+BB239*BB185+BC239*BC185+BD239*BD185+BE239*BE185+BF239*BF185+BG239*BG185+BH239*BH185+BI239*BI185+BJ239*BJ185+BK239*BK185+BL239*BL185+BM239*BM185+BN239*BN185+BO239*BO185+BP239*BP185+BQ239*BQ185+BR239*BR185+BS239*BS185+BT239*BT185+BU239*BU185+BV239*BV185+BW239*BW185+BX239*BX185+BY239*BY185+BZ239*BZ185+CA239*CA185+CB239*CB185+CC239*CC185+CD239*CD185+CE239*CE185+CF239*CF185+CG239*CG185+CH239*CH185+CI239*CI185+CJ239*CJ185+CK239*CK185</f>
        <v>0</v>
      </c>
      <c r="CR185" s="2297">
        <f>E240*E185+F240*F185+G240*G185+H240*H185+I240*I185+J240*J185+K240*K185+L240*L185+M240*M185+N240*N185+O240*O185+P240*P185+Q240*Q185+R240*R185+S240*S185+T240*T185+U240*U185+V240*V185+W240*W185+X240*X185+Y240*Y185+Z240*Z185+AA240*AA185+AB240*AB185+AC240*AC185+AD240*AD185+AE240*AE185+AF240*AF185+AG240*AG185+AH240*AH185+AI240*AI185+AJ240*AJ185+AK240*AK185+AL240*AL185+AM240*AM185+AN240*AN185+AO240*AO185+AP240*AP185+AQ240*AQ185+AR240*AR185+AS240*AS185+AT240*AT185+AU240*AU185+AV240*AV185+AW240*AW185+AX240*AX185+AY240*AY185+AZ240*AZ185+BA240*BA185+BB240*BB185+BC240*BC185+BD240*BD185+BE240*BE185+BF240*BF185+BG240*BG185+BH240*BH185+BI240*BI185+BJ240*BJ185+BK240*BK185+BL240*BL185+BM240*BM185+BN240*BN185+BO240*BO185+BP240*BP185+BQ240*BQ185+BR240*BR185+BS240*BS185+BT240*BT185+BU240*BU185+BV240*BV185+BW240*BW185+BX240*BX185+BY240*BY185+BZ240*BZ185+CA240*CA185+CB240*CB185+CC240*CC185+CD240*CD185+CE240*CE185+CF240*CF185+CG240*CG185+CH240*CH185+CI240*CI185+CJ240*CJ185+CK240*CK185</f>
        <v>0</v>
      </c>
      <c r="CS185" s="2297">
        <f>E241*E185+F241*F185+G241*G185+H241*H185+I241*I185+J241*J185+K241*K185+L241*L185+M241*M185+N241*N185+O241*O185+P241*P185+Q241*Q185+R241*R185+S241*S185+T241*T185+U241*U185+V241*V185+W241*W185+X241*X185+Y241*Y185+Z241*Z185+AA241*AA185+AB241*AB185+AC241*AC185+AD241*AD185+AE241*AE185+AF241*AF185+AG241*AG185+AH241*AH185+AI241*AI185+AJ241*AJ185+AK241*AK185+AL241*AL185+AM241*AM185+AN241*AN185+AO241*AO185+AP241*AP185+AQ241*AQ185+AR241*AR185+AS241*AS185+AT241*AT185+AU241*AU185+AV241*AV185+AW241*AW185+AX241*AX185+AY241*AY185+AZ241*AZ185+BA241*BA185+BB241*BB185+BC241*BC185+BD241*BD185+BE241*BE185+BF241*BF185+BG241*BG185+BH241*BH185+BI241*BI185+BJ241*BJ185+BK241*BK185+BL241*BL185+BM241*BM185+BN241*BN185+BO241*BO185+BP241*BP185+BQ241*BQ185+BR241*BR185+BS241*BS185+BT241*BT185+BU241*BU185+BV241*BV185+BW241*BW185+BX241*BX185+BY241*BY185+BZ241*BZ185+CA241*CA185+CB241*CB185+CC241*CC185+CD241*CD185+CE241*CE185+CF241*CF185+CG241*CG185+CH241*CH185+CI241*CI185+CJ241*CJ185+CK241*CK185</f>
        <v>0</v>
      </c>
      <c r="CT185" s="2297">
        <f>E242*E185+F242*F185+G242*G185+H242*H185+I242*I185+J242*J185+K242*K185+L242*L185+M242*M185+N242*N185+O242*O185+P242*P185+Q242*Q185+R242*R185+S242*S185+T242*T185+U242*U185+V242*V185+W242*W185+X242*X185+Y242*Y185+Z242*Z185+AA242*AA185+AB242*AB185+AC242*AC185+AD242*AD185+AE242*AE185+AF242*AF185+AG242*AG185+AH242*AH185+AI242*AI185+AJ242*AJ185+AK242*AK185+AL242*AL185+AM242*AM185+AN242*AN185+AO242*AO185+AP242*AP185+AQ242*AQ185+AR242*AR185+AS242*AS185+AT242*AT185+AU242*AU185+AV242*AV185+AW242*AW185+AX242*AX185+AY242*AY185+AZ242*AZ185+BA242*BA185+BB242*BB185+BC242*BC185+BD242*BD185+BE242*BE185+BF242*BF185+BG242*BG185+BH242*BH185+BI242*BI185+BJ242*BJ185+BK242*BK185+BL242*BL185+BM242*BM185+BN242*BN185+BO242*BO185+BP242*BP185+BQ242*BQ185+BR242*BR185+BS242*BS185+BT242*BT185+BU242*BU185+BV242*BV185+BW242*BW185+BX242*BX185+BY242*BY185+BZ242*BZ185+CA242*CA185+CB242*CB185+CC242*CC185+CD242*CD185+CE242*CE185+CF242*CF185+CG242*CG185+CH242*CH185+CI242*CI185+CJ242*CJ185+CK242*CK185</f>
        <v>0</v>
      </c>
      <c r="CU185" s="2297">
        <f>E243*E185+F243*F185+G243*G185+H243*H185+I243*I185+J243*J185+K243*K185+L243*L185+M243*M185+N243*N185+O243*O185+P243*P185+Q243*Q185+R243*R185+S243*S185+T243*T185+U243*U185+V243*V185+W243*W185+X243*X185+Y243*Y185+Z243*Z185+AA243*AA185+AB243*AB185+AC243*AC185+AD243*AD185+AE243*AE185+AF243*AF185+AG243*AG185+AH243*AH185+AI243*AI185+AJ243*AJ185+AK243*AK185+AL243*AL185+AM243*AM185+AN243*AN185+AO243*AO185+AP243*AP185+AQ243*AQ185+AR243*AR185+AS243*AS185+AT243*AT185+AU243*AU185+AV243*AV185+AW243*AW185+AX243*AX185+AY243*AY185+AZ243*AZ185+BA243*BA185+BB243*BB185+BC243*BC185+BD243*BD185+BE243*BE185+BF243*BF185+BG243*BG185+BH243*BH185+BI243*BI185+BJ243*BJ185+BK243*BK185+BL243*BL185+BM243*BM185+BN243*BN185+BO243*BO185+BP243*BP185+BQ243*BQ185+BR243*BR185+BS243*BS185+BT243*BT185+BU243*BU185+BV243*BV185+BW243*BW185+BX243*BX185+BY243*BY185+BZ243*BZ185+CA243*CA185+CB243*CB185+CC243*CC185+CD243*CD185+CE243*CE185+CF243*CF185+CG243*CG185+CH243*CH185+CI243*CI185+CJ243*CJ185+CK243*CK185</f>
        <v>0</v>
      </c>
      <c r="CV185" s="2297">
        <f>E244*E185+F244*F185+G244*G185+H244*H185+I244*I185+J244*J185+K244*K185+L244*L185+M244*M185+N244*N185+O244*O185+P244*P185+Q244*Q185+R244*R185+S244*S185+T244*T185+U244*U185+V244*V185+W244*W185+X244*X185+Y244*Y185+Z244*Z185+AA244*AA185+AB244*AB185+AC244*AC185+AD244*AD185+AE244*AE185+AF244*AF185+AG244*AG185+AH244*AH185+AI244*AI185+AJ244*AJ185+AK244*AK185+AL244*AL185+AM244*AM185+AN244*AN185+AO244*AO185+AP244*AP185+AQ244*AQ185+AR244*AR185+AS244*AS185+AT244*AT185+AU244*AU185+AV244*AV185+AW244*AW185+AX244*AX185+AY244*AY185+AZ244*AZ185+BA244*BA185+BB244*BB185+BC244*BC185+BD244*BD185+BE244*BE185+BF244*BF185+BG244*BG185+BH244*BH185+BI244*BI185+BJ244*BJ185+BK244*BK185+BL244*BL185+BM244*BM185+BN244*BN185+BO244*BO185+BP244*BP185+BQ244*BQ185+BR244*BR185+BS244*BS185+BT244*BT185+BU244*BU185+BV244*BV185+BW244*BW185+BX244*BX185+BY244*BY185+BZ244*BZ185+CA244*CA185+CB244*CB185+CC244*CC185+CD244*CD185+CE244*CE185+CF244*CF185+CG244*CG185+CH244*CH185+CI244*CI185+CJ244*CJ185+CK244*CK185</f>
        <v>0</v>
      </c>
      <c r="CW185" s="2297">
        <f>E245*E185+F245*F185+G245*G185+H245*H185+I245*I185+J245*J185+K245*K185+L245*L185+M245*M185+N245*N185+O245*O185+P245*P185+Q245*Q185+R245*R185+S245*S185+T245*T185+U245*U185+V245*V185+W245*W185+X245*X185+Y245*Y185+Z245*Z185+AA245*AA185+AB245*AB185+AC245*AC185+AD245*AD185+AE245*AE185+AF245*AF185+AG245*AG185+AH245*AH185+AI245*AI185+AJ245*AJ185+AK245*AK185+AL245*AL185+AM245*AM185+AN245*AN185+AO245*AO185+AP245*AP185+AQ245*AQ185+AR245*AR185+AS245*AS185+AT245*AT185+AU245*AU185+AV245*AV185+AW245*AW185+AX245*AX185+AY245*AY185+AZ245*AZ185+BA245*BA185+BB245*BB185+BC245*BC185+BD245*BD185+BE245*BE185+BF245*BF185+BG245*BG185+BH245*BH185+BI245*BI185+BJ245*BJ185+BK245*BK185+BL245*BL185+BM245*BM185+BN245*BN185+BO245*BO185+BP245*BP185+BQ245*BQ185+BR245*BR185+BS245*BS185+BT245*BT185+BU245*BU185+BV245*BV185+BW245*BW185+BX245*BX185+BY245*BY185+BZ245*BZ185+CA245*CA185+CB245*CB185+CC245*CC185+CD245*CD185+CE245*CE185+CF245*CF185+CG245*CG185+CH245*CH185+CI245*CI185+CJ245*CJ185+CK245*CK185</f>
        <v>0</v>
      </c>
      <c r="CX185" s="2297">
        <f>E246*E185+F246*F185+G246*G185+H246*H185+I246*I185+J246*J185+K246*K185+L246*L185+M246*M185+N246*N185+O246*O185+P246*P185+Q246*Q185+R246*R185+S246*S185+T246*T185+U246*U185+V246*V185+W246*W185+X246*X185+Y246*Y185+Z246*Z185+AA246*AA185+AB246*AB185+AC246*AC185+AD246*AD185+AE246*AE185+AF246*AF185+AG246*AG185+AH246*AH185+AI246*AI185+AJ246*AJ185+AK246*AK185+AL246*AL185+AM246*AM185+AN246*AN185+AO246*AO185+AP246*AP185+AQ246*AQ185+AR246*AR185+AS246*AS185+AT246*AT185+AU246*AU185+AV246*AV185+AW246*AW185+AX246*AX185+AY246*AY185+AZ246*AZ185+BA246*BA185+BB246*BB185+BC246*BC185+BD246*BD185+BE246*BE185+BF246*BF185+BG246*BG185+BH246*BH185+BI246*BI185+BJ246*BJ185+BK246*BK185+BL246*BL185+BM246*BM185+BN246*BN185+BO246*BO185+BP246*BP185+BQ246*BQ185+BR246*BR185+BS246*BS185+BT246*BT185+BU246*BU185+BV246*BV185+BW246*BW185+BX246*BX185+BY246*BY185+BZ246*BZ185+CA246*CA185+CB246*CB185+CC246*CC185+CD246*CD185+CE246*CE185+CF246*CF185+CG246*CG185+CH246*CH185+CI246*CI185+CJ246*CJ185+CK246*CK185</f>
        <v>0</v>
      </c>
    </row>
    <row r="186" spans="2:102" ht="18" x14ac:dyDescent="0.25">
      <c r="B186" s="1251">
        <v>59</v>
      </c>
      <c r="C186" s="1199" t="s">
        <v>2179</v>
      </c>
      <c r="D186" s="687" t="s">
        <v>3329</v>
      </c>
      <c r="E186" s="2670">
        <f>0</f>
        <v>0</v>
      </c>
      <c r="F186" s="2670">
        <f>0</f>
        <v>0</v>
      </c>
      <c r="G186" s="2670">
        <f>0</f>
        <v>0</v>
      </c>
      <c r="H186" s="2670">
        <f>0</f>
        <v>0</v>
      </c>
      <c r="I186" s="2670">
        <f>0</f>
        <v>0</v>
      </c>
      <c r="J186" s="2693">
        <f>0</f>
        <v>0</v>
      </c>
      <c r="K186" s="2670">
        <f>0</f>
        <v>0</v>
      </c>
      <c r="L186" s="2670">
        <f>-1</f>
        <v>-1</v>
      </c>
      <c r="M186" s="2670">
        <f>1</f>
        <v>1</v>
      </c>
      <c r="N186" s="2670">
        <f>0</f>
        <v>0</v>
      </c>
      <c r="O186" s="2670">
        <f>0</f>
        <v>0</v>
      </c>
      <c r="P186" s="2670">
        <f>0</f>
        <v>0</v>
      </c>
      <c r="Q186" s="2670">
        <f>0</f>
        <v>0</v>
      </c>
      <c r="R186" s="2670">
        <f>0</f>
        <v>0</v>
      </c>
      <c r="S186" s="2670">
        <f>0</f>
        <v>0</v>
      </c>
      <c r="T186" s="2670">
        <f>0</f>
        <v>0</v>
      </c>
      <c r="U186" s="2670">
        <f>0</f>
        <v>0</v>
      </c>
      <c r="V186" s="2670">
        <f>0</f>
        <v>0</v>
      </c>
      <c r="W186" s="2670">
        <f>0</f>
        <v>0</v>
      </c>
      <c r="X186" s="2670">
        <f>0</f>
        <v>0</v>
      </c>
      <c r="Y186" s="2670">
        <f>0</f>
        <v>0</v>
      </c>
      <c r="Z186" s="2671">
        <f>0</f>
        <v>0</v>
      </c>
      <c r="AA186" s="2670">
        <f>0</f>
        <v>0</v>
      </c>
      <c r="AB186" s="2670">
        <f>0</f>
        <v>0</v>
      </c>
      <c r="AC186" s="2670">
        <f>0</f>
        <v>0</v>
      </c>
      <c r="AD186" s="2670">
        <f>0</f>
        <v>0</v>
      </c>
      <c r="AE186" s="2670">
        <f>0</f>
        <v>0</v>
      </c>
      <c r="AF186" s="2670">
        <f>0</f>
        <v>0</v>
      </c>
      <c r="AG186" s="2693">
        <f>0</f>
        <v>0</v>
      </c>
      <c r="AH186" s="2670">
        <f>i_N_CU</f>
        <v>0.01</v>
      </c>
      <c r="AI186" s="2670">
        <f>0</f>
        <v>0</v>
      </c>
      <c r="AJ186" s="2670">
        <f>0</f>
        <v>0</v>
      </c>
      <c r="AK186" s="2670">
        <f>0</f>
        <v>0</v>
      </c>
      <c r="AL186" s="2670">
        <f>0</f>
        <v>0</v>
      </c>
      <c r="AM186" s="2693">
        <f>0</f>
        <v>0</v>
      </c>
      <c r="AN186" s="2670">
        <f>i_P_CU</f>
        <v>2E-3</v>
      </c>
      <c r="AO186" s="2670">
        <f>0</f>
        <v>0</v>
      </c>
      <c r="AP186" s="2670">
        <f>0</f>
        <v>0</v>
      </c>
      <c r="AQ186" s="2670">
        <f>0</f>
        <v>0</v>
      </c>
      <c r="AR186" s="2670">
        <f>0</f>
        <v>0</v>
      </c>
      <c r="AS186" s="2670">
        <f>0</f>
        <v>0</v>
      </c>
      <c r="AT186" s="2670">
        <f>0</f>
        <v>0</v>
      </c>
      <c r="AU186" s="2670">
        <f>0</f>
        <v>0</v>
      </c>
      <c r="AV186" s="2670">
        <f>0</f>
        <v>0</v>
      </c>
      <c r="AW186" s="2670">
        <f>0</f>
        <v>0</v>
      </c>
      <c r="AX186" s="2670">
        <f>0</f>
        <v>0</v>
      </c>
      <c r="AY186" s="2670">
        <f>0</f>
        <v>0</v>
      </c>
      <c r="AZ186" s="2670">
        <f>0</f>
        <v>0</v>
      </c>
      <c r="BA186" s="2670">
        <f>0</f>
        <v>0</v>
      </c>
      <c r="BB186" s="2670">
        <f>0</f>
        <v>0</v>
      </c>
      <c r="BC186" s="2670">
        <f>0</f>
        <v>0</v>
      </c>
      <c r="BD186" s="2670">
        <f>0</f>
        <v>0</v>
      </c>
      <c r="BE186" s="2670">
        <f>0</f>
        <v>0</v>
      </c>
      <c r="BF186" s="2670">
        <f>0</f>
        <v>0</v>
      </c>
      <c r="BG186" s="2670">
        <f>0</f>
        <v>0</v>
      </c>
      <c r="BH186" s="2670">
        <f>0</f>
        <v>0</v>
      </c>
      <c r="BI186" s="2670">
        <f>0</f>
        <v>0</v>
      </c>
      <c r="BJ186" s="2670">
        <f>0</f>
        <v>0</v>
      </c>
      <c r="BK186" s="2670">
        <f>0</f>
        <v>0</v>
      </c>
      <c r="BL186" s="2670">
        <f>0</f>
        <v>0</v>
      </c>
      <c r="BM186" s="2670">
        <f>0</f>
        <v>0</v>
      </c>
      <c r="BN186" s="2670">
        <f>0</f>
        <v>0</v>
      </c>
      <c r="BO186" s="2670">
        <f>0</f>
        <v>0</v>
      </c>
      <c r="BP186" s="2676">
        <f>0</f>
        <v>0</v>
      </c>
      <c r="BQ186" s="2670">
        <f>0</f>
        <v>0</v>
      </c>
      <c r="BR186" s="2670">
        <f>0</f>
        <v>0</v>
      </c>
      <c r="BS186" s="2671">
        <f>0</f>
        <v>0</v>
      </c>
      <c r="BT186" s="2671">
        <f>0</f>
        <v>0</v>
      </c>
      <c r="BU186" s="2671">
        <f>0</f>
        <v>0</v>
      </c>
      <c r="BV186" s="2671">
        <f>0</f>
        <v>0</v>
      </c>
      <c r="BW186" s="2670">
        <f>0</f>
        <v>0</v>
      </c>
      <c r="BX186" s="2783">
        <f>0</f>
        <v>0</v>
      </c>
      <c r="BY186" s="2671">
        <f>0</f>
        <v>0</v>
      </c>
      <c r="BZ186" s="2670">
        <f>0</f>
        <v>0</v>
      </c>
      <c r="CA186" s="2670">
        <f>0</f>
        <v>0</v>
      </c>
      <c r="CB186" s="2670">
        <f>0</f>
        <v>0</v>
      </c>
      <c r="CC186" s="2670">
        <f>0</f>
        <v>0</v>
      </c>
      <c r="CD186" s="2670">
        <f>0</f>
        <v>0</v>
      </c>
      <c r="CE186" s="2670">
        <f>0</f>
        <v>0</v>
      </c>
      <c r="CF186" s="2670">
        <f>0</f>
        <v>0</v>
      </c>
      <c r="CG186" s="2670">
        <f>0</f>
        <v>0</v>
      </c>
      <c r="CH186" s="2670">
        <f>0</f>
        <v>0</v>
      </c>
      <c r="CI186" s="2670">
        <f>0</f>
        <v>0</v>
      </c>
      <c r="CJ186" s="2670">
        <f>0</f>
        <v>0</v>
      </c>
      <c r="CK186" s="2670">
        <f>0</f>
        <v>0</v>
      </c>
      <c r="CL186" s="2811">
        <f>r_ateFLOC_CU_polymer</f>
        <v>0</v>
      </c>
      <c r="CN186" s="2295">
        <f>E236*E186+F236*F186+G236*G186+H236*H186+I236*I186+J236*J186+K236*K186+L236*L186+M236*M186+N236*N186+O236*O186+P236*P186+Q236*Q186+R236*R186+S236*S186+T236*T186+U236*U186+V236*V186+W236*W186+X236*X186+Y236*Y186+Z236*Z186+AA236*AA186+AB236*AB186+AC236*AC186+AD236*AD186+AE236*AE186+AF236*AF186+AG236*AG186+AH236*AH186+AI236*AI186+AJ236*AJ186+AK236*AK186+AL236*AL186+AM236*AM186+AN236*AN186+AO236*AO186+AP236*AP186+AQ236*AQ186+AR236*AR186+AS236*AS186+AT236*AT186+AU236*AU186+AV236*AV186+AW236*AW186+AX236*AX186+AY236*AY186+AZ236*AZ186+BA236*BA186+BB236*BB186+BC236*BC186+BD236*BD186+BE236*BE186+BF236*BF186+BG236*BG186+BH236*BH186+BI236*BI186+BJ236*BJ186+BK236*BK186+BL236*BL186+BM236*BM186+BN236*BN186+BO236*BO186+BP236*BP186+BQ236*BQ186+BR236*BR186+BS236*BS186+BT236*BT186+BU236*BU186+BV236*BV186+BW236*BW186+BX236*BX186+BY236*BY186+BZ236*BZ186+CA236*CA186+CB236*CB186+CC236*CC186+CD236*CD186+CE236*CE186+CF236*CF186+CG236*CG186+CH236*CH186+CI236*CI186+CJ236*CJ186+CK236*CK186</f>
        <v>0</v>
      </c>
      <c r="CO186" s="2295">
        <f>E237*E186+F237*F186+G237*G186+H237*H186+I237*I186+J237*J186+K237*K186+L237*L186+M237*M186+N237*N186+O237*O186+P237*P186+Q237*Q186+R237*R186+S237*S186+T237*T186+U237*U186+V237*V186+W237*W186+X237*X186+Y237*Y186+Z237*Z186+AA237*AA186+AB237*AB186+AC237*AC186+AD237*AD186+AE237*AE186+AF237*AF186+AG237*AG186+AH237*AH186+AI237*AI186+AJ237*AJ186+AK237*AK186+AL237*AL186+AM237*AM186+AN237*AN186+AO237*AO186+AP237*AP186+AQ237*AQ186+AR237*AR186+AS237*AS186+AT237*AT186+AU237*AU186+AV237*AV186+AW237*AW186+AX237*AX186+AY237*AY186+AZ237*AZ186+BA237*BA186+BB237*BB186+BC237*BC186+BD237*BD186+BE237*BE186+BF237*BF186+BG237*BG186+BH237*BH186+BI237*BI186+BJ237*BJ186+BK237*BK186+BL237*BL186+BM237*BM186+BN237*BN186+BO237*BO186+BP237*BP186+BQ237*BQ186+BR237*BR186+BS237*BS186+BT237*BT186+BU237*BU186+BV237*BV186+BW237*BW186+BX237*BX186+BY237*BY186+BZ237*BZ186+CA237*CA186+CB237*CB186+CC237*CC186+CD237*CD186+CE237*CE186+CF237*CF186+CG237*CG186+CH237*CH186+CI237*CI186+CJ237*CJ186+CK237*CK186</f>
        <v>0</v>
      </c>
      <c r="CP186" s="2296">
        <f>E238*E186+F238*F186+G238*G186+H238*H186+I238*I186+J238*J186+K238*K186+L238*L186+M238*M186+N238*N186+O238*O186+P238*P186+Q238*Q186+R238*R186+S238*S186+T238*T186+U238*U186+V238*V186+W238*W186+X238*X186+Y238*Y186+Z238*Z186+AA238*AA186+AB238*AB186+AC238*AC186+AD238*AD186+AE238*AE186+AF238*AF186+AG238*AG186+AH238*AH186+AI238*AI186+AJ238*AJ186+AK238*AK186+AL238*AL186+AM238*AM186+AN238*AN186+AO238*AO186+AP238*AP186+AQ238*AQ186+AR238*AR186+AS238*AS186+AT238*AT186+AU238*AU186+AV238*AV186+AW238*AW186+AX238*AX186+AY238*AY186+AZ238*AZ186+BA238*BA186+BB238*BB186+BC238*BC186+BD238*BD186+BE238*BE186+BF238*BF186+BG238*BG186+BH238*BH186+BI238*BI186+BJ238*BJ186+BK238*BK186+BL238*BL186+BM238*BM186+BN238*BN186+BO238*BO186+BP238*BP186+BQ238*BQ186+BR238*BR186+BS238*BS186+BT238*BT186+BU238*BU186+BV238*BV186+BW238*BW186+BX238*BX186+BY238*BY186+BZ238*BZ186+CA238*CA186+CB238*CB186+CC238*CC186+CD238*CD186+CE238*CE186+CF238*CF186+CG238*CG186+CH238*CH186+CI238*CI186+CJ238*CJ186+CK238*CK186</f>
        <v>0</v>
      </c>
      <c r="CQ186" s="2297">
        <f>E239*E186+F239*F186+G239*G186+H239*H186+I239*I186+J239*J186+K239*K186+L239*L186+M239*M186+N239*N186+O239*O186+P239*P186+Q239*Q186+R239*R186+S239*S186+T239*T186+U239*U186+V239*V186+W239*W186+X239*X186+Y239*Y186+Z239*Z186+AA239*AA186+AB239*AB186+AC239*AC186+AD239*AD186+AE239*AE186+AF239*AF186+AG239*AG186+AH239*AH186+AI239*AI186+AJ239*AJ186+AK239*AK186+AL239*AL186+AM239*AM186+AN239*AN186+AO239*AO186+AP239*AP186+AQ239*AQ186+AR239*AR186+AS239*AS186+AT239*AT186+AU239*AU186+AV239*AV186+AW239*AW186+AX239*AX186+AY239*AY186+AZ239*AZ186+BA239*BA186+BB239*BB186+BC239*BC186+BD239*BD186+BE239*BE186+BF239*BF186+BG239*BG186+BH239*BH186+BI239*BI186+BJ239*BJ186+BK239*BK186+BL239*BL186+BM239*BM186+BN239*BN186+BO239*BO186+BP239*BP186+BQ239*BQ186+BR239*BR186+BS239*BS186+BT239*BT186+BU239*BU186+BV239*BV186+BW239*BW186+BX239*BX186+BY239*BY186+BZ239*BZ186+CA239*CA186+CB239*CB186+CC239*CC186+CD239*CD186+CE239*CE186+CF239*CF186+CG239*CG186+CH239*CH186+CI239*CI186+CJ239*CJ186+CK239*CK186</f>
        <v>0</v>
      </c>
      <c r="CR186" s="2297">
        <f>E240*E186+F240*F186+G240*G186+H240*H186+I240*I186+J240*J186+K240*K186+L240*L186+M240*M186+N240*N186+O240*O186+P240*P186+Q240*Q186+R240*R186+S240*S186+T240*T186+U240*U186+V240*V186+W240*W186+X240*X186+Y240*Y186+Z240*Z186+AA240*AA186+AB240*AB186+AC240*AC186+AD240*AD186+AE240*AE186+AF240*AF186+AG240*AG186+AH240*AH186+AI240*AI186+AJ240*AJ186+AK240*AK186+AL240*AL186+AM240*AM186+AN240*AN186+AO240*AO186+AP240*AP186+AQ240*AQ186+AR240*AR186+AS240*AS186+AT240*AT186+AU240*AU186+AV240*AV186+AW240*AW186+AX240*AX186+AY240*AY186+AZ240*AZ186+BA240*BA186+BB240*BB186+BC240*BC186+BD240*BD186+BE240*BE186+BF240*BF186+BG240*BG186+BH240*BH186+BI240*BI186+BJ240*BJ186+BK240*BK186+BL240*BL186+BM240*BM186+BN240*BN186+BO240*BO186+BP240*BP186+BQ240*BQ186+BR240*BR186+BS240*BS186+BT240*BT186+BU240*BU186+BV240*BV186+BW240*BW186+BX240*BX186+BY240*BY186+BZ240*BZ186+CA240*CA186+CB240*CB186+CC240*CC186+CD240*CD186+CE240*CE186+CF240*CF186+CG240*CG186+CH240*CH186+CI240*CI186+CJ240*CJ186+CK240*CK186</f>
        <v>0</v>
      </c>
      <c r="CS186" s="2297">
        <f>E241*E186+F241*F186+G241*G186+H241*H186+I241*I186+J241*J186+K241*K186+L241*L186+M241*M186+N241*N186+O241*O186+P241*P186+Q241*Q186+R241*R186+S241*S186+T241*T186+U241*U186+V241*V186+W241*W186+X241*X186+Y241*Y186+Z241*Z186+AA241*AA186+AB241*AB186+AC241*AC186+AD241*AD186+AE241*AE186+AF241*AF186+AG241*AG186+AH241*AH186+AI241*AI186+AJ241*AJ186+AK241*AK186+AL241*AL186+AM241*AM186+AN241*AN186+AO241*AO186+AP241*AP186+AQ241*AQ186+AR241*AR186+AS241*AS186+AT241*AT186+AU241*AU186+AV241*AV186+AW241*AW186+AX241*AX186+AY241*AY186+AZ241*AZ186+BA241*BA186+BB241*BB186+BC241*BC186+BD241*BD186+BE241*BE186+BF241*BF186+BG241*BG186+BH241*BH186+BI241*BI186+BJ241*BJ186+BK241*BK186+BL241*BL186+BM241*BM186+BN241*BN186+BO241*BO186+BP241*BP186+BQ241*BQ186+BR241*BR186+BS241*BS186+BT241*BT186+BU241*BU186+BV241*BV186+BW241*BW186+BX241*BX186+BY241*BY186+BZ241*BZ186+CA241*CA186+CB241*CB186+CC241*CC186+CD241*CD186+CE241*CE186+CF241*CF186+CG241*CG186+CH241*CH186+CI241*CI186+CJ241*CJ186+CK241*CK186</f>
        <v>0</v>
      </c>
      <c r="CT186" s="2297">
        <f>E242*E186+F242*F186+G242*G186+H242*H186+I242*I186+J242*J186+K242*K186+L242*L186+M242*M186+N242*N186+O242*O186+P242*P186+Q242*Q186+R242*R186+S242*S186+T242*T186+U242*U186+V242*V186+W242*W186+X242*X186+Y242*Y186+Z242*Z186+AA242*AA186+AB242*AB186+AC242*AC186+AD242*AD186+AE242*AE186+AF242*AF186+AG242*AG186+AH242*AH186+AI242*AI186+AJ242*AJ186+AK242*AK186+AL242*AL186+AM242*AM186+AN242*AN186+AO242*AO186+AP242*AP186+AQ242*AQ186+AR242*AR186+AS242*AS186+AT242*AT186+AU242*AU186+AV242*AV186+AW242*AW186+AX242*AX186+AY242*AY186+AZ242*AZ186+BA242*BA186+BB242*BB186+BC242*BC186+BD242*BD186+BE242*BE186+BF242*BF186+BG242*BG186+BH242*BH186+BI242*BI186+BJ242*BJ186+BK242*BK186+BL242*BL186+BM242*BM186+BN242*BN186+BO242*BO186+BP242*BP186+BQ242*BQ186+BR242*BR186+BS242*BS186+BT242*BT186+BU242*BU186+BV242*BV186+BW242*BW186+BX242*BX186+BY242*BY186+BZ242*BZ186+CA242*CA186+CB242*CB186+CC242*CC186+CD242*CD186+CE242*CE186+CF242*CF186+CG242*CG186+CH242*CH186+CI242*CI186+CJ242*CJ186+CK242*CK186</f>
        <v>0</v>
      </c>
      <c r="CU186" s="2297">
        <f>E243*E186+F243*F186+G243*G186+H243*H186+I243*I186+J243*J186+K243*K186+L243*L186+M243*M186+N243*N186+O243*O186+P243*P186+Q243*Q186+R243*R186+S243*S186+T243*T186+U243*U186+V243*V186+W243*W186+X243*X186+Y243*Y186+Z243*Z186+AA243*AA186+AB243*AB186+AC243*AC186+AD243*AD186+AE243*AE186+AF243*AF186+AG243*AG186+AH243*AH186+AI243*AI186+AJ243*AJ186+AK243*AK186+AL243*AL186+AM243*AM186+AN243*AN186+AO243*AO186+AP243*AP186+AQ243*AQ186+AR243*AR186+AS243*AS186+AT243*AT186+AU243*AU186+AV243*AV186+AW243*AW186+AX243*AX186+AY243*AY186+AZ243*AZ186+BA243*BA186+BB243*BB186+BC243*BC186+BD243*BD186+BE243*BE186+BF243*BF186+BG243*BG186+BH243*BH186+BI243*BI186+BJ243*BJ186+BK243*BK186+BL243*BL186+BM243*BM186+BN243*BN186+BO243*BO186+BP243*BP186+BQ243*BQ186+BR243*BR186+BS243*BS186+BT243*BT186+BU243*BU186+BV243*BV186+BW243*BW186+BX243*BX186+BY243*BY186+BZ243*BZ186+CA243*CA186+CB243*CB186+CC243*CC186+CD243*CD186+CE243*CE186+CF243*CF186+CG243*CG186+CH243*CH186+CI243*CI186+CJ243*CJ186+CK243*CK186</f>
        <v>0</v>
      </c>
      <c r="CV186" s="2297">
        <f>E244*E186+F244*F186+G244*G186+H244*H186+I244*I186+J244*J186+K244*K186+L244*L186+M244*M186+N244*N186+O244*O186+P244*P186+Q244*Q186+R244*R186+S244*S186+T244*T186+U244*U186+V244*V186+W244*W186+X244*X186+Y244*Y186+Z244*Z186+AA244*AA186+AB244*AB186+AC244*AC186+AD244*AD186+AE244*AE186+AF244*AF186+AG244*AG186+AH244*AH186+AI244*AI186+AJ244*AJ186+AK244*AK186+AL244*AL186+AM244*AM186+AN244*AN186+AO244*AO186+AP244*AP186+AQ244*AQ186+AR244*AR186+AS244*AS186+AT244*AT186+AU244*AU186+AV244*AV186+AW244*AW186+AX244*AX186+AY244*AY186+AZ244*AZ186+BA244*BA186+BB244*BB186+BC244*BC186+BD244*BD186+BE244*BE186+BF244*BF186+BG244*BG186+BH244*BH186+BI244*BI186+BJ244*BJ186+BK244*BK186+BL244*BL186+BM244*BM186+BN244*BN186+BO244*BO186+BP244*BP186+BQ244*BQ186+BR244*BR186+BS244*BS186+BT244*BT186+BU244*BU186+BV244*BV186+BW244*BW186+BX244*BX186+BY244*BY186+BZ244*BZ186+CA244*CA186+CB244*CB186+CC244*CC186+CD244*CD186+CE244*CE186+CF244*CF186+CG244*CG186+CH244*CH186+CI244*CI186+CJ244*CJ186+CK244*CK186</f>
        <v>0</v>
      </c>
      <c r="CW186" s="2297">
        <f>E245*E186+F245*F186+G245*G186+H245*H186+I245*I186+J245*J186+K245*K186+L245*L186+M245*M186+N245*N186+O245*O186+P245*P186+Q245*Q186+R245*R186+S245*S186+T245*T186+U245*U186+V245*V186+W245*W186+X245*X186+Y245*Y186+Z245*Z186+AA245*AA186+AB245*AB186+AC245*AC186+AD245*AD186+AE245*AE186+AF245*AF186+AG245*AG186+AH245*AH186+AI245*AI186+AJ245*AJ186+AK245*AK186+AL245*AL186+AM245*AM186+AN245*AN186+AO245*AO186+AP245*AP186+AQ245*AQ186+AR245*AR186+AS245*AS186+AT245*AT186+AU245*AU186+AV245*AV186+AW245*AW186+AX245*AX186+AY245*AY186+AZ245*AZ186+BA245*BA186+BB245*BB186+BC245*BC186+BD245*BD186+BE245*BE186+BF245*BF186+BG245*BG186+BH245*BH186+BI245*BI186+BJ245*BJ186+BK245*BK186+BL245*BL186+BM245*BM186+BN245*BN186+BO245*BO186+BP245*BP186+BQ245*BQ186+BR245*BR186+BS245*BS186+BT245*BT186+BU245*BU186+BV245*BV186+BW245*BW186+BX245*BX186+BY245*BY186+BZ245*BZ186+CA245*CA186+CB245*CB186+CC245*CC186+CD245*CD186+CE245*CE186+CF245*CF186+CG245*CG186+CH245*CH186+CI245*CI186+CJ245*CJ186+CK245*CK186</f>
        <v>0</v>
      </c>
      <c r="CX186" s="2297">
        <f>E246*E186+F246*F186+G246*G186+H246*H186+I246*I186+J246*J186+K246*K186+L246*L186+M246*M186+N246*N186+O246*O186+P246*P186+Q246*Q186+R246*R186+S246*S186+T246*T186+U246*U186+V246*V186+W246*W186+X246*X186+Y246*Y186+Z246*Z186+AA246*AA186+AB246*AB186+AC246*AC186+AD246*AD186+AE246*AE186+AF246*AF186+AG246*AG186+AH246*AH186+AI246*AI186+AJ246*AJ186+AK246*AK186+AL246*AL186+AM246*AM186+AN246*AN186+AO246*AO186+AP246*AP186+AQ246*AQ186+AR246*AR186+AS246*AS186+AT246*AT186+AU246*AU186+AV246*AV186+AW246*AW186+AX246*AX186+AY246*AY186+AZ246*AZ186+BA246*BA186+BB246*BB186+BC246*BC186+BD246*BD186+BE246*BE186+BF246*BF186+BG246*BG186+BH246*BH186+BI246*BI186+BJ246*BJ186+BK246*BK186+BL246*BL186+BM246*BM186+BN246*BN186+BO246*BO186+BP246*BP186+BQ246*BQ186+BR246*BR186+BS246*BS186+BT246*BT186+BU246*BU186+BV246*BV186+BW246*BW186+BX246*BX186+BY246*BY186+BZ246*BZ186+CA246*CA186+CB246*CB186+CC246*CC186+CD246*CD186+CE246*CE186+CF246*CF186+CG246*CG186+CH246*CH186+CI246*CI186+CJ246*CJ186+CK246*CK186</f>
        <v>0</v>
      </c>
    </row>
    <row r="187" spans="2:102" ht="18" x14ac:dyDescent="0.25">
      <c r="B187" s="1251">
        <v>60</v>
      </c>
      <c r="C187" s="1198" t="s">
        <v>2400</v>
      </c>
      <c r="D187" s="616" t="s">
        <v>5303</v>
      </c>
      <c r="E187" s="2670">
        <f>0</f>
        <v>0</v>
      </c>
      <c r="F187" s="2670">
        <f>1</f>
        <v>1</v>
      </c>
      <c r="G187" s="2670">
        <f>0</f>
        <v>0</v>
      </c>
      <c r="H187" s="2670">
        <f>0</f>
        <v>0</v>
      </c>
      <c r="I187" s="2670">
        <f>-1</f>
        <v>-1</v>
      </c>
      <c r="J187" s="2693">
        <f>0</f>
        <v>0</v>
      </c>
      <c r="K187" s="2670">
        <f>0</f>
        <v>0</v>
      </c>
      <c r="L187" s="2670">
        <f>0</f>
        <v>0</v>
      </c>
      <c r="M187" s="2670">
        <f>0</f>
        <v>0</v>
      </c>
      <c r="N187" s="2670">
        <f>0</f>
        <v>0</v>
      </c>
      <c r="O187" s="2670">
        <f>0</f>
        <v>0</v>
      </c>
      <c r="P187" s="2670">
        <f>0</f>
        <v>0</v>
      </c>
      <c r="Q187" s="2670">
        <f>0</f>
        <v>0</v>
      </c>
      <c r="R187" s="2670">
        <f>0</f>
        <v>0</v>
      </c>
      <c r="S187" s="2670">
        <f>0</f>
        <v>0</v>
      </c>
      <c r="T187" s="2670">
        <f>0</f>
        <v>0</v>
      </c>
      <c r="U187" s="2670">
        <f>0</f>
        <v>0</v>
      </c>
      <c r="V187" s="2670">
        <f>0</f>
        <v>0</v>
      </c>
      <c r="W187" s="2670">
        <f>0</f>
        <v>0</v>
      </c>
      <c r="X187" s="2670">
        <f>0</f>
        <v>0</v>
      </c>
      <c r="Y187" s="2670">
        <f>0</f>
        <v>0</v>
      </c>
      <c r="Z187" s="2671">
        <f>0</f>
        <v>0</v>
      </c>
      <c r="AA187" s="2670">
        <f>0</f>
        <v>0</v>
      </c>
      <c r="AB187" s="2670">
        <f>0</f>
        <v>0</v>
      </c>
      <c r="AC187" s="2670">
        <f>0</f>
        <v>0</v>
      </c>
      <c r="AD187" s="2670">
        <f>0</f>
        <v>0</v>
      </c>
      <c r="AE187" s="2672">
        <f>X_N_B/X_B</f>
        <v>3.5714285714285712E-2</v>
      </c>
      <c r="AF187" s="2672">
        <f>-X_N_B/X_B</f>
        <v>-3.5714285714285712E-2</v>
      </c>
      <c r="AG187" s="2729">
        <f>0</f>
        <v>0</v>
      </c>
      <c r="AH187" s="2670">
        <f>0</f>
        <v>0</v>
      </c>
      <c r="AI187" s="2670">
        <f>0</f>
        <v>0</v>
      </c>
      <c r="AJ187" s="2670">
        <f>0</f>
        <v>0</v>
      </c>
      <c r="AK187" s="2672">
        <f>X_P_B/X_B</f>
        <v>7.1428571428571435E-3</v>
      </c>
      <c r="AL187" s="2672">
        <f>-X_P_B/X_B</f>
        <v>-7.1428571428571435E-3</v>
      </c>
      <c r="AM187" s="2729">
        <f>0</f>
        <v>0</v>
      </c>
      <c r="AN187" s="2670">
        <f>0</f>
        <v>0</v>
      </c>
      <c r="AO187" s="2670">
        <f>0</f>
        <v>0</v>
      </c>
      <c r="AP187" s="2670">
        <f>0</f>
        <v>0</v>
      </c>
      <c r="AQ187" s="2670">
        <f>0</f>
        <v>0</v>
      </c>
      <c r="AR187" s="2670">
        <f>0</f>
        <v>0</v>
      </c>
      <c r="AS187" s="2670">
        <f>0</f>
        <v>0</v>
      </c>
      <c r="AT187" s="2670">
        <f>0</f>
        <v>0</v>
      </c>
      <c r="AU187" s="2670">
        <f>0</f>
        <v>0</v>
      </c>
      <c r="AV187" s="2670">
        <f>0</f>
        <v>0</v>
      </c>
      <c r="AW187" s="2670">
        <f>0</f>
        <v>0</v>
      </c>
      <c r="AX187" s="2670">
        <f>0</f>
        <v>0</v>
      </c>
      <c r="AY187" s="2670">
        <f>0</f>
        <v>0</v>
      </c>
      <c r="AZ187" s="2670">
        <f>0</f>
        <v>0</v>
      </c>
      <c r="BA187" s="2670">
        <f>0</f>
        <v>0</v>
      </c>
      <c r="BB187" s="2670">
        <f>0</f>
        <v>0</v>
      </c>
      <c r="BC187" s="2670">
        <f>0</f>
        <v>0</v>
      </c>
      <c r="BD187" s="2670">
        <f>0</f>
        <v>0</v>
      </c>
      <c r="BE187" s="2670">
        <f>0</f>
        <v>0</v>
      </c>
      <c r="BF187" s="2670">
        <f>0</f>
        <v>0</v>
      </c>
      <c r="BG187" s="2670">
        <f>0</f>
        <v>0</v>
      </c>
      <c r="BH187" s="2670">
        <f>0</f>
        <v>0</v>
      </c>
      <c r="BI187" s="2670">
        <f>0</f>
        <v>0</v>
      </c>
      <c r="BJ187" s="2670">
        <f>0</f>
        <v>0</v>
      </c>
      <c r="BK187" s="2670">
        <f>0</f>
        <v>0</v>
      </c>
      <c r="BL187" s="2670">
        <f>0</f>
        <v>0</v>
      </c>
      <c r="BM187" s="2670">
        <f>0</f>
        <v>0</v>
      </c>
      <c r="BN187" s="2670">
        <f>0</f>
        <v>0</v>
      </c>
      <c r="BO187" s="2670">
        <f>0</f>
        <v>0</v>
      </c>
      <c r="BP187" s="2676">
        <f>0</f>
        <v>0</v>
      </c>
      <c r="BQ187" s="2670">
        <f>0</f>
        <v>0</v>
      </c>
      <c r="BR187" s="2670">
        <f>0</f>
        <v>0</v>
      </c>
      <c r="BS187" s="2671">
        <f>0</f>
        <v>0</v>
      </c>
      <c r="BT187" s="2671">
        <f>0</f>
        <v>0</v>
      </c>
      <c r="BU187" s="2671">
        <f>0</f>
        <v>0</v>
      </c>
      <c r="BV187" s="2671">
        <f>0</f>
        <v>0</v>
      </c>
      <c r="BW187" s="2670">
        <f>0</f>
        <v>0</v>
      </c>
      <c r="BX187" s="2783">
        <f>0</f>
        <v>0</v>
      </c>
      <c r="BY187" s="2671">
        <f>0</f>
        <v>0</v>
      </c>
      <c r="BZ187" s="2670">
        <f>0</f>
        <v>0</v>
      </c>
      <c r="CA187" s="2670">
        <f>0</f>
        <v>0</v>
      </c>
      <c r="CB187" s="2670">
        <f>0</f>
        <v>0</v>
      </c>
      <c r="CC187" s="2670">
        <f>0</f>
        <v>0</v>
      </c>
      <c r="CD187" s="2670">
        <f>0</f>
        <v>0</v>
      </c>
      <c r="CE187" s="2670">
        <f>0</f>
        <v>0</v>
      </c>
      <c r="CF187" s="2670">
        <f>0</f>
        <v>0</v>
      </c>
      <c r="CG187" s="2670">
        <f>0</f>
        <v>0</v>
      </c>
      <c r="CH187" s="2670">
        <f>0</f>
        <v>0</v>
      </c>
      <c r="CI187" s="2670">
        <f>0</f>
        <v>0</v>
      </c>
      <c r="CJ187" s="2670">
        <f>0</f>
        <v>0</v>
      </c>
      <c r="CK187" s="2670">
        <f>0</f>
        <v>0</v>
      </c>
      <c r="CL187" s="2812">
        <f>q_HYD_XB_T*X_HET*(L_ogsatXHET_HYD_lim*M_RsatXB_XHET_KHYD+L_oginhXHET_HYD_lim*M_satXB_KXB_HYD)*(M_satSO2_KO2_OHO+η_HYD_anox*(M_satSNO2_KNO2_OHO+M_satSNO3_KNO3_OHO*M_inhSNO2_KNO2_OHO)*M_inhSO2_KO2_OHO+η_HYD_ana*M_inhSNO3_KNO3_OHO*M_inhSNO2_KNO2_OHO*M_inhSO2_KO2_OHO)</f>
        <v>632.48335473698933</v>
      </c>
      <c r="CN187" s="2295">
        <f>E236*E187+F236*F187+G236*G187+H236*H187+I236*I187+J236*J187+K236*K187+L236*L187+M236*M187+N236*N187+O236*O187+P236*P187+Q236*Q187+R236*R187+S236*S187+T236*T187+U236*U187+V236*V187+W236*W187+X236*X187+Y236*Y187+Z236*Z187+AA236*AA187+AB236*AB187+AC236*AC187+AD236*AD187+AE236*AE187+AF236*AF187+AG236*AG187+AH236*AH187+AI236*AI187+AJ236*AJ187+AK236*AK187+AL236*AL187+AM236*AM187+AN236*AN187+AO236*AO187+AP236*AP187+AQ236*AQ187+AR236*AR187+AS236*AS187+AT236*AT187+AU236*AU187+AV236*AV187+AW236*AW187+AX236*AX187+AY236*AY187+AZ236*AZ187+BA236*BA187+BB236*BB187+BC236*BC187+BD236*BD187+BE236*BE187+BF236*BF187+BG236*BG187+BH236*BH187+BI236*BI187+BJ236*BJ187+BK236*BK187+BL236*BL187+BM236*BM187+BN236*BN187+BO236*BO187+BP236*BP187+BQ236*BQ187+BR236*BR187+BS236*BS187+BT236*BT187+BU236*BU187+BV236*BV187+BW236*BW187+BX236*BX187+BY236*BY187+BZ236*BZ187+CA236*CA187+CB236*CB187+CC236*CC187+CD236*CD187+CE236*CE187+CF236*CF187+CG236*CG187+CH236*CH187+CI236*CI187+CJ236*CJ187+CK236*CK187</f>
        <v>0</v>
      </c>
      <c r="CO187" s="2295">
        <f>E237*E187+F237*F187+G237*G187+H237*H187+I237*I187+J237*J187+K237*K187+L237*L187+M237*M187+N237*N187+O237*O187+P237*P187+Q237*Q187+R237*R187+S237*S187+T237*T187+U237*U187+V237*V187+W237*W187+X237*X187+Y237*Y187+Z237*Z187+AA237*AA187+AB237*AB187+AC237*AC187+AD237*AD187+AE237*AE187+AF237*AF187+AG237*AG187+AH237*AH187+AI237*AI187+AJ237*AJ187+AK237*AK187+AL237*AL187+AM237*AM187+AN237*AN187+AO237*AO187+AP237*AP187+AQ237*AQ187+AR237*AR187+AS237*AS187+AT237*AT187+AU237*AU187+AV237*AV187+AW237*AW187+AX237*AX187+AY237*AY187+AZ237*AZ187+BA237*BA187+BB237*BB187+BC237*BC187+BD237*BD187+BE237*BE187+BF237*BF187+BG237*BG187+BH237*BH187+BI237*BI187+BJ237*BJ187+BK237*BK187+BL237*BL187+BM237*BM187+BN237*BN187+BO237*BO187+BP237*BP187+BQ237*BQ187+BR237*BR187+BS237*BS187+BT237*BT187+BU237*BU187+BV237*BV187+BW237*BW187+BX237*BX187+BY237*BY187+BZ237*BZ187+CA237*CA187+CB237*CB187+CC237*CC187+CD237*CD187+CE237*CE187+CF237*CF187+CG237*CG187+CH237*CH187+CI237*CI187+CJ237*CJ187+CK237*CK187</f>
        <v>0</v>
      </c>
      <c r="CP187" s="2296">
        <f>E238*E187+F238*F187+G238*G187+H238*H187+I238*I187+J238*J187+K238*K187+L238*L187+M238*M187+N238*N187+O238*O187+P238*P187+Q238*Q187+R238*R187+S238*S187+T238*T187+U238*U187+V238*V187+W238*W187+X238*X187+Y238*Y187+Z238*Z187+AA238*AA187+AB238*AB187+AC238*AC187+AD238*AD187+AE238*AE187+AF238*AF187+AG238*AG187+AH238*AH187+AI238*AI187+AJ238*AJ187+AK238*AK187+AL238*AL187+AM238*AM187+AN238*AN187+AO238*AO187+AP238*AP187+AQ238*AQ187+AR238*AR187+AS238*AS187+AT238*AT187+AU238*AU187+AV238*AV187+AW238*AW187+AX238*AX187+AY238*AY187+AZ238*AZ187+BA238*BA187+BB238*BB187+BC238*BC187+BD238*BD187+BE238*BE187+BF238*BF187+BG238*BG187+BH238*BH187+BI238*BI187+BJ238*BJ187+BK238*BK187+BL238*BL187+BM238*BM187+BN238*BN187+BO238*BO187+BP238*BP187+BQ238*BQ187+BR238*BR187+BS238*BS187+BT238*BT187+BU238*BU187+BV238*BV187+BW238*BW187+BX238*BX187+BY238*BY187+BZ238*BZ187+CA238*CA187+CB238*CB187+CC238*CC187+CD238*CD187+CE238*CE187+CF238*CF187+CG238*CG187+CH238*CH187+CI238*CI187+CJ238*CJ187+CK238*CK187</f>
        <v>0</v>
      </c>
      <c r="CQ187" s="2297">
        <f>E239*E187+F239*F187+G239*G187+H239*H187+I239*I187+J239*J187+K239*K187+L239*L187+M239*M187+N239*N187+O239*O187+P239*P187+Q239*Q187+R239*R187+S239*S187+T239*T187+U239*U187+V239*V187+W239*W187+X239*X187+Y239*Y187+Z239*Z187+AA239*AA187+AB239*AB187+AC239*AC187+AD239*AD187+AE239*AE187+AF239*AF187+AG239*AG187+AH239*AH187+AI239*AI187+AJ239*AJ187+AK239*AK187+AL239*AL187+AM239*AM187+AN239*AN187+AO239*AO187+AP239*AP187+AQ239*AQ187+AR239*AR187+AS239*AS187+AT239*AT187+AU239*AU187+AV239*AV187+AW239*AW187+AX239*AX187+AY239*AY187+AZ239*AZ187+BA239*BA187+BB239*BB187+BC239*BC187+BD239*BD187+BE239*BE187+BF239*BF187+BG239*BG187+BH239*BH187+BI239*BI187+BJ239*BJ187+BK239*BK187+BL239*BL187+BM239*BM187+BN239*BN187+BO239*BO187+BP239*BP187+BQ239*BQ187+BR239*BR187+BS239*BS187+BT239*BT187+BU239*BU187+BV239*BV187+BW239*BW187+BX239*BX187+BY239*BY187+BZ239*BZ187+CA239*CA187+CB239*CB187+CC239*CC187+CD239*CD187+CE239*CE187+CF239*CF187+CG239*CG187+CH239*CH187+CI239*CI187+CJ239*CJ187+CK239*CK187</f>
        <v>0</v>
      </c>
      <c r="CR187" s="2297">
        <f>E240*E187+F240*F187+G240*G187+H240*H187+I240*I187+J240*J187+K240*K187+L240*L187+M240*M187+N240*N187+O240*O187+P240*P187+Q240*Q187+R240*R187+S240*S187+T240*T187+U240*U187+V240*V187+W240*W187+X240*X187+Y240*Y187+Z240*Z187+AA240*AA187+AB240*AB187+AC240*AC187+AD240*AD187+AE240*AE187+AF240*AF187+AG240*AG187+AH240*AH187+AI240*AI187+AJ240*AJ187+AK240*AK187+AL240*AL187+AM240*AM187+AN240*AN187+AO240*AO187+AP240*AP187+AQ240*AQ187+AR240*AR187+AS240*AS187+AT240*AT187+AU240*AU187+AV240*AV187+AW240*AW187+AX240*AX187+AY240*AY187+AZ240*AZ187+BA240*BA187+BB240*BB187+BC240*BC187+BD240*BD187+BE240*BE187+BF240*BF187+BG240*BG187+BH240*BH187+BI240*BI187+BJ240*BJ187+BK240*BK187+BL240*BL187+BM240*BM187+BN240*BN187+BO240*BO187+BP240*BP187+BQ240*BQ187+BR240*BR187+BS240*BS187+BT240*BT187+BU240*BU187+BV240*BV187+BW240*BW187+BX240*BX187+BY240*BY187+BZ240*BZ187+CA240*CA187+CB240*CB187+CC240*CC187+CD240*CD187+CE240*CE187+CF240*CF187+CG240*CG187+CH240*CH187+CI240*CI187+CJ240*CJ187+CK240*CK187</f>
        <v>0</v>
      </c>
      <c r="CS187" s="2297">
        <f>E241*E187+F241*F187+G241*G187+H241*H187+I241*I187+J241*J187+K241*K187+L241*L187+M241*M187+N241*N187+O241*O187+P241*P187+Q241*Q187+R241*R187+S241*S187+T241*T187+U241*U187+V241*V187+W241*W187+X241*X187+Y241*Y187+Z241*Z187+AA241*AA187+AB241*AB187+AC241*AC187+AD241*AD187+AE241*AE187+AF241*AF187+AG241*AG187+AH241*AH187+AI241*AI187+AJ241*AJ187+AK241*AK187+AL241*AL187+AM241*AM187+AN241*AN187+AO241*AO187+AP241*AP187+AQ241*AQ187+AR241*AR187+AS241*AS187+AT241*AT187+AU241*AU187+AV241*AV187+AW241*AW187+AX241*AX187+AY241*AY187+AZ241*AZ187+BA241*BA187+BB241*BB187+BC241*BC187+BD241*BD187+BE241*BE187+BF241*BF187+BG241*BG187+BH241*BH187+BI241*BI187+BJ241*BJ187+BK241*BK187+BL241*BL187+BM241*BM187+BN241*BN187+BO241*BO187+BP241*BP187+BQ241*BQ187+BR241*BR187+BS241*BS187+BT241*BT187+BU241*BU187+BV241*BV187+BW241*BW187+BX241*BX187+BY241*BY187+BZ241*BZ187+CA241*CA187+CB241*CB187+CC241*CC187+CD241*CD187+CE241*CE187+CF241*CF187+CG241*CG187+CH241*CH187+CI241*CI187+CJ241*CJ187+CK241*CK187</f>
        <v>0</v>
      </c>
      <c r="CT187" s="2297">
        <f>E242*E187+F242*F187+G242*G187+H242*H187+I242*I187+J242*J187+K242*K187+L242*L187+M242*M187+N242*N187+O242*O187+P242*P187+Q242*Q187+R242*R187+S242*S187+T242*T187+U242*U187+V242*V187+W242*W187+X242*X187+Y242*Y187+Z242*Z187+AA242*AA187+AB242*AB187+AC242*AC187+AD242*AD187+AE242*AE187+AF242*AF187+AG242*AG187+AH242*AH187+AI242*AI187+AJ242*AJ187+AK242*AK187+AL242*AL187+AM242*AM187+AN242*AN187+AO242*AO187+AP242*AP187+AQ242*AQ187+AR242*AR187+AS242*AS187+AT242*AT187+AU242*AU187+AV242*AV187+AW242*AW187+AX242*AX187+AY242*AY187+AZ242*AZ187+BA242*BA187+BB242*BB187+BC242*BC187+BD242*BD187+BE242*BE187+BF242*BF187+BG242*BG187+BH242*BH187+BI242*BI187+BJ242*BJ187+BK242*BK187+BL242*BL187+BM242*BM187+BN242*BN187+BO242*BO187+BP242*BP187+BQ242*BQ187+BR242*BR187+BS242*BS187+BT242*BT187+BU242*BU187+BV242*BV187+BW242*BW187+BX242*BX187+BY242*BY187+BZ242*BZ187+CA242*CA187+CB242*CB187+CC242*CC187+CD242*CD187+CE242*CE187+CF242*CF187+CG242*CG187+CH242*CH187+CI242*CI187+CJ242*CJ187+CK242*CK187</f>
        <v>0</v>
      </c>
      <c r="CU187" s="2297">
        <f>E243*E187+F243*F187+G243*G187+H243*H187+I243*I187+J243*J187+K243*K187+L243*L187+M243*M187+N243*N187+O243*O187+P243*P187+Q243*Q187+R243*R187+S243*S187+T243*T187+U243*U187+V243*V187+W243*W187+X243*X187+Y243*Y187+Z243*Z187+AA243*AA187+AB243*AB187+AC243*AC187+AD243*AD187+AE243*AE187+AF243*AF187+AG243*AG187+AH243*AH187+AI243*AI187+AJ243*AJ187+AK243*AK187+AL243*AL187+AM243*AM187+AN243*AN187+AO243*AO187+AP243*AP187+AQ243*AQ187+AR243*AR187+AS243*AS187+AT243*AT187+AU243*AU187+AV243*AV187+AW243*AW187+AX243*AX187+AY243*AY187+AZ243*AZ187+BA243*BA187+BB243*BB187+BC243*BC187+BD243*BD187+BE243*BE187+BF243*BF187+BG243*BG187+BH243*BH187+BI243*BI187+BJ243*BJ187+BK243*BK187+BL243*BL187+BM243*BM187+BN243*BN187+BO243*BO187+BP243*BP187+BQ243*BQ187+BR243*BR187+BS243*BS187+BT243*BT187+BU243*BU187+BV243*BV187+BW243*BW187+BX243*BX187+BY243*BY187+BZ243*BZ187+CA243*CA187+CB243*CB187+CC243*CC187+CD243*CD187+CE243*CE187+CF243*CF187+CG243*CG187+CH243*CH187+CI243*CI187+CJ243*CJ187+CK243*CK187</f>
        <v>0</v>
      </c>
      <c r="CV187" s="2297">
        <f>E244*E187+F244*F187+G244*G187+H244*H187+I244*I187+J244*J187+K244*K187+L244*L187+M244*M187+N244*N187+O244*O187+P244*P187+Q244*Q187+R244*R187+S244*S187+T244*T187+U244*U187+V244*V187+W244*W187+X244*X187+Y244*Y187+Z244*Z187+AA244*AA187+AB244*AB187+AC244*AC187+AD244*AD187+AE244*AE187+AF244*AF187+AG244*AG187+AH244*AH187+AI244*AI187+AJ244*AJ187+AK244*AK187+AL244*AL187+AM244*AM187+AN244*AN187+AO244*AO187+AP244*AP187+AQ244*AQ187+AR244*AR187+AS244*AS187+AT244*AT187+AU244*AU187+AV244*AV187+AW244*AW187+AX244*AX187+AY244*AY187+AZ244*AZ187+BA244*BA187+BB244*BB187+BC244*BC187+BD244*BD187+BE244*BE187+BF244*BF187+BG244*BG187+BH244*BH187+BI244*BI187+BJ244*BJ187+BK244*BK187+BL244*BL187+BM244*BM187+BN244*BN187+BO244*BO187+BP244*BP187+BQ244*BQ187+BR244*BR187+BS244*BS187+BT244*BT187+BU244*BU187+BV244*BV187+BW244*BW187+BX244*BX187+BY244*BY187+BZ244*BZ187+CA244*CA187+CB244*CB187+CC244*CC187+CD244*CD187+CE244*CE187+CF244*CF187+CG244*CG187+CH244*CH187+CI244*CI187+CJ244*CJ187+CK244*CK187</f>
        <v>0</v>
      </c>
      <c r="CW187" s="2297">
        <f>E245*E187+F245*F187+G245*G187+H245*H187+I245*I187+J245*J187+K245*K187+L245*L187+M245*M187+N245*N187+O245*O187+P245*P187+Q245*Q187+R245*R187+S245*S187+T245*T187+U245*U187+V245*V187+W245*W187+X245*X187+Y245*Y187+Z245*Z187+AA245*AA187+AB245*AB187+AC245*AC187+AD245*AD187+AE245*AE187+AF245*AF187+AG245*AG187+AH245*AH187+AI245*AI187+AJ245*AJ187+AK245*AK187+AL245*AL187+AM245*AM187+AN245*AN187+AO245*AO187+AP245*AP187+AQ245*AQ187+AR245*AR187+AS245*AS187+AT245*AT187+AU245*AU187+AV245*AV187+AW245*AW187+AX245*AX187+AY245*AY187+AZ245*AZ187+BA245*BA187+BB245*BB187+BC245*BC187+BD245*BD187+BE245*BE187+BF245*BF187+BG245*BG187+BH245*BH187+BI245*BI187+BJ245*BJ187+BK245*BK187+BL245*BL187+BM245*BM187+BN245*BN187+BO245*BO187+BP245*BP187+BQ245*BQ187+BR245*BR187+BS245*BS187+BT245*BT187+BU245*BU187+BV245*BV187+BW245*BW187+BX245*BX187+BY245*BY187+BZ245*BZ187+CA245*CA187+CB245*CB187+CC245*CC187+CD245*CD187+CE245*CE187+CF245*CF187+CG245*CG187+CH245*CH187+CI245*CI187+CJ245*CJ187+CK245*CK187</f>
        <v>0</v>
      </c>
      <c r="CX187" s="2297">
        <f>E246*E187+F246*F187+G246*G187+H246*H187+I246*I187+J246*J187+K246*K187+L246*L187+M246*M187+N246*N187+O246*O187+P246*P187+Q246*Q187+R246*R187+S246*S187+T246*T187+U246*U187+V246*V187+W246*W187+X246*X187+Y246*Y187+Z246*Z187+AA246*AA187+AB246*AB187+AC246*AC187+AD246*AD187+AE246*AE187+AF246*AF187+AG246*AG187+AH246*AH187+AI246*AI187+AJ246*AJ187+AK246*AK187+AL246*AL187+AM246*AM187+AN246*AN187+AO246*AO187+AP246*AP187+AQ246*AQ187+AR246*AR187+AS246*AS187+AT246*AT187+AU246*AU187+AV246*AV187+AW246*AW187+AX246*AX187+AY246*AY187+AZ246*AZ187+BA246*BA187+BB246*BB187+BC246*BC187+BD246*BD187+BE246*BE187+BF246*BF187+BG246*BG187+BH246*BH187+BI246*BI187+BJ246*BJ187+BK246*BK187+BL246*BL187+BM246*BM187+BN246*BN187+BO246*BO187+BP246*BP187+BQ246*BQ187+BR246*BR187+BS246*BS187+BT246*BT187+BU246*BU187+BV246*BV187+BW246*BW187+BX246*BX187+BY246*BY187+BZ246*BZ187+CA246*CA187+CB246*CB187+CC246*CC187+CD246*CD187+CE246*CE187+CF246*CF187+CG246*CG187+CH246*CH187+CI246*CI187+CJ246*CJ187+CK246*CK187</f>
        <v>0</v>
      </c>
    </row>
    <row r="188" spans="2:102" ht="18" x14ac:dyDescent="0.25">
      <c r="B188" s="1251">
        <v>61</v>
      </c>
      <c r="C188" s="1198" t="s">
        <v>2401</v>
      </c>
      <c r="D188" s="616" t="s">
        <v>5302</v>
      </c>
      <c r="E188" s="2670">
        <f>0</f>
        <v>0</v>
      </c>
      <c r="F188" s="2670">
        <f>1</f>
        <v>1</v>
      </c>
      <c r="G188" s="2670">
        <f>0</f>
        <v>0</v>
      </c>
      <c r="H188" s="2670">
        <f>0</f>
        <v>0</v>
      </c>
      <c r="I188" s="2670">
        <f>0</f>
        <v>0</v>
      </c>
      <c r="J188" s="2693">
        <f>-1</f>
        <v>-1</v>
      </c>
      <c r="K188" s="2670">
        <f>0</f>
        <v>0</v>
      </c>
      <c r="L188" s="2670">
        <f>0</f>
        <v>0</v>
      </c>
      <c r="M188" s="2670">
        <f>0</f>
        <v>0</v>
      </c>
      <c r="N188" s="2670">
        <f>0</f>
        <v>0</v>
      </c>
      <c r="O188" s="2670">
        <f>0</f>
        <v>0</v>
      </c>
      <c r="P188" s="2670">
        <f>0</f>
        <v>0</v>
      </c>
      <c r="Q188" s="2670">
        <f>0</f>
        <v>0</v>
      </c>
      <c r="R188" s="2670">
        <f>0</f>
        <v>0</v>
      </c>
      <c r="S188" s="2670">
        <f>0</f>
        <v>0</v>
      </c>
      <c r="T188" s="2670">
        <f>0</f>
        <v>0</v>
      </c>
      <c r="U188" s="2670">
        <f>0</f>
        <v>0</v>
      </c>
      <c r="V188" s="2670">
        <f>0</f>
        <v>0</v>
      </c>
      <c r="W188" s="2670">
        <f>0</f>
        <v>0</v>
      </c>
      <c r="X188" s="2670">
        <f>0</f>
        <v>0</v>
      </c>
      <c r="Y188" s="2670">
        <f>0</f>
        <v>0</v>
      </c>
      <c r="Z188" s="2671">
        <f>0</f>
        <v>0</v>
      </c>
      <c r="AA188" s="2670">
        <f>0</f>
        <v>0</v>
      </c>
      <c r="AB188" s="2670">
        <f>0</f>
        <v>0</v>
      </c>
      <c r="AC188" s="2670">
        <f>0</f>
        <v>0</v>
      </c>
      <c r="AD188" s="2670">
        <f>0</f>
        <v>0</v>
      </c>
      <c r="AE188" s="2672">
        <f>X_N_Be/X_B_e</f>
        <v>7.6923076923076927E-2</v>
      </c>
      <c r="AF188" s="2672">
        <f>0</f>
        <v>0</v>
      </c>
      <c r="AG188" s="2729">
        <f>-X_N_Be/X_B_e</f>
        <v>-7.6923076923076927E-2</v>
      </c>
      <c r="AH188" s="2670">
        <f>0</f>
        <v>0</v>
      </c>
      <c r="AI188" s="2670">
        <f>0</f>
        <v>0</v>
      </c>
      <c r="AJ188" s="2670">
        <f>0</f>
        <v>0</v>
      </c>
      <c r="AK188" s="2672">
        <f>X_P_Be/X_B_e</f>
        <v>1.5384615384615385E-2</v>
      </c>
      <c r="AL188" s="2672">
        <f>0</f>
        <v>0</v>
      </c>
      <c r="AM188" s="2729">
        <f>-X_P_Be/X_B_e</f>
        <v>-1.5384615384615385E-2</v>
      </c>
      <c r="AN188" s="2670">
        <f>0</f>
        <v>0</v>
      </c>
      <c r="AO188" s="2670">
        <f>0</f>
        <v>0</v>
      </c>
      <c r="AP188" s="2670">
        <f>0</f>
        <v>0</v>
      </c>
      <c r="AQ188" s="2670">
        <f>0</f>
        <v>0</v>
      </c>
      <c r="AR188" s="2670">
        <f>i_CIT_XBe-i_CIT_SB</f>
        <v>0</v>
      </c>
      <c r="AS188" s="2670">
        <f>-i_INORG</f>
        <v>-0.11</v>
      </c>
      <c r="AT188" s="2670">
        <f>i_INORG*(1-i_Ca_INORG*(A_MCa+2*A_MCl)/A_MCa-i_Mg_INORG*(A_MMg+2*A_MCl)/A_MMg)*f_Na</f>
        <v>2.8804303582798466E-2</v>
      </c>
      <c r="AU188" s="2670">
        <f>i_INORG*(i_Ca_INORG*(2*A_MCl)/A_MCa+i_Mg_INORG*(2*A_MCl)/A_MMg)+i_INORG*(1-i_Ca_INORG*(A_MCa+2*A_MCl)/A_MCa-i_Mg_INORG*(A_MMg+2*A_MCl)/A_MMg)*(1-f_Na)</f>
        <v>7.0195696417201539E-2</v>
      </c>
      <c r="AV188" s="2670">
        <f>i_INORG*i_Ca_INORG</f>
        <v>5.5000000000000005E-3</v>
      </c>
      <c r="AW188" s="2670">
        <f>i_INORG*i_Mg_INORG</f>
        <v>5.5000000000000005E-3</v>
      </c>
      <c r="AX188" s="2670">
        <f>0</f>
        <v>0</v>
      </c>
      <c r="AY188" s="2670">
        <f>0</f>
        <v>0</v>
      </c>
      <c r="AZ188" s="2670">
        <f>0</f>
        <v>0</v>
      </c>
      <c r="BA188" s="2670">
        <f>0</f>
        <v>0</v>
      </c>
      <c r="BB188" s="2670">
        <f>0</f>
        <v>0</v>
      </c>
      <c r="BC188" s="2670">
        <f>0</f>
        <v>0</v>
      </c>
      <c r="BD188" s="2670">
        <f>0</f>
        <v>0</v>
      </c>
      <c r="BE188" s="2670">
        <f>0</f>
        <v>0</v>
      </c>
      <c r="BF188" s="2670">
        <f>0</f>
        <v>0</v>
      </c>
      <c r="BG188" s="2670">
        <f>0</f>
        <v>0</v>
      </c>
      <c r="BH188" s="2670">
        <f>0</f>
        <v>0</v>
      </c>
      <c r="BI188" s="2670">
        <f>0</f>
        <v>0</v>
      </c>
      <c r="BJ188" s="2670">
        <f>0</f>
        <v>0</v>
      </c>
      <c r="BK188" s="2670">
        <f>0</f>
        <v>0</v>
      </c>
      <c r="BL188" s="2670">
        <f>0</f>
        <v>0</v>
      </c>
      <c r="BM188" s="2670">
        <f>0</f>
        <v>0</v>
      </c>
      <c r="BN188" s="2670">
        <f>0</f>
        <v>0</v>
      </c>
      <c r="BO188" s="2670">
        <f>0</f>
        <v>0</v>
      </c>
      <c r="BP188" s="2676">
        <f>0</f>
        <v>0</v>
      </c>
      <c r="BQ188" s="2670">
        <f>0</f>
        <v>0</v>
      </c>
      <c r="BR188" s="2670">
        <f>0</f>
        <v>0</v>
      </c>
      <c r="BS188" s="2671">
        <f>0</f>
        <v>0</v>
      </c>
      <c r="BT188" s="2671">
        <f>0</f>
        <v>0</v>
      </c>
      <c r="BU188" s="2671">
        <f>0</f>
        <v>0</v>
      </c>
      <c r="BV188" s="2671">
        <f>0</f>
        <v>0</v>
      </c>
      <c r="BW188" s="2670">
        <f>0</f>
        <v>0</v>
      </c>
      <c r="BX188" s="2783">
        <f>0</f>
        <v>0</v>
      </c>
      <c r="BY188" s="2671">
        <f>0</f>
        <v>0</v>
      </c>
      <c r="BZ188" s="2670">
        <f>0</f>
        <v>0</v>
      </c>
      <c r="CA188" s="2670">
        <f>0</f>
        <v>0</v>
      </c>
      <c r="CB188" s="2670">
        <f>0</f>
        <v>0</v>
      </c>
      <c r="CC188" s="2670">
        <f>0</f>
        <v>0</v>
      </c>
      <c r="CD188" s="2670">
        <f>0</f>
        <v>0</v>
      </c>
      <c r="CE188" s="2670">
        <f>0</f>
        <v>0</v>
      </c>
      <c r="CF188" s="2670">
        <f>0</f>
        <v>0</v>
      </c>
      <c r="CG188" s="2670">
        <f>0</f>
        <v>0</v>
      </c>
      <c r="CH188" s="2670">
        <f>0</f>
        <v>0</v>
      </c>
      <c r="CI188" s="2670">
        <f>0</f>
        <v>0</v>
      </c>
      <c r="CJ188" s="2670">
        <f>0</f>
        <v>0</v>
      </c>
      <c r="CK188" s="2670">
        <f>0</f>
        <v>0</v>
      </c>
      <c r="CL188" s="2812">
        <f>q_HYD_XBe_T*X_HET*(L_ogsatXHET_HYD_lim*M_RsatXBe_XHET_KHYD+L_oginhXHET_HYD_lim*M_satXBe_KXBe_HYD)*(M_satSO2_KO2_OHO+η_HYD_anox*(M_satSNO2_KNO2_OHO+M_satSNO3_KNO3_OHO*M_inhSNO2_KNO2_OHO)*M_inhSO2_KO2_OHO+η_HYD_ana*M_inhSNO3_KNO3_OHO*M_inhSNO2_KNO2_OHO*M_inhSO2_KO2_OHO)</f>
        <v>544.80418226540723</v>
      </c>
      <c r="CN188" s="2295">
        <f>E236*E188+F236*F188+G236*G188+H236*H188+I236*I188+J236*J188+K236*K188+L236*L188+M236*M188+N236*N188+O236*O188+P236*P188+Q236*Q188+R236*R188+S236*S188+T236*T188+U236*U188+V236*V188+W236*W188+X236*X188+Y236*Y188+Z236*Z188+AA236*AA188+AB236*AB188+AC236*AC188+AD236*AD188+AE236*AE188+AF236*AF188+AG236*AG188+AH236*AH188+AI236*AI188+AJ236*AJ188+AK236*AK188+AL236*AL188+AM236*AM188+AN236*AN188+AO236*AO188+AP236*AP188+AQ236*AQ188+AR236*AR188+AS236*AS188+AT236*AT188+AU236*AU188+AV236*AV188+AW236*AW188+AX236*AX188+AY236*AY188+AZ236*AZ188+BA236*BA188+BB236*BB188+BC236*BC188+BD236*BD188+BE236*BE188+BF236*BF188+BG236*BG188+BH236*BH188+BI236*BI188+BJ236*BJ188+BK236*BK188+BL236*BL188+BM236*BM188+BN236*BN188+BO236*BO188+BP236*BP188+BQ236*BQ188+BR236*BR188+BS236*BS188+BT236*BT188+BU236*BU188+BV236*BV188+BW236*BW188+BX236*BX188+BY236*BY188+BZ236*BZ188+CA236*CA188+CB236*CB188+CC236*CC188+CD236*CD188+CE236*CE188+CF236*CF188+CG236*CG188+CH236*CH188+CI236*CI188+CJ236*CJ188+CK236*CK188</f>
        <v>0</v>
      </c>
      <c r="CO188" s="2295">
        <f>E237*E188+F237*F188+G237*G188+H237*H188+I237*I188+J237*J188+K237*K188+L237*L188+M237*M188+N237*N188+O237*O188+P237*P188+Q237*Q188+R237*R188+S237*S188+T237*T188+U237*U188+V237*V188+W237*W188+X237*X188+Y237*Y188+Z237*Z188+AA237*AA188+AB237*AB188+AC237*AC188+AD237*AD188+AE237*AE188+AF237*AF188+AG237*AG188+AH237*AH188+AI237*AI188+AJ237*AJ188+AK237*AK188+AL237*AL188+AM237*AM188+AN237*AN188+AO237*AO188+AP237*AP188+AQ237*AQ188+AR237*AR188+AS237*AS188+AT237*AT188+AU237*AU188+AV237*AV188+AW237*AW188+AX237*AX188+AY237*AY188+AZ237*AZ188+BA237*BA188+BB237*BB188+BC237*BC188+BD237*BD188+BE237*BE188+BF237*BF188+BG237*BG188+BH237*BH188+BI237*BI188+BJ237*BJ188+BK237*BK188+BL237*BL188+BM237*BM188+BN237*BN188+BO237*BO188+BP237*BP188+BQ237*BQ188+BR237*BR188+BS237*BS188+BT237*BT188+BU237*BU188+BV237*BV188+BW237*BW188+BX237*BX188+BY237*BY188+BZ237*BZ188+CA237*CA188+CB237*CB188+CC237*CC188+CD237*CD188+CE237*CE188+CF237*CF188+CG237*CG188+CH237*CH188+CI237*CI188+CJ237*CJ188+CK237*CK188</f>
        <v>0</v>
      </c>
      <c r="CP188" s="2296">
        <f>E238*E188+F238*F188+G238*G188+H238*H188+I238*I188+J238*J188+K238*K188+L238*L188+M238*M188+N238*N188+O238*O188+P238*P188+Q238*Q188+R238*R188+S238*S188+T238*T188+U238*U188+V238*V188+W238*W188+X238*X188+Y238*Y188+Z238*Z188+AA238*AA188+AB238*AB188+AC238*AC188+AD238*AD188+AE238*AE188+AF238*AF188+AG238*AG188+AH238*AH188+AI238*AI188+AJ238*AJ188+AK238*AK188+AL238*AL188+AM238*AM188+AN238*AN188+AO238*AO188+AP238*AP188+AQ238*AQ188+AR238*AR188+AS238*AS188+AT238*AT188+AU238*AU188+AV238*AV188+AW238*AW188+AX238*AX188+AY238*AY188+AZ238*AZ188+BA238*BA188+BB238*BB188+BC238*BC188+BD238*BD188+BE238*BE188+BF238*BF188+BG238*BG188+BH238*BH188+BI238*BI188+BJ238*BJ188+BK238*BK188+BL238*BL188+BM238*BM188+BN238*BN188+BO238*BO188+BP238*BP188+BQ238*BQ188+BR238*BR188+BS238*BS188+BT238*BT188+BU238*BU188+BV238*BV188+BW238*BW188+BX238*BX188+BY238*BY188+BZ238*BZ188+CA238*CA188+CB238*CB188+CC238*CC188+CD238*CD188+CE238*CE188+CF238*CF188+CG238*CG188+CH238*CH188+CI238*CI188+CJ238*CJ188+CK238*CK188</f>
        <v>0</v>
      </c>
      <c r="CQ188" s="2297">
        <f>E239*E188+F239*F188+G239*G188+H239*H188+I239*I188+J239*J188+K239*K188+L239*L188+M239*M188+N239*N188+O239*O188+P239*P188+Q239*Q188+R239*R188+S239*S188+T239*T188+U239*U188+V239*V188+W239*W188+X239*X188+Y239*Y188+Z239*Z188+AA239*AA188+AB239*AB188+AC239*AC188+AD239*AD188+AE239*AE188+AF239*AF188+AG239*AG188+AH239*AH188+AI239*AI188+AJ239*AJ188+AK239*AK188+AL239*AL188+AM239*AM188+AN239*AN188+AO239*AO188+AP239*AP188+AQ239*AQ188+AR239*AR188+AS239*AS188+AT239*AT188+AU239*AU188+AV239*AV188+AW239*AW188+AX239*AX188+AY239*AY188+AZ239*AZ188+BA239*BA188+BB239*BB188+BC239*BC188+BD239*BD188+BE239*BE188+BF239*BF188+BG239*BG188+BH239*BH188+BI239*BI188+BJ239*BJ188+BK239*BK188+BL239*BL188+BM239*BM188+BN239*BN188+BO239*BO188+BP239*BP188+BQ239*BQ188+BR239*BR188+BS239*BS188+BT239*BT188+BU239*BU188+BV239*BV188+BW239*BW188+BX239*BX188+BY239*BY188+BZ239*BZ188+CA239*CA188+CB239*CB188+CC239*CC188+CD239*CD188+CE239*CE188+CF239*CF188+CG239*CG188+CH239*CH188+CI239*CI188+CJ239*CJ188+CK239*CK188</f>
        <v>0</v>
      </c>
      <c r="CR188" s="2297">
        <f>E240*E188+F240*F188+G240*G188+H240*H188+I240*I188+J240*J188+K240*K188+L240*L188+M240*M188+N240*N188+O240*O188+P240*P188+Q240*Q188+R240*R188+S240*S188+T240*T188+U240*U188+V240*V188+W240*W188+X240*X188+Y240*Y188+Z240*Z188+AA240*AA188+AB240*AB188+AC240*AC188+AD240*AD188+AE240*AE188+AF240*AF188+AG240*AG188+AH240*AH188+AI240*AI188+AJ240*AJ188+AK240*AK188+AL240*AL188+AM240*AM188+AN240*AN188+AO240*AO188+AP240*AP188+AQ240*AQ188+AR240*AR188+AS240*AS188+AT240*AT188+AU240*AU188+AV240*AV188+AW240*AW188+AX240*AX188+AY240*AY188+AZ240*AZ188+BA240*BA188+BB240*BB188+BC240*BC188+BD240*BD188+BE240*BE188+BF240*BF188+BG240*BG188+BH240*BH188+BI240*BI188+BJ240*BJ188+BK240*BK188+BL240*BL188+BM240*BM188+BN240*BN188+BO240*BO188+BP240*BP188+BQ240*BQ188+BR240*BR188+BS240*BS188+BT240*BT188+BU240*BU188+BV240*BV188+BW240*BW188+BX240*BX188+BY240*BY188+BZ240*BZ188+CA240*CA188+CB240*CB188+CC240*CC188+CD240*CD188+CE240*CE188+CF240*CF188+CG240*CG188+CH240*CH188+CI240*CI188+CJ240*CJ188+CK240*CK188</f>
        <v>0</v>
      </c>
      <c r="CS188" s="2297">
        <f>E241*E188+F241*F188+G241*G188+H241*H188+I241*I188+J241*J188+K241*K188+L241*L188+M241*M188+N241*N188+O241*O188+P241*P188+Q241*Q188+R241*R188+S241*S188+T241*T188+U241*U188+V241*V188+W241*W188+X241*X188+Y241*Y188+Z241*Z188+AA241*AA188+AB241*AB188+AC241*AC188+AD241*AD188+AE241*AE188+AF241*AF188+AG241*AG188+AH241*AH188+AI241*AI188+AJ241*AJ188+AK241*AK188+AL241*AL188+AM241*AM188+AN241*AN188+AO241*AO188+AP241*AP188+AQ241*AQ188+AR241*AR188+AS241*AS188+AT241*AT188+AU241*AU188+AV241*AV188+AW241*AW188+AX241*AX188+AY241*AY188+AZ241*AZ188+BA241*BA188+BB241*BB188+BC241*BC188+BD241*BD188+BE241*BE188+BF241*BF188+BG241*BG188+BH241*BH188+BI241*BI188+BJ241*BJ188+BK241*BK188+BL241*BL188+BM241*BM188+BN241*BN188+BO241*BO188+BP241*BP188+BQ241*BQ188+BR241*BR188+BS241*BS188+BT241*BT188+BU241*BU188+BV241*BV188+BW241*BW188+BX241*BX188+BY241*BY188+BZ241*BZ188+CA241*CA188+CB241*CB188+CC241*CC188+CD241*CD188+CE241*CE188+CF241*CF188+CG241*CG188+CH241*CH188+CI241*CI188+CJ241*CJ188+CK241*CK188</f>
        <v>0</v>
      </c>
      <c r="CT188" s="2297">
        <f>E242*E188+F242*F188+G242*G188+H242*H188+I242*I188+J242*J188+K242*K188+L242*L188+M242*M188+N242*N188+O242*O188+P242*P188+Q242*Q188+R242*R188+S242*S188+T242*T188+U242*U188+V242*V188+W242*W188+X242*X188+Y242*Y188+Z242*Z188+AA242*AA188+AB242*AB188+AC242*AC188+AD242*AD188+AE242*AE188+AF242*AF188+AG242*AG188+AH242*AH188+AI242*AI188+AJ242*AJ188+AK242*AK188+AL242*AL188+AM242*AM188+AN242*AN188+AO242*AO188+AP242*AP188+AQ242*AQ188+AR242*AR188+AS242*AS188+AT242*AT188+AU242*AU188+AV242*AV188+AW242*AW188+AX242*AX188+AY242*AY188+AZ242*AZ188+BA242*BA188+BB242*BB188+BC242*BC188+BD242*BD188+BE242*BE188+BF242*BF188+BG242*BG188+BH242*BH188+BI242*BI188+BJ242*BJ188+BK242*BK188+BL242*BL188+BM242*BM188+BN242*BN188+BO242*BO188+BP242*BP188+BQ242*BQ188+BR242*BR188+BS242*BS188+BT242*BT188+BU242*BU188+BV242*BV188+BW242*BW188+BX242*BX188+BY242*BY188+BZ242*BZ188+CA242*CA188+CB242*CB188+CC242*CC188+CD242*CD188+CE242*CE188+CF242*CF188+CG242*CG188+CH242*CH188+CI242*CI188+CJ242*CJ188+CK242*CK188</f>
        <v>0</v>
      </c>
      <c r="CU188" s="2297">
        <f>E243*E188+F243*F188+G243*G188+H243*H188+I243*I188+J243*J188+K243*K188+L243*L188+M243*M188+N243*N188+O243*O188+P243*P188+Q243*Q188+R243*R188+S243*S188+T243*T188+U243*U188+V243*V188+W243*W188+X243*X188+Y243*Y188+Z243*Z188+AA243*AA188+AB243*AB188+AC243*AC188+AD243*AD188+AE243*AE188+AF243*AF188+AG243*AG188+AH243*AH188+AI243*AI188+AJ243*AJ188+AK243*AK188+AL243*AL188+AM243*AM188+AN243*AN188+AO243*AO188+AP243*AP188+AQ243*AQ188+AR243*AR188+AS243*AS188+AT243*AT188+AU243*AU188+AV243*AV188+AW243*AW188+AX243*AX188+AY243*AY188+AZ243*AZ188+BA243*BA188+BB243*BB188+BC243*BC188+BD243*BD188+BE243*BE188+BF243*BF188+BG243*BG188+BH243*BH188+BI243*BI188+BJ243*BJ188+BK243*BK188+BL243*BL188+BM243*BM188+BN243*BN188+BO243*BO188+BP243*BP188+BQ243*BQ188+BR243*BR188+BS243*BS188+BT243*BT188+BU243*BU188+BV243*BV188+BW243*BW188+BX243*BX188+BY243*BY188+BZ243*BZ188+CA243*CA188+CB243*CB188+CC243*CC188+CD243*CD188+CE243*CE188+CF243*CF188+CG243*CG188+CH243*CH188+CI243*CI188+CJ243*CJ188+CK243*CK188</f>
        <v>0</v>
      </c>
      <c r="CV188" s="2297">
        <f>E244*E188+F244*F188+G244*G188+H244*H188+I244*I188+J244*J188+K244*K188+L244*L188+M244*M188+N244*N188+O244*O188+P244*P188+Q244*Q188+R244*R188+S244*S188+T244*T188+U244*U188+V244*V188+W244*W188+X244*X188+Y244*Y188+Z244*Z188+AA244*AA188+AB244*AB188+AC244*AC188+AD244*AD188+AE244*AE188+AF244*AF188+AG244*AG188+AH244*AH188+AI244*AI188+AJ244*AJ188+AK244*AK188+AL244*AL188+AM244*AM188+AN244*AN188+AO244*AO188+AP244*AP188+AQ244*AQ188+AR244*AR188+AS244*AS188+AT244*AT188+AU244*AU188+AV244*AV188+AW244*AW188+AX244*AX188+AY244*AY188+AZ244*AZ188+BA244*BA188+BB244*BB188+BC244*BC188+BD244*BD188+BE244*BE188+BF244*BF188+BG244*BG188+BH244*BH188+BI244*BI188+BJ244*BJ188+BK244*BK188+BL244*BL188+BM244*BM188+BN244*BN188+BO244*BO188+BP244*BP188+BQ244*BQ188+BR244*BR188+BS244*BS188+BT244*BT188+BU244*BU188+BV244*BV188+BW244*BW188+BX244*BX188+BY244*BY188+BZ244*BZ188+CA244*CA188+CB244*CB188+CC244*CC188+CD244*CD188+CE244*CE188+CF244*CF188+CG244*CG188+CH244*CH188+CI244*CI188+CJ244*CJ188+CK244*CK188</f>
        <v>0</v>
      </c>
      <c r="CW188" s="2297">
        <f>E245*E188+F245*F188+G245*G188+H245*H188+I245*I188+J245*J188+K245*K188+L245*L188+M245*M188+N245*N188+O245*O188+P245*P188+Q245*Q188+R245*R188+S245*S188+T245*T188+U245*U188+V245*V188+W245*W188+X245*X188+Y245*Y188+Z245*Z188+AA245*AA188+AB245*AB188+AC245*AC188+AD245*AD188+AE245*AE188+AF245*AF188+AG245*AG188+AH245*AH188+AI245*AI188+AJ245*AJ188+AK245*AK188+AL245*AL188+AM245*AM188+AN245*AN188+AO245*AO188+AP245*AP188+AQ245*AQ188+AR245*AR188+AS245*AS188+AT245*AT188+AU245*AU188+AV245*AV188+AW245*AW188+AX245*AX188+AY245*AY188+AZ245*AZ188+BA245*BA188+BB245*BB188+BC245*BC188+BD245*BD188+BE245*BE188+BF245*BF188+BG245*BG188+BH245*BH188+BI245*BI188+BJ245*BJ188+BK245*BK188+BL245*BL188+BM245*BM188+BN245*BN188+BO245*BO188+BP245*BP188+BQ245*BQ188+BR245*BR188+BS245*BS188+BT245*BT188+BU245*BU188+BV245*BV188+BW245*BW188+BX245*BX188+BY245*BY188+BZ245*BZ188+CA245*CA188+CB245*CB188+CC245*CC188+CD245*CD188+CE245*CE188+CF245*CF188+CG245*CG188+CH245*CH188+CI245*CI188+CJ245*CJ188+CK245*CK188</f>
        <v>0</v>
      </c>
      <c r="CX188" s="2297">
        <f>E246*E188+F246*F188+G246*G188+H246*H188+I246*I188+J246*J188+K246*K188+L246*L188+M246*M188+N246*N188+O246*O188+P246*P188+Q246*Q188+R246*R188+S246*S188+T246*T188+U246*U188+V246*V188+W246*W188+X246*X188+Y246*Y188+Z246*Z188+AA246*AA188+AB246*AB188+AC246*AC188+AD246*AD188+AE246*AE188+AF246*AF188+AG246*AG188+AH246*AH188+AI246*AI188+AJ246*AJ188+AK246*AK188+AL246*AL188+AM246*AM188+AN246*AN188+AO246*AO188+AP246*AP188+AQ246*AQ188+AR246*AR188+AS246*AS188+AT246*AT188+AU246*AU188+AV246*AV188+AW246*AW188+AX246*AX188+AY246*AY188+AZ246*AZ188+BA246*BA188+BB246*BB188+BC246*BC188+BD246*BD188+BE246*BE188+BF246*BF188+BG246*BG188+BH246*BH188+BI246*BI188+BJ246*BJ188+BK246*BK188+BL246*BL188+BM246*BM188+BN246*BN188+BO246*BO188+BP246*BP188+BQ246*BQ188+BR246*BR188+BS246*BS188+BT246*BT188+BU246*BU188+BV246*BV188+BW246*BW188+BX246*BX188+BY246*BY188+BZ246*BZ188+CA246*CA188+CB246*CB188+CC246*CC188+CD246*CD188+CE246*CE188+CF246*CF188+CG246*CG188+CH246*CH188+CI246*CI188+CJ246*CJ188+CK246*CK188</f>
        <v>0</v>
      </c>
    </row>
    <row r="189" spans="2:102" ht="18" x14ac:dyDescent="0.25">
      <c r="B189" s="1251">
        <v>62</v>
      </c>
      <c r="C189" s="1198" t="s">
        <v>2402</v>
      </c>
      <c r="D189" s="616" t="s">
        <v>5301</v>
      </c>
      <c r="E189" s="2670">
        <f>0</f>
        <v>0</v>
      </c>
      <c r="F189" s="2670">
        <f>0</f>
        <v>0</v>
      </c>
      <c r="G189" s="2670">
        <f>0</f>
        <v>0</v>
      </c>
      <c r="H189" s="2670">
        <f>0</f>
        <v>0</v>
      </c>
      <c r="I189" s="2670">
        <f>0</f>
        <v>0</v>
      </c>
      <c r="J189" s="2693">
        <f>0</f>
        <v>0</v>
      </c>
      <c r="K189" s="2670">
        <f>0</f>
        <v>0</v>
      </c>
      <c r="L189" s="2670">
        <f>0</f>
        <v>0</v>
      </c>
      <c r="M189" s="2670">
        <f>0</f>
        <v>0</v>
      </c>
      <c r="N189" s="2670">
        <f>0</f>
        <v>0</v>
      </c>
      <c r="O189" s="2670">
        <f>0</f>
        <v>0</v>
      </c>
      <c r="P189" s="2670">
        <f>0</f>
        <v>0</v>
      </c>
      <c r="Q189" s="2670">
        <f>0</f>
        <v>0</v>
      </c>
      <c r="R189" s="2670">
        <f>0</f>
        <v>0</v>
      </c>
      <c r="S189" s="2670">
        <f>0</f>
        <v>0</v>
      </c>
      <c r="T189" s="2670">
        <f>0</f>
        <v>0</v>
      </c>
      <c r="U189" s="2670">
        <f>0</f>
        <v>0</v>
      </c>
      <c r="V189" s="2670">
        <f>0</f>
        <v>0</v>
      </c>
      <c r="W189" s="2670">
        <f>0</f>
        <v>0</v>
      </c>
      <c r="X189" s="2670">
        <f>0</f>
        <v>0</v>
      </c>
      <c r="Y189" s="2670">
        <f>0</f>
        <v>0</v>
      </c>
      <c r="Z189" s="2671">
        <f>0</f>
        <v>0</v>
      </c>
      <c r="AA189" s="2670">
        <f>1</f>
        <v>1</v>
      </c>
      <c r="AB189" s="2670">
        <f>0</f>
        <v>0</v>
      </c>
      <c r="AC189" s="2670">
        <f>0</f>
        <v>0</v>
      </c>
      <c r="AD189" s="2670">
        <f>0</f>
        <v>0</v>
      </c>
      <c r="AE189" s="2670">
        <f>-1</f>
        <v>-1</v>
      </c>
      <c r="AF189" s="2670">
        <f>0</f>
        <v>0</v>
      </c>
      <c r="AG189" s="2693">
        <f>0</f>
        <v>0</v>
      </c>
      <c r="AH189" s="2670">
        <f>0</f>
        <v>0</v>
      </c>
      <c r="AI189" s="2670">
        <f>0</f>
        <v>0</v>
      </c>
      <c r="AJ189" s="2670">
        <f>0</f>
        <v>0</v>
      </c>
      <c r="AK189" s="2670">
        <f>0</f>
        <v>0</v>
      </c>
      <c r="AL189" s="2670">
        <f>0</f>
        <v>0</v>
      </c>
      <c r="AM189" s="2693">
        <f>0</f>
        <v>0</v>
      </c>
      <c r="AN189" s="2670">
        <f>0</f>
        <v>0</v>
      </c>
      <c r="AO189" s="2670">
        <f>0</f>
        <v>0</v>
      </c>
      <c r="AP189" s="2670">
        <f>0</f>
        <v>0</v>
      </c>
      <c r="AQ189" s="2670">
        <f>0</f>
        <v>0</v>
      </c>
      <c r="AR189" s="2670">
        <f>0</f>
        <v>0</v>
      </c>
      <c r="AS189" s="2670">
        <f>0</f>
        <v>0</v>
      </c>
      <c r="AT189" s="2670">
        <f>0</f>
        <v>0</v>
      </c>
      <c r="AU189" s="2670">
        <f>0</f>
        <v>0</v>
      </c>
      <c r="AV189" s="2670">
        <f>0</f>
        <v>0</v>
      </c>
      <c r="AW189" s="2670">
        <f>0</f>
        <v>0</v>
      </c>
      <c r="AX189" s="2670">
        <f>0</f>
        <v>0</v>
      </c>
      <c r="AY189" s="2670">
        <f>0</f>
        <v>0</v>
      </c>
      <c r="AZ189" s="2670">
        <f>0</f>
        <v>0</v>
      </c>
      <c r="BA189" s="2670">
        <f>0</f>
        <v>0</v>
      </c>
      <c r="BB189" s="2670">
        <f>0</f>
        <v>0</v>
      </c>
      <c r="BC189" s="2670">
        <f>0</f>
        <v>0</v>
      </c>
      <c r="BD189" s="2670">
        <f>0</f>
        <v>0</v>
      </c>
      <c r="BE189" s="2670">
        <f>0</f>
        <v>0</v>
      </c>
      <c r="BF189" s="2670">
        <f>0</f>
        <v>0</v>
      </c>
      <c r="BG189" s="2670">
        <f>0</f>
        <v>0</v>
      </c>
      <c r="BH189" s="2670">
        <f>0</f>
        <v>0</v>
      </c>
      <c r="BI189" s="2670">
        <f>0</f>
        <v>0</v>
      </c>
      <c r="BJ189" s="2670">
        <f>0</f>
        <v>0</v>
      </c>
      <c r="BK189" s="2670">
        <f>0</f>
        <v>0</v>
      </c>
      <c r="BL189" s="2670">
        <f>0</f>
        <v>0</v>
      </c>
      <c r="BM189" s="2670">
        <f>0</f>
        <v>0</v>
      </c>
      <c r="BN189" s="2670">
        <f>0</f>
        <v>0</v>
      </c>
      <c r="BO189" s="2670">
        <f>0</f>
        <v>0</v>
      </c>
      <c r="BP189" s="2676">
        <f>0</f>
        <v>0</v>
      </c>
      <c r="BQ189" s="2670">
        <f>0</f>
        <v>0</v>
      </c>
      <c r="BR189" s="2670">
        <f>0</f>
        <v>0</v>
      </c>
      <c r="BS189" s="2671">
        <f>0</f>
        <v>0</v>
      </c>
      <c r="BT189" s="2671">
        <f>0</f>
        <v>0</v>
      </c>
      <c r="BU189" s="2671">
        <f>0</f>
        <v>0</v>
      </c>
      <c r="BV189" s="2671">
        <f>0</f>
        <v>0</v>
      </c>
      <c r="BW189" s="2670">
        <f>0</f>
        <v>0</v>
      </c>
      <c r="BX189" s="2783">
        <f>0</f>
        <v>0</v>
      </c>
      <c r="BY189" s="2671">
        <f>0</f>
        <v>0</v>
      </c>
      <c r="BZ189" s="2670">
        <f>0</f>
        <v>0</v>
      </c>
      <c r="CA189" s="2670">
        <f>0</f>
        <v>0</v>
      </c>
      <c r="CB189" s="2670">
        <f>0</f>
        <v>0</v>
      </c>
      <c r="CC189" s="2670">
        <f>0</f>
        <v>0</v>
      </c>
      <c r="CD189" s="2670">
        <f>0</f>
        <v>0</v>
      </c>
      <c r="CE189" s="2670">
        <f>0</f>
        <v>0</v>
      </c>
      <c r="CF189" s="2670">
        <f>0</f>
        <v>0</v>
      </c>
      <c r="CG189" s="2670">
        <f>0</f>
        <v>0</v>
      </c>
      <c r="CH189" s="2670">
        <f>0</f>
        <v>0</v>
      </c>
      <c r="CI189" s="2670">
        <f>0</f>
        <v>0</v>
      </c>
      <c r="CJ189" s="2670">
        <f>0</f>
        <v>0</v>
      </c>
      <c r="CK189" s="2670">
        <f>0</f>
        <v>0</v>
      </c>
      <c r="CL189" s="2813">
        <f>q_AMMON_T*S_N_B*X_HET</f>
        <v>25.0075</v>
      </c>
      <c r="CN189" s="2295">
        <f>E236*E189+F236*F189+G236*G189+H236*H189+I236*I189+J236*J189+K236*K189+L236*L189+M236*M189+N236*N189+O236*O189+P236*P189+Q236*Q189+R236*R189+S236*S189+T236*T189+U236*U189+V236*V189+W236*W189+X236*X189+Y236*Y189+Z236*Z189+AA236*AA189+AB236*AB189+AC236*AC189+AD236*AD189+AE236*AE189+AF236*AF189+AG236*AG189+AH236*AH189+AI236*AI189+AJ236*AJ189+AK236*AK189+AL236*AL189+AM236*AM189+AN236*AN189+AO236*AO189+AP236*AP189+AQ236*AQ189+AR236*AR189+AS236*AS189+AT236*AT189+AU236*AU189+AV236*AV189+AW236*AW189+AX236*AX189+AY236*AY189+AZ236*AZ189+BA236*BA189+BB236*BB189+BC236*BC189+BD236*BD189+BE236*BE189+BF236*BF189+BG236*BG189+BH236*BH189+BI236*BI189+BJ236*BJ189+BK236*BK189+BL236*BL189+BM236*BM189+BN236*BN189+BO236*BO189+BP236*BP189+BQ236*BQ189+BR236*BR189+BS236*BS189+BT236*BT189+BU236*BU189+BV236*BV189+BW236*BW189+BX236*BX189+BY236*BY189+BZ236*BZ189+CA236*CA189+CB236*CB189+CC236*CC189+CD236*CD189+CE236*CE189+CF236*CF189+CG236*CG189+CH236*CH189+CI236*CI189+CJ236*CJ189+CK236*CK189</f>
        <v>0</v>
      </c>
      <c r="CO189" s="2295">
        <f>E237*E189+F237*F189+G237*G189+H237*H189+I237*I189+J237*J189+K237*K189+L237*L189+M237*M189+N237*N189+O237*O189+P237*P189+Q237*Q189+R237*R189+S237*S189+T237*T189+U237*U189+V237*V189+W237*W189+X237*X189+Y237*Y189+Z237*Z189+AA237*AA189+AB237*AB189+AC237*AC189+AD237*AD189+AE237*AE189+AF237*AF189+AG237*AG189+AH237*AH189+AI237*AI189+AJ237*AJ189+AK237*AK189+AL237*AL189+AM237*AM189+AN237*AN189+AO237*AO189+AP237*AP189+AQ237*AQ189+AR237*AR189+AS237*AS189+AT237*AT189+AU237*AU189+AV237*AV189+AW237*AW189+AX237*AX189+AY237*AY189+AZ237*AZ189+BA237*BA189+BB237*BB189+BC237*BC189+BD237*BD189+BE237*BE189+BF237*BF189+BG237*BG189+BH237*BH189+BI237*BI189+BJ237*BJ189+BK237*BK189+BL237*BL189+BM237*BM189+BN237*BN189+BO237*BO189+BP237*BP189+BQ237*BQ189+BR237*BR189+BS237*BS189+BT237*BT189+BU237*BU189+BV237*BV189+BW237*BW189+BX237*BX189+BY237*BY189+BZ237*BZ189+CA237*CA189+CB237*CB189+CC237*CC189+CD237*CD189+CE237*CE189+CF237*CF189+CG237*CG189+CH237*CH189+CI237*CI189+CJ237*CJ189+CK237*CK189</f>
        <v>0</v>
      </c>
      <c r="CP189" s="2296">
        <f>E238*E189+F238*F189+G238*G189+H238*H189+I238*I189+J238*J189+K238*K189+L238*L189+M238*M189+N238*N189+O238*O189+P238*P189+Q238*Q189+R238*R189+S238*S189+T238*T189+U238*U189+V238*V189+W238*W189+X238*X189+Y238*Y189+Z238*Z189+AA238*AA189+AB238*AB189+AC238*AC189+AD238*AD189+AE238*AE189+AF238*AF189+AG238*AG189+AH238*AH189+AI238*AI189+AJ238*AJ189+AK238*AK189+AL238*AL189+AM238*AM189+AN238*AN189+AO238*AO189+AP238*AP189+AQ238*AQ189+AR238*AR189+AS238*AS189+AT238*AT189+AU238*AU189+AV238*AV189+AW238*AW189+AX238*AX189+AY238*AY189+AZ238*AZ189+BA238*BA189+BB238*BB189+BC238*BC189+BD238*BD189+BE238*BE189+BF238*BF189+BG238*BG189+BH238*BH189+BI238*BI189+BJ238*BJ189+BK238*BK189+BL238*BL189+BM238*BM189+BN238*BN189+BO238*BO189+BP238*BP189+BQ238*BQ189+BR238*BR189+BS238*BS189+BT238*BT189+BU238*BU189+BV238*BV189+BW238*BW189+BX238*BX189+BY238*BY189+BZ238*BZ189+CA238*CA189+CB238*CB189+CC238*CC189+CD238*CD189+CE238*CE189+CF238*CF189+CG238*CG189+CH238*CH189+CI238*CI189+CJ238*CJ189+CK238*CK189</f>
        <v>0</v>
      </c>
      <c r="CQ189" s="2297">
        <f>E239*E189+F239*F189+G239*G189+H239*H189+I239*I189+J239*J189+K239*K189+L239*L189+M239*M189+N239*N189+O239*O189+P239*P189+Q239*Q189+R239*R189+S239*S189+T239*T189+U239*U189+V239*V189+W239*W189+X239*X189+Y239*Y189+Z239*Z189+AA239*AA189+AB239*AB189+AC239*AC189+AD239*AD189+AE239*AE189+AF239*AF189+AG239*AG189+AH239*AH189+AI239*AI189+AJ239*AJ189+AK239*AK189+AL239*AL189+AM239*AM189+AN239*AN189+AO239*AO189+AP239*AP189+AQ239*AQ189+AR239*AR189+AS239*AS189+AT239*AT189+AU239*AU189+AV239*AV189+AW239*AW189+AX239*AX189+AY239*AY189+AZ239*AZ189+BA239*BA189+BB239*BB189+BC239*BC189+BD239*BD189+BE239*BE189+BF239*BF189+BG239*BG189+BH239*BH189+BI239*BI189+BJ239*BJ189+BK239*BK189+BL239*BL189+BM239*BM189+BN239*BN189+BO239*BO189+BP239*BP189+BQ239*BQ189+BR239*BR189+BS239*BS189+BT239*BT189+BU239*BU189+BV239*BV189+BW239*BW189+BX239*BX189+BY239*BY189+BZ239*BZ189+CA239*CA189+CB239*CB189+CC239*CC189+CD239*CD189+CE239*CE189+CF239*CF189+CG239*CG189+CH239*CH189+CI239*CI189+CJ239*CJ189+CK239*CK189</f>
        <v>0</v>
      </c>
      <c r="CR189" s="2297">
        <f>E240*E189+F240*F189+G240*G189+H240*H189+I240*I189+J240*J189+K240*K189+L240*L189+M240*M189+N240*N189+O240*O189+P240*P189+Q240*Q189+R240*R189+S240*S189+T240*T189+U240*U189+V240*V189+W240*W189+X240*X189+Y240*Y189+Z240*Z189+AA240*AA189+AB240*AB189+AC240*AC189+AD240*AD189+AE240*AE189+AF240*AF189+AG240*AG189+AH240*AH189+AI240*AI189+AJ240*AJ189+AK240*AK189+AL240*AL189+AM240*AM189+AN240*AN189+AO240*AO189+AP240*AP189+AQ240*AQ189+AR240*AR189+AS240*AS189+AT240*AT189+AU240*AU189+AV240*AV189+AW240*AW189+AX240*AX189+AY240*AY189+AZ240*AZ189+BA240*BA189+BB240*BB189+BC240*BC189+BD240*BD189+BE240*BE189+BF240*BF189+BG240*BG189+BH240*BH189+BI240*BI189+BJ240*BJ189+BK240*BK189+BL240*BL189+BM240*BM189+BN240*BN189+BO240*BO189+BP240*BP189+BQ240*BQ189+BR240*BR189+BS240*BS189+BT240*BT189+BU240*BU189+BV240*BV189+BW240*BW189+BX240*BX189+BY240*BY189+BZ240*BZ189+CA240*CA189+CB240*CB189+CC240*CC189+CD240*CD189+CE240*CE189+CF240*CF189+CG240*CG189+CH240*CH189+CI240*CI189+CJ240*CJ189+CK240*CK189</f>
        <v>0</v>
      </c>
      <c r="CS189" s="2297">
        <f>E241*E189+F241*F189+G241*G189+H241*H189+I241*I189+J241*J189+K241*K189+L241*L189+M241*M189+N241*N189+O241*O189+P241*P189+Q241*Q189+R241*R189+S241*S189+T241*T189+U241*U189+V241*V189+W241*W189+X241*X189+Y241*Y189+Z241*Z189+AA241*AA189+AB241*AB189+AC241*AC189+AD241*AD189+AE241*AE189+AF241*AF189+AG241*AG189+AH241*AH189+AI241*AI189+AJ241*AJ189+AK241*AK189+AL241*AL189+AM241*AM189+AN241*AN189+AO241*AO189+AP241*AP189+AQ241*AQ189+AR241*AR189+AS241*AS189+AT241*AT189+AU241*AU189+AV241*AV189+AW241*AW189+AX241*AX189+AY241*AY189+AZ241*AZ189+BA241*BA189+BB241*BB189+BC241*BC189+BD241*BD189+BE241*BE189+BF241*BF189+BG241*BG189+BH241*BH189+BI241*BI189+BJ241*BJ189+BK241*BK189+BL241*BL189+BM241*BM189+BN241*BN189+BO241*BO189+BP241*BP189+BQ241*BQ189+BR241*BR189+BS241*BS189+BT241*BT189+BU241*BU189+BV241*BV189+BW241*BW189+BX241*BX189+BY241*BY189+BZ241*BZ189+CA241*CA189+CB241*CB189+CC241*CC189+CD241*CD189+CE241*CE189+CF241*CF189+CG241*CG189+CH241*CH189+CI241*CI189+CJ241*CJ189+CK241*CK189</f>
        <v>0</v>
      </c>
      <c r="CT189" s="2297">
        <f>E242*E189+F242*F189+G242*G189+H242*H189+I242*I189+J242*J189+K242*K189+L242*L189+M242*M189+N242*N189+O242*O189+P242*P189+Q242*Q189+R242*R189+S242*S189+T242*T189+U242*U189+V242*V189+W242*W189+X242*X189+Y242*Y189+Z242*Z189+AA242*AA189+AB242*AB189+AC242*AC189+AD242*AD189+AE242*AE189+AF242*AF189+AG242*AG189+AH242*AH189+AI242*AI189+AJ242*AJ189+AK242*AK189+AL242*AL189+AM242*AM189+AN242*AN189+AO242*AO189+AP242*AP189+AQ242*AQ189+AR242*AR189+AS242*AS189+AT242*AT189+AU242*AU189+AV242*AV189+AW242*AW189+AX242*AX189+AY242*AY189+AZ242*AZ189+BA242*BA189+BB242*BB189+BC242*BC189+BD242*BD189+BE242*BE189+BF242*BF189+BG242*BG189+BH242*BH189+BI242*BI189+BJ242*BJ189+BK242*BK189+BL242*BL189+BM242*BM189+BN242*BN189+BO242*BO189+BP242*BP189+BQ242*BQ189+BR242*BR189+BS242*BS189+BT242*BT189+BU242*BU189+BV242*BV189+BW242*BW189+BX242*BX189+BY242*BY189+BZ242*BZ189+CA242*CA189+CB242*CB189+CC242*CC189+CD242*CD189+CE242*CE189+CF242*CF189+CG242*CG189+CH242*CH189+CI242*CI189+CJ242*CJ189+CK242*CK189</f>
        <v>0</v>
      </c>
      <c r="CU189" s="2297">
        <f>E243*E189+F243*F189+G243*G189+H243*H189+I243*I189+J243*J189+K243*K189+L243*L189+M243*M189+N243*N189+O243*O189+P243*P189+Q243*Q189+R243*R189+S243*S189+T243*T189+U243*U189+V243*V189+W243*W189+X243*X189+Y243*Y189+Z243*Z189+AA243*AA189+AB243*AB189+AC243*AC189+AD243*AD189+AE243*AE189+AF243*AF189+AG243*AG189+AH243*AH189+AI243*AI189+AJ243*AJ189+AK243*AK189+AL243*AL189+AM243*AM189+AN243*AN189+AO243*AO189+AP243*AP189+AQ243*AQ189+AR243*AR189+AS243*AS189+AT243*AT189+AU243*AU189+AV243*AV189+AW243*AW189+AX243*AX189+AY243*AY189+AZ243*AZ189+BA243*BA189+BB243*BB189+BC243*BC189+BD243*BD189+BE243*BE189+BF243*BF189+BG243*BG189+BH243*BH189+BI243*BI189+BJ243*BJ189+BK243*BK189+BL243*BL189+BM243*BM189+BN243*BN189+BO243*BO189+BP243*BP189+BQ243*BQ189+BR243*BR189+BS243*BS189+BT243*BT189+BU243*BU189+BV243*BV189+BW243*BW189+BX243*BX189+BY243*BY189+BZ243*BZ189+CA243*CA189+CB243*CB189+CC243*CC189+CD243*CD189+CE243*CE189+CF243*CF189+CG243*CG189+CH243*CH189+CI243*CI189+CJ243*CJ189+CK243*CK189</f>
        <v>0</v>
      </c>
      <c r="CV189" s="2297">
        <f>E244*E189+F244*F189+G244*G189+H244*H189+I244*I189+J244*J189+K244*K189+L244*L189+M244*M189+N244*N189+O244*O189+P244*P189+Q244*Q189+R244*R189+S244*S189+T244*T189+U244*U189+V244*V189+W244*W189+X244*X189+Y244*Y189+Z244*Z189+AA244*AA189+AB244*AB189+AC244*AC189+AD244*AD189+AE244*AE189+AF244*AF189+AG244*AG189+AH244*AH189+AI244*AI189+AJ244*AJ189+AK244*AK189+AL244*AL189+AM244*AM189+AN244*AN189+AO244*AO189+AP244*AP189+AQ244*AQ189+AR244*AR189+AS244*AS189+AT244*AT189+AU244*AU189+AV244*AV189+AW244*AW189+AX244*AX189+AY244*AY189+AZ244*AZ189+BA244*BA189+BB244*BB189+BC244*BC189+BD244*BD189+BE244*BE189+BF244*BF189+BG244*BG189+BH244*BH189+BI244*BI189+BJ244*BJ189+BK244*BK189+BL244*BL189+BM244*BM189+BN244*BN189+BO244*BO189+BP244*BP189+BQ244*BQ189+BR244*BR189+BS244*BS189+BT244*BT189+BU244*BU189+BV244*BV189+BW244*BW189+BX244*BX189+BY244*BY189+BZ244*BZ189+CA244*CA189+CB244*CB189+CC244*CC189+CD244*CD189+CE244*CE189+CF244*CF189+CG244*CG189+CH244*CH189+CI244*CI189+CJ244*CJ189+CK244*CK189</f>
        <v>0</v>
      </c>
      <c r="CW189" s="2297">
        <f>E245*E189+F245*F189+G245*G189+H245*H189+I245*I189+J245*J189+K245*K189+L245*L189+M245*M189+N245*N189+O245*O189+P245*P189+Q245*Q189+R245*R189+S245*S189+T245*T189+U245*U189+V245*V189+W245*W189+X245*X189+Y245*Y189+Z245*Z189+AA245*AA189+AB245*AB189+AC245*AC189+AD245*AD189+AE245*AE189+AF245*AF189+AG245*AG189+AH245*AH189+AI245*AI189+AJ245*AJ189+AK245*AK189+AL245*AL189+AM245*AM189+AN245*AN189+AO245*AO189+AP245*AP189+AQ245*AQ189+AR245*AR189+AS245*AS189+AT245*AT189+AU245*AU189+AV245*AV189+AW245*AW189+AX245*AX189+AY245*AY189+AZ245*AZ189+BA245*BA189+BB245*BB189+BC245*BC189+BD245*BD189+BE245*BE189+BF245*BF189+BG245*BG189+BH245*BH189+BI245*BI189+BJ245*BJ189+BK245*BK189+BL245*BL189+BM245*BM189+BN245*BN189+BO245*BO189+BP245*BP189+BQ245*BQ189+BR245*BR189+BS245*BS189+BT245*BT189+BU245*BU189+BV245*BV189+BW245*BW189+BX245*BX189+BY245*BY189+BZ245*BZ189+CA245*CA189+CB245*CB189+CC245*CC189+CD245*CD189+CE245*CE189+CF245*CF189+CG245*CG189+CH245*CH189+CI245*CI189+CJ245*CJ189+CK245*CK189</f>
        <v>0</v>
      </c>
      <c r="CX189" s="2297">
        <f>E246*E189+F246*F189+G246*G189+H246*H189+I246*I189+J246*J189+K246*K189+L246*L189+M246*M189+N246*N189+O246*O189+P246*P189+Q246*Q189+R246*R189+S246*S189+T246*T189+U246*U189+V246*V189+W246*W189+X246*X189+Y246*Y189+Z246*Z189+AA246*AA189+AB246*AB189+AC246*AC189+AD246*AD189+AE246*AE189+AF246*AF189+AG246*AG189+AH246*AH189+AI246*AI189+AJ246*AJ189+AK246*AK189+AL246*AL189+AM246*AM189+AN246*AN189+AO246*AO189+AP246*AP189+AQ246*AQ189+AR246*AR189+AS246*AS189+AT246*AT189+AU246*AU189+AV246*AV189+AW246*AW189+AX246*AX189+AY246*AY189+AZ246*AZ189+BA246*BA189+BB246*BB189+BC246*BC189+BD246*BD189+BE246*BE189+BF246*BF189+BG246*BG189+BH246*BH189+BI246*BI189+BJ246*BJ189+BK246*BK189+BL246*BL189+BM246*BM189+BN246*BN189+BO246*BO189+BP246*BP189+BQ246*BQ189+BR246*BR189+BS246*BS189+BT246*BT189+BU246*BU189+BV246*BV189+BW246*BW189+BX246*BX189+BY246*BY189+BZ246*BZ189+CA246*CA189+CB246*CB189+CC246*CC189+CD246*CD189+CE246*CE189+CF246*CF189+CG246*CG189+CH246*CH189+CI246*CI189+CJ246*CJ189+CK246*CK189</f>
        <v>0</v>
      </c>
    </row>
    <row r="190" spans="2:102" ht="18" x14ac:dyDescent="0.25">
      <c r="B190" s="1251">
        <v>63</v>
      </c>
      <c r="C190" s="1198" t="s">
        <v>2403</v>
      </c>
      <c r="D190" s="616" t="s">
        <v>1685</v>
      </c>
      <c r="E190" s="2670">
        <f>0</f>
        <v>0</v>
      </c>
      <c r="F190" s="2670">
        <f>0</f>
        <v>0</v>
      </c>
      <c r="G190" s="2670">
        <f>0</f>
        <v>0</v>
      </c>
      <c r="H190" s="2670">
        <f>0</f>
        <v>0</v>
      </c>
      <c r="I190" s="2670">
        <f>0</f>
        <v>0</v>
      </c>
      <c r="J190" s="2693">
        <f>0</f>
        <v>0</v>
      </c>
      <c r="K190" s="2670">
        <f>0</f>
        <v>0</v>
      </c>
      <c r="L190" s="2670">
        <f>0</f>
        <v>0</v>
      </c>
      <c r="M190" s="2670">
        <f>0</f>
        <v>0</v>
      </c>
      <c r="N190" s="2670">
        <f>0</f>
        <v>0</v>
      </c>
      <c r="O190" s="2670">
        <f>0</f>
        <v>0</v>
      </c>
      <c r="P190" s="2670">
        <f>0</f>
        <v>0</v>
      </c>
      <c r="Q190" s="2670">
        <f>0</f>
        <v>0</v>
      </c>
      <c r="R190" s="2670">
        <f>0</f>
        <v>0</v>
      </c>
      <c r="S190" s="2670">
        <f>0</f>
        <v>0</v>
      </c>
      <c r="T190" s="2670">
        <f>0</f>
        <v>0</v>
      </c>
      <c r="U190" s="2670">
        <f>0</f>
        <v>0</v>
      </c>
      <c r="V190" s="2670">
        <f>0</f>
        <v>0</v>
      </c>
      <c r="W190" s="2670">
        <f>0</f>
        <v>0</v>
      </c>
      <c r="X190" s="2670">
        <f>0</f>
        <v>0</v>
      </c>
      <c r="Y190" s="2670">
        <f>0</f>
        <v>0</v>
      </c>
      <c r="Z190" s="2671">
        <f>0</f>
        <v>0</v>
      </c>
      <c r="AA190" s="2670">
        <f>0</f>
        <v>0</v>
      </c>
      <c r="AB190" s="2670">
        <f>0</f>
        <v>0</v>
      </c>
      <c r="AC190" s="2670">
        <f>0</f>
        <v>0</v>
      </c>
      <c r="AD190" s="2670">
        <f>0</f>
        <v>0</v>
      </c>
      <c r="AE190" s="2670">
        <f>0</f>
        <v>0</v>
      </c>
      <c r="AF190" s="2670">
        <f>0</f>
        <v>0</v>
      </c>
      <c r="AG190" s="2693">
        <f>0</f>
        <v>0</v>
      </c>
      <c r="AH190" s="2670">
        <f>0</f>
        <v>0</v>
      </c>
      <c r="AI190" s="2670">
        <f>1</f>
        <v>1</v>
      </c>
      <c r="AJ190" s="2670">
        <f>0</f>
        <v>0</v>
      </c>
      <c r="AK190" s="2670">
        <f>-1</f>
        <v>-1</v>
      </c>
      <c r="AL190" s="2670">
        <f>0</f>
        <v>0</v>
      </c>
      <c r="AM190" s="2693">
        <f>0</f>
        <v>0</v>
      </c>
      <c r="AN190" s="2670">
        <f>0</f>
        <v>0</v>
      </c>
      <c r="AO190" s="2670">
        <f>0</f>
        <v>0</v>
      </c>
      <c r="AP190" s="2670">
        <f>0</f>
        <v>0</v>
      </c>
      <c r="AQ190" s="2670">
        <f>0</f>
        <v>0</v>
      </c>
      <c r="AR190" s="2670">
        <f>0</f>
        <v>0</v>
      </c>
      <c r="AS190" s="2670">
        <f>0</f>
        <v>0</v>
      </c>
      <c r="AT190" s="2670">
        <f>0</f>
        <v>0</v>
      </c>
      <c r="AU190" s="2670">
        <f>0</f>
        <v>0</v>
      </c>
      <c r="AV190" s="2670">
        <f>0</f>
        <v>0</v>
      </c>
      <c r="AW190" s="2670">
        <f>0</f>
        <v>0</v>
      </c>
      <c r="AX190" s="2670">
        <f>0</f>
        <v>0</v>
      </c>
      <c r="AY190" s="2670">
        <f>0</f>
        <v>0</v>
      </c>
      <c r="AZ190" s="2670">
        <f>0</f>
        <v>0</v>
      </c>
      <c r="BA190" s="2670">
        <f>0</f>
        <v>0</v>
      </c>
      <c r="BB190" s="2670">
        <f>0</f>
        <v>0</v>
      </c>
      <c r="BC190" s="2670">
        <f>0</f>
        <v>0</v>
      </c>
      <c r="BD190" s="2670">
        <f>0</f>
        <v>0</v>
      </c>
      <c r="BE190" s="2670">
        <f>0</f>
        <v>0</v>
      </c>
      <c r="BF190" s="2670">
        <f>0</f>
        <v>0</v>
      </c>
      <c r="BG190" s="2670">
        <f>0</f>
        <v>0</v>
      </c>
      <c r="BH190" s="2670">
        <f>0</f>
        <v>0</v>
      </c>
      <c r="BI190" s="2670">
        <f>0</f>
        <v>0</v>
      </c>
      <c r="BJ190" s="2670">
        <f>0</f>
        <v>0</v>
      </c>
      <c r="BK190" s="2670">
        <f>0</f>
        <v>0</v>
      </c>
      <c r="BL190" s="2670">
        <f>0</f>
        <v>0</v>
      </c>
      <c r="BM190" s="2670">
        <f>0</f>
        <v>0</v>
      </c>
      <c r="BN190" s="2670">
        <f>0</f>
        <v>0</v>
      </c>
      <c r="BO190" s="2670">
        <f>0</f>
        <v>0</v>
      </c>
      <c r="BP190" s="2676">
        <f>0</f>
        <v>0</v>
      </c>
      <c r="BQ190" s="2670">
        <f>0</f>
        <v>0</v>
      </c>
      <c r="BR190" s="2670">
        <f>0</f>
        <v>0</v>
      </c>
      <c r="BS190" s="2671">
        <f>0</f>
        <v>0</v>
      </c>
      <c r="BT190" s="2671">
        <f>0</f>
        <v>0</v>
      </c>
      <c r="BU190" s="2671">
        <f>0</f>
        <v>0</v>
      </c>
      <c r="BV190" s="2671">
        <f>0</f>
        <v>0</v>
      </c>
      <c r="BW190" s="2670">
        <f>0</f>
        <v>0</v>
      </c>
      <c r="BX190" s="2783">
        <f>0</f>
        <v>0</v>
      </c>
      <c r="BY190" s="2671">
        <f>0</f>
        <v>0</v>
      </c>
      <c r="BZ190" s="2670">
        <f>0</f>
        <v>0</v>
      </c>
      <c r="CA190" s="2670">
        <f>0</f>
        <v>0</v>
      </c>
      <c r="CB190" s="2670">
        <f>0</f>
        <v>0</v>
      </c>
      <c r="CC190" s="2670">
        <f>0</f>
        <v>0</v>
      </c>
      <c r="CD190" s="2670">
        <f>0</f>
        <v>0</v>
      </c>
      <c r="CE190" s="2670">
        <f>0</f>
        <v>0</v>
      </c>
      <c r="CF190" s="2670">
        <f>0</f>
        <v>0</v>
      </c>
      <c r="CG190" s="2670">
        <f>0</f>
        <v>0</v>
      </c>
      <c r="CH190" s="2670">
        <f>0</f>
        <v>0</v>
      </c>
      <c r="CI190" s="2670">
        <f>0</f>
        <v>0</v>
      </c>
      <c r="CJ190" s="2670">
        <f>0</f>
        <v>0</v>
      </c>
      <c r="CK190" s="2670">
        <f>0</f>
        <v>0</v>
      </c>
      <c r="CL190" s="2813">
        <f>q_SPB_T*S_P_B*X_HET</f>
        <v>5.0015000000000001</v>
      </c>
      <c r="CN190" s="2295">
        <f>E236*E190+F236*F190+G236*G190+H236*H190+I236*I190+J236*J190+K236*K190+L236*L190+M236*M190+N236*N190+O236*O190+P236*P190+Q236*Q190+R236*R190+S236*S190+T236*T190+U236*U190+V236*V190+W236*W190+X236*X190+Y236*Y190+Z236*Z190+AA236*AA190+AB236*AB190+AC236*AC190+AD236*AD190+AE236*AE190+AF236*AF190+AG236*AG190+AH236*AH190+AI236*AI190+AJ236*AJ190+AK236*AK190+AL236*AL190+AM236*AM190+AN236*AN190+AO236*AO190+AP236*AP190+AQ236*AQ190+AR236*AR190+AS236*AS190+AT236*AT190+AU236*AU190+AV236*AV190+AW236*AW190+AX236*AX190+AY236*AY190+AZ236*AZ190+BA236*BA190+BB236*BB190+BC236*BC190+BD236*BD190+BE236*BE190+BF236*BF190+BG236*BG190+BH236*BH190+BI236*BI190+BJ236*BJ190+BK236*BK190+BL236*BL190+BM236*BM190+BN236*BN190+BO236*BO190+BP236*BP190+BQ236*BQ190+BR236*BR190+BS236*BS190+BT236*BT190+BU236*BU190+BV236*BV190+BW236*BW190+BX236*BX190+BY236*BY190+BZ236*BZ190+CA236*CA190+CB236*CB190+CC236*CC190+CD236*CD190+CE236*CE190+CF236*CF190+CG236*CG190+CH236*CH190+CI236*CI190+CJ236*CJ190+CK236*CK190</f>
        <v>0</v>
      </c>
      <c r="CO190" s="2295">
        <f>E237*E190+F237*F190+G237*G190+H237*H190+I237*I190+J237*J190+K237*K190+L237*L190+M237*M190+N237*N190+O237*O190+P237*P190+Q237*Q190+R237*R190+S237*S190+T237*T190+U237*U190+V237*V190+W237*W190+X237*X190+Y237*Y190+Z237*Z190+AA237*AA190+AB237*AB190+AC237*AC190+AD237*AD190+AE237*AE190+AF237*AF190+AG237*AG190+AH237*AH190+AI237*AI190+AJ237*AJ190+AK237*AK190+AL237*AL190+AM237*AM190+AN237*AN190+AO237*AO190+AP237*AP190+AQ237*AQ190+AR237*AR190+AS237*AS190+AT237*AT190+AU237*AU190+AV237*AV190+AW237*AW190+AX237*AX190+AY237*AY190+AZ237*AZ190+BA237*BA190+BB237*BB190+BC237*BC190+BD237*BD190+BE237*BE190+BF237*BF190+BG237*BG190+BH237*BH190+BI237*BI190+BJ237*BJ190+BK237*BK190+BL237*BL190+BM237*BM190+BN237*BN190+BO237*BO190+BP237*BP190+BQ237*BQ190+BR237*BR190+BS237*BS190+BT237*BT190+BU237*BU190+BV237*BV190+BW237*BW190+BX237*BX190+BY237*BY190+BZ237*BZ190+CA237*CA190+CB237*CB190+CC237*CC190+CD237*CD190+CE237*CE190+CF237*CF190+CG237*CG190+CH237*CH190+CI237*CI190+CJ237*CJ190+CK237*CK190</f>
        <v>0</v>
      </c>
      <c r="CP190" s="2296">
        <f>E238*E190+F238*F190+G238*G190+H238*H190+I238*I190+J238*J190+K238*K190+L238*L190+M238*M190+N238*N190+O238*O190+P238*P190+Q238*Q190+R238*R190+S238*S190+T238*T190+U238*U190+V238*V190+W238*W190+X238*X190+Y238*Y190+Z238*Z190+AA238*AA190+AB238*AB190+AC238*AC190+AD238*AD190+AE238*AE190+AF238*AF190+AG238*AG190+AH238*AH190+AI238*AI190+AJ238*AJ190+AK238*AK190+AL238*AL190+AM238*AM190+AN238*AN190+AO238*AO190+AP238*AP190+AQ238*AQ190+AR238*AR190+AS238*AS190+AT238*AT190+AU238*AU190+AV238*AV190+AW238*AW190+AX238*AX190+AY238*AY190+AZ238*AZ190+BA238*BA190+BB238*BB190+BC238*BC190+BD238*BD190+BE238*BE190+BF238*BF190+BG238*BG190+BH238*BH190+BI238*BI190+BJ238*BJ190+BK238*BK190+BL238*BL190+BM238*BM190+BN238*BN190+BO238*BO190+BP238*BP190+BQ238*BQ190+BR238*BR190+BS238*BS190+BT238*BT190+BU238*BU190+BV238*BV190+BW238*BW190+BX238*BX190+BY238*BY190+BZ238*BZ190+CA238*CA190+CB238*CB190+CC238*CC190+CD238*CD190+CE238*CE190+CF238*CF190+CG238*CG190+CH238*CH190+CI238*CI190+CJ238*CJ190+CK238*CK190</f>
        <v>0</v>
      </c>
      <c r="CQ190" s="2297">
        <f>E239*E190+F239*F190+G239*G190+H239*H190+I239*I190+J239*J190+K239*K190+L239*L190+M239*M190+N239*N190+O239*O190+P239*P190+Q239*Q190+R239*R190+S239*S190+T239*T190+U239*U190+V239*V190+W239*W190+X239*X190+Y239*Y190+Z239*Z190+AA239*AA190+AB239*AB190+AC239*AC190+AD239*AD190+AE239*AE190+AF239*AF190+AG239*AG190+AH239*AH190+AI239*AI190+AJ239*AJ190+AK239*AK190+AL239*AL190+AM239*AM190+AN239*AN190+AO239*AO190+AP239*AP190+AQ239*AQ190+AR239*AR190+AS239*AS190+AT239*AT190+AU239*AU190+AV239*AV190+AW239*AW190+AX239*AX190+AY239*AY190+AZ239*AZ190+BA239*BA190+BB239*BB190+BC239*BC190+BD239*BD190+BE239*BE190+BF239*BF190+BG239*BG190+BH239*BH190+BI239*BI190+BJ239*BJ190+BK239*BK190+BL239*BL190+BM239*BM190+BN239*BN190+BO239*BO190+BP239*BP190+BQ239*BQ190+BR239*BR190+BS239*BS190+BT239*BT190+BU239*BU190+BV239*BV190+BW239*BW190+BX239*BX190+BY239*BY190+BZ239*BZ190+CA239*CA190+CB239*CB190+CC239*CC190+CD239*CD190+CE239*CE190+CF239*CF190+CG239*CG190+CH239*CH190+CI239*CI190+CJ239*CJ190+CK239*CK190</f>
        <v>0</v>
      </c>
      <c r="CR190" s="2297">
        <f>E240*E190+F240*F190+G240*G190+H240*H190+I240*I190+J240*J190+K240*K190+L240*L190+M240*M190+N240*N190+O240*O190+P240*P190+Q240*Q190+R240*R190+S240*S190+T240*T190+U240*U190+V240*V190+W240*W190+X240*X190+Y240*Y190+Z240*Z190+AA240*AA190+AB240*AB190+AC240*AC190+AD240*AD190+AE240*AE190+AF240*AF190+AG240*AG190+AH240*AH190+AI240*AI190+AJ240*AJ190+AK240*AK190+AL240*AL190+AM240*AM190+AN240*AN190+AO240*AO190+AP240*AP190+AQ240*AQ190+AR240*AR190+AS240*AS190+AT240*AT190+AU240*AU190+AV240*AV190+AW240*AW190+AX240*AX190+AY240*AY190+AZ240*AZ190+BA240*BA190+BB240*BB190+BC240*BC190+BD240*BD190+BE240*BE190+BF240*BF190+BG240*BG190+BH240*BH190+BI240*BI190+BJ240*BJ190+BK240*BK190+BL240*BL190+BM240*BM190+BN240*BN190+BO240*BO190+BP240*BP190+BQ240*BQ190+BR240*BR190+BS240*BS190+BT240*BT190+BU240*BU190+BV240*BV190+BW240*BW190+BX240*BX190+BY240*BY190+BZ240*BZ190+CA240*CA190+CB240*CB190+CC240*CC190+CD240*CD190+CE240*CE190+CF240*CF190+CG240*CG190+CH240*CH190+CI240*CI190+CJ240*CJ190+CK240*CK190</f>
        <v>0</v>
      </c>
      <c r="CS190" s="2297">
        <f>E241*E190+F241*F190+G241*G190+H241*H190+I241*I190+J241*J190+K241*K190+L241*L190+M241*M190+N241*N190+O241*O190+P241*P190+Q241*Q190+R241*R190+S241*S190+T241*T190+U241*U190+V241*V190+W241*W190+X241*X190+Y241*Y190+Z241*Z190+AA241*AA190+AB241*AB190+AC241*AC190+AD241*AD190+AE241*AE190+AF241*AF190+AG241*AG190+AH241*AH190+AI241*AI190+AJ241*AJ190+AK241*AK190+AL241*AL190+AM241*AM190+AN241*AN190+AO241*AO190+AP241*AP190+AQ241*AQ190+AR241*AR190+AS241*AS190+AT241*AT190+AU241*AU190+AV241*AV190+AW241*AW190+AX241*AX190+AY241*AY190+AZ241*AZ190+BA241*BA190+BB241*BB190+BC241*BC190+BD241*BD190+BE241*BE190+BF241*BF190+BG241*BG190+BH241*BH190+BI241*BI190+BJ241*BJ190+BK241*BK190+BL241*BL190+BM241*BM190+BN241*BN190+BO241*BO190+BP241*BP190+BQ241*BQ190+BR241*BR190+BS241*BS190+BT241*BT190+BU241*BU190+BV241*BV190+BW241*BW190+BX241*BX190+BY241*BY190+BZ241*BZ190+CA241*CA190+CB241*CB190+CC241*CC190+CD241*CD190+CE241*CE190+CF241*CF190+CG241*CG190+CH241*CH190+CI241*CI190+CJ241*CJ190+CK241*CK190</f>
        <v>0</v>
      </c>
      <c r="CT190" s="2297">
        <f>E242*E190+F242*F190+G242*G190+H242*H190+I242*I190+J242*J190+K242*K190+L242*L190+M242*M190+N242*N190+O242*O190+P242*P190+Q242*Q190+R242*R190+S242*S190+T242*T190+U242*U190+V242*V190+W242*W190+X242*X190+Y242*Y190+Z242*Z190+AA242*AA190+AB242*AB190+AC242*AC190+AD242*AD190+AE242*AE190+AF242*AF190+AG242*AG190+AH242*AH190+AI242*AI190+AJ242*AJ190+AK242*AK190+AL242*AL190+AM242*AM190+AN242*AN190+AO242*AO190+AP242*AP190+AQ242*AQ190+AR242*AR190+AS242*AS190+AT242*AT190+AU242*AU190+AV242*AV190+AW242*AW190+AX242*AX190+AY242*AY190+AZ242*AZ190+BA242*BA190+BB242*BB190+BC242*BC190+BD242*BD190+BE242*BE190+BF242*BF190+BG242*BG190+BH242*BH190+BI242*BI190+BJ242*BJ190+BK242*BK190+BL242*BL190+BM242*BM190+BN242*BN190+BO242*BO190+BP242*BP190+BQ242*BQ190+BR242*BR190+BS242*BS190+BT242*BT190+BU242*BU190+BV242*BV190+BW242*BW190+BX242*BX190+BY242*BY190+BZ242*BZ190+CA242*CA190+CB242*CB190+CC242*CC190+CD242*CD190+CE242*CE190+CF242*CF190+CG242*CG190+CH242*CH190+CI242*CI190+CJ242*CJ190+CK242*CK190</f>
        <v>0</v>
      </c>
      <c r="CU190" s="2297">
        <f>E243*E190+F243*F190+G243*G190+H243*H190+I243*I190+J243*J190+K243*K190+L243*L190+M243*M190+N243*N190+O243*O190+P243*P190+Q243*Q190+R243*R190+S243*S190+T243*T190+U243*U190+V243*V190+W243*W190+X243*X190+Y243*Y190+Z243*Z190+AA243*AA190+AB243*AB190+AC243*AC190+AD243*AD190+AE243*AE190+AF243*AF190+AG243*AG190+AH243*AH190+AI243*AI190+AJ243*AJ190+AK243*AK190+AL243*AL190+AM243*AM190+AN243*AN190+AO243*AO190+AP243*AP190+AQ243*AQ190+AR243*AR190+AS243*AS190+AT243*AT190+AU243*AU190+AV243*AV190+AW243*AW190+AX243*AX190+AY243*AY190+AZ243*AZ190+BA243*BA190+BB243*BB190+BC243*BC190+BD243*BD190+BE243*BE190+BF243*BF190+BG243*BG190+BH243*BH190+BI243*BI190+BJ243*BJ190+BK243*BK190+BL243*BL190+BM243*BM190+BN243*BN190+BO243*BO190+BP243*BP190+BQ243*BQ190+BR243*BR190+BS243*BS190+BT243*BT190+BU243*BU190+BV243*BV190+BW243*BW190+BX243*BX190+BY243*BY190+BZ243*BZ190+CA243*CA190+CB243*CB190+CC243*CC190+CD243*CD190+CE243*CE190+CF243*CF190+CG243*CG190+CH243*CH190+CI243*CI190+CJ243*CJ190+CK243*CK190</f>
        <v>0</v>
      </c>
      <c r="CV190" s="2297">
        <f>E244*E190+F244*F190+G244*G190+H244*H190+I244*I190+J244*J190+K244*K190+L244*L190+M244*M190+N244*N190+O244*O190+P244*P190+Q244*Q190+R244*R190+S244*S190+T244*T190+U244*U190+V244*V190+W244*W190+X244*X190+Y244*Y190+Z244*Z190+AA244*AA190+AB244*AB190+AC244*AC190+AD244*AD190+AE244*AE190+AF244*AF190+AG244*AG190+AH244*AH190+AI244*AI190+AJ244*AJ190+AK244*AK190+AL244*AL190+AM244*AM190+AN244*AN190+AO244*AO190+AP244*AP190+AQ244*AQ190+AR244*AR190+AS244*AS190+AT244*AT190+AU244*AU190+AV244*AV190+AW244*AW190+AX244*AX190+AY244*AY190+AZ244*AZ190+BA244*BA190+BB244*BB190+BC244*BC190+BD244*BD190+BE244*BE190+BF244*BF190+BG244*BG190+BH244*BH190+BI244*BI190+BJ244*BJ190+BK244*BK190+BL244*BL190+BM244*BM190+BN244*BN190+BO244*BO190+BP244*BP190+BQ244*BQ190+BR244*BR190+BS244*BS190+BT244*BT190+BU244*BU190+BV244*BV190+BW244*BW190+BX244*BX190+BY244*BY190+BZ244*BZ190+CA244*CA190+CB244*CB190+CC244*CC190+CD244*CD190+CE244*CE190+CF244*CF190+CG244*CG190+CH244*CH190+CI244*CI190+CJ244*CJ190+CK244*CK190</f>
        <v>0</v>
      </c>
      <c r="CW190" s="2297">
        <f>E245*E190+F245*F190+G245*G190+H245*H190+I245*I190+J245*J190+K245*K190+L245*L190+M245*M190+N245*N190+O245*O190+P245*P190+Q245*Q190+R245*R190+S245*S190+T245*T190+U245*U190+V245*V190+W245*W190+X245*X190+Y245*Y190+Z245*Z190+AA245*AA190+AB245*AB190+AC245*AC190+AD245*AD190+AE245*AE190+AF245*AF190+AG245*AG190+AH245*AH190+AI245*AI190+AJ245*AJ190+AK245*AK190+AL245*AL190+AM245*AM190+AN245*AN190+AO245*AO190+AP245*AP190+AQ245*AQ190+AR245*AR190+AS245*AS190+AT245*AT190+AU245*AU190+AV245*AV190+AW245*AW190+AX245*AX190+AY245*AY190+AZ245*AZ190+BA245*BA190+BB245*BB190+BC245*BC190+BD245*BD190+BE245*BE190+BF245*BF190+BG245*BG190+BH245*BH190+BI245*BI190+BJ245*BJ190+BK245*BK190+BL245*BL190+BM245*BM190+BN245*BN190+BO245*BO190+BP245*BP190+BQ245*BQ190+BR245*BR190+BS245*BS190+BT245*BT190+BU245*BU190+BV245*BV190+BW245*BW190+BX245*BX190+BY245*BY190+BZ245*BZ190+CA245*CA190+CB245*CB190+CC245*CC190+CD245*CD190+CE245*CE190+CF245*CF190+CG245*CG190+CH245*CH190+CI245*CI190+CJ245*CJ190+CK245*CK190</f>
        <v>0</v>
      </c>
      <c r="CX190" s="2297">
        <f>E246*E190+F246*F190+G246*G190+H246*H190+I246*I190+J246*J190+K246*K190+L246*L190+M246*M190+N246*N190+O246*O190+P246*P190+Q246*Q190+R246*R190+S246*S190+T246*T190+U246*U190+V246*V190+W246*W190+X246*X190+Y246*Y190+Z246*Z190+AA246*AA190+AB246*AB190+AC246*AC190+AD246*AD190+AE246*AE190+AF246*AF190+AG246*AG190+AH246*AH190+AI246*AI190+AJ246*AJ190+AK246*AK190+AL246*AL190+AM246*AM190+AN246*AN190+AO246*AO190+AP246*AP190+AQ246*AQ190+AR246*AR190+AS246*AS190+AT246*AT190+AU246*AU190+AV246*AV190+AW246*AW190+AX246*AX190+AY246*AY190+AZ246*AZ190+BA246*BA190+BB246*BB190+BC246*BC190+BD246*BD190+BE246*BE190+BF246*BF190+BG246*BG190+BH246*BH190+BI246*BI190+BJ246*BJ190+BK246*BK190+BL246*BL190+BM246*BM190+BN246*BN190+BO246*BO190+BP246*BP190+BQ246*BQ190+BR246*BR190+BS246*BS190+BT246*BT190+BU246*BU190+BV246*BV190+BW246*BW190+BX246*BX190+BY246*BY190+BZ246*BZ190+CA246*CA190+CB246*CB190+CC246*CC190+CD246*CD190+CE246*CE190+CF246*CF190+CG246*CG190+CH246*CH190+CI246*CI190+CJ246*CJ190+CK246*CK190</f>
        <v>0</v>
      </c>
    </row>
    <row r="191" spans="2:102" ht="18" x14ac:dyDescent="0.25">
      <c r="B191" s="1251">
        <v>64</v>
      </c>
      <c r="C191" s="1198" t="s">
        <v>2404</v>
      </c>
      <c r="D191" s="616" t="s">
        <v>5304</v>
      </c>
      <c r="E191" s="2670">
        <f>0</f>
        <v>0</v>
      </c>
      <c r="F191" s="2670">
        <f>0</f>
        <v>0</v>
      </c>
      <c r="G191" s="2670">
        <f>0</f>
        <v>0</v>
      </c>
      <c r="H191" s="2670">
        <f>0</f>
        <v>0</v>
      </c>
      <c r="I191" s="2670">
        <f>1</f>
        <v>1</v>
      </c>
      <c r="J191" s="2693">
        <f>0</f>
        <v>0</v>
      </c>
      <c r="K191" s="2670">
        <f>0</f>
        <v>0</v>
      </c>
      <c r="L191" s="2670">
        <f>0</f>
        <v>0</v>
      </c>
      <c r="M191" s="2670">
        <f>0</f>
        <v>0</v>
      </c>
      <c r="N191" s="2670">
        <f>0</f>
        <v>0</v>
      </c>
      <c r="O191" s="2670">
        <f>0</f>
        <v>0</v>
      </c>
      <c r="P191" s="2670">
        <f>-1</f>
        <v>-1</v>
      </c>
      <c r="Q191" s="2670">
        <f>0</f>
        <v>0</v>
      </c>
      <c r="R191" s="2670">
        <f>0</f>
        <v>0</v>
      </c>
      <c r="S191" s="2670">
        <f>0</f>
        <v>0</v>
      </c>
      <c r="T191" s="2670">
        <f>0</f>
        <v>0</v>
      </c>
      <c r="U191" s="2670">
        <f>0</f>
        <v>0</v>
      </c>
      <c r="V191" s="2670">
        <f>0</f>
        <v>0</v>
      </c>
      <c r="W191" s="2670">
        <f>0</f>
        <v>0</v>
      </c>
      <c r="X191" s="2670">
        <f>0</f>
        <v>0</v>
      </c>
      <c r="Y191" s="2670">
        <f>0</f>
        <v>0</v>
      </c>
      <c r="Z191" s="2671">
        <f>0</f>
        <v>0</v>
      </c>
      <c r="AA191" s="2670">
        <f>0</f>
        <v>0</v>
      </c>
      <c r="AB191" s="2670">
        <f>0</f>
        <v>0</v>
      </c>
      <c r="AC191" s="2670">
        <f>0</f>
        <v>0</v>
      </c>
      <c r="AD191" s="2670">
        <f>0</f>
        <v>0</v>
      </c>
      <c r="AE191" s="2670">
        <f>0</f>
        <v>0</v>
      </c>
      <c r="AF191" s="2670">
        <f>i_N_XE</f>
        <v>0.06</v>
      </c>
      <c r="AG191" s="2693">
        <f>0</f>
        <v>0</v>
      </c>
      <c r="AH191" s="2670">
        <f>0</f>
        <v>0</v>
      </c>
      <c r="AI191" s="2670">
        <f>0</f>
        <v>0</v>
      </c>
      <c r="AJ191" s="2670">
        <f>0</f>
        <v>0</v>
      </c>
      <c r="AK191" s="2670">
        <f>0</f>
        <v>0</v>
      </c>
      <c r="AL191" s="2670">
        <f>i_P_BIO</f>
        <v>0.02</v>
      </c>
      <c r="AM191" s="2693">
        <f>0</f>
        <v>0</v>
      </c>
      <c r="AN191" s="2670">
        <f>0</f>
        <v>0</v>
      </c>
      <c r="AO191" s="2670">
        <f>0</f>
        <v>0</v>
      </c>
      <c r="AP191" s="2670">
        <f>0</f>
        <v>0</v>
      </c>
      <c r="AQ191" s="2670">
        <f>0</f>
        <v>0</v>
      </c>
      <c r="AR191" s="2670">
        <f>i_CIT_BIO-i_CIT_SB</f>
        <v>6.6000000000000003E-2</v>
      </c>
      <c r="AS191" s="2670">
        <f>0</f>
        <v>0</v>
      </c>
      <c r="AT191" s="2670">
        <f>0</f>
        <v>0</v>
      </c>
      <c r="AU191" s="2670">
        <f>0</f>
        <v>0</v>
      </c>
      <c r="AV191" s="2670">
        <f>0</f>
        <v>0</v>
      </c>
      <c r="AW191" s="2670">
        <f>0</f>
        <v>0</v>
      </c>
      <c r="AX191" s="2670">
        <f>0</f>
        <v>0</v>
      </c>
      <c r="AY191" s="2670">
        <f>0</f>
        <v>0</v>
      </c>
      <c r="AZ191" s="2670">
        <f>0</f>
        <v>0</v>
      </c>
      <c r="BA191" s="2670">
        <f>0</f>
        <v>0</v>
      </c>
      <c r="BB191" s="2670">
        <f>0</f>
        <v>0</v>
      </c>
      <c r="BC191" s="2670">
        <f>0</f>
        <v>0</v>
      </c>
      <c r="BD191" s="2670">
        <f>0</f>
        <v>0</v>
      </c>
      <c r="BE191" s="2670">
        <f>0</f>
        <v>0</v>
      </c>
      <c r="BF191" s="2670">
        <f>0</f>
        <v>0</v>
      </c>
      <c r="BG191" s="2670">
        <f>0</f>
        <v>0</v>
      </c>
      <c r="BH191" s="2670">
        <f>0</f>
        <v>0</v>
      </c>
      <c r="BI191" s="2670">
        <f>0</f>
        <v>0</v>
      </c>
      <c r="BJ191" s="2670">
        <f>0</f>
        <v>0</v>
      </c>
      <c r="BK191" s="2670">
        <f>0</f>
        <v>0</v>
      </c>
      <c r="BL191" s="2670">
        <f>0</f>
        <v>0</v>
      </c>
      <c r="BM191" s="2670">
        <f>0</f>
        <v>0</v>
      </c>
      <c r="BN191" s="2670">
        <f>0</f>
        <v>0</v>
      </c>
      <c r="BO191" s="2670">
        <f>0</f>
        <v>0</v>
      </c>
      <c r="BP191" s="2676">
        <f>0</f>
        <v>0</v>
      </c>
      <c r="BQ191" s="2670">
        <f>0</f>
        <v>0</v>
      </c>
      <c r="BR191" s="2670">
        <f>0</f>
        <v>0</v>
      </c>
      <c r="BS191" s="2671">
        <f>0</f>
        <v>0</v>
      </c>
      <c r="BT191" s="2671">
        <f>0</f>
        <v>0</v>
      </c>
      <c r="BU191" s="2671">
        <f>0</f>
        <v>0</v>
      </c>
      <c r="BV191" s="2671">
        <f>0</f>
        <v>0</v>
      </c>
      <c r="BW191" s="2670">
        <f>0</f>
        <v>0</v>
      </c>
      <c r="BX191" s="2783">
        <f>0</f>
        <v>0</v>
      </c>
      <c r="BY191" s="2671">
        <f>0</f>
        <v>0</v>
      </c>
      <c r="BZ191" s="2670">
        <f>0</f>
        <v>0</v>
      </c>
      <c r="CA191" s="2670">
        <f>0</f>
        <v>0</v>
      </c>
      <c r="CB191" s="2670">
        <f>0</f>
        <v>0</v>
      </c>
      <c r="CC191" s="2670">
        <f>0</f>
        <v>0</v>
      </c>
      <c r="CD191" s="2670">
        <f>0</f>
        <v>0</v>
      </c>
      <c r="CE191" s="2670">
        <f>0</f>
        <v>0</v>
      </c>
      <c r="CF191" s="2670">
        <f>0</f>
        <v>0</v>
      </c>
      <c r="CG191" s="2670">
        <f>0</f>
        <v>0</v>
      </c>
      <c r="CH191" s="2670">
        <f>0</f>
        <v>0</v>
      </c>
      <c r="CI191" s="2670">
        <f>0</f>
        <v>0</v>
      </c>
      <c r="CJ191" s="2670">
        <f>0</f>
        <v>0</v>
      </c>
      <c r="CK191" s="2670">
        <f>0</f>
        <v>0</v>
      </c>
      <c r="CL191" s="2813">
        <f>q_XE_T*X_E</f>
        <v>2.1</v>
      </c>
      <c r="CN191" s="2295">
        <f>E236*E191+F236*F191+G236*G191+H236*H191+I236*I191+J236*J191+K236*K191+L236*L191+M236*M191+N236*N191+O236*O191+P236*P191+Q236*Q191+R236*R191+S236*S191+T236*T191+U236*U191+V236*V191+W236*W191+X236*X191+Y236*Y191+Z236*Z191+AA236*AA191+AB236*AB191+AC236*AC191+AD236*AD191+AE236*AE191+AF236*AF191+AG236*AG191+AH236*AH191+AI236*AI191+AJ236*AJ191+AK236*AK191+AL236*AL191+AM236*AM191+AN236*AN191+AO236*AO191+AP236*AP191+AQ236*AQ191+AR236*AR191+AS236*AS191+AT236*AT191+AU236*AU191+AV236*AV191+AW236*AW191+AX236*AX191+AY236*AY191+AZ236*AZ191+BA236*BA191+BB236*BB191+BC236*BC191+BD236*BD191+BE236*BE191+BF236*BF191+BG236*BG191+BH236*BH191+BI236*BI191+BJ236*BJ191+BK236*BK191+BL236*BL191+BM236*BM191+BN236*BN191+BO236*BO191+BP236*BP191+BQ236*BQ191+BR236*BR191+BS236*BS191+BT236*BT191+BU236*BU191+BV236*BV191+BW236*BW191+BX236*BX191+BY236*BY191+BZ236*BZ191+CA236*CA191+CB236*CB191+CC236*CC191+CD236*CD191+CE236*CE191+CF236*CF191+CG236*CG191+CH236*CH191+CI236*CI191+CJ236*CJ191+CK236*CK191</f>
        <v>0</v>
      </c>
      <c r="CO191" s="2295">
        <f>E237*E191+F237*F191+G237*G191+H237*H191+I237*I191+J237*J191+K237*K191+L237*L191+M237*M191+N237*N191+O237*O191+P237*P191+Q237*Q191+R237*R191+S237*S191+T237*T191+U237*U191+V237*V191+W237*W191+X237*X191+Y237*Y191+Z237*Z191+AA237*AA191+AB237*AB191+AC237*AC191+AD237*AD191+AE237*AE191+AF237*AF191+AG237*AG191+AH237*AH191+AI237*AI191+AJ237*AJ191+AK237*AK191+AL237*AL191+AM237*AM191+AN237*AN191+AO237*AO191+AP237*AP191+AQ237*AQ191+AR237*AR191+AS237*AS191+AT237*AT191+AU237*AU191+AV237*AV191+AW237*AW191+AX237*AX191+AY237*AY191+AZ237*AZ191+BA237*BA191+BB237*BB191+BC237*BC191+BD237*BD191+BE237*BE191+BF237*BF191+BG237*BG191+BH237*BH191+BI237*BI191+BJ237*BJ191+BK237*BK191+BL237*BL191+BM237*BM191+BN237*BN191+BO237*BO191+BP237*BP191+BQ237*BQ191+BR237*BR191+BS237*BS191+BT237*BT191+BU237*BU191+BV237*BV191+BW237*BW191+BX237*BX191+BY237*BY191+BZ237*BZ191+CA237*CA191+CB237*CB191+CC237*CC191+CD237*CD191+CE237*CE191+CF237*CF191+CG237*CG191+CH237*CH191+CI237*CI191+CJ237*CJ191+CK237*CK191</f>
        <v>0</v>
      </c>
      <c r="CP191" s="2296">
        <f>E238*E191+F238*F191+G238*G191+H238*H191+I238*I191+J238*J191+K238*K191+L238*L191+M238*M191+N238*N191+O238*O191+P238*P191+Q238*Q191+R238*R191+S238*S191+T238*T191+U238*U191+V238*V191+W238*W191+X238*X191+Y238*Y191+Z238*Z191+AA238*AA191+AB238*AB191+AC238*AC191+AD238*AD191+AE238*AE191+AF238*AF191+AG238*AG191+AH238*AH191+AI238*AI191+AJ238*AJ191+AK238*AK191+AL238*AL191+AM238*AM191+AN238*AN191+AO238*AO191+AP238*AP191+AQ238*AQ191+AR238*AR191+AS238*AS191+AT238*AT191+AU238*AU191+AV238*AV191+AW238*AW191+AX238*AX191+AY238*AY191+AZ238*AZ191+BA238*BA191+BB238*BB191+BC238*BC191+BD238*BD191+BE238*BE191+BF238*BF191+BG238*BG191+BH238*BH191+BI238*BI191+BJ238*BJ191+BK238*BK191+BL238*BL191+BM238*BM191+BN238*BN191+BO238*BO191+BP238*BP191+BQ238*BQ191+BR238*BR191+BS238*BS191+BT238*BT191+BU238*BU191+BV238*BV191+BW238*BW191+BX238*BX191+BY238*BY191+BZ238*BZ191+CA238*CA191+CB238*CB191+CC238*CC191+CD238*CD191+CE238*CE191+CF238*CF191+CG238*CG191+CH238*CH191+CI238*CI191+CJ238*CJ191+CK238*CK191</f>
        <v>0</v>
      </c>
      <c r="CQ191" s="2297">
        <f>E239*E191+F239*F191+G239*G191+H239*H191+I239*I191+J239*J191+K239*K191+L239*L191+M239*M191+N239*N191+O239*O191+P239*P191+Q239*Q191+R239*R191+S239*S191+T239*T191+U239*U191+V239*V191+W239*W191+X239*X191+Y239*Y191+Z239*Z191+AA239*AA191+AB239*AB191+AC239*AC191+AD239*AD191+AE239*AE191+AF239*AF191+AG239*AG191+AH239*AH191+AI239*AI191+AJ239*AJ191+AK239*AK191+AL239*AL191+AM239*AM191+AN239*AN191+AO239*AO191+AP239*AP191+AQ239*AQ191+AR239*AR191+AS239*AS191+AT239*AT191+AU239*AU191+AV239*AV191+AW239*AW191+AX239*AX191+AY239*AY191+AZ239*AZ191+BA239*BA191+BB239*BB191+BC239*BC191+BD239*BD191+BE239*BE191+BF239*BF191+BG239*BG191+BH239*BH191+BI239*BI191+BJ239*BJ191+BK239*BK191+BL239*BL191+BM239*BM191+BN239*BN191+BO239*BO191+BP239*BP191+BQ239*BQ191+BR239*BR191+BS239*BS191+BT239*BT191+BU239*BU191+BV239*BV191+BW239*BW191+BX239*BX191+BY239*BY191+BZ239*BZ191+CA239*CA191+CB239*CB191+CC239*CC191+CD239*CD191+CE239*CE191+CF239*CF191+CG239*CG191+CH239*CH191+CI239*CI191+CJ239*CJ191+CK239*CK191</f>
        <v>0</v>
      </c>
      <c r="CR191" s="2297">
        <f>E240*E191+F240*F191+G240*G191+H240*H191+I240*I191+J240*J191+K240*K191+L240*L191+M240*M191+N240*N191+O240*O191+P240*P191+Q240*Q191+R240*R191+S240*S191+T240*T191+U240*U191+V240*V191+W240*W191+X240*X191+Y240*Y191+Z240*Z191+AA240*AA191+AB240*AB191+AC240*AC191+AD240*AD191+AE240*AE191+AF240*AF191+AG240*AG191+AH240*AH191+AI240*AI191+AJ240*AJ191+AK240*AK191+AL240*AL191+AM240*AM191+AN240*AN191+AO240*AO191+AP240*AP191+AQ240*AQ191+AR240*AR191+AS240*AS191+AT240*AT191+AU240*AU191+AV240*AV191+AW240*AW191+AX240*AX191+AY240*AY191+AZ240*AZ191+BA240*BA191+BB240*BB191+BC240*BC191+BD240*BD191+BE240*BE191+BF240*BF191+BG240*BG191+BH240*BH191+BI240*BI191+BJ240*BJ191+BK240*BK191+BL240*BL191+BM240*BM191+BN240*BN191+BO240*BO191+BP240*BP191+BQ240*BQ191+BR240*BR191+BS240*BS191+BT240*BT191+BU240*BU191+BV240*BV191+BW240*BW191+BX240*BX191+BY240*BY191+BZ240*BZ191+CA240*CA191+CB240*CB191+CC240*CC191+CD240*CD191+CE240*CE191+CF240*CF191+CG240*CG191+CH240*CH191+CI240*CI191+CJ240*CJ191+CK240*CK191</f>
        <v>0</v>
      </c>
      <c r="CS191" s="2297">
        <f>E241*E191+F241*F191+G241*G191+H241*H191+I241*I191+J241*J191+K241*K191+L241*L191+M241*M191+N241*N191+O241*O191+P241*P191+Q241*Q191+R241*R191+S241*S191+T241*T191+U241*U191+V241*V191+W241*W191+X241*X191+Y241*Y191+Z241*Z191+AA241*AA191+AB241*AB191+AC241*AC191+AD241*AD191+AE241*AE191+AF241*AF191+AG241*AG191+AH241*AH191+AI241*AI191+AJ241*AJ191+AK241*AK191+AL241*AL191+AM241*AM191+AN241*AN191+AO241*AO191+AP241*AP191+AQ241*AQ191+AR241*AR191+AS241*AS191+AT241*AT191+AU241*AU191+AV241*AV191+AW241*AW191+AX241*AX191+AY241*AY191+AZ241*AZ191+BA241*BA191+BB241*BB191+BC241*BC191+BD241*BD191+BE241*BE191+BF241*BF191+BG241*BG191+BH241*BH191+BI241*BI191+BJ241*BJ191+BK241*BK191+BL241*BL191+BM241*BM191+BN241*BN191+BO241*BO191+BP241*BP191+BQ241*BQ191+BR241*BR191+BS241*BS191+BT241*BT191+BU241*BU191+BV241*BV191+BW241*BW191+BX241*BX191+BY241*BY191+BZ241*BZ191+CA241*CA191+CB241*CB191+CC241*CC191+CD241*CD191+CE241*CE191+CF241*CF191+CG241*CG191+CH241*CH191+CI241*CI191+CJ241*CJ191+CK241*CK191</f>
        <v>0</v>
      </c>
      <c r="CT191" s="2297">
        <f>E242*E191+F242*F191+G242*G191+H242*H191+I242*I191+J242*J191+K242*K191+L242*L191+M242*M191+N242*N191+O242*O191+P242*P191+Q242*Q191+R242*R191+S242*S191+T242*T191+U242*U191+V242*V191+W242*W191+X242*X191+Y242*Y191+Z242*Z191+AA242*AA191+AB242*AB191+AC242*AC191+AD242*AD191+AE242*AE191+AF242*AF191+AG242*AG191+AH242*AH191+AI242*AI191+AJ242*AJ191+AK242*AK191+AL242*AL191+AM242*AM191+AN242*AN191+AO242*AO191+AP242*AP191+AQ242*AQ191+AR242*AR191+AS242*AS191+AT242*AT191+AU242*AU191+AV242*AV191+AW242*AW191+AX242*AX191+AY242*AY191+AZ242*AZ191+BA242*BA191+BB242*BB191+BC242*BC191+BD242*BD191+BE242*BE191+BF242*BF191+BG242*BG191+BH242*BH191+BI242*BI191+BJ242*BJ191+BK242*BK191+BL242*BL191+BM242*BM191+BN242*BN191+BO242*BO191+BP242*BP191+BQ242*BQ191+BR242*BR191+BS242*BS191+BT242*BT191+BU242*BU191+BV242*BV191+BW242*BW191+BX242*BX191+BY242*BY191+BZ242*BZ191+CA242*CA191+CB242*CB191+CC242*CC191+CD242*CD191+CE242*CE191+CF242*CF191+CG242*CG191+CH242*CH191+CI242*CI191+CJ242*CJ191+CK242*CK191</f>
        <v>0</v>
      </c>
      <c r="CU191" s="2297">
        <f>E243*E191+F243*F191+G243*G191+H243*H191+I243*I191+J243*J191+K243*K191+L243*L191+M243*M191+N243*N191+O243*O191+P243*P191+Q243*Q191+R243*R191+S243*S191+T243*T191+U243*U191+V243*V191+W243*W191+X243*X191+Y243*Y191+Z243*Z191+AA243*AA191+AB243*AB191+AC243*AC191+AD243*AD191+AE243*AE191+AF243*AF191+AG243*AG191+AH243*AH191+AI243*AI191+AJ243*AJ191+AK243*AK191+AL243*AL191+AM243*AM191+AN243*AN191+AO243*AO191+AP243*AP191+AQ243*AQ191+AR243*AR191+AS243*AS191+AT243*AT191+AU243*AU191+AV243*AV191+AW243*AW191+AX243*AX191+AY243*AY191+AZ243*AZ191+BA243*BA191+BB243*BB191+BC243*BC191+BD243*BD191+BE243*BE191+BF243*BF191+BG243*BG191+BH243*BH191+BI243*BI191+BJ243*BJ191+BK243*BK191+BL243*BL191+BM243*BM191+BN243*BN191+BO243*BO191+BP243*BP191+BQ243*BQ191+BR243*BR191+BS243*BS191+BT243*BT191+BU243*BU191+BV243*BV191+BW243*BW191+BX243*BX191+BY243*BY191+BZ243*BZ191+CA243*CA191+CB243*CB191+CC243*CC191+CD243*CD191+CE243*CE191+CF243*CF191+CG243*CG191+CH243*CH191+CI243*CI191+CJ243*CJ191+CK243*CK191</f>
        <v>0</v>
      </c>
      <c r="CV191" s="2297">
        <f>E244*E191+F244*F191+G244*G191+H244*H191+I244*I191+J244*J191+K244*K191+L244*L191+M244*M191+N244*N191+O244*O191+P244*P191+Q244*Q191+R244*R191+S244*S191+T244*T191+U244*U191+V244*V191+W244*W191+X244*X191+Y244*Y191+Z244*Z191+AA244*AA191+AB244*AB191+AC244*AC191+AD244*AD191+AE244*AE191+AF244*AF191+AG244*AG191+AH244*AH191+AI244*AI191+AJ244*AJ191+AK244*AK191+AL244*AL191+AM244*AM191+AN244*AN191+AO244*AO191+AP244*AP191+AQ244*AQ191+AR244*AR191+AS244*AS191+AT244*AT191+AU244*AU191+AV244*AV191+AW244*AW191+AX244*AX191+AY244*AY191+AZ244*AZ191+BA244*BA191+BB244*BB191+BC244*BC191+BD244*BD191+BE244*BE191+BF244*BF191+BG244*BG191+BH244*BH191+BI244*BI191+BJ244*BJ191+BK244*BK191+BL244*BL191+BM244*BM191+BN244*BN191+BO244*BO191+BP244*BP191+BQ244*BQ191+BR244*BR191+BS244*BS191+BT244*BT191+BU244*BU191+BV244*BV191+BW244*BW191+BX244*BX191+BY244*BY191+BZ244*BZ191+CA244*CA191+CB244*CB191+CC244*CC191+CD244*CD191+CE244*CE191+CF244*CF191+CG244*CG191+CH244*CH191+CI244*CI191+CJ244*CJ191+CK244*CK191</f>
        <v>0</v>
      </c>
      <c r="CW191" s="2297">
        <f>E245*E191+F245*F191+G245*G191+H245*H191+I245*I191+J245*J191+K245*K191+L245*L191+M245*M191+N245*N191+O245*O191+P245*P191+Q245*Q191+R245*R191+S245*S191+T245*T191+U245*U191+V245*V191+W245*W191+X245*X191+Y245*Y191+Z245*Z191+AA245*AA191+AB245*AB191+AC245*AC191+AD245*AD191+AE245*AE191+AF245*AF191+AG245*AG191+AH245*AH191+AI245*AI191+AJ245*AJ191+AK245*AK191+AL245*AL191+AM245*AM191+AN245*AN191+AO245*AO191+AP245*AP191+AQ245*AQ191+AR245*AR191+AS245*AS191+AT245*AT191+AU245*AU191+AV245*AV191+AW245*AW191+AX245*AX191+AY245*AY191+AZ245*AZ191+BA245*BA191+BB245*BB191+BC245*BC191+BD245*BD191+BE245*BE191+BF245*BF191+BG245*BG191+BH245*BH191+BI245*BI191+BJ245*BJ191+BK245*BK191+BL245*BL191+BM245*BM191+BN245*BN191+BO245*BO191+BP245*BP191+BQ245*BQ191+BR245*BR191+BS245*BS191+BT245*BT191+BU245*BU191+BV245*BV191+BW245*BW191+BX245*BX191+BY245*BY191+BZ245*BZ191+CA245*CA191+CB245*CB191+CC245*CC191+CD245*CD191+CE245*CE191+CF245*CF191+CG245*CG191+CH245*CH191+CI245*CI191+CJ245*CJ191+CK245*CK191</f>
        <v>0</v>
      </c>
      <c r="CX191" s="2297">
        <f>E246*E191+F246*F191+G246*G191+H246*H191+I246*I191+J246*J191+K246*K191+L246*L191+M246*M191+N246*N191+O246*O191+P246*P191+Q246*Q191+R246*R191+S246*S191+T246*T191+U246*U191+V246*V191+W246*W191+X246*X191+Y246*Y191+Z246*Z191+AA246*AA191+AB246*AB191+AC246*AC191+AD246*AD191+AE246*AE191+AF246*AF191+AG246*AG191+AH246*AH191+AI246*AI191+AJ246*AJ191+AK246*AK191+AL246*AL191+AM246*AM191+AN246*AN191+AO246*AO191+AP246*AP191+AQ246*AQ191+AR246*AR191+AS246*AS191+AT246*AT191+AU246*AU191+AV246*AV191+AW246*AW191+AX246*AX191+AY246*AY191+AZ246*AZ191+BA246*BA191+BB246*BB191+BC246*BC191+BD246*BD191+BE246*BE191+BF246*BF191+BG246*BG191+BH246*BH191+BI246*BI191+BJ246*BJ191+BK246*BK191+BL246*BL191+BM246*BM191+BN246*BN191+BO246*BO191+BP246*BP191+BQ246*BQ191+BR246*BR191+BS246*BS191+BT246*BT191+BU246*BU191+BV246*BV191+BW246*BW191+BX246*BX191+BY246*BY191+BZ246*BZ191+CA246*CA191+CB246*CB191+CC246*CC191+CD246*CD191+CE246*CE191+CF246*CF191+CG246*CG191+CH246*CH191+CI246*CI191+CJ246*CJ191+CK246*CK191</f>
        <v>0</v>
      </c>
    </row>
    <row r="192" spans="2:102" ht="18" x14ac:dyDescent="0.25">
      <c r="B192" s="1251">
        <v>65</v>
      </c>
      <c r="C192" s="1198" t="s">
        <v>2405</v>
      </c>
      <c r="D192" s="616" t="s">
        <v>5305</v>
      </c>
      <c r="E192" s="2670">
        <f>0</f>
        <v>0</v>
      </c>
      <c r="F192" s="2670">
        <f>1</f>
        <v>1</v>
      </c>
      <c r="G192" s="2670">
        <f>0</f>
        <v>0</v>
      </c>
      <c r="H192" s="2670">
        <f>0</f>
        <v>0</v>
      </c>
      <c r="I192" s="2670">
        <f>0</f>
        <v>0</v>
      </c>
      <c r="J192" s="2693">
        <f>0</f>
        <v>0</v>
      </c>
      <c r="K192" s="2670">
        <f>0</f>
        <v>0</v>
      </c>
      <c r="L192" s="2670">
        <f>0</f>
        <v>0</v>
      </c>
      <c r="M192" s="2670">
        <f>0</f>
        <v>0</v>
      </c>
      <c r="N192" s="2670">
        <f>0</f>
        <v>0</v>
      </c>
      <c r="O192" s="2670">
        <f>0</f>
        <v>0</v>
      </c>
      <c r="P192" s="2670">
        <f>0</f>
        <v>0</v>
      </c>
      <c r="Q192" s="2670">
        <f>-1</f>
        <v>-1</v>
      </c>
      <c r="R192" s="2670">
        <f>0</f>
        <v>0</v>
      </c>
      <c r="S192" s="2670">
        <f>0</f>
        <v>0</v>
      </c>
      <c r="T192" s="2670">
        <f>0</f>
        <v>0</v>
      </c>
      <c r="U192" s="2670">
        <f>0</f>
        <v>0</v>
      </c>
      <c r="V192" s="2670">
        <f>0</f>
        <v>0</v>
      </c>
      <c r="W192" s="2670">
        <f>0</f>
        <v>0</v>
      </c>
      <c r="X192" s="2670">
        <f>0</f>
        <v>0</v>
      </c>
      <c r="Y192" s="2670">
        <f>0</f>
        <v>0</v>
      </c>
      <c r="Z192" s="2671">
        <f>0</f>
        <v>0</v>
      </c>
      <c r="AA192" s="2670">
        <f>0</f>
        <v>0</v>
      </c>
      <c r="AB192" s="2670">
        <f>0</f>
        <v>0</v>
      </c>
      <c r="AC192" s="2670">
        <f>0</f>
        <v>0</v>
      </c>
      <c r="AD192" s="2670">
        <f>0</f>
        <v>0</v>
      </c>
      <c r="AE192" s="2670">
        <f>0</f>
        <v>0</v>
      </c>
      <c r="AF192" s="2670">
        <f>i_N_XE</f>
        <v>0.06</v>
      </c>
      <c r="AG192" s="2693">
        <f>0</f>
        <v>0</v>
      </c>
      <c r="AH192" s="2670">
        <f>0</f>
        <v>0</v>
      </c>
      <c r="AI192" s="2670">
        <f>0</f>
        <v>0</v>
      </c>
      <c r="AJ192" s="2670">
        <f>0</f>
        <v>0</v>
      </c>
      <c r="AK192" s="2670">
        <f>0</f>
        <v>0</v>
      </c>
      <c r="AL192" s="2670">
        <f>i_P_BIO</f>
        <v>0.02</v>
      </c>
      <c r="AM192" s="2693">
        <f>0</f>
        <v>0</v>
      </c>
      <c r="AN192" s="2670">
        <f>0</f>
        <v>0</v>
      </c>
      <c r="AO192" s="2670">
        <f>0</f>
        <v>0</v>
      </c>
      <c r="AP192" s="2670">
        <f>0</f>
        <v>0</v>
      </c>
      <c r="AQ192" s="2670">
        <f>0</f>
        <v>0</v>
      </c>
      <c r="AR192" s="2670">
        <f>i_CIT_BIO-i_CIT_SB</f>
        <v>6.6000000000000003E-2</v>
      </c>
      <c r="AS192" s="2670">
        <f>0</f>
        <v>0</v>
      </c>
      <c r="AT192" s="2670">
        <f>0</f>
        <v>0</v>
      </c>
      <c r="AU192" s="2670">
        <f>0</f>
        <v>0</v>
      </c>
      <c r="AV192" s="2670">
        <f>0</f>
        <v>0</v>
      </c>
      <c r="AW192" s="2670">
        <f>0</f>
        <v>0</v>
      </c>
      <c r="AX192" s="2670">
        <f>0</f>
        <v>0</v>
      </c>
      <c r="AY192" s="2670">
        <f>0</f>
        <v>0</v>
      </c>
      <c r="AZ192" s="2670">
        <f>0</f>
        <v>0</v>
      </c>
      <c r="BA192" s="2670">
        <f>0</f>
        <v>0</v>
      </c>
      <c r="BB192" s="2670">
        <f>0</f>
        <v>0</v>
      </c>
      <c r="BC192" s="2670">
        <f>0</f>
        <v>0</v>
      </c>
      <c r="BD192" s="2670">
        <f>0</f>
        <v>0</v>
      </c>
      <c r="BE192" s="2670">
        <f>0</f>
        <v>0</v>
      </c>
      <c r="BF192" s="2670">
        <f>0</f>
        <v>0</v>
      </c>
      <c r="BG192" s="2670">
        <f>0</f>
        <v>0</v>
      </c>
      <c r="BH192" s="2670">
        <f>0</f>
        <v>0</v>
      </c>
      <c r="BI192" s="2670">
        <f>0</f>
        <v>0</v>
      </c>
      <c r="BJ192" s="2670">
        <f>0</f>
        <v>0</v>
      </c>
      <c r="BK192" s="2670">
        <f>0</f>
        <v>0</v>
      </c>
      <c r="BL192" s="2670">
        <f>0</f>
        <v>0</v>
      </c>
      <c r="BM192" s="2670">
        <f>0</f>
        <v>0</v>
      </c>
      <c r="BN192" s="2670">
        <f>0</f>
        <v>0</v>
      </c>
      <c r="BO192" s="2670">
        <f>0</f>
        <v>0</v>
      </c>
      <c r="BP192" s="2676">
        <f>0</f>
        <v>0</v>
      </c>
      <c r="BQ192" s="2670">
        <f>0</f>
        <v>0</v>
      </c>
      <c r="BR192" s="2670">
        <f>0</f>
        <v>0</v>
      </c>
      <c r="BS192" s="2671">
        <f>0</f>
        <v>0</v>
      </c>
      <c r="BT192" s="2671">
        <f>0</f>
        <v>0</v>
      </c>
      <c r="BU192" s="2671">
        <f>0</f>
        <v>0</v>
      </c>
      <c r="BV192" s="2671">
        <f>0</f>
        <v>0</v>
      </c>
      <c r="BW192" s="2670">
        <f>0</f>
        <v>0</v>
      </c>
      <c r="BX192" s="2783">
        <f>0</f>
        <v>0</v>
      </c>
      <c r="BY192" s="2671">
        <f>0</f>
        <v>0</v>
      </c>
      <c r="BZ192" s="2670">
        <f>0</f>
        <v>0</v>
      </c>
      <c r="CA192" s="2670">
        <f>0</f>
        <v>0</v>
      </c>
      <c r="CB192" s="2670">
        <f>0</f>
        <v>0</v>
      </c>
      <c r="CC192" s="2670">
        <f>0</f>
        <v>0</v>
      </c>
      <c r="CD192" s="2670">
        <f>0</f>
        <v>0</v>
      </c>
      <c r="CE192" s="2670">
        <f>0</f>
        <v>0</v>
      </c>
      <c r="CF192" s="2670">
        <f>0</f>
        <v>0</v>
      </c>
      <c r="CG192" s="2670">
        <f>0</f>
        <v>0</v>
      </c>
      <c r="CH192" s="2670">
        <f>0</f>
        <v>0</v>
      </c>
      <c r="CI192" s="2670">
        <f>0</f>
        <v>0</v>
      </c>
      <c r="CJ192" s="2670">
        <f>0</f>
        <v>0</v>
      </c>
      <c r="CK192" s="2670">
        <f>0</f>
        <v>0</v>
      </c>
      <c r="CL192" s="2813">
        <f>q_HYD_XBe_T*X_HET*(L_ogsatXHET_HYD_lim*M_RsatXEana_XHET_KHYD+L_oginhXHET_HYD_lim*M_satXEana_KXEana_HYD)*(M_satSO2_KO2_OHO+η_HYD_anox*(M_satSNO2_KNO2_OHO+M_inhSNO2_KNO2_OHO*M_satSNO3_KNO3_OHO)*M_inhSO2_KO2_OHO)</f>
        <v>1.9217390699066568</v>
      </c>
      <c r="CN192" s="2295">
        <f>E236*E192+F236*F192+G236*G192+H236*H192+I236*I192+J236*J192+K236*K192+L236*L192+M236*M192+N236*N192+O236*O192+P236*P192+Q236*Q192+R236*R192+S236*S192+T236*T192+U236*U192+V236*V192+W236*W192+X236*X192+Y236*Y192+Z236*Z192+AA236*AA192+AB236*AB192+AC236*AC192+AD236*AD192+AE236*AE192+AF236*AF192+AG236*AG192+AH236*AH192+AI236*AI192+AJ236*AJ192+AK236*AK192+AL236*AL192+AM236*AM192+AN236*AN192+AO236*AO192+AP236*AP192+AQ236*AQ192+AR236*AR192+AS236*AS192+AT236*AT192+AU236*AU192+AV236*AV192+AW236*AW192+AX236*AX192+AY236*AY192+AZ236*AZ192+BA236*BA192+BB236*BB192+BC236*BC192+BD236*BD192+BE236*BE192+BF236*BF192+BG236*BG192+BH236*BH192+BI236*BI192+BJ236*BJ192+BK236*BK192+BL236*BL192+BM236*BM192+BN236*BN192+BO236*BO192+BP236*BP192+BQ236*BQ192+BR236*BR192+BS236*BS192+BT236*BT192+BU236*BU192+BV236*BV192+BW236*BW192+BX236*BX192+BY236*BY192+BZ236*BZ192+CA236*CA192+CB236*CB192+CC236*CC192+CD236*CD192+CE236*CE192+CF236*CF192+CG236*CG192+CH236*CH192+CI236*CI192+CJ236*CJ192+CK236*CK192</f>
        <v>0</v>
      </c>
      <c r="CO192" s="2295">
        <f>E237*E192+F237*F192+G237*G192+H237*H192+I237*I192+J237*J192+K237*K192+L237*L192+M237*M192+N237*N192+O237*O192+P237*P192+Q237*Q192+R237*R192+S237*S192+T237*T192+U237*U192+V237*V192+W237*W192+X237*X192+Y237*Y192+Z237*Z192+AA237*AA192+AB237*AB192+AC237*AC192+AD237*AD192+AE237*AE192+AF237*AF192+AG237*AG192+AH237*AH192+AI237*AI192+AJ237*AJ192+AK237*AK192+AL237*AL192+AM237*AM192+AN237*AN192+AO237*AO192+AP237*AP192+AQ237*AQ192+AR237*AR192+AS237*AS192+AT237*AT192+AU237*AU192+AV237*AV192+AW237*AW192+AX237*AX192+AY237*AY192+AZ237*AZ192+BA237*BA192+BB237*BB192+BC237*BC192+BD237*BD192+BE237*BE192+BF237*BF192+BG237*BG192+BH237*BH192+BI237*BI192+BJ237*BJ192+BK237*BK192+BL237*BL192+BM237*BM192+BN237*BN192+BO237*BO192+BP237*BP192+BQ237*BQ192+BR237*BR192+BS237*BS192+BT237*BT192+BU237*BU192+BV237*BV192+BW237*BW192+BX237*BX192+BY237*BY192+BZ237*BZ192+CA237*CA192+CB237*CB192+CC237*CC192+CD237*CD192+CE237*CE192+CF237*CF192+CG237*CG192+CH237*CH192+CI237*CI192+CJ237*CJ192+CK237*CK192</f>
        <v>0</v>
      </c>
      <c r="CP192" s="2296">
        <f>E238*E192+F238*F192+G238*G192+H238*H192+I238*I192+J238*J192+K238*K192+L238*L192+M238*M192+N238*N192+O238*O192+P238*P192+Q238*Q192+R238*R192+S238*S192+T238*T192+U238*U192+V238*V192+W238*W192+X238*X192+Y238*Y192+Z238*Z192+AA238*AA192+AB238*AB192+AC238*AC192+AD238*AD192+AE238*AE192+AF238*AF192+AG238*AG192+AH238*AH192+AI238*AI192+AJ238*AJ192+AK238*AK192+AL238*AL192+AM238*AM192+AN238*AN192+AO238*AO192+AP238*AP192+AQ238*AQ192+AR238*AR192+AS238*AS192+AT238*AT192+AU238*AU192+AV238*AV192+AW238*AW192+AX238*AX192+AY238*AY192+AZ238*AZ192+BA238*BA192+BB238*BB192+BC238*BC192+BD238*BD192+BE238*BE192+BF238*BF192+BG238*BG192+BH238*BH192+BI238*BI192+BJ238*BJ192+BK238*BK192+BL238*BL192+BM238*BM192+BN238*BN192+BO238*BO192+BP238*BP192+BQ238*BQ192+BR238*BR192+BS238*BS192+BT238*BT192+BU238*BU192+BV238*BV192+BW238*BW192+BX238*BX192+BY238*BY192+BZ238*BZ192+CA238*CA192+CB238*CB192+CC238*CC192+CD238*CD192+CE238*CE192+CF238*CF192+CG238*CG192+CH238*CH192+CI238*CI192+CJ238*CJ192+CK238*CK192</f>
        <v>0</v>
      </c>
      <c r="CQ192" s="2297">
        <f>E239*E192+F239*F192+G239*G192+H239*H192+I239*I192+J239*J192+K239*K192+L239*L192+M239*M192+N239*N192+O239*O192+P239*P192+Q239*Q192+R239*R192+S239*S192+T239*T192+U239*U192+V239*V192+W239*W192+X239*X192+Y239*Y192+Z239*Z192+AA239*AA192+AB239*AB192+AC239*AC192+AD239*AD192+AE239*AE192+AF239*AF192+AG239*AG192+AH239*AH192+AI239*AI192+AJ239*AJ192+AK239*AK192+AL239*AL192+AM239*AM192+AN239*AN192+AO239*AO192+AP239*AP192+AQ239*AQ192+AR239*AR192+AS239*AS192+AT239*AT192+AU239*AU192+AV239*AV192+AW239*AW192+AX239*AX192+AY239*AY192+AZ239*AZ192+BA239*BA192+BB239*BB192+BC239*BC192+BD239*BD192+BE239*BE192+BF239*BF192+BG239*BG192+BH239*BH192+BI239*BI192+BJ239*BJ192+BK239*BK192+BL239*BL192+BM239*BM192+BN239*BN192+BO239*BO192+BP239*BP192+BQ239*BQ192+BR239*BR192+BS239*BS192+BT239*BT192+BU239*BU192+BV239*BV192+BW239*BW192+BX239*BX192+BY239*BY192+BZ239*BZ192+CA239*CA192+CB239*CB192+CC239*CC192+CD239*CD192+CE239*CE192+CF239*CF192+CG239*CG192+CH239*CH192+CI239*CI192+CJ239*CJ192+CK239*CK192</f>
        <v>0</v>
      </c>
      <c r="CR192" s="2297">
        <f>E240*E192+F240*F192+G240*G192+H240*H192+I240*I192+J240*J192+K240*K192+L240*L192+M240*M192+N240*N192+O240*O192+P240*P192+Q240*Q192+R240*R192+S240*S192+T240*T192+U240*U192+V240*V192+W240*W192+X240*X192+Y240*Y192+Z240*Z192+AA240*AA192+AB240*AB192+AC240*AC192+AD240*AD192+AE240*AE192+AF240*AF192+AG240*AG192+AH240*AH192+AI240*AI192+AJ240*AJ192+AK240*AK192+AL240*AL192+AM240*AM192+AN240*AN192+AO240*AO192+AP240*AP192+AQ240*AQ192+AR240*AR192+AS240*AS192+AT240*AT192+AU240*AU192+AV240*AV192+AW240*AW192+AX240*AX192+AY240*AY192+AZ240*AZ192+BA240*BA192+BB240*BB192+BC240*BC192+BD240*BD192+BE240*BE192+BF240*BF192+BG240*BG192+BH240*BH192+BI240*BI192+BJ240*BJ192+BK240*BK192+BL240*BL192+BM240*BM192+BN240*BN192+BO240*BO192+BP240*BP192+BQ240*BQ192+BR240*BR192+BS240*BS192+BT240*BT192+BU240*BU192+BV240*BV192+BW240*BW192+BX240*BX192+BY240*BY192+BZ240*BZ192+CA240*CA192+CB240*CB192+CC240*CC192+CD240*CD192+CE240*CE192+CF240*CF192+CG240*CG192+CH240*CH192+CI240*CI192+CJ240*CJ192+CK240*CK192</f>
        <v>0</v>
      </c>
      <c r="CS192" s="2297">
        <f>E241*E192+F241*F192+G241*G192+H241*H192+I241*I192+J241*J192+K241*K192+L241*L192+M241*M192+N241*N192+O241*O192+P241*P192+Q241*Q192+R241*R192+S241*S192+T241*T192+U241*U192+V241*V192+W241*W192+X241*X192+Y241*Y192+Z241*Z192+AA241*AA192+AB241*AB192+AC241*AC192+AD241*AD192+AE241*AE192+AF241*AF192+AG241*AG192+AH241*AH192+AI241*AI192+AJ241*AJ192+AK241*AK192+AL241*AL192+AM241*AM192+AN241*AN192+AO241*AO192+AP241*AP192+AQ241*AQ192+AR241*AR192+AS241*AS192+AT241*AT192+AU241*AU192+AV241*AV192+AW241*AW192+AX241*AX192+AY241*AY192+AZ241*AZ192+BA241*BA192+BB241*BB192+BC241*BC192+BD241*BD192+BE241*BE192+BF241*BF192+BG241*BG192+BH241*BH192+BI241*BI192+BJ241*BJ192+BK241*BK192+BL241*BL192+BM241*BM192+BN241*BN192+BO241*BO192+BP241*BP192+BQ241*BQ192+BR241*BR192+BS241*BS192+BT241*BT192+BU241*BU192+BV241*BV192+BW241*BW192+BX241*BX192+BY241*BY192+BZ241*BZ192+CA241*CA192+CB241*CB192+CC241*CC192+CD241*CD192+CE241*CE192+CF241*CF192+CG241*CG192+CH241*CH192+CI241*CI192+CJ241*CJ192+CK241*CK192</f>
        <v>0</v>
      </c>
      <c r="CT192" s="2297">
        <f>E242*E192+F242*F192+G242*G192+H242*H192+I242*I192+J242*J192+K242*K192+L242*L192+M242*M192+N242*N192+O242*O192+P242*P192+Q242*Q192+R242*R192+S242*S192+T242*T192+U242*U192+V242*V192+W242*W192+X242*X192+Y242*Y192+Z242*Z192+AA242*AA192+AB242*AB192+AC242*AC192+AD242*AD192+AE242*AE192+AF242*AF192+AG242*AG192+AH242*AH192+AI242*AI192+AJ242*AJ192+AK242*AK192+AL242*AL192+AM242*AM192+AN242*AN192+AO242*AO192+AP242*AP192+AQ242*AQ192+AR242*AR192+AS242*AS192+AT242*AT192+AU242*AU192+AV242*AV192+AW242*AW192+AX242*AX192+AY242*AY192+AZ242*AZ192+BA242*BA192+BB242*BB192+BC242*BC192+BD242*BD192+BE242*BE192+BF242*BF192+BG242*BG192+BH242*BH192+BI242*BI192+BJ242*BJ192+BK242*BK192+BL242*BL192+BM242*BM192+BN242*BN192+BO242*BO192+BP242*BP192+BQ242*BQ192+BR242*BR192+BS242*BS192+BT242*BT192+BU242*BU192+BV242*BV192+BW242*BW192+BX242*BX192+BY242*BY192+BZ242*BZ192+CA242*CA192+CB242*CB192+CC242*CC192+CD242*CD192+CE242*CE192+CF242*CF192+CG242*CG192+CH242*CH192+CI242*CI192+CJ242*CJ192+CK242*CK192</f>
        <v>0</v>
      </c>
      <c r="CU192" s="2297">
        <f>E243*E192+F243*F192+G243*G192+H243*H192+I243*I192+J243*J192+K243*K192+L243*L192+M243*M192+N243*N192+O243*O192+P243*P192+Q243*Q192+R243*R192+S243*S192+T243*T192+U243*U192+V243*V192+W243*W192+X243*X192+Y243*Y192+Z243*Z192+AA243*AA192+AB243*AB192+AC243*AC192+AD243*AD192+AE243*AE192+AF243*AF192+AG243*AG192+AH243*AH192+AI243*AI192+AJ243*AJ192+AK243*AK192+AL243*AL192+AM243*AM192+AN243*AN192+AO243*AO192+AP243*AP192+AQ243*AQ192+AR243*AR192+AS243*AS192+AT243*AT192+AU243*AU192+AV243*AV192+AW243*AW192+AX243*AX192+AY243*AY192+AZ243*AZ192+BA243*BA192+BB243*BB192+BC243*BC192+BD243*BD192+BE243*BE192+BF243*BF192+BG243*BG192+BH243*BH192+BI243*BI192+BJ243*BJ192+BK243*BK192+BL243*BL192+BM243*BM192+BN243*BN192+BO243*BO192+BP243*BP192+BQ243*BQ192+BR243*BR192+BS243*BS192+BT243*BT192+BU243*BU192+BV243*BV192+BW243*BW192+BX243*BX192+BY243*BY192+BZ243*BZ192+CA243*CA192+CB243*CB192+CC243*CC192+CD243*CD192+CE243*CE192+CF243*CF192+CG243*CG192+CH243*CH192+CI243*CI192+CJ243*CJ192+CK243*CK192</f>
        <v>0</v>
      </c>
      <c r="CV192" s="2297">
        <f>E244*E192+F244*F192+G244*G192+H244*H192+I244*I192+J244*J192+K244*K192+L244*L192+M244*M192+N244*N192+O244*O192+P244*P192+Q244*Q192+R244*R192+S244*S192+T244*T192+U244*U192+V244*V192+W244*W192+X244*X192+Y244*Y192+Z244*Z192+AA244*AA192+AB244*AB192+AC244*AC192+AD244*AD192+AE244*AE192+AF244*AF192+AG244*AG192+AH244*AH192+AI244*AI192+AJ244*AJ192+AK244*AK192+AL244*AL192+AM244*AM192+AN244*AN192+AO244*AO192+AP244*AP192+AQ244*AQ192+AR244*AR192+AS244*AS192+AT244*AT192+AU244*AU192+AV244*AV192+AW244*AW192+AX244*AX192+AY244*AY192+AZ244*AZ192+BA244*BA192+BB244*BB192+BC244*BC192+BD244*BD192+BE244*BE192+BF244*BF192+BG244*BG192+BH244*BH192+BI244*BI192+BJ244*BJ192+BK244*BK192+BL244*BL192+BM244*BM192+BN244*BN192+BO244*BO192+BP244*BP192+BQ244*BQ192+BR244*BR192+BS244*BS192+BT244*BT192+BU244*BU192+BV244*BV192+BW244*BW192+BX244*BX192+BY244*BY192+BZ244*BZ192+CA244*CA192+CB244*CB192+CC244*CC192+CD244*CD192+CE244*CE192+CF244*CF192+CG244*CG192+CH244*CH192+CI244*CI192+CJ244*CJ192+CK244*CK192</f>
        <v>0</v>
      </c>
      <c r="CW192" s="2297">
        <f>E245*E192+F245*F192+G245*G192+H245*H192+I245*I192+J245*J192+K245*K192+L245*L192+M245*M192+N245*N192+O245*O192+P245*P192+Q245*Q192+R245*R192+S245*S192+T245*T192+U245*U192+V245*V192+W245*W192+X245*X192+Y245*Y192+Z245*Z192+AA245*AA192+AB245*AB192+AC245*AC192+AD245*AD192+AE245*AE192+AF245*AF192+AG245*AG192+AH245*AH192+AI245*AI192+AJ245*AJ192+AK245*AK192+AL245*AL192+AM245*AM192+AN245*AN192+AO245*AO192+AP245*AP192+AQ245*AQ192+AR245*AR192+AS245*AS192+AT245*AT192+AU245*AU192+AV245*AV192+AW245*AW192+AX245*AX192+AY245*AY192+AZ245*AZ192+BA245*BA192+BB245*BB192+BC245*BC192+BD245*BD192+BE245*BE192+BF245*BF192+BG245*BG192+BH245*BH192+BI245*BI192+BJ245*BJ192+BK245*BK192+BL245*BL192+BM245*BM192+BN245*BN192+BO245*BO192+BP245*BP192+BQ245*BQ192+BR245*BR192+BS245*BS192+BT245*BT192+BU245*BU192+BV245*BV192+BW245*BW192+BX245*BX192+BY245*BY192+BZ245*BZ192+CA245*CA192+CB245*CB192+CC245*CC192+CD245*CD192+CE245*CE192+CF245*CF192+CG245*CG192+CH245*CH192+CI245*CI192+CJ245*CJ192+CK245*CK192</f>
        <v>0</v>
      </c>
      <c r="CX192" s="2297">
        <f>E246*E192+F246*F192+G246*G192+H246*H192+I246*I192+J246*J192+K246*K192+L246*L192+M246*M192+N246*N192+O246*O192+P246*P192+Q246*Q192+R246*R192+S246*S192+T246*T192+U246*U192+V246*V192+W246*W192+X246*X192+Y246*Y192+Z246*Z192+AA246*AA192+AB246*AB192+AC246*AC192+AD246*AD192+AE246*AE192+AF246*AF192+AG246*AG192+AH246*AH192+AI246*AI192+AJ246*AJ192+AK246*AK192+AL246*AL192+AM246*AM192+AN246*AN192+AO246*AO192+AP246*AP192+AQ246*AQ192+AR246*AR192+AS246*AS192+AT246*AT192+AU246*AU192+AV246*AV192+AW246*AW192+AX246*AX192+AY246*AY192+AZ246*AZ192+BA246*BA192+BB246*BB192+BC246*BC192+BD246*BD192+BE246*BE192+BF246*BF192+BG246*BG192+BH246*BH192+BI246*BI192+BJ246*BJ192+BK246*BK192+BL246*BL192+BM246*BM192+BN246*BN192+BO246*BO192+BP246*BP192+BQ246*BQ192+BR246*BR192+BS246*BS192+BT246*BT192+BU246*BU192+BV246*BV192+BW246*BW192+BX246*BX192+BY246*BY192+BZ246*BZ192+CA246*CA192+CB246*CB192+CC246*CC192+CD246*CD192+CE246*CE192+CF246*CF192+CG246*CG192+CH246*CH192+CI246*CI192+CJ246*CJ192+CK246*CK192</f>
        <v>0</v>
      </c>
    </row>
    <row r="193" spans="2:102" ht="18" x14ac:dyDescent="0.25">
      <c r="B193" s="1251">
        <v>66</v>
      </c>
      <c r="C193" s="1198" t="s">
        <v>2406</v>
      </c>
      <c r="D193" s="1966" t="s">
        <v>5306</v>
      </c>
      <c r="E193" s="2671">
        <f>0</f>
        <v>0</v>
      </c>
      <c r="F193" s="2671">
        <f>0</f>
        <v>0</v>
      </c>
      <c r="G193" s="2671">
        <f>0</f>
        <v>0</v>
      </c>
      <c r="H193" s="2671">
        <f>0</f>
        <v>0</v>
      </c>
      <c r="I193" s="2671">
        <f>1</f>
        <v>1</v>
      </c>
      <c r="J193" s="2693">
        <f>0</f>
        <v>0</v>
      </c>
      <c r="K193" s="2671">
        <f>0</f>
        <v>0</v>
      </c>
      <c r="L193" s="2671">
        <f>0</f>
        <v>0</v>
      </c>
      <c r="M193" s="2671">
        <f>-1</f>
        <v>-1</v>
      </c>
      <c r="N193" s="2671">
        <f>0</f>
        <v>0</v>
      </c>
      <c r="O193" s="2671">
        <f>0</f>
        <v>0</v>
      </c>
      <c r="P193" s="2671">
        <f>0</f>
        <v>0</v>
      </c>
      <c r="Q193" s="2671">
        <f>0</f>
        <v>0</v>
      </c>
      <c r="R193" s="2671">
        <f>0</f>
        <v>0</v>
      </c>
      <c r="S193" s="2671">
        <f>0</f>
        <v>0</v>
      </c>
      <c r="T193" s="2671">
        <f>0</f>
        <v>0</v>
      </c>
      <c r="U193" s="2671">
        <f>0</f>
        <v>0</v>
      </c>
      <c r="V193" s="2671">
        <f>0</f>
        <v>0</v>
      </c>
      <c r="W193" s="2671">
        <f>0</f>
        <v>0</v>
      </c>
      <c r="X193" s="2671">
        <f>0</f>
        <v>0</v>
      </c>
      <c r="Y193" s="2671">
        <f>0</f>
        <v>0</v>
      </c>
      <c r="Z193" s="2671">
        <f>0</f>
        <v>0</v>
      </c>
      <c r="AA193" s="2671">
        <f>0</f>
        <v>0</v>
      </c>
      <c r="AB193" s="2671">
        <f>0</f>
        <v>0</v>
      </c>
      <c r="AC193" s="2671">
        <f>0</f>
        <v>0</v>
      </c>
      <c r="AD193" s="2671">
        <f>0</f>
        <v>0</v>
      </c>
      <c r="AE193" s="2671">
        <f>0</f>
        <v>0</v>
      </c>
      <c r="AF193" s="2728">
        <f>X_N_U/X_U</f>
        <v>0.01</v>
      </c>
      <c r="AG193" s="2729">
        <f>0</f>
        <v>0</v>
      </c>
      <c r="AH193" s="2728">
        <f>-X_N_U/X_U</f>
        <v>-0.01</v>
      </c>
      <c r="AI193" s="2671">
        <f>0</f>
        <v>0</v>
      </c>
      <c r="AJ193" s="2671">
        <f>0</f>
        <v>0</v>
      </c>
      <c r="AK193" s="2671">
        <f>0</f>
        <v>0</v>
      </c>
      <c r="AL193" s="2729">
        <f>X_P_U/X_U</f>
        <v>2E-3</v>
      </c>
      <c r="AM193" s="2729">
        <f>0</f>
        <v>0</v>
      </c>
      <c r="AN193" s="2729">
        <f>-X_P_U/X_U</f>
        <v>-2E-3</v>
      </c>
      <c r="AO193" s="2671">
        <f>0</f>
        <v>0</v>
      </c>
      <c r="AP193" s="2671">
        <f>0</f>
        <v>0</v>
      </c>
      <c r="AQ193" s="2671">
        <f>0</f>
        <v>0</v>
      </c>
      <c r="AR193" s="2671">
        <f>0</f>
        <v>0</v>
      </c>
      <c r="AS193" s="2671">
        <f>0</f>
        <v>0</v>
      </c>
      <c r="AT193" s="2671">
        <f>0</f>
        <v>0</v>
      </c>
      <c r="AU193" s="2671">
        <f>0</f>
        <v>0</v>
      </c>
      <c r="AV193" s="2671">
        <f>0</f>
        <v>0</v>
      </c>
      <c r="AW193" s="2671">
        <f>0</f>
        <v>0</v>
      </c>
      <c r="AX193" s="2671">
        <f>0</f>
        <v>0</v>
      </c>
      <c r="AY193" s="2671">
        <f>0</f>
        <v>0</v>
      </c>
      <c r="AZ193" s="2671">
        <f>0</f>
        <v>0</v>
      </c>
      <c r="BA193" s="2671">
        <f>0</f>
        <v>0</v>
      </c>
      <c r="BB193" s="2671">
        <f>0</f>
        <v>0</v>
      </c>
      <c r="BC193" s="2671">
        <f>0</f>
        <v>0</v>
      </c>
      <c r="BD193" s="2671">
        <f>0</f>
        <v>0</v>
      </c>
      <c r="BE193" s="2671">
        <f>0</f>
        <v>0</v>
      </c>
      <c r="BF193" s="2671">
        <f>0</f>
        <v>0</v>
      </c>
      <c r="BG193" s="2671">
        <f>0</f>
        <v>0</v>
      </c>
      <c r="BH193" s="2671">
        <f>0</f>
        <v>0</v>
      </c>
      <c r="BI193" s="2671">
        <f>0</f>
        <v>0</v>
      </c>
      <c r="BJ193" s="2671">
        <f>0</f>
        <v>0</v>
      </c>
      <c r="BK193" s="2671">
        <f>0</f>
        <v>0</v>
      </c>
      <c r="BL193" s="2671">
        <f>0</f>
        <v>0</v>
      </c>
      <c r="BM193" s="2671">
        <f>0</f>
        <v>0</v>
      </c>
      <c r="BN193" s="2671">
        <f>0</f>
        <v>0</v>
      </c>
      <c r="BO193" s="2671">
        <f>0</f>
        <v>0</v>
      </c>
      <c r="BP193" s="2671">
        <f>0</f>
        <v>0</v>
      </c>
      <c r="BQ193" s="2671">
        <f>0</f>
        <v>0</v>
      </c>
      <c r="BR193" s="2671">
        <f>0</f>
        <v>0</v>
      </c>
      <c r="BS193" s="2671">
        <f>0</f>
        <v>0</v>
      </c>
      <c r="BT193" s="2671">
        <f>0</f>
        <v>0</v>
      </c>
      <c r="BU193" s="2671">
        <f>0</f>
        <v>0</v>
      </c>
      <c r="BV193" s="2671">
        <f>0</f>
        <v>0</v>
      </c>
      <c r="BW193" s="2671">
        <f>0</f>
        <v>0</v>
      </c>
      <c r="BX193" s="2671">
        <f>0</f>
        <v>0</v>
      </c>
      <c r="BY193" s="2671">
        <f>0</f>
        <v>0</v>
      </c>
      <c r="BZ193" s="2671">
        <f>0</f>
        <v>0</v>
      </c>
      <c r="CA193" s="2671">
        <f>0</f>
        <v>0</v>
      </c>
      <c r="CB193" s="2671">
        <f>0</f>
        <v>0</v>
      </c>
      <c r="CC193" s="2671">
        <f>0</f>
        <v>0</v>
      </c>
      <c r="CD193" s="2671">
        <f>0</f>
        <v>0</v>
      </c>
      <c r="CE193" s="2671">
        <f>0</f>
        <v>0</v>
      </c>
      <c r="CF193" s="2671">
        <f>0</f>
        <v>0</v>
      </c>
      <c r="CG193" s="2671">
        <f>0</f>
        <v>0</v>
      </c>
      <c r="CH193" s="2671">
        <f>0</f>
        <v>0</v>
      </c>
      <c r="CI193" s="2671">
        <f>0</f>
        <v>0</v>
      </c>
      <c r="CJ193" s="2671">
        <f>0</f>
        <v>0</v>
      </c>
      <c r="CK193" s="2671">
        <f>0</f>
        <v>0</v>
      </c>
      <c r="CL193" s="2814">
        <f>q_XU_T*X_U*M_satXU_KXU</f>
        <v>9.9009900990099011E-4</v>
      </c>
      <c r="CN193" s="2295">
        <f>E236*E193+F236*F193+G236*G193+H236*H193+I236*I193+J236*J193+K236*K193+L236*L193+M236*M193+N236*N193+O236*O193+P236*P193+Q236*Q193+R236*R193+S236*S193+T236*T193+U236*U193+V236*V193+W236*W193+X236*X193+Y236*Y193+Z236*Z193+AA236*AA193+AB236*AB193+AC236*AC193+AD236*AD193+AE236*AE193+AF236*AF193+AG236*AG193+AH236*AH193+AI236*AI193+AJ236*AJ193+AK236*AK193+AL236*AL193+AM236*AM193+AN236*AN193+AO236*AO193+AP236*AP193+AQ236*AQ193+AR236*AR193+AS236*AS193+AT236*AT193+AU236*AU193+AV236*AV193+AW236*AW193+AX236*AX193+AY236*AY193+AZ236*AZ193+BA236*BA193+BB236*BB193+BC236*BC193+BD236*BD193+BE236*BE193+BF236*BF193+BG236*BG193+BH236*BH193+BI236*BI193+BJ236*BJ193+BK236*BK193+BL236*BL193+BM236*BM193+BN236*BN193+BO236*BO193+BP236*BP193+BQ236*BQ193+BR236*BR193+BS236*BS193+BT236*BT193+BU236*BU193+BV236*BV193+BW236*BW193+BX236*BX193+BY236*BY193+BZ236*BZ193+CA236*CA193+CB236*CB193+CC236*CC193+CD236*CD193+CE236*CE193+CF236*CF193+CG236*CG193+CH236*CH193+CI236*CI193+CJ236*CJ193+CK236*CK193</f>
        <v>0</v>
      </c>
      <c r="CO193" s="2295">
        <f>E237*E193+F237*F193+G237*G193+H237*H193+I237*I193+J237*J193+K237*K193+L237*L193+M237*M193+N237*N193+O237*O193+P237*P193+Q237*Q193+R237*R193+S237*S193+T237*T193+U237*U193+V237*V193+W237*W193+X237*X193+Y237*Y193+Z237*Z193+AA237*AA193+AB237*AB193+AC237*AC193+AD237*AD193+AE237*AE193+AF237*AF193+AG237*AG193+AH237*AH193+AI237*AI193+AJ237*AJ193+AK237*AK193+AL237*AL193+AM237*AM193+AN237*AN193+AO237*AO193+AP237*AP193+AQ237*AQ193+AR237*AR193+AS237*AS193+AT237*AT193+AU237*AU193+AV237*AV193+AW237*AW193+AX237*AX193+AY237*AY193+AZ237*AZ193+BA237*BA193+BB237*BB193+BC237*BC193+BD237*BD193+BE237*BE193+BF237*BF193+BG237*BG193+BH237*BH193+BI237*BI193+BJ237*BJ193+BK237*BK193+BL237*BL193+BM237*BM193+BN237*BN193+BO237*BO193+BP237*BP193+BQ237*BQ193+BR237*BR193+BS237*BS193+BT237*BT193+BU237*BU193+BV237*BV193+BW237*BW193+BX237*BX193+BY237*BY193+BZ237*BZ193+CA237*CA193+CB237*CB193+CC237*CC193+CD237*CD193+CE237*CE193+CF237*CF193+CG237*CG193+CH237*CH193+CI237*CI193+CJ237*CJ193+CK237*CK193</f>
        <v>0</v>
      </c>
      <c r="CP193" s="2296">
        <f>E238*E193+F238*F193+G238*G193+H238*H193+I238*I193+J238*J193+K238*K193+L238*L193+M238*M193+N238*N193+O238*O193+P238*P193+Q238*Q193+R238*R193+S238*S193+T238*T193+U238*U193+V238*V193+W238*W193+X238*X193+Y238*Y193+Z238*Z193+AA238*AA193+AB238*AB193+AC238*AC193+AD238*AD193+AE238*AE193+AF238*AF193+AG238*AG193+AH238*AH193+AI238*AI193+AJ238*AJ193+AK238*AK193+AL238*AL193+AM238*AM193+AN238*AN193+AO238*AO193+AP238*AP193+AQ238*AQ193+AR238*AR193+AS238*AS193+AT238*AT193+AU238*AU193+AV238*AV193+AW238*AW193+AX238*AX193+AY238*AY193+AZ238*AZ193+BA238*BA193+BB238*BB193+BC238*BC193+BD238*BD193+BE238*BE193+BF238*BF193+BG238*BG193+BH238*BH193+BI238*BI193+BJ238*BJ193+BK238*BK193+BL238*BL193+BM238*BM193+BN238*BN193+BO238*BO193+BP238*BP193+BQ238*BQ193+BR238*BR193+BS238*BS193+BT238*BT193+BU238*BU193+BV238*BV193+BW238*BW193+BX238*BX193+BY238*BY193+BZ238*BZ193+CA238*CA193+CB238*CB193+CC238*CC193+CD238*CD193+CE238*CE193+CF238*CF193+CG238*CG193+CH238*CH193+CI238*CI193+CJ238*CJ193+CK238*CK193</f>
        <v>0</v>
      </c>
      <c r="CQ193" s="2297">
        <f>E239*E193+F239*F193+G239*G193+H239*H193+I239*I193+J239*J193+K239*K193+L239*L193+M239*M193+N239*N193+O239*O193+P239*P193+Q239*Q193+R239*R193+S239*S193+T239*T193+U239*U193+V239*V193+W239*W193+X239*X193+Y239*Y193+Z239*Z193+AA239*AA193+AB239*AB193+AC239*AC193+AD239*AD193+AE239*AE193+AF239*AF193+AG239*AG193+AH239*AH193+AI239*AI193+AJ239*AJ193+AK239*AK193+AL239*AL193+AM239*AM193+AN239*AN193+AO239*AO193+AP239*AP193+AQ239*AQ193+AR239*AR193+AS239*AS193+AT239*AT193+AU239*AU193+AV239*AV193+AW239*AW193+AX239*AX193+AY239*AY193+AZ239*AZ193+BA239*BA193+BB239*BB193+BC239*BC193+BD239*BD193+BE239*BE193+BF239*BF193+BG239*BG193+BH239*BH193+BI239*BI193+BJ239*BJ193+BK239*BK193+BL239*BL193+BM239*BM193+BN239*BN193+BO239*BO193+BP239*BP193+BQ239*BQ193+BR239*BR193+BS239*BS193+BT239*BT193+BU239*BU193+BV239*BV193+BW239*BW193+BX239*BX193+BY239*BY193+BZ239*BZ193+CA239*CA193+CB239*CB193+CC239*CC193+CD239*CD193+CE239*CE193+CF239*CF193+CG239*CG193+CH239*CH193+CI239*CI193+CJ239*CJ193+CK239*CK193</f>
        <v>0</v>
      </c>
      <c r="CR193" s="2297">
        <f>E240*E193+F240*F193+G240*G193+H240*H193+I240*I193+J240*J193+K240*K193+L240*L193+M240*M193+N240*N193+O240*O193+P240*P193+Q240*Q193+R240*R193+S240*S193+T240*T193+U240*U193+V240*V193+W240*W193+X240*X193+Y240*Y193+Z240*Z193+AA240*AA193+AB240*AB193+AC240*AC193+AD240*AD193+AE240*AE193+AF240*AF193+AG240*AG193+AH240*AH193+AI240*AI193+AJ240*AJ193+AK240*AK193+AL240*AL193+AM240*AM193+AN240*AN193+AO240*AO193+AP240*AP193+AQ240*AQ193+AR240*AR193+AS240*AS193+AT240*AT193+AU240*AU193+AV240*AV193+AW240*AW193+AX240*AX193+AY240*AY193+AZ240*AZ193+BA240*BA193+BB240*BB193+BC240*BC193+BD240*BD193+BE240*BE193+BF240*BF193+BG240*BG193+BH240*BH193+BI240*BI193+BJ240*BJ193+BK240*BK193+BL240*BL193+BM240*BM193+BN240*BN193+BO240*BO193+BP240*BP193+BQ240*BQ193+BR240*BR193+BS240*BS193+BT240*BT193+BU240*BU193+BV240*BV193+BW240*BW193+BX240*BX193+BY240*BY193+BZ240*BZ193+CA240*CA193+CB240*CB193+CC240*CC193+CD240*CD193+CE240*CE193+CF240*CF193+CG240*CG193+CH240*CH193+CI240*CI193+CJ240*CJ193+CK240*CK193</f>
        <v>0</v>
      </c>
      <c r="CS193" s="2297">
        <f>E241*E193+F241*F193+G241*G193+H241*H193+I241*I193+J241*J193+K241*K193+L241*L193+M241*M193+N241*N193+O241*O193+P241*P193+Q241*Q193+R241*R193+S241*S193+T241*T193+U241*U193+V241*V193+W241*W193+X241*X193+Y241*Y193+Z241*Z193+AA241*AA193+AB241*AB193+AC241*AC193+AD241*AD193+AE241*AE193+AF241*AF193+AG241*AG193+AH241*AH193+AI241*AI193+AJ241*AJ193+AK241*AK193+AL241*AL193+AM241*AM193+AN241*AN193+AO241*AO193+AP241*AP193+AQ241*AQ193+AR241*AR193+AS241*AS193+AT241*AT193+AU241*AU193+AV241*AV193+AW241*AW193+AX241*AX193+AY241*AY193+AZ241*AZ193+BA241*BA193+BB241*BB193+BC241*BC193+BD241*BD193+BE241*BE193+BF241*BF193+BG241*BG193+BH241*BH193+BI241*BI193+BJ241*BJ193+BK241*BK193+BL241*BL193+BM241*BM193+BN241*BN193+BO241*BO193+BP241*BP193+BQ241*BQ193+BR241*BR193+BS241*BS193+BT241*BT193+BU241*BU193+BV241*BV193+BW241*BW193+BX241*BX193+BY241*BY193+BZ241*BZ193+CA241*CA193+CB241*CB193+CC241*CC193+CD241*CD193+CE241*CE193+CF241*CF193+CG241*CG193+CH241*CH193+CI241*CI193+CJ241*CJ193+CK241*CK193</f>
        <v>0</v>
      </c>
      <c r="CT193" s="2297">
        <f>E242*E193+F242*F193+G242*G193+H242*H193+I242*I193+J242*J193+K242*K193+L242*L193+M242*M193+N242*N193+O242*O193+P242*P193+Q242*Q193+R242*R193+S242*S193+T242*T193+U242*U193+V242*V193+W242*W193+X242*X193+Y242*Y193+Z242*Z193+AA242*AA193+AB242*AB193+AC242*AC193+AD242*AD193+AE242*AE193+AF242*AF193+AG242*AG193+AH242*AH193+AI242*AI193+AJ242*AJ193+AK242*AK193+AL242*AL193+AM242*AM193+AN242*AN193+AO242*AO193+AP242*AP193+AQ242*AQ193+AR242*AR193+AS242*AS193+AT242*AT193+AU242*AU193+AV242*AV193+AW242*AW193+AX242*AX193+AY242*AY193+AZ242*AZ193+BA242*BA193+BB242*BB193+BC242*BC193+BD242*BD193+BE242*BE193+BF242*BF193+BG242*BG193+BH242*BH193+BI242*BI193+BJ242*BJ193+BK242*BK193+BL242*BL193+BM242*BM193+BN242*BN193+BO242*BO193+BP242*BP193+BQ242*BQ193+BR242*BR193+BS242*BS193+BT242*BT193+BU242*BU193+BV242*BV193+BW242*BW193+BX242*BX193+BY242*BY193+BZ242*BZ193+CA242*CA193+CB242*CB193+CC242*CC193+CD242*CD193+CE242*CE193+CF242*CF193+CG242*CG193+CH242*CH193+CI242*CI193+CJ242*CJ193+CK242*CK193</f>
        <v>0</v>
      </c>
      <c r="CU193" s="2297">
        <f>E243*E193+F243*F193+G243*G193+H243*H193+I243*I193+J243*J193+K243*K193+L243*L193+M243*M193+N243*N193+O243*O193+P243*P193+Q243*Q193+R243*R193+S243*S193+T243*T193+U243*U193+V243*V193+W243*W193+X243*X193+Y243*Y193+Z243*Z193+AA243*AA193+AB243*AB193+AC243*AC193+AD243*AD193+AE243*AE193+AF243*AF193+AG243*AG193+AH243*AH193+AI243*AI193+AJ243*AJ193+AK243*AK193+AL243*AL193+AM243*AM193+AN243*AN193+AO243*AO193+AP243*AP193+AQ243*AQ193+AR243*AR193+AS243*AS193+AT243*AT193+AU243*AU193+AV243*AV193+AW243*AW193+AX243*AX193+AY243*AY193+AZ243*AZ193+BA243*BA193+BB243*BB193+BC243*BC193+BD243*BD193+BE243*BE193+BF243*BF193+BG243*BG193+BH243*BH193+BI243*BI193+BJ243*BJ193+BK243*BK193+BL243*BL193+BM243*BM193+BN243*BN193+BO243*BO193+BP243*BP193+BQ243*BQ193+BR243*BR193+BS243*BS193+BT243*BT193+BU243*BU193+BV243*BV193+BW243*BW193+BX243*BX193+BY243*BY193+BZ243*BZ193+CA243*CA193+CB243*CB193+CC243*CC193+CD243*CD193+CE243*CE193+CF243*CF193+CG243*CG193+CH243*CH193+CI243*CI193+CJ243*CJ193+CK243*CK193</f>
        <v>0</v>
      </c>
      <c r="CV193" s="2297">
        <f>E244*E193+F244*F193+G244*G193+H244*H193+I244*I193+J244*J193+K244*K193+L244*L193+M244*M193+N244*N193+O244*O193+P244*P193+Q244*Q193+R244*R193+S244*S193+T244*T193+U244*U193+V244*V193+W244*W193+X244*X193+Y244*Y193+Z244*Z193+AA244*AA193+AB244*AB193+AC244*AC193+AD244*AD193+AE244*AE193+AF244*AF193+AG244*AG193+AH244*AH193+AI244*AI193+AJ244*AJ193+AK244*AK193+AL244*AL193+AM244*AM193+AN244*AN193+AO244*AO193+AP244*AP193+AQ244*AQ193+AR244*AR193+AS244*AS193+AT244*AT193+AU244*AU193+AV244*AV193+AW244*AW193+AX244*AX193+AY244*AY193+AZ244*AZ193+BA244*BA193+BB244*BB193+BC244*BC193+BD244*BD193+BE244*BE193+BF244*BF193+BG244*BG193+BH244*BH193+BI244*BI193+BJ244*BJ193+BK244*BK193+BL244*BL193+BM244*BM193+BN244*BN193+BO244*BO193+BP244*BP193+BQ244*BQ193+BR244*BR193+BS244*BS193+BT244*BT193+BU244*BU193+BV244*BV193+BW244*BW193+BX244*BX193+BY244*BY193+BZ244*BZ193+CA244*CA193+CB244*CB193+CC244*CC193+CD244*CD193+CE244*CE193+CF244*CF193+CG244*CG193+CH244*CH193+CI244*CI193+CJ244*CJ193+CK244*CK193</f>
        <v>0</v>
      </c>
      <c r="CW193" s="2297">
        <f>E245*E193+F245*F193+G245*G193+H245*H193+I245*I193+J245*J193+K245*K193+L245*L193+M245*M193+N245*N193+O245*O193+P245*P193+Q245*Q193+R245*R193+S245*S193+T245*T193+U245*U193+V245*V193+W245*W193+X245*X193+Y245*Y193+Z245*Z193+AA245*AA193+AB245*AB193+AC245*AC193+AD245*AD193+AE245*AE193+AF245*AF193+AG245*AG193+AH245*AH193+AI245*AI193+AJ245*AJ193+AK245*AK193+AL245*AL193+AM245*AM193+AN245*AN193+AO245*AO193+AP245*AP193+AQ245*AQ193+AR245*AR193+AS245*AS193+AT245*AT193+AU245*AU193+AV245*AV193+AW245*AW193+AX245*AX193+AY245*AY193+AZ245*AZ193+BA245*BA193+BB245*BB193+BC245*BC193+BD245*BD193+BE245*BE193+BF245*BF193+BG245*BG193+BH245*BH193+BI245*BI193+BJ245*BJ193+BK245*BK193+BL245*BL193+BM245*BM193+BN245*BN193+BO245*BO193+BP245*BP193+BQ245*BQ193+BR245*BR193+BS245*BS193+BT245*BT193+BU245*BU193+BV245*BV193+BW245*BW193+BX245*BX193+BY245*BY193+BZ245*BZ193+CA245*CA193+CB245*CB193+CC245*CC193+CD245*CD193+CE245*CE193+CF245*CF193+CG245*CG193+CH245*CH193+CI245*CI193+CJ245*CJ193+CK245*CK193</f>
        <v>0</v>
      </c>
      <c r="CX193" s="2297">
        <f>E246*E193+F246*F193+G246*G193+H246*H193+I246*I193+J246*J193+K246*K193+L246*L193+M246*M193+N246*N193+O246*O193+P246*P193+Q246*Q193+R246*R193+S246*S193+T246*T193+U246*U193+V246*V193+W246*W193+X246*X193+Y246*Y193+Z246*Z193+AA246*AA193+AB246*AB193+AC246*AC193+AD246*AD193+AE246*AE193+AF246*AF193+AG246*AG193+AH246*AH193+AI246*AI193+AJ246*AJ193+AK246*AK193+AL246*AL193+AM246*AM193+AN246*AN193+AO246*AO193+AP246*AP193+AQ246*AQ193+AR246*AR193+AS246*AS193+AT246*AT193+AU246*AU193+AV246*AV193+AW246*AW193+AX246*AX193+AY246*AY193+AZ246*AZ193+BA246*BA193+BB246*BB193+BC246*BC193+BD246*BD193+BE246*BE193+BF246*BF193+BG246*BG193+BH246*BH193+BI246*BI193+BJ246*BJ193+BK246*BK193+BL246*BL193+BM246*BM193+BN246*BN193+BO246*BO193+BP246*BP193+BQ246*BQ193+BR246*BR193+BS246*BS193+BT246*BT193+BU246*BU193+BV246*BV193+BW246*BW193+BX246*BX193+BY246*BY193+BZ246*BZ193+CA246*CA193+CB246*CB193+CC246*CC193+CD246*CD193+CE246*CE193+CF246*CF193+CG246*CG193+CH246*CH193+CI246*CI193+CJ246*CJ193+CK246*CK193</f>
        <v>0</v>
      </c>
    </row>
    <row r="194" spans="2:102" ht="18" x14ac:dyDescent="0.25">
      <c r="B194" s="1251">
        <v>67</v>
      </c>
      <c r="C194" s="1198" t="s">
        <v>2407</v>
      </c>
      <c r="D194" s="616" t="s">
        <v>292</v>
      </c>
      <c r="E194" s="2672">
        <f>2/3</f>
        <v>0.66666666666666663</v>
      </c>
      <c r="F194" s="2670">
        <f>0</f>
        <v>0</v>
      </c>
      <c r="G194" s="2670">
        <f>-1</f>
        <v>-1</v>
      </c>
      <c r="H194" s="2670">
        <f>0</f>
        <v>0</v>
      </c>
      <c r="I194" s="2670">
        <f>0</f>
        <v>0</v>
      </c>
      <c r="J194" s="2693">
        <f>0</f>
        <v>0</v>
      </c>
      <c r="K194" s="2670">
        <f>0</f>
        <v>0</v>
      </c>
      <c r="L194" s="2670">
        <f>0</f>
        <v>0</v>
      </c>
      <c r="M194" s="2670">
        <f>0</f>
        <v>0</v>
      </c>
      <c r="N194" s="2670">
        <f>0</f>
        <v>0</v>
      </c>
      <c r="O194" s="2670">
        <f>0</f>
        <v>0</v>
      </c>
      <c r="P194" s="2670">
        <f>0</f>
        <v>0</v>
      </c>
      <c r="Q194" s="2670">
        <f>0</f>
        <v>0</v>
      </c>
      <c r="R194" s="2670">
        <f>0</f>
        <v>0</v>
      </c>
      <c r="S194" s="2670">
        <f>0</f>
        <v>0</v>
      </c>
      <c r="T194" s="2670">
        <f>0</f>
        <v>0</v>
      </c>
      <c r="U194" s="2670">
        <f>0</f>
        <v>0</v>
      </c>
      <c r="V194" s="2670">
        <f>0</f>
        <v>0</v>
      </c>
      <c r="W194" s="2670">
        <f>0</f>
        <v>0</v>
      </c>
      <c r="X194" s="2670">
        <f>0</f>
        <v>0</v>
      </c>
      <c r="Y194" s="2670">
        <f>0</f>
        <v>0</v>
      </c>
      <c r="Z194" s="2671">
        <f>0</f>
        <v>0</v>
      </c>
      <c r="AA194" s="2670">
        <f>0</f>
        <v>0</v>
      </c>
      <c r="AB194" s="2670">
        <f>0</f>
        <v>0</v>
      </c>
      <c r="AC194" s="2670">
        <f>0</f>
        <v>0</v>
      </c>
      <c r="AD194" s="2670">
        <f>0</f>
        <v>0</v>
      </c>
      <c r="AE194" s="2670">
        <f>0</f>
        <v>0</v>
      </c>
      <c r="AF194" s="2670">
        <f>0</f>
        <v>0</v>
      </c>
      <c r="AG194" s="2693">
        <f>0</f>
        <v>0</v>
      </c>
      <c r="AH194" s="2670">
        <f>0</f>
        <v>0</v>
      </c>
      <c r="AI194" s="2670">
        <f>0</f>
        <v>0</v>
      </c>
      <c r="AJ194" s="2670">
        <f>0</f>
        <v>0</v>
      </c>
      <c r="AK194" s="2670">
        <f>0</f>
        <v>0</v>
      </c>
      <c r="AL194" s="2670">
        <f>0</f>
        <v>0</v>
      </c>
      <c r="AM194" s="2693">
        <f>0</f>
        <v>0</v>
      </c>
      <c r="AN194" s="2670">
        <f>0</f>
        <v>0</v>
      </c>
      <c r="AO194" s="2670">
        <f>0</f>
        <v>0</v>
      </c>
      <c r="AP194" s="2670">
        <f>0</f>
        <v>0</v>
      </c>
      <c r="AQ194" s="2672">
        <f>1/3</f>
        <v>0.33333333333333331</v>
      </c>
      <c r="AR194" s="2670">
        <f>i_CIT_MEOL-i_CIT_VFA*2/3</f>
        <v>0</v>
      </c>
      <c r="AS194" s="2670">
        <f>0</f>
        <v>0</v>
      </c>
      <c r="AT194" s="2670">
        <f>0</f>
        <v>0</v>
      </c>
      <c r="AU194" s="2670">
        <f>0</f>
        <v>0</v>
      </c>
      <c r="AV194" s="2670">
        <f>0</f>
        <v>0</v>
      </c>
      <c r="AW194" s="2670">
        <f>0</f>
        <v>0</v>
      </c>
      <c r="AX194" s="2670">
        <f>0</f>
        <v>0</v>
      </c>
      <c r="AY194" s="2670">
        <f>0</f>
        <v>0</v>
      </c>
      <c r="AZ194" s="2670">
        <f>0</f>
        <v>0</v>
      </c>
      <c r="BA194" s="2670">
        <f>0</f>
        <v>0</v>
      </c>
      <c r="BB194" s="2670">
        <f>0</f>
        <v>0</v>
      </c>
      <c r="BC194" s="2670">
        <f>0</f>
        <v>0</v>
      </c>
      <c r="BD194" s="2670">
        <f>0</f>
        <v>0</v>
      </c>
      <c r="BE194" s="2670">
        <f>0</f>
        <v>0</v>
      </c>
      <c r="BF194" s="2670">
        <f>0</f>
        <v>0</v>
      </c>
      <c r="BG194" s="2670">
        <f>0</f>
        <v>0</v>
      </c>
      <c r="BH194" s="2670">
        <f>0</f>
        <v>0</v>
      </c>
      <c r="BI194" s="2670">
        <f>0</f>
        <v>0</v>
      </c>
      <c r="BJ194" s="2670">
        <f>0</f>
        <v>0</v>
      </c>
      <c r="BK194" s="2670">
        <f>0</f>
        <v>0</v>
      </c>
      <c r="BL194" s="2670">
        <f>0</f>
        <v>0</v>
      </c>
      <c r="BM194" s="2670">
        <f>0</f>
        <v>0</v>
      </c>
      <c r="BN194" s="2670">
        <f>0</f>
        <v>0</v>
      </c>
      <c r="BO194" s="2670">
        <f>0</f>
        <v>0</v>
      </c>
      <c r="BP194" s="2676">
        <f>0</f>
        <v>0</v>
      </c>
      <c r="BQ194" s="2670">
        <f>0</f>
        <v>0</v>
      </c>
      <c r="BR194" s="2670">
        <f>0</f>
        <v>0</v>
      </c>
      <c r="BS194" s="2671">
        <f>0</f>
        <v>0</v>
      </c>
      <c r="BT194" s="2671">
        <f>0</f>
        <v>0</v>
      </c>
      <c r="BU194" s="2671">
        <f>0</f>
        <v>0</v>
      </c>
      <c r="BV194" s="2671">
        <f>0</f>
        <v>0</v>
      </c>
      <c r="BW194" s="2670">
        <f>0</f>
        <v>0</v>
      </c>
      <c r="BX194" s="2783">
        <f>0</f>
        <v>0</v>
      </c>
      <c r="BY194" s="2671">
        <f>0</f>
        <v>0</v>
      </c>
      <c r="BZ194" s="2670">
        <f>0</f>
        <v>0</v>
      </c>
      <c r="CA194" s="2670">
        <f>0</f>
        <v>0</v>
      </c>
      <c r="CB194" s="2670">
        <f>0</f>
        <v>0</v>
      </c>
      <c r="CC194" s="2670">
        <f>0</f>
        <v>0</v>
      </c>
      <c r="CD194" s="2670">
        <f>0</f>
        <v>0</v>
      </c>
      <c r="CE194" s="2670">
        <f>0</f>
        <v>0</v>
      </c>
      <c r="CF194" s="2670">
        <f>0</f>
        <v>0</v>
      </c>
      <c r="CG194" s="2670">
        <f>0</f>
        <v>0</v>
      </c>
      <c r="CH194" s="2670">
        <f>0</f>
        <v>0</v>
      </c>
      <c r="CI194" s="2670">
        <f>0</f>
        <v>0</v>
      </c>
      <c r="CJ194" s="2670">
        <f>0</f>
        <v>0</v>
      </c>
      <c r="CK194" s="2670">
        <f>0</f>
        <v>0</v>
      </c>
      <c r="CL194" s="2813">
        <f>q_MEOL*S_MEOL*M_satSCO2_KCO2_BIO*M_inhSO2_KO2_OHO*M_inhSNO3_KNO3_OHO*M_inhSNO2_KNO2_OHO</f>
        <v>4.576942107867392E-52</v>
      </c>
      <c r="CN194" s="2295">
        <f>E236*E194+F236*F194+G236*G194+H236*H194+I236*I194+J236*J194+K236*K194+L236*L194+M236*M194+N236*N194+O236*O194+P236*P194+Q236*Q194+R236*R194+S236*S194+T236*T194+U236*U194+V236*V194+W236*W194+X236*X194+Y236*Y194+Z236*Z194+AA236*AA194+AB236*AB194+AC236*AC194+AD236*AD194+AE236*AE194+AF236*AF194+AG236*AG194+AH236*AH194+AI236*AI194+AJ236*AJ194+AK236*AK194+AL236*AL194+AM236*AM194+AN236*AN194+AO236*AO194+AP236*AP194+AQ236*AQ194+AR236*AR194+AS236*AS194+AT236*AT194+AU236*AU194+AV236*AV194+AW236*AW194+AX236*AX194+AY236*AY194+AZ236*AZ194+BA236*BA194+BB236*BB194+BC236*BC194+BD236*BD194+BE236*BE194+BF236*BF194+BG236*BG194+BH236*BH194+BI236*BI194+BJ236*BJ194+BK236*BK194+BL236*BL194+BM236*BM194+BN236*BN194+BO236*BO194+BP236*BP194+BQ236*BQ194+BR236*BR194+BS236*BS194+BT236*BT194+BU236*BU194+BV236*BV194+BW236*BW194+BX236*BX194+BY236*BY194+BZ236*BZ194+CA236*CA194+CB236*CB194+CC236*CC194+CD236*CD194+CE236*CE194+CF236*CF194+CG236*CG194+CH236*CH194+CI236*CI194+CJ236*CJ194+CK236*CK194</f>
        <v>-5.5511151231257827E-17</v>
      </c>
      <c r="CO194" s="2295">
        <f>E237*E194+F237*F194+G237*G194+H237*H194+I237*I194+J237*J194+K237*K194+L237*L194+M237*M194+N237*N194+O237*O194+P237*P194+Q237*Q194+R237*R194+S237*S194+T237*T194+U237*U194+V237*V194+W237*W194+X237*X194+Y237*Y194+Z237*Z194+AA237*AA194+AB237*AB194+AC237*AC194+AD237*AD194+AE237*AE194+AF237*AF194+AG237*AG194+AH237*AH194+AI237*AI194+AJ237*AJ194+AK237*AK194+AL237*AL194+AM237*AM194+AN237*AN194+AO237*AO194+AP237*AP194+AQ237*AQ194+AR237*AR194+AS237*AS194+AT237*AT194+AU237*AU194+AV237*AV194+AW237*AW194+AX237*AX194+AY237*AY194+AZ237*AZ194+BA237*BA194+BB237*BB194+BC237*BC194+BD237*BD194+BE237*BE194+BF237*BF194+BG237*BG194+BH237*BH194+BI237*BI194+BJ237*BJ194+BK237*BK194+BL237*BL194+BM237*BM194+BN237*BN194+BO237*BO194+BP237*BP194+BQ237*BQ194+BR237*BR194+BS237*BS194+BT237*BT194+BU237*BU194+BV237*BV194+BW237*BW194+BX237*BX194+BY237*BY194+BZ237*BZ194+CA237*CA194+CB237*CB194+CC237*CC194+CD237*CD194+CE237*CE194+CF237*CF194+CG237*CG194+CH237*CH194+CI237*CI194+CJ237*CJ194+CK237*CK194</f>
        <v>0</v>
      </c>
      <c r="CP194" s="2296">
        <f>E238*E194+F238*F194+G238*G194+H238*H194+I238*I194+J238*J194+K238*K194+L238*L194+M238*M194+N238*N194+O238*O194+P238*P194+Q238*Q194+R238*R194+S238*S194+T238*T194+U238*U194+V238*V194+W238*W194+X238*X194+Y238*Y194+Z238*Z194+AA238*AA194+AB238*AB194+AC238*AC194+AD238*AD194+AE238*AE194+AF238*AF194+AG238*AG194+AH238*AH194+AI238*AI194+AJ238*AJ194+AK238*AK194+AL238*AL194+AM238*AM194+AN238*AN194+AO238*AO194+AP238*AP194+AQ238*AQ194+AR238*AR194+AS238*AS194+AT238*AT194+AU238*AU194+AV238*AV194+AW238*AW194+AX238*AX194+AY238*AY194+AZ238*AZ194+BA238*BA194+BB238*BB194+BC238*BC194+BD238*BD194+BE238*BE194+BF238*BF194+BG238*BG194+BH238*BH194+BI238*BI194+BJ238*BJ194+BK238*BK194+BL238*BL194+BM238*BM194+BN238*BN194+BO238*BO194+BP238*BP194+BQ238*BQ194+BR238*BR194+BS238*BS194+BT238*BT194+BU238*BU194+BV238*BV194+BW238*BW194+BX238*BX194+BY238*BY194+BZ238*BZ194+CA238*CA194+CB238*CB194+CC238*CC194+CD238*CD194+CE238*CE194+CF238*CF194+CG238*CG194+CH238*CH194+CI238*CI194+CJ238*CJ194+CK238*CK194</f>
        <v>0</v>
      </c>
      <c r="CQ194" s="2297">
        <f>E239*E194+F239*F194+G239*G194+H239*H194+I239*I194+J239*J194+K239*K194+L239*L194+M239*M194+N239*N194+O239*O194+P239*P194+Q239*Q194+R239*R194+S239*S194+T239*T194+U239*U194+V239*V194+W239*W194+X239*X194+Y239*Y194+Z239*Z194+AA239*AA194+AB239*AB194+AC239*AC194+AD239*AD194+AE239*AE194+AF239*AF194+AG239*AG194+AH239*AH194+AI239*AI194+AJ239*AJ194+AK239*AK194+AL239*AL194+AM239*AM194+AN239*AN194+AO239*AO194+AP239*AP194+AQ239*AQ194+AR239*AR194+AS239*AS194+AT239*AT194+AU239*AU194+AV239*AV194+AW239*AW194+AX239*AX194+AY239*AY194+AZ239*AZ194+BA239*BA194+BB239*BB194+BC239*BC194+BD239*BD194+BE239*BE194+BF239*BF194+BG239*BG194+BH239*BH194+BI239*BI194+BJ239*BJ194+BK239*BK194+BL239*BL194+BM239*BM194+BN239*BN194+BO239*BO194+BP239*BP194+BQ239*BQ194+BR239*BR194+BS239*BS194+BT239*BT194+BU239*BU194+BV239*BV194+BW239*BW194+BX239*BX194+BY239*BY194+BZ239*BZ194+CA239*CA194+CB239*CB194+CC239*CC194+CD239*CD194+CE239*CE194+CF239*CF194+CG239*CG194+CH239*CH194+CI239*CI194+CJ239*CJ194+CK239*CK194</f>
        <v>0</v>
      </c>
      <c r="CR194" s="2297">
        <f>E240*E194+F240*F194+G240*G194+H240*H194+I240*I194+J240*J194+K240*K194+L240*L194+M240*M194+N240*N194+O240*O194+P240*P194+Q240*Q194+R240*R194+S240*S194+T240*T194+U240*U194+V240*V194+W240*W194+X240*X194+Y240*Y194+Z240*Z194+AA240*AA194+AB240*AB194+AC240*AC194+AD240*AD194+AE240*AE194+AF240*AF194+AG240*AG194+AH240*AH194+AI240*AI194+AJ240*AJ194+AK240*AK194+AL240*AL194+AM240*AM194+AN240*AN194+AO240*AO194+AP240*AP194+AQ240*AQ194+AR240*AR194+AS240*AS194+AT240*AT194+AU240*AU194+AV240*AV194+AW240*AW194+AX240*AX194+AY240*AY194+AZ240*AZ194+BA240*BA194+BB240*BB194+BC240*BC194+BD240*BD194+BE240*BE194+BF240*BF194+BG240*BG194+BH240*BH194+BI240*BI194+BJ240*BJ194+BK240*BK194+BL240*BL194+BM240*BM194+BN240*BN194+BO240*BO194+BP240*BP194+BQ240*BQ194+BR240*BR194+BS240*BS194+BT240*BT194+BU240*BU194+BV240*BV194+BW240*BW194+BX240*BX194+BY240*BY194+BZ240*BZ194+CA240*CA194+CB240*CB194+CC240*CC194+CD240*CD194+CE240*CE194+CF240*CF194+CG240*CG194+CH240*CH194+CI240*CI194+CJ240*CJ194+CK240*CK194</f>
        <v>0</v>
      </c>
      <c r="CS194" s="2297">
        <f>E241*E194+F241*F194+G241*G194+H241*H194+I241*I194+J241*J194+K241*K194+L241*L194+M241*M194+N241*N194+O241*O194+P241*P194+Q241*Q194+R241*R194+S241*S194+T241*T194+U241*U194+V241*V194+W241*W194+X241*X194+Y241*Y194+Z241*Z194+AA241*AA194+AB241*AB194+AC241*AC194+AD241*AD194+AE241*AE194+AF241*AF194+AG241*AG194+AH241*AH194+AI241*AI194+AJ241*AJ194+AK241*AK194+AL241*AL194+AM241*AM194+AN241*AN194+AO241*AO194+AP241*AP194+AQ241*AQ194+AR241*AR194+AS241*AS194+AT241*AT194+AU241*AU194+AV241*AV194+AW241*AW194+AX241*AX194+AY241*AY194+AZ241*AZ194+BA241*BA194+BB241*BB194+BC241*BC194+BD241*BD194+BE241*BE194+BF241*BF194+BG241*BG194+BH241*BH194+BI241*BI194+BJ241*BJ194+BK241*BK194+BL241*BL194+BM241*BM194+BN241*BN194+BO241*BO194+BP241*BP194+BQ241*BQ194+BR241*BR194+BS241*BS194+BT241*BT194+BU241*BU194+BV241*BV194+BW241*BW194+BX241*BX194+BY241*BY194+BZ241*BZ194+CA241*CA194+CB241*CB194+CC241*CC194+CD241*CD194+CE241*CE194+CF241*CF194+CG241*CG194+CH241*CH194+CI241*CI194+CJ241*CJ194+CK241*CK194</f>
        <v>0</v>
      </c>
      <c r="CT194" s="2297">
        <f>E242*E194+F242*F194+G242*G194+H242*H194+I242*I194+J242*J194+K242*K194+L242*L194+M242*M194+N242*N194+O242*O194+P242*P194+Q242*Q194+R242*R194+S242*S194+T242*T194+U242*U194+V242*V194+W242*W194+X242*X194+Y242*Y194+Z242*Z194+AA242*AA194+AB242*AB194+AC242*AC194+AD242*AD194+AE242*AE194+AF242*AF194+AG242*AG194+AH242*AH194+AI242*AI194+AJ242*AJ194+AK242*AK194+AL242*AL194+AM242*AM194+AN242*AN194+AO242*AO194+AP242*AP194+AQ242*AQ194+AR242*AR194+AS242*AS194+AT242*AT194+AU242*AU194+AV242*AV194+AW242*AW194+AX242*AX194+AY242*AY194+AZ242*AZ194+BA242*BA194+BB242*BB194+BC242*BC194+BD242*BD194+BE242*BE194+BF242*BF194+BG242*BG194+BH242*BH194+BI242*BI194+BJ242*BJ194+BK242*BK194+BL242*BL194+BM242*BM194+BN242*BN194+BO242*BO194+BP242*BP194+BQ242*BQ194+BR242*BR194+BS242*BS194+BT242*BT194+BU242*BU194+BV242*BV194+BW242*BW194+BX242*BX194+BY242*BY194+BZ242*BZ194+CA242*CA194+CB242*CB194+CC242*CC194+CD242*CD194+CE242*CE194+CF242*CF194+CG242*CG194+CH242*CH194+CI242*CI194+CJ242*CJ194+CK242*CK194</f>
        <v>0</v>
      </c>
      <c r="CU194" s="2297">
        <f>E243*E194+F243*F194+G243*G194+H243*H194+I243*I194+J243*J194+K243*K194+L243*L194+M243*M194+N243*N194+O243*O194+P243*P194+Q243*Q194+R243*R194+S243*S194+T243*T194+U243*U194+V243*V194+W243*W194+X243*X194+Y243*Y194+Z243*Z194+AA243*AA194+AB243*AB194+AC243*AC194+AD243*AD194+AE243*AE194+AF243*AF194+AG243*AG194+AH243*AH194+AI243*AI194+AJ243*AJ194+AK243*AK194+AL243*AL194+AM243*AM194+AN243*AN194+AO243*AO194+AP243*AP194+AQ243*AQ194+AR243*AR194+AS243*AS194+AT243*AT194+AU243*AU194+AV243*AV194+AW243*AW194+AX243*AX194+AY243*AY194+AZ243*AZ194+BA243*BA194+BB243*BB194+BC243*BC194+BD243*BD194+BE243*BE194+BF243*BF194+BG243*BG194+BH243*BH194+BI243*BI194+BJ243*BJ194+BK243*BK194+BL243*BL194+BM243*BM194+BN243*BN194+BO243*BO194+BP243*BP194+BQ243*BQ194+BR243*BR194+BS243*BS194+BT243*BT194+BU243*BU194+BV243*BV194+BW243*BW194+BX243*BX194+BY243*BY194+BZ243*BZ194+CA243*CA194+CB243*CB194+CC243*CC194+CD243*CD194+CE243*CE194+CF243*CF194+CG243*CG194+CH243*CH194+CI243*CI194+CJ243*CJ194+CK243*CK194</f>
        <v>0</v>
      </c>
      <c r="CV194" s="2297">
        <f>E244*E194+F244*F194+G244*G194+H244*H194+I244*I194+J244*J194+K244*K194+L244*L194+M244*M194+N244*N194+O244*O194+P244*P194+Q244*Q194+R244*R194+S244*S194+T244*T194+U244*U194+V244*V194+W244*W194+X244*X194+Y244*Y194+Z244*Z194+AA244*AA194+AB244*AB194+AC244*AC194+AD244*AD194+AE244*AE194+AF244*AF194+AG244*AG194+AH244*AH194+AI244*AI194+AJ244*AJ194+AK244*AK194+AL244*AL194+AM244*AM194+AN244*AN194+AO244*AO194+AP244*AP194+AQ244*AQ194+AR244*AR194+AS244*AS194+AT244*AT194+AU244*AU194+AV244*AV194+AW244*AW194+AX244*AX194+AY244*AY194+AZ244*AZ194+BA244*BA194+BB244*BB194+BC244*BC194+BD244*BD194+BE244*BE194+BF244*BF194+BG244*BG194+BH244*BH194+BI244*BI194+BJ244*BJ194+BK244*BK194+BL244*BL194+BM244*BM194+BN244*BN194+BO244*BO194+BP244*BP194+BQ244*BQ194+BR244*BR194+BS244*BS194+BT244*BT194+BU244*BU194+BV244*BV194+BW244*BW194+BX244*BX194+BY244*BY194+BZ244*BZ194+CA244*CA194+CB244*CB194+CC244*CC194+CD244*CD194+CE244*CE194+CF244*CF194+CG244*CG194+CH244*CH194+CI244*CI194+CJ244*CJ194+CK244*CK194</f>
        <v>0</v>
      </c>
      <c r="CW194" s="2297">
        <f>E245*E194+F245*F194+G245*G194+H245*H194+I245*I194+J245*J194+K245*K194+L245*L194+M245*M194+N245*N194+O245*O194+P245*P194+Q245*Q194+R245*R194+S245*S194+T245*T194+U245*U194+V245*V194+W245*W194+X245*X194+Y245*Y194+Z245*Z194+AA245*AA194+AB245*AB194+AC245*AC194+AD245*AD194+AE245*AE194+AF245*AF194+AG245*AG194+AH245*AH194+AI245*AI194+AJ245*AJ194+AK245*AK194+AL245*AL194+AM245*AM194+AN245*AN194+AO245*AO194+AP245*AP194+AQ245*AQ194+AR245*AR194+AS245*AS194+AT245*AT194+AU245*AU194+AV245*AV194+AW245*AW194+AX245*AX194+AY245*AY194+AZ245*AZ194+BA245*BA194+BB245*BB194+BC245*BC194+BD245*BD194+BE245*BE194+BF245*BF194+BG245*BG194+BH245*BH194+BI245*BI194+BJ245*BJ194+BK245*BK194+BL245*BL194+BM245*BM194+BN245*BN194+BO245*BO194+BP245*BP194+BQ245*BQ194+BR245*BR194+BS245*BS194+BT245*BT194+BU245*BU194+BV245*BV194+BW245*BW194+BX245*BX194+BY245*BY194+BZ245*BZ194+CA245*CA194+CB245*CB194+CC245*CC194+CD245*CD194+CE245*CE194+CF245*CF194+CG245*CG194+CH245*CH194+CI245*CI194+CJ245*CJ194+CK245*CK194</f>
        <v>0</v>
      </c>
      <c r="CX194" s="2297">
        <f>E246*E194+F246*F194+G246*G194+H246*H194+I246*I194+J246*J194+K246*K194+L246*L194+M246*M194+N246*N194+O246*O194+P246*P194+Q246*Q194+R246*R194+S246*S194+T246*T194+U246*U194+V246*V194+W246*W194+X246*X194+Y246*Y194+Z246*Z194+AA246*AA194+AB246*AB194+AC246*AC194+AD246*AD194+AE246*AE194+AF246*AF194+AG246*AG194+AH246*AH194+AI246*AI194+AJ246*AJ194+AK246*AK194+AL246*AL194+AM246*AM194+AN246*AN194+AO246*AO194+AP246*AP194+AQ246*AQ194+AR246*AR194+AS246*AS194+AT246*AT194+AU246*AU194+AV246*AV194+AW246*AW194+AX246*AX194+AY246*AY194+AZ246*AZ194+BA246*BA194+BB246*BB194+BC246*BC194+BD246*BD194+BE246*BE194+BF246*BF194+BG246*BG194+BH246*BH194+BI246*BI194+BJ246*BJ194+BK246*BK194+BL246*BL194+BM246*BM194+BN246*BN194+BO246*BO194+BP246*BP194+BQ246*BQ194+BR246*BR194+BS246*BS194+BT246*BT194+BU246*BU194+BV246*BV194+BW246*BW194+BX246*BX194+BY246*BY194+BZ246*BZ194+CA246*CA194+CB246*CB194+CC246*CC194+CD246*CD194+CE246*CE194+CF246*CF194+CG246*CG194+CH246*CH194+CI246*CI194+CJ246*CJ194+CK246*CK194</f>
        <v>0</v>
      </c>
    </row>
    <row r="195" spans="2:102" ht="18" x14ac:dyDescent="0.25">
      <c r="B195" s="1251">
        <v>68</v>
      </c>
      <c r="C195" s="1198" t="s">
        <v>2408</v>
      </c>
      <c r="D195" s="616" t="s">
        <v>2309</v>
      </c>
      <c r="E195" s="2670">
        <f>0</f>
        <v>0</v>
      </c>
      <c r="F195" s="2670">
        <f>0</f>
        <v>0</v>
      </c>
      <c r="G195" s="2670">
        <f>0</f>
        <v>0</v>
      </c>
      <c r="H195" s="2670">
        <f>0</f>
        <v>0</v>
      </c>
      <c r="I195" s="2670">
        <f>0</f>
        <v>0</v>
      </c>
      <c r="J195" s="2693">
        <f>0</f>
        <v>0</v>
      </c>
      <c r="K195" s="2670">
        <f>0</f>
        <v>0</v>
      </c>
      <c r="L195" s="2670">
        <f>0</f>
        <v>0</v>
      </c>
      <c r="M195" s="2670">
        <f>0</f>
        <v>0</v>
      </c>
      <c r="N195" s="2670">
        <f>0</f>
        <v>0</v>
      </c>
      <c r="O195" s="2670">
        <f>0</f>
        <v>0</v>
      </c>
      <c r="P195" s="2670">
        <f>0</f>
        <v>0</v>
      </c>
      <c r="Q195" s="2670">
        <f>0</f>
        <v>0</v>
      </c>
      <c r="R195" s="2706">
        <f>-E_EQNO2*X_OHO/X_BIO</f>
        <v>-1.6233078575034114</v>
      </c>
      <c r="S195" s="2706">
        <f>-E_EQNO2*X_CASTO/X_BIO</f>
        <v>-1.6233078575034114</v>
      </c>
      <c r="T195" s="2706">
        <f>-E_EQNO2*X_MEOLO/X_BIO</f>
        <v>-3.2466157150068229E-3</v>
      </c>
      <c r="U195" s="2706">
        <f>-E_EQNO2*X_AOB/X_BIO</f>
        <v>-0.10713831859522514</v>
      </c>
      <c r="V195" s="2706">
        <f>-E_EQNO2*X_NOB/X_BIO</f>
        <v>-6.4932314300136462E-2</v>
      </c>
      <c r="W195" s="2706">
        <f>-E_EQNO2*X_AMX/X_BIO</f>
        <v>-3.2466157150068229E-3</v>
      </c>
      <c r="X195" s="2706">
        <f>-E_EQNO2*X_AMETO/X_BIO</f>
        <v>-9.7398471450204683E-4</v>
      </c>
      <c r="Y195" s="2706">
        <f>-E_EQNO2*X_HMETO/X_BIO</f>
        <v>-6.4932314300136459E-4</v>
      </c>
      <c r="Z195" s="2706">
        <f>-E_EQNO2*X_ALGAE/X_BIO</f>
        <v>0</v>
      </c>
      <c r="AA195" s="2726">
        <f>1+(i_N_BIO*E_EQNO2*(X_BIO-X_ALGAE)+i_N_ALGAE*E_EQNO2*X_ALGAE)/X_BIO</f>
        <v>1.2398762021032792</v>
      </c>
      <c r="AB195" s="2670">
        <f>-1</f>
        <v>-1</v>
      </c>
      <c r="AC195" s="2670">
        <f>0</f>
        <v>0</v>
      </c>
      <c r="AD195" s="2670">
        <f>0</f>
        <v>0</v>
      </c>
      <c r="AE195" s="2670">
        <f>0</f>
        <v>0</v>
      </c>
      <c r="AF195" s="2670">
        <f>0</f>
        <v>0</v>
      </c>
      <c r="AG195" s="2693">
        <f>0</f>
        <v>0</v>
      </c>
      <c r="AH195" s="2670">
        <f>0</f>
        <v>0</v>
      </c>
      <c r="AI195" s="2726">
        <f>(i_P_BIO*E_EQNO2*(X_BIO-X_ALGAE)+i_P_ALGAE*E_EQNO2*X_ALGAE)/X_BIO</f>
        <v>6.8536057743794038E-2</v>
      </c>
      <c r="AJ195" s="2670">
        <f>0</f>
        <v>0</v>
      </c>
      <c r="AK195" s="2670">
        <f>0</f>
        <v>0</v>
      </c>
      <c r="AL195" s="2670">
        <f>0</f>
        <v>0</v>
      </c>
      <c r="AM195" s="2693">
        <f>0</f>
        <v>0</v>
      </c>
      <c r="AN195" s="2670">
        <f>0</f>
        <v>0</v>
      </c>
      <c r="AO195" s="2670">
        <f>0</f>
        <v>0</v>
      </c>
      <c r="AP195" s="2670">
        <f>0</f>
        <v>0</v>
      </c>
      <c r="AQ195" s="2670">
        <f>0</f>
        <v>0</v>
      </c>
      <c r="AR195" s="2726">
        <f>(i_CIT_BIO*E_EQNO2*(X_BIO-X_ALGAE)+i_CIT_ALGAE*E_EQNO2*X_ALGAE)/X_BIO</f>
        <v>1.2062346162907749</v>
      </c>
      <c r="AS195" s="2670">
        <f>0</f>
        <v>0</v>
      </c>
      <c r="AT195" s="2670">
        <f>0</f>
        <v>0</v>
      </c>
      <c r="AU195" s="2670">
        <f>0</f>
        <v>0</v>
      </c>
      <c r="AV195" s="2670">
        <f>0</f>
        <v>0</v>
      </c>
      <c r="AW195" s="2670">
        <f>0</f>
        <v>0</v>
      </c>
      <c r="AX195" s="2670">
        <f>0</f>
        <v>0</v>
      </c>
      <c r="AY195" s="2670">
        <f>0</f>
        <v>0</v>
      </c>
      <c r="AZ195" s="2670">
        <f>0</f>
        <v>0</v>
      </c>
      <c r="BA195" s="2670">
        <f>0</f>
        <v>0</v>
      </c>
      <c r="BB195" s="2670">
        <f>0</f>
        <v>0</v>
      </c>
      <c r="BC195" s="2670">
        <f>0</f>
        <v>0</v>
      </c>
      <c r="BD195" s="2670">
        <f>0</f>
        <v>0</v>
      </c>
      <c r="BE195" s="2670">
        <f>0</f>
        <v>0</v>
      </c>
      <c r="BF195" s="2670">
        <f>0</f>
        <v>0</v>
      </c>
      <c r="BG195" s="2670">
        <f>0</f>
        <v>0</v>
      </c>
      <c r="BH195" s="2670">
        <f>0</f>
        <v>0</v>
      </c>
      <c r="BI195" s="2670">
        <f>0</f>
        <v>0</v>
      </c>
      <c r="BJ195" s="2670">
        <f>0</f>
        <v>0</v>
      </c>
      <c r="BK195" s="2670">
        <f>0</f>
        <v>0</v>
      </c>
      <c r="BL195" s="2670">
        <f>0</f>
        <v>0</v>
      </c>
      <c r="BM195" s="2670">
        <f>0</f>
        <v>0</v>
      </c>
      <c r="BN195" s="2670">
        <f>0</f>
        <v>0</v>
      </c>
      <c r="BO195" s="2670">
        <f>0</f>
        <v>0</v>
      </c>
      <c r="BP195" s="2676">
        <f>0</f>
        <v>0</v>
      </c>
      <c r="BQ195" s="2670">
        <f>0</f>
        <v>0</v>
      </c>
      <c r="BR195" s="2670">
        <f>0</f>
        <v>0</v>
      </c>
      <c r="BS195" s="2671">
        <f>0</f>
        <v>0</v>
      </c>
      <c r="BT195" s="2671">
        <f>0</f>
        <v>0</v>
      </c>
      <c r="BU195" s="2671">
        <f>0</f>
        <v>0</v>
      </c>
      <c r="BV195" s="2671">
        <f>0</f>
        <v>0</v>
      </c>
      <c r="BW195" s="2670">
        <f>0</f>
        <v>0</v>
      </c>
      <c r="BX195" s="2783">
        <f>0</f>
        <v>0</v>
      </c>
      <c r="BY195" s="2671">
        <f>0</f>
        <v>0</v>
      </c>
      <c r="BZ195" s="2670">
        <f>0</f>
        <v>0</v>
      </c>
      <c r="CA195" s="2670">
        <f>0</f>
        <v>0</v>
      </c>
      <c r="CB195" s="2670">
        <f>0</f>
        <v>0</v>
      </c>
      <c r="CC195" s="2670">
        <f>0</f>
        <v>0</v>
      </c>
      <c r="CD195" s="2670">
        <f>0</f>
        <v>0</v>
      </c>
      <c r="CE195" s="2670">
        <f>0</f>
        <v>0</v>
      </c>
      <c r="CF195" s="2670">
        <f>0</f>
        <v>0</v>
      </c>
      <c r="CG195" s="2670">
        <f>0</f>
        <v>0</v>
      </c>
      <c r="CH195" s="2670">
        <f>0</f>
        <v>0</v>
      </c>
      <c r="CI195" s="2670">
        <f>0</f>
        <v>0</v>
      </c>
      <c r="CJ195" s="2670">
        <f>0</f>
        <v>0</v>
      </c>
      <c r="CK195" s="2670">
        <f>0</f>
        <v>0</v>
      </c>
      <c r="CL195" s="2814">
        <f>q_ASSIM_T*X_BIO*M_satSNO2_KNO2_ASSIM*M_inhSNHx_KiNHx_ASSIM</f>
        <v>0.52226362066491516</v>
      </c>
      <c r="CN195" s="2295">
        <f>E236*E195+F236*F195+G236*G195+H236*H195+I236*I195+J236*J195+K236*K195+L236*L195+M236*M195+N236*N195+O236*O195+P236*P195+Q236*Q195+R236*R195+S236*S195+T236*T195+U236*U195+V236*V195+W236*W195+X236*X195+Y236*Y195+Z236*Z195+AA236*AA195+AB236*AB195+AC236*AC195+AD236*AD195+AE236*AE195+AF236*AF195+AG236*AG195+AH236*AH195+AI236*AI195+AJ236*AJ195+AK236*AK195+AL236*AL195+AM236*AM195+AN236*AN195+AO236*AO195+AP236*AP195+AQ236*AQ195+AR236*AR195+AS236*AS195+AT236*AT195+AU236*AU195+AV236*AV195+AW236*AW195+AX236*AX195+AY236*AY195+AZ236*AZ195+BA236*BA195+BB236*BB195+BC236*BC195+BD236*BD195+BE236*BE195+BF236*BF195+BG236*BG195+BH236*BH195+BI236*BI195+BJ236*BJ195+BK236*BK195+BL236*BL195+BM236*BM195+BN236*BN195+BO236*BO195+BP236*BP195+BQ236*BQ195+BR236*BR195+BS236*BS195+BT236*BT195+BU236*BU195+BV236*BV195+BW236*BW195+BX236*BX195+BY236*BY195+BZ236*BZ195+CA236*CA195+CB236*CB195+CC236*CC195+CD236*CD195+CE236*CE195+CF236*CF195+CG236*CG195+CH236*CH195+CI236*CI195+CJ236*CJ195+CK236*CK195</f>
        <v>0</v>
      </c>
      <c r="CO195" s="2295">
        <f>E237*E195+F237*F195+G237*G195+H237*H195+I237*I195+J237*J195+K237*K195+L237*L195+M237*M195+N237*N195+O237*O195+P237*P195+Q237*Q195+R237*R195+S237*S195+T237*T195+U237*U195+V237*V195+W237*W195+X237*X195+Y237*Y195+Z237*Z195+AA237*AA195+AB237*AB195+AC237*AC195+AD237*AD195+AE237*AE195+AF237*AF195+AG237*AG195+AH237*AH195+AI237*AI195+AJ237*AJ195+AK237*AK195+AL237*AL195+AM237*AM195+AN237*AN195+AO237*AO195+AP237*AP195+AQ237*AQ195+AR237*AR195+AS237*AS195+AT237*AT195+AU237*AU195+AV237*AV195+AW237*AW195+AX237*AX195+AY237*AY195+AZ237*AZ195+BA237*BA195+BB237*BB195+BC237*BC195+BD237*BD195+BE237*BE195+BF237*BF195+BG237*BG195+BH237*BH195+BI237*BI195+BJ237*BJ195+BK237*BK195+BL237*BL195+BM237*BM195+BN237*BN195+BO237*BO195+BP237*BP195+BQ237*BQ195+BR237*BR195+BS237*BS195+BT237*BT195+BU237*BU195+BV237*BV195+BW237*BW195+BX237*BX195+BY237*BY195+BZ237*BZ195+CA237*CA195+CB237*CB195+CC237*CC195+CD237*CD195+CE237*CE195+CF237*CF195+CG237*CG195+CH237*CH195+CI237*CI195+CJ237*CJ195+CK237*CK195</f>
        <v>0</v>
      </c>
      <c r="CP195" s="2296">
        <f>E238*E195+F238*F195+G238*G195+H238*H195+I238*I195+J238*J195+K238*K195+L238*L195+M238*M195+N238*N195+O238*O195+P238*P195+Q238*Q195+R238*R195+S238*S195+T238*T195+U238*U195+V238*V195+W238*W195+X238*X195+Y238*Y195+Z238*Z195+AA238*AA195+AB238*AB195+AC238*AC195+AD238*AD195+AE238*AE195+AF238*AF195+AG238*AG195+AH238*AH195+AI238*AI195+AJ238*AJ195+AK238*AK195+AL238*AL195+AM238*AM195+AN238*AN195+AO238*AO195+AP238*AP195+AQ238*AQ195+AR238*AR195+AS238*AS195+AT238*AT195+AU238*AU195+AV238*AV195+AW238*AW195+AX238*AX195+AY238*AY195+AZ238*AZ195+BA238*BA195+BB238*BB195+BC238*BC195+BD238*BD195+BE238*BE195+BF238*BF195+BG238*BG195+BH238*BH195+BI238*BI195+BJ238*BJ195+BK238*BK195+BL238*BL195+BM238*BM195+BN238*BN195+BO238*BO195+BP238*BP195+BQ238*BQ195+BR238*BR195+BS238*BS195+BT238*BT195+BU238*BU195+BV238*BV195+BW238*BW195+BX238*BX195+BY238*BY195+BZ238*BZ195+CA238*CA195+CB238*CB195+CC238*CC195+CD238*CD195+CE238*CE195+CF238*CF195+CG238*CG195+CH238*CH195+CI238*CI195+CJ238*CJ195+CK238*CK195</f>
        <v>0</v>
      </c>
      <c r="CQ195" s="2297">
        <f>E239*E195+F239*F195+G239*G195+H239*H195+I239*I195+J239*J195+K239*K195+L239*L195+M239*M195+N239*N195+O239*O195+P239*P195+Q239*Q195+R239*R195+S239*S195+T239*T195+U239*U195+V239*V195+W239*W195+X239*X195+Y239*Y195+Z239*Z195+AA239*AA195+AB239*AB195+AC239*AC195+AD239*AD195+AE239*AE195+AF239*AF195+AG239*AG195+AH239*AH195+AI239*AI195+AJ239*AJ195+AK239*AK195+AL239*AL195+AM239*AM195+AN239*AN195+AO239*AO195+AP239*AP195+AQ239*AQ195+AR239*AR195+AS239*AS195+AT239*AT195+AU239*AU195+AV239*AV195+AW239*AW195+AX239*AX195+AY239*AY195+AZ239*AZ195+BA239*BA195+BB239*BB195+BC239*BC195+BD239*BD195+BE239*BE195+BF239*BF195+BG239*BG195+BH239*BH195+BI239*BI195+BJ239*BJ195+BK239*BK195+BL239*BL195+BM239*BM195+BN239*BN195+BO239*BO195+BP239*BP195+BQ239*BQ195+BR239*BR195+BS239*BS195+BT239*BT195+BU239*BU195+BV239*BV195+BW239*BW195+BX239*BX195+BY239*BY195+BZ239*BZ195+CA239*CA195+CB239*CB195+CC239*CC195+CD239*CD195+CE239*CE195+CF239*CF195+CG239*CG195+CH239*CH195+CI239*CI195+CJ239*CJ195+CK239*CK195</f>
        <v>1.3877787807814457E-17</v>
      </c>
      <c r="CR195" s="2297">
        <f>E240*E195+F240*F195+G240*G195+H240*H195+I240*I195+J240*J195+K240*K195+L240*L195+M240*M195+N240*N195+O240*O195+P240*P195+Q240*Q195+R240*R195+S240*S195+T240*T195+U240*U195+V240*V195+W240*W195+X240*X195+Y240*Y195+Z240*Z195+AA240*AA195+AB240*AB195+AC240*AC195+AD240*AD195+AE240*AE195+AF240*AF195+AG240*AG195+AH240*AH195+AI240*AI195+AJ240*AJ195+AK240*AK195+AL240*AL195+AM240*AM195+AN240*AN195+AO240*AO195+AP240*AP195+AQ240*AQ195+AR240*AR195+AS240*AS195+AT240*AT195+AU240*AU195+AV240*AV195+AW240*AW195+AX240*AX195+AY240*AY195+AZ240*AZ195+BA240*BA195+BB240*BB195+BC240*BC195+BD240*BD195+BE240*BE195+BF240*BF195+BG240*BG195+BH240*BH195+BI240*BI195+BJ240*BJ195+BK240*BK195+BL240*BL195+BM240*BM195+BN240*BN195+BO240*BO195+BP240*BP195+BQ240*BQ195+BR240*BR195+BS240*BS195+BT240*BT195+BU240*BU195+BV240*BV195+BW240*BW195+BX240*BX195+BY240*BY195+BZ240*BZ195+CA240*CA195+CB240*CB195+CC240*CC195+CD240*CD195+CE240*CE195+CF240*CF195+CG240*CG195+CH240*CH195+CI240*CI195+CJ240*CJ195+CK240*CK195</f>
        <v>0</v>
      </c>
      <c r="CS195" s="2297">
        <f>E241*E195+F241*F195+G241*G195+H241*H195+I241*I195+J241*J195+K241*K195+L241*L195+M241*M195+N241*N195+O241*O195+P241*P195+Q241*Q195+R241*R195+S241*S195+T241*T195+U241*U195+V241*V195+W241*W195+X241*X195+Y241*Y195+Z241*Z195+AA241*AA195+AB241*AB195+AC241*AC195+AD241*AD195+AE241*AE195+AF241*AF195+AG241*AG195+AH241*AH195+AI241*AI195+AJ241*AJ195+AK241*AK195+AL241*AL195+AM241*AM195+AN241*AN195+AO241*AO195+AP241*AP195+AQ241*AQ195+AR241*AR195+AS241*AS195+AT241*AT195+AU241*AU195+AV241*AV195+AW241*AW195+AX241*AX195+AY241*AY195+AZ241*AZ195+BA241*BA195+BB241*BB195+BC241*BC195+BD241*BD195+BE241*BE195+BF241*BF195+BG241*BG195+BH241*BH195+BI241*BI195+BJ241*BJ195+BK241*BK195+BL241*BL195+BM241*BM195+BN241*BN195+BO241*BO195+BP241*BP195+BQ241*BQ195+BR241*BR195+BS241*BS195+BT241*BT195+BU241*BU195+BV241*BV195+BW241*BW195+BX241*BX195+BY241*BY195+BZ241*BZ195+CA241*CA195+CB241*CB195+CC241*CC195+CD241*CD195+CE241*CE195+CF241*CF195+CG241*CG195+CH241*CH195+CI241*CI195+CJ241*CJ195+CK241*CK195</f>
        <v>0</v>
      </c>
      <c r="CT195" s="2297">
        <f>E242*E195+F242*F195+G242*G195+H242*H195+I242*I195+J242*J195+K242*K195+L242*L195+M242*M195+N242*N195+O242*O195+P242*P195+Q242*Q195+R242*R195+S242*S195+T242*T195+U242*U195+V242*V195+W242*W195+X242*X195+Y242*Y195+Z242*Z195+AA242*AA195+AB242*AB195+AC242*AC195+AD242*AD195+AE242*AE195+AF242*AF195+AG242*AG195+AH242*AH195+AI242*AI195+AJ242*AJ195+AK242*AK195+AL242*AL195+AM242*AM195+AN242*AN195+AO242*AO195+AP242*AP195+AQ242*AQ195+AR242*AR195+AS242*AS195+AT242*AT195+AU242*AU195+AV242*AV195+AW242*AW195+AX242*AX195+AY242*AY195+AZ242*AZ195+BA242*BA195+BB242*BB195+BC242*BC195+BD242*BD195+BE242*BE195+BF242*BF195+BG242*BG195+BH242*BH195+BI242*BI195+BJ242*BJ195+BK242*BK195+BL242*BL195+BM242*BM195+BN242*BN195+BO242*BO195+BP242*BP195+BQ242*BQ195+BR242*BR195+BS242*BS195+BT242*BT195+BU242*BU195+BV242*BV195+BW242*BW195+BX242*BX195+BY242*BY195+BZ242*BZ195+CA242*CA195+CB242*CB195+CC242*CC195+CD242*CD195+CE242*CE195+CF242*CF195+CG242*CG195+CH242*CH195+CI242*CI195+CJ242*CJ195+CK242*CK195</f>
        <v>0</v>
      </c>
      <c r="CU195" s="2297">
        <f>E243*E195+F243*F195+G243*G195+H243*H195+I243*I195+J243*J195+K243*K195+L243*L195+M243*M195+N243*N195+O243*O195+P243*P195+Q243*Q195+R243*R195+S243*S195+T243*T195+U243*U195+V243*V195+W243*W195+X243*X195+Y243*Y195+Z243*Z195+AA243*AA195+AB243*AB195+AC243*AC195+AD243*AD195+AE243*AE195+AF243*AF195+AG243*AG195+AH243*AH195+AI243*AI195+AJ243*AJ195+AK243*AK195+AL243*AL195+AM243*AM195+AN243*AN195+AO243*AO195+AP243*AP195+AQ243*AQ195+AR243*AR195+AS243*AS195+AT243*AT195+AU243*AU195+AV243*AV195+AW243*AW195+AX243*AX195+AY243*AY195+AZ243*AZ195+BA243*BA195+BB243*BB195+BC243*BC195+BD243*BD195+BE243*BE195+BF243*BF195+BG243*BG195+BH243*BH195+BI243*BI195+BJ243*BJ195+BK243*BK195+BL243*BL195+BM243*BM195+BN243*BN195+BO243*BO195+BP243*BP195+BQ243*BQ195+BR243*BR195+BS243*BS195+BT243*BT195+BU243*BU195+BV243*BV195+BW243*BW195+BX243*BX195+BY243*BY195+BZ243*BZ195+CA243*CA195+CB243*CB195+CC243*CC195+CD243*CD195+CE243*CE195+CF243*CF195+CG243*CG195+CH243*CH195+CI243*CI195+CJ243*CJ195+CK243*CK195</f>
        <v>0</v>
      </c>
      <c r="CV195" s="2297">
        <f>E244*E195+F244*F195+G244*G195+H244*H195+I244*I195+J244*J195+K244*K195+L244*L195+M244*M195+N244*N195+O244*O195+P244*P195+Q244*Q195+R244*R195+S244*S195+T244*T195+U244*U195+V244*V195+W244*W195+X244*X195+Y244*Y195+Z244*Z195+AA244*AA195+AB244*AB195+AC244*AC195+AD244*AD195+AE244*AE195+AF244*AF195+AG244*AG195+AH244*AH195+AI244*AI195+AJ244*AJ195+AK244*AK195+AL244*AL195+AM244*AM195+AN244*AN195+AO244*AO195+AP244*AP195+AQ244*AQ195+AR244*AR195+AS244*AS195+AT244*AT195+AU244*AU195+AV244*AV195+AW244*AW195+AX244*AX195+AY244*AY195+AZ244*AZ195+BA244*BA195+BB244*BB195+BC244*BC195+BD244*BD195+BE244*BE195+BF244*BF195+BG244*BG195+BH244*BH195+BI244*BI195+BJ244*BJ195+BK244*BK195+BL244*BL195+BM244*BM195+BN244*BN195+BO244*BO195+BP244*BP195+BQ244*BQ195+BR244*BR195+BS244*BS195+BT244*BT195+BU244*BU195+BV244*BV195+BW244*BW195+BX244*BX195+BY244*BY195+BZ244*BZ195+CA244*CA195+CB244*CB195+CC244*CC195+CD244*CD195+CE244*CE195+CF244*CF195+CG244*CG195+CH244*CH195+CI244*CI195+CJ244*CJ195+CK244*CK195</f>
        <v>0</v>
      </c>
      <c r="CW195" s="2297">
        <f>E245*E195+F245*F195+G245*G195+H245*H195+I245*I195+J245*J195+K245*K195+L245*L195+M245*M195+N245*N195+O245*O195+P245*P195+Q245*Q195+R245*R195+S245*S195+T245*T195+U245*U195+V245*V195+W245*W195+X245*X195+Y245*Y195+Z245*Z195+AA245*AA195+AB245*AB195+AC245*AC195+AD245*AD195+AE245*AE195+AF245*AF195+AG245*AG195+AH245*AH195+AI245*AI195+AJ245*AJ195+AK245*AK195+AL245*AL195+AM245*AM195+AN245*AN195+AO245*AO195+AP245*AP195+AQ245*AQ195+AR245*AR195+AS245*AS195+AT245*AT195+AU245*AU195+AV245*AV195+AW245*AW195+AX245*AX195+AY245*AY195+AZ245*AZ195+BA245*BA195+BB245*BB195+BC245*BC195+BD245*BD195+BE245*BE195+BF245*BF195+BG245*BG195+BH245*BH195+BI245*BI195+BJ245*BJ195+BK245*BK195+BL245*BL195+BM245*BM195+BN245*BN195+BO245*BO195+BP245*BP195+BQ245*BQ195+BR245*BR195+BS245*BS195+BT245*BT195+BU245*BU195+BV245*BV195+BW245*BW195+BX245*BX195+BY245*BY195+BZ245*BZ195+CA245*CA195+CB245*CB195+CC245*CC195+CD245*CD195+CE245*CE195+CF245*CF195+CG245*CG195+CH245*CH195+CI245*CI195+CJ245*CJ195+CK245*CK195</f>
        <v>0</v>
      </c>
      <c r="CX195" s="2297">
        <f>E246*E195+F246*F195+G246*G195+H246*H195+I246*I195+J246*J195+K246*K195+L246*L195+M246*M195+N246*N195+O246*O195+P246*P195+Q246*Q195+R246*R195+S246*S195+T246*T195+U246*U195+V246*V195+W246*W195+X246*X195+Y246*Y195+Z246*Z195+AA246*AA195+AB246*AB195+AC246*AC195+AD246*AD195+AE246*AE195+AF246*AF195+AG246*AG195+AH246*AH195+AI246*AI195+AJ246*AJ195+AK246*AK195+AL246*AL195+AM246*AM195+AN246*AN195+AO246*AO195+AP246*AP195+AQ246*AQ195+AR246*AR195+AS246*AS195+AT246*AT195+AU246*AU195+AV246*AV195+AW246*AW195+AX246*AX195+AY246*AY195+AZ246*AZ195+BA246*BA195+BB246*BB195+BC246*BC195+BD246*BD195+BE246*BE195+BF246*BF195+BG246*BG195+BH246*BH195+BI246*BI195+BJ246*BJ195+BK246*BK195+BL246*BL195+BM246*BM195+BN246*BN195+BO246*BO195+BP246*BP195+BQ246*BQ195+BR246*BR195+BS246*BS195+BT246*BT195+BU246*BU195+BV246*BV195+BW246*BW195+BX246*BX195+BY246*BY195+BZ246*BZ195+CA246*CA195+CB246*CB195+CC246*CC195+CD246*CD195+CE246*CE195+CF246*CF195+CG246*CG195+CH246*CH195+CI246*CI195+CJ246*CJ195+CK246*CK195</f>
        <v>0</v>
      </c>
    </row>
    <row r="196" spans="2:102" ht="18" x14ac:dyDescent="0.25">
      <c r="B196" s="1251">
        <v>69</v>
      </c>
      <c r="C196" s="1198" t="s">
        <v>2409</v>
      </c>
      <c r="D196" s="616" t="s">
        <v>1686</v>
      </c>
      <c r="E196" s="2670">
        <f>0</f>
        <v>0</v>
      </c>
      <c r="F196" s="2670">
        <f>0</f>
        <v>0</v>
      </c>
      <c r="G196" s="2670">
        <f>0</f>
        <v>0</v>
      </c>
      <c r="H196" s="2670">
        <f>0</f>
        <v>0</v>
      </c>
      <c r="I196" s="2670">
        <f>0</f>
        <v>0</v>
      </c>
      <c r="J196" s="2693">
        <f>0</f>
        <v>0</v>
      </c>
      <c r="K196" s="2670">
        <f>0</f>
        <v>0</v>
      </c>
      <c r="L196" s="2670">
        <f>0</f>
        <v>0</v>
      </c>
      <c r="M196" s="2670">
        <f>0</f>
        <v>0</v>
      </c>
      <c r="N196" s="2670">
        <f>0</f>
        <v>0</v>
      </c>
      <c r="O196" s="2670">
        <f>0</f>
        <v>0</v>
      </c>
      <c r="P196" s="2670">
        <f>0</f>
        <v>0</v>
      </c>
      <c r="Q196" s="2670">
        <f>0</f>
        <v>0</v>
      </c>
      <c r="R196" s="2706">
        <f>-E_EQNO3*X_OHO/X_BIO</f>
        <v>-2.1644104766712156</v>
      </c>
      <c r="S196" s="2706">
        <f>-E_EQNO3*X_CASTO/X_BIO</f>
        <v>-2.1644104766712156</v>
      </c>
      <c r="T196" s="2706">
        <f>-E_EQNO3*X_MEOLO/X_BIO</f>
        <v>-4.3288209533424308E-3</v>
      </c>
      <c r="U196" s="2706">
        <f>-E_EQNO3*X_AOB/X_BIO</f>
        <v>-0.1428510914603002</v>
      </c>
      <c r="V196" s="2706">
        <f>-E_EQNO3*X_NOB/X_BIO</f>
        <v>-8.6576419066848612E-2</v>
      </c>
      <c r="W196" s="2706">
        <f>-E_EQNO3*X_AMX/X_BIO</f>
        <v>-4.3288209533424308E-3</v>
      </c>
      <c r="X196" s="2706">
        <f>-E_EQNO3*X_AMETO/X_BIO</f>
        <v>-1.2986462860027292E-3</v>
      </c>
      <c r="Y196" s="2706">
        <f>-E_EQNO3*X_HMETO/X_BIO</f>
        <v>-8.6576419066848609E-4</v>
      </c>
      <c r="Z196" s="2706">
        <f>-E_EQNO3*X_ALGAE/X_BIO</f>
        <v>0</v>
      </c>
      <c r="AA196" s="2726">
        <f>1+(i_N_BIO*E_EQNO3*(X_BIO-X_ALGAE)+i_N_ALGAE*E_EQNO3*X_ALGAE)/X_BIO</f>
        <v>1.3198349361377055</v>
      </c>
      <c r="AB196" s="2670">
        <f>0</f>
        <v>0</v>
      </c>
      <c r="AC196" s="2670">
        <f>-1</f>
        <v>-1</v>
      </c>
      <c r="AD196" s="2670">
        <f>0</f>
        <v>0</v>
      </c>
      <c r="AE196" s="2670">
        <f>0</f>
        <v>0</v>
      </c>
      <c r="AF196" s="2670">
        <f>0</f>
        <v>0</v>
      </c>
      <c r="AG196" s="2693">
        <f>0</f>
        <v>0</v>
      </c>
      <c r="AH196" s="2670">
        <f>0</f>
        <v>0</v>
      </c>
      <c r="AI196" s="2726">
        <f>(i_P_BIO*E_EQNO3*(X_BIO-X_ALGAE)+i_P_ALGAE*E_EQNO3*X_ALGAE)/X_BIO</f>
        <v>9.1381410325058712E-2</v>
      </c>
      <c r="AJ196" s="2670">
        <f>0</f>
        <v>0</v>
      </c>
      <c r="AK196" s="2670">
        <f>0</f>
        <v>0</v>
      </c>
      <c r="AL196" s="2670">
        <f>0</f>
        <v>0</v>
      </c>
      <c r="AM196" s="2693">
        <f>0</f>
        <v>0</v>
      </c>
      <c r="AN196" s="2670">
        <f>0</f>
        <v>0</v>
      </c>
      <c r="AO196" s="2670">
        <f>0</f>
        <v>0</v>
      </c>
      <c r="AP196" s="2670">
        <f>0</f>
        <v>0</v>
      </c>
      <c r="AQ196" s="2670">
        <f>0</f>
        <v>0</v>
      </c>
      <c r="AR196" s="2726">
        <f>(i_CIT_BIO*E_EQNO3*(X_BIO-X_ALGAE)+i_CIT_ALGAE*E_EQNO3*X_ALGAE)/X_BIO</f>
        <v>1.6083128217210332</v>
      </c>
      <c r="AS196" s="2670">
        <f>0</f>
        <v>0</v>
      </c>
      <c r="AT196" s="2670">
        <f>0</f>
        <v>0</v>
      </c>
      <c r="AU196" s="2670">
        <f>0</f>
        <v>0</v>
      </c>
      <c r="AV196" s="2670">
        <f>0</f>
        <v>0</v>
      </c>
      <c r="AW196" s="2670">
        <f>0</f>
        <v>0</v>
      </c>
      <c r="AX196" s="2670">
        <f>0</f>
        <v>0</v>
      </c>
      <c r="AY196" s="2670">
        <f>0</f>
        <v>0</v>
      </c>
      <c r="AZ196" s="2670">
        <f>0</f>
        <v>0</v>
      </c>
      <c r="BA196" s="2670">
        <f>0</f>
        <v>0</v>
      </c>
      <c r="BB196" s="2670">
        <f>0</f>
        <v>0</v>
      </c>
      <c r="BC196" s="2670">
        <f>0</f>
        <v>0</v>
      </c>
      <c r="BD196" s="2670">
        <f>0</f>
        <v>0</v>
      </c>
      <c r="BE196" s="2670">
        <f>0</f>
        <v>0</v>
      </c>
      <c r="BF196" s="2670">
        <f>0</f>
        <v>0</v>
      </c>
      <c r="BG196" s="2670">
        <f>0</f>
        <v>0</v>
      </c>
      <c r="BH196" s="2670">
        <f>0</f>
        <v>0</v>
      </c>
      <c r="BI196" s="2670">
        <f>0</f>
        <v>0</v>
      </c>
      <c r="BJ196" s="2670">
        <f>0</f>
        <v>0</v>
      </c>
      <c r="BK196" s="2670">
        <f>0</f>
        <v>0</v>
      </c>
      <c r="BL196" s="2670">
        <f>0</f>
        <v>0</v>
      </c>
      <c r="BM196" s="2670">
        <f>0</f>
        <v>0</v>
      </c>
      <c r="BN196" s="2670">
        <f>0</f>
        <v>0</v>
      </c>
      <c r="BO196" s="2670">
        <f>0</f>
        <v>0</v>
      </c>
      <c r="BP196" s="2676">
        <f>0</f>
        <v>0</v>
      </c>
      <c r="BQ196" s="2670">
        <f>0</f>
        <v>0</v>
      </c>
      <c r="BR196" s="2670">
        <f>0</f>
        <v>0</v>
      </c>
      <c r="BS196" s="2671">
        <f>0</f>
        <v>0</v>
      </c>
      <c r="BT196" s="2671">
        <f>0</f>
        <v>0</v>
      </c>
      <c r="BU196" s="2671">
        <f>0</f>
        <v>0</v>
      </c>
      <c r="BV196" s="2671">
        <f>0</f>
        <v>0</v>
      </c>
      <c r="BW196" s="2670">
        <f>0</f>
        <v>0</v>
      </c>
      <c r="BX196" s="2783">
        <f>0</f>
        <v>0</v>
      </c>
      <c r="BY196" s="2671">
        <f>0</f>
        <v>0</v>
      </c>
      <c r="BZ196" s="2670">
        <f>0</f>
        <v>0</v>
      </c>
      <c r="CA196" s="2670">
        <f>0</f>
        <v>0</v>
      </c>
      <c r="CB196" s="2670">
        <f>0</f>
        <v>0</v>
      </c>
      <c r="CC196" s="2670">
        <f>0</f>
        <v>0</v>
      </c>
      <c r="CD196" s="2670">
        <f>0</f>
        <v>0</v>
      </c>
      <c r="CE196" s="2670">
        <f>0</f>
        <v>0</v>
      </c>
      <c r="CF196" s="2670">
        <f>0</f>
        <v>0</v>
      </c>
      <c r="CG196" s="2670">
        <f>0</f>
        <v>0</v>
      </c>
      <c r="CH196" s="2670">
        <f>0</f>
        <v>0</v>
      </c>
      <c r="CI196" s="2670">
        <f>0</f>
        <v>0</v>
      </c>
      <c r="CJ196" s="2670">
        <f>0</f>
        <v>0</v>
      </c>
      <c r="CK196" s="2670">
        <f>0</f>
        <v>0</v>
      </c>
      <c r="CL196" s="2814">
        <f>q_ASSIM_T*X_BIO*M_satSNO3_KNO3_ASSIM*M_inhSNO2_KNO2_ASSIM*M_inhSNHx_KiNHx_ASSIM</f>
        <v>5.2215918882714974E-3</v>
      </c>
      <c r="CN196" s="2295">
        <f>E236*E196+F236*F196+G236*G196+H236*H196+I236*I196+J236*J196+K236*K196+L236*L196+M236*M196+N236*N196+O236*O196+P236*P196+Q236*Q196+R236*R196+S236*S196+T236*T196+U236*U196+V236*V196+W236*W196+X236*X196+Y236*Y196+Z236*Z196+AA236*AA196+AB236*AB196+AC236*AC196+AD236*AD196+AE236*AE196+AF236*AF196+AG236*AG196+AH236*AH196+AI236*AI196+AJ236*AJ196+AK236*AK196+AL236*AL196+AM236*AM196+AN236*AN196+AO236*AO196+AP236*AP196+AQ236*AQ196+AR236*AR196+AS236*AS196+AT236*AT196+AU236*AU196+AV236*AV196+AW236*AW196+AX236*AX196+AY236*AY196+AZ236*AZ196+BA236*BA196+BB236*BB196+BC236*BC196+BD236*BD196+BE236*BE196+BF236*BF196+BG236*BG196+BH236*BH196+BI236*BI196+BJ236*BJ196+BK236*BK196+BL236*BL196+BM236*BM196+BN236*BN196+BO236*BO196+BP236*BP196+BQ236*BQ196+BR236*BR196+BS236*BS196+BT236*BT196+BU236*BU196+BV236*BV196+BW236*BW196+BX236*BX196+BY236*BY196+BZ236*BZ196+CA236*CA196+CB236*CB196+CC236*CC196+CD236*CD196+CE236*CE196+CF236*CF196+CG236*CG196+CH236*CH196+CI236*CI196+CJ236*CJ196+CK236*CK196</f>
        <v>-8.8817841970012523E-16</v>
      </c>
      <c r="CO196" s="2295">
        <f>E237*E196+F237*F196+G237*G196+H237*H196+I237*I196+J237*J196+K237*K196+L237*L196+M237*M196+N237*N196+O237*O196+P237*P196+Q237*Q196+R237*R196+S237*S196+T237*T196+U237*U196+V237*V196+W237*W196+X237*X196+Y237*Y196+Z237*Z196+AA237*AA196+AB237*AB196+AC237*AC196+AD237*AD196+AE237*AE196+AF237*AF196+AG237*AG196+AH237*AH196+AI237*AI196+AJ237*AJ196+AK237*AK196+AL237*AL196+AM237*AM196+AN237*AN196+AO237*AO196+AP237*AP196+AQ237*AQ196+AR237*AR196+AS237*AS196+AT237*AT196+AU237*AU196+AV237*AV196+AW237*AW196+AX237*AX196+AY237*AY196+AZ237*AZ196+BA237*BA196+BB237*BB196+BC237*BC196+BD237*BD196+BE237*BE196+BF237*BF196+BG237*BG196+BH237*BH196+BI237*BI196+BJ237*BJ196+BK237*BK196+BL237*BL196+BM237*BM196+BN237*BN196+BO237*BO196+BP237*BP196+BQ237*BQ196+BR237*BR196+BS237*BS196+BT237*BT196+BU237*BU196+BV237*BV196+BW237*BW196+BX237*BX196+BY237*BY196+BZ237*BZ196+CA237*CA196+CB237*CB196+CC237*CC196+CD237*CD196+CE237*CE196+CF237*CF196+CG237*CG196+CH237*CH196+CI237*CI196+CJ237*CJ196+CK237*CK196</f>
        <v>-2.2204460492503131E-16</v>
      </c>
      <c r="CP196" s="2296">
        <f>E238*E196+F238*F196+G238*G196+H238*H196+I238*I196+J238*J196+K238*K196+L238*L196+M238*M196+N238*N196+O238*O196+P238*P196+Q238*Q196+R238*R196+S238*S196+T238*T196+U238*U196+V238*V196+W238*W196+X238*X196+Y238*Y196+Z238*Z196+AA238*AA196+AB238*AB196+AC238*AC196+AD238*AD196+AE238*AE196+AF238*AF196+AG238*AG196+AH238*AH196+AI238*AI196+AJ238*AJ196+AK238*AK196+AL238*AL196+AM238*AM196+AN238*AN196+AO238*AO196+AP238*AP196+AQ238*AQ196+AR238*AR196+AS238*AS196+AT238*AT196+AU238*AU196+AV238*AV196+AW238*AW196+AX238*AX196+AY238*AY196+AZ238*AZ196+BA238*BA196+BB238*BB196+BC238*BC196+BD238*BD196+BE238*BE196+BF238*BF196+BG238*BG196+BH238*BH196+BI238*BI196+BJ238*BJ196+BK238*BK196+BL238*BL196+BM238*BM196+BN238*BN196+BO238*BO196+BP238*BP196+BQ238*BQ196+BR238*BR196+BS238*BS196+BT238*BT196+BU238*BU196+BV238*BV196+BW238*BW196+BX238*BX196+BY238*BY196+BZ238*BZ196+CA238*CA196+CB238*CB196+CC238*CC196+CD238*CD196+CE238*CE196+CF238*CF196+CG238*CG196+CH238*CH196+CI238*CI196+CJ238*CJ196+CK238*CK196</f>
        <v>0</v>
      </c>
      <c r="CQ196" s="2297">
        <f>E239*E196+F239*F196+G239*G196+H239*H196+I239*I196+J239*J196+K239*K196+L239*L196+M239*M196+N239*N196+O239*O196+P239*P196+Q239*Q196+R239*R196+S239*S196+T239*T196+U239*U196+V239*V196+W239*W196+X239*X196+Y239*Y196+Z239*Z196+AA239*AA196+AB239*AB196+AC239*AC196+AD239*AD196+AE239*AE196+AF239*AF196+AG239*AG196+AH239*AH196+AI239*AI196+AJ239*AJ196+AK239*AK196+AL239*AL196+AM239*AM196+AN239*AN196+AO239*AO196+AP239*AP196+AQ239*AQ196+AR239*AR196+AS239*AS196+AT239*AT196+AU239*AU196+AV239*AV196+AW239*AW196+AX239*AX196+AY239*AY196+AZ239*AZ196+BA239*BA196+BB239*BB196+BC239*BC196+BD239*BD196+BE239*BE196+BF239*BF196+BG239*BG196+BH239*BH196+BI239*BI196+BJ239*BJ196+BK239*BK196+BL239*BL196+BM239*BM196+BN239*BN196+BO239*BO196+BP239*BP196+BQ239*BQ196+BR239*BR196+BS239*BS196+BT239*BT196+BU239*BU196+BV239*BV196+BW239*BW196+BX239*BX196+BY239*BY196+BZ239*BZ196+CA239*CA196+CB239*CB196+CC239*CC196+CD239*CD196+CE239*CE196+CF239*CF196+CG239*CG196+CH239*CH196+CI239*CI196+CJ239*CJ196+CK239*CK196</f>
        <v>-2.7755575615628914E-17</v>
      </c>
      <c r="CR196" s="2297">
        <f>E240*E196+F240*F196+G240*G196+H240*H196+I240*I196+J240*J196+K240*K196+L240*L196+M240*M196+N240*N196+O240*O196+P240*P196+Q240*Q196+R240*R196+S240*S196+T240*T196+U240*U196+V240*V196+W240*W196+X240*X196+Y240*Y196+Z240*Z196+AA240*AA196+AB240*AB196+AC240*AC196+AD240*AD196+AE240*AE196+AF240*AF196+AG240*AG196+AH240*AH196+AI240*AI196+AJ240*AJ196+AK240*AK196+AL240*AL196+AM240*AM196+AN240*AN196+AO240*AO196+AP240*AP196+AQ240*AQ196+AR240*AR196+AS240*AS196+AT240*AT196+AU240*AU196+AV240*AV196+AW240*AW196+AX240*AX196+AY240*AY196+AZ240*AZ196+BA240*BA196+BB240*BB196+BC240*BC196+BD240*BD196+BE240*BE196+BF240*BF196+BG240*BG196+BH240*BH196+BI240*BI196+BJ240*BJ196+BK240*BK196+BL240*BL196+BM240*BM196+BN240*BN196+BO240*BO196+BP240*BP196+BQ240*BQ196+BR240*BR196+BS240*BS196+BT240*BT196+BU240*BU196+BV240*BV196+BW240*BW196+BX240*BX196+BY240*BY196+BZ240*BZ196+CA240*CA196+CB240*CB196+CC240*CC196+CD240*CD196+CE240*CE196+CF240*CF196+CG240*CG196+CH240*CH196+CI240*CI196+CJ240*CJ196+CK240*CK196</f>
        <v>0</v>
      </c>
      <c r="CS196" s="2297">
        <f>E241*E196+F241*F196+G241*G196+H241*H196+I241*I196+J241*J196+K241*K196+L241*L196+M241*M196+N241*N196+O241*O196+P241*P196+Q241*Q196+R241*R196+S241*S196+T241*T196+U241*U196+V241*V196+W241*W196+X241*X196+Y241*Y196+Z241*Z196+AA241*AA196+AB241*AB196+AC241*AC196+AD241*AD196+AE241*AE196+AF241*AF196+AG241*AG196+AH241*AH196+AI241*AI196+AJ241*AJ196+AK241*AK196+AL241*AL196+AM241*AM196+AN241*AN196+AO241*AO196+AP241*AP196+AQ241*AQ196+AR241*AR196+AS241*AS196+AT241*AT196+AU241*AU196+AV241*AV196+AW241*AW196+AX241*AX196+AY241*AY196+AZ241*AZ196+BA241*BA196+BB241*BB196+BC241*BC196+BD241*BD196+BE241*BE196+BF241*BF196+BG241*BG196+BH241*BH196+BI241*BI196+BJ241*BJ196+BK241*BK196+BL241*BL196+BM241*BM196+BN241*BN196+BO241*BO196+BP241*BP196+BQ241*BQ196+BR241*BR196+BS241*BS196+BT241*BT196+BU241*BU196+BV241*BV196+BW241*BW196+BX241*BX196+BY241*BY196+BZ241*BZ196+CA241*CA196+CB241*CB196+CC241*CC196+CD241*CD196+CE241*CE196+CF241*CF196+CG241*CG196+CH241*CH196+CI241*CI196+CJ241*CJ196+CK241*CK196</f>
        <v>0</v>
      </c>
      <c r="CT196" s="2297">
        <f>E242*E196+F242*F196+G242*G196+H242*H196+I242*I196+J242*J196+K242*K196+L242*L196+M242*M196+N242*N196+O242*O196+P242*P196+Q242*Q196+R242*R196+S242*S196+T242*T196+U242*U196+V242*V196+W242*W196+X242*X196+Y242*Y196+Z242*Z196+AA242*AA196+AB242*AB196+AC242*AC196+AD242*AD196+AE242*AE196+AF242*AF196+AG242*AG196+AH242*AH196+AI242*AI196+AJ242*AJ196+AK242*AK196+AL242*AL196+AM242*AM196+AN242*AN196+AO242*AO196+AP242*AP196+AQ242*AQ196+AR242*AR196+AS242*AS196+AT242*AT196+AU242*AU196+AV242*AV196+AW242*AW196+AX242*AX196+AY242*AY196+AZ242*AZ196+BA242*BA196+BB242*BB196+BC242*BC196+BD242*BD196+BE242*BE196+BF242*BF196+BG242*BG196+BH242*BH196+BI242*BI196+BJ242*BJ196+BK242*BK196+BL242*BL196+BM242*BM196+BN242*BN196+BO242*BO196+BP242*BP196+BQ242*BQ196+BR242*BR196+BS242*BS196+BT242*BT196+BU242*BU196+BV242*BV196+BW242*BW196+BX242*BX196+BY242*BY196+BZ242*BZ196+CA242*CA196+CB242*CB196+CC242*CC196+CD242*CD196+CE242*CE196+CF242*CF196+CG242*CG196+CH242*CH196+CI242*CI196+CJ242*CJ196+CK242*CK196</f>
        <v>0</v>
      </c>
      <c r="CU196" s="2297">
        <f>E243*E196+F243*F196+G243*G196+H243*H196+I243*I196+J243*J196+K243*K196+L243*L196+M243*M196+N243*N196+O243*O196+P243*P196+Q243*Q196+R243*R196+S243*S196+T243*T196+U243*U196+V243*V196+W243*W196+X243*X196+Y243*Y196+Z243*Z196+AA243*AA196+AB243*AB196+AC243*AC196+AD243*AD196+AE243*AE196+AF243*AF196+AG243*AG196+AH243*AH196+AI243*AI196+AJ243*AJ196+AK243*AK196+AL243*AL196+AM243*AM196+AN243*AN196+AO243*AO196+AP243*AP196+AQ243*AQ196+AR243*AR196+AS243*AS196+AT243*AT196+AU243*AU196+AV243*AV196+AW243*AW196+AX243*AX196+AY243*AY196+AZ243*AZ196+BA243*BA196+BB243*BB196+BC243*BC196+BD243*BD196+BE243*BE196+BF243*BF196+BG243*BG196+BH243*BH196+BI243*BI196+BJ243*BJ196+BK243*BK196+BL243*BL196+BM243*BM196+BN243*BN196+BO243*BO196+BP243*BP196+BQ243*BQ196+BR243*BR196+BS243*BS196+BT243*BT196+BU243*BU196+BV243*BV196+BW243*BW196+BX243*BX196+BY243*BY196+BZ243*BZ196+CA243*CA196+CB243*CB196+CC243*CC196+CD243*CD196+CE243*CE196+CF243*CF196+CG243*CG196+CH243*CH196+CI243*CI196+CJ243*CJ196+CK243*CK196</f>
        <v>0</v>
      </c>
      <c r="CV196" s="2297">
        <f>E244*E196+F244*F196+G244*G196+H244*H196+I244*I196+J244*J196+K244*K196+L244*L196+M244*M196+N244*N196+O244*O196+P244*P196+Q244*Q196+R244*R196+S244*S196+T244*T196+U244*U196+V244*V196+W244*W196+X244*X196+Y244*Y196+Z244*Z196+AA244*AA196+AB244*AB196+AC244*AC196+AD244*AD196+AE244*AE196+AF244*AF196+AG244*AG196+AH244*AH196+AI244*AI196+AJ244*AJ196+AK244*AK196+AL244*AL196+AM244*AM196+AN244*AN196+AO244*AO196+AP244*AP196+AQ244*AQ196+AR244*AR196+AS244*AS196+AT244*AT196+AU244*AU196+AV244*AV196+AW244*AW196+AX244*AX196+AY244*AY196+AZ244*AZ196+BA244*BA196+BB244*BB196+BC244*BC196+BD244*BD196+BE244*BE196+BF244*BF196+BG244*BG196+BH244*BH196+BI244*BI196+BJ244*BJ196+BK244*BK196+BL244*BL196+BM244*BM196+BN244*BN196+BO244*BO196+BP244*BP196+BQ244*BQ196+BR244*BR196+BS244*BS196+BT244*BT196+BU244*BU196+BV244*BV196+BW244*BW196+BX244*BX196+BY244*BY196+BZ244*BZ196+CA244*CA196+CB244*CB196+CC244*CC196+CD244*CD196+CE244*CE196+CF244*CF196+CG244*CG196+CH244*CH196+CI244*CI196+CJ244*CJ196+CK244*CK196</f>
        <v>0</v>
      </c>
      <c r="CW196" s="2297">
        <f>E245*E196+F245*F196+G245*G196+H245*H196+I245*I196+J245*J196+K245*K196+L245*L196+M245*M196+N245*N196+O245*O196+P245*P196+Q245*Q196+R245*R196+S245*S196+T245*T196+U245*U196+V245*V196+W245*W196+X245*X196+Y245*Y196+Z245*Z196+AA245*AA196+AB245*AB196+AC245*AC196+AD245*AD196+AE245*AE196+AF245*AF196+AG245*AG196+AH245*AH196+AI245*AI196+AJ245*AJ196+AK245*AK196+AL245*AL196+AM245*AM196+AN245*AN196+AO245*AO196+AP245*AP196+AQ245*AQ196+AR245*AR196+AS245*AS196+AT245*AT196+AU245*AU196+AV245*AV196+AW245*AW196+AX245*AX196+AY245*AY196+AZ245*AZ196+BA245*BA196+BB245*BB196+BC245*BC196+BD245*BD196+BE245*BE196+BF245*BF196+BG245*BG196+BH245*BH196+BI245*BI196+BJ245*BJ196+BK245*BK196+BL245*BL196+BM245*BM196+BN245*BN196+BO245*BO196+BP245*BP196+BQ245*BQ196+BR245*BR196+BS245*BS196+BT245*BT196+BU245*BU196+BV245*BV196+BW245*BW196+BX245*BX196+BY245*BY196+BZ245*BZ196+CA245*CA196+CB245*CB196+CC245*CC196+CD245*CD196+CE245*CE196+CF245*CF196+CG245*CG196+CH245*CH196+CI245*CI196+CJ245*CJ196+CK245*CK196</f>
        <v>0</v>
      </c>
      <c r="CX196" s="2297">
        <f>E246*E196+F246*F196+G246*G196+H246*H196+I246*I196+J246*J196+K246*K196+L246*L196+M246*M196+N246*N196+O246*O196+P246*P196+Q246*Q196+R246*R196+S246*S196+T246*T196+U246*U196+V246*V196+W246*W196+X246*X196+Y246*Y196+Z246*Z196+AA246*AA196+AB246*AB196+AC246*AC196+AD246*AD196+AE246*AE196+AF246*AF196+AG246*AG196+AH246*AH196+AI246*AI196+AJ246*AJ196+AK246*AK196+AL246*AL196+AM246*AM196+AN246*AN196+AO246*AO196+AP246*AP196+AQ246*AQ196+AR246*AR196+AS246*AS196+AT246*AT196+AU246*AU196+AV246*AV196+AW246*AW196+AX246*AX196+AY246*AY196+AZ246*AZ196+BA246*BA196+BB246*BB196+BC246*BC196+BD246*BD196+BE246*BE196+BF246*BF196+BG246*BG196+BH246*BH196+BI246*BI196+BJ246*BJ196+BK246*BK196+BL246*BL196+BM246*BM196+BN246*BN196+BO246*BO196+BP246*BP196+BQ246*BQ196+BR246*BR196+BS246*BS196+BT246*BT196+BU246*BU196+BV246*BV196+BW246*BW196+BX246*BX196+BY246*BY196+BZ246*BZ196+CA246*CA196+CB246*CB196+CC246*CC196+CD246*CD196+CE246*CE196+CF246*CF196+CG246*CG196+CH246*CH196+CI246*CI196+CJ246*CJ196+CK246*CK196</f>
        <v>0</v>
      </c>
    </row>
    <row r="197" spans="2:102" ht="18" x14ac:dyDescent="0.25">
      <c r="B197" s="1968">
        <v>70</v>
      </c>
      <c r="C197" s="1969" t="s">
        <v>2410</v>
      </c>
      <c r="D197" s="1201" t="s">
        <v>2866</v>
      </c>
      <c r="E197" s="2673">
        <f>0</f>
        <v>0</v>
      </c>
      <c r="F197" s="2673">
        <f>0</f>
        <v>0</v>
      </c>
      <c r="G197" s="2673">
        <f>0</f>
        <v>0</v>
      </c>
      <c r="H197" s="2673">
        <f>0</f>
        <v>0</v>
      </c>
      <c r="I197" s="2673">
        <f>0</f>
        <v>0</v>
      </c>
      <c r="J197" s="2694">
        <f>0</f>
        <v>0</v>
      </c>
      <c r="K197" s="2673">
        <f>0</f>
        <v>0</v>
      </c>
      <c r="L197" s="2673">
        <f>0</f>
        <v>0</v>
      </c>
      <c r="M197" s="2673">
        <f>0</f>
        <v>0</v>
      </c>
      <c r="N197" s="2673">
        <f>0</f>
        <v>0</v>
      </c>
      <c r="O197" s="2673">
        <f>0</f>
        <v>0</v>
      </c>
      <c r="P197" s="2673">
        <f>0</f>
        <v>0</v>
      </c>
      <c r="Q197" s="2673">
        <f>0</f>
        <v>0</v>
      </c>
      <c r="R197" s="2707">
        <f>0</f>
        <v>0</v>
      </c>
      <c r="S197" s="2673">
        <f>0</f>
        <v>0</v>
      </c>
      <c r="T197" s="2673">
        <f>0</f>
        <v>0</v>
      </c>
      <c r="U197" s="2673">
        <f>0</f>
        <v>0</v>
      </c>
      <c r="V197" s="2673">
        <f>0</f>
        <v>0</v>
      </c>
      <c r="W197" s="2673">
        <f>0</f>
        <v>0</v>
      </c>
      <c r="X197" s="2673">
        <f>0</f>
        <v>0</v>
      </c>
      <c r="Y197" s="2673">
        <f>0</f>
        <v>0</v>
      </c>
      <c r="Z197" s="2720">
        <f>0</f>
        <v>0</v>
      </c>
      <c r="AA197" s="2673">
        <f>0</f>
        <v>0</v>
      </c>
      <c r="AB197" s="2673">
        <f>0</f>
        <v>0</v>
      </c>
      <c r="AC197" s="2673">
        <f>0</f>
        <v>0</v>
      </c>
      <c r="AD197" s="2673">
        <f>0</f>
        <v>0</v>
      </c>
      <c r="AE197" s="2673">
        <f>0</f>
        <v>0</v>
      </c>
      <c r="AF197" s="2673">
        <f>0</f>
        <v>0</v>
      </c>
      <c r="AG197" s="2694">
        <f>0</f>
        <v>0</v>
      </c>
      <c r="AH197" s="2673">
        <f>0</f>
        <v>0</v>
      </c>
      <c r="AI197" s="2673">
        <f>0</f>
        <v>0</v>
      </c>
      <c r="AJ197" s="2673">
        <f>0</f>
        <v>0</v>
      </c>
      <c r="AK197" s="2673">
        <f>0</f>
        <v>0</v>
      </c>
      <c r="AL197" s="2673">
        <f>0</f>
        <v>0</v>
      </c>
      <c r="AM197" s="2694">
        <f>0</f>
        <v>0</v>
      </c>
      <c r="AN197" s="2673">
        <f>0</f>
        <v>0</v>
      </c>
      <c r="AO197" s="2673">
        <f>0</f>
        <v>0</v>
      </c>
      <c r="AP197" s="2673">
        <f>0</f>
        <v>0</v>
      </c>
      <c r="AQ197" s="2673">
        <f>0</f>
        <v>0</v>
      </c>
      <c r="AR197" s="2673">
        <f>0</f>
        <v>0</v>
      </c>
      <c r="AS197" s="2673">
        <f>0</f>
        <v>0</v>
      </c>
      <c r="AT197" s="2673">
        <f>0</f>
        <v>0</v>
      </c>
      <c r="AU197" s="2673">
        <f>0</f>
        <v>0</v>
      </c>
      <c r="AV197" s="2673">
        <f>0</f>
        <v>0</v>
      </c>
      <c r="AW197" s="2673">
        <f>0</f>
        <v>0</v>
      </c>
      <c r="AX197" s="2673">
        <f>0</f>
        <v>0</v>
      </c>
      <c r="AY197" s="2673">
        <f>0</f>
        <v>0</v>
      </c>
      <c r="AZ197" s="2749">
        <f>-X_HFO_H/(X_HFO_H+X_HFO_H_P)</f>
        <v>-0.5</v>
      </c>
      <c r="BA197" s="2749">
        <f>X_HFO_H/(X_HFO_H+X_HFO_H_P)</f>
        <v>0.5</v>
      </c>
      <c r="BB197" s="2750">
        <f>0</f>
        <v>0</v>
      </c>
      <c r="BC197" s="2749">
        <f>-X_HFO_H_P/(X_HFO_H+X_HFO_H_P)</f>
        <v>-0.5</v>
      </c>
      <c r="BD197" s="2750">
        <f>0</f>
        <v>0</v>
      </c>
      <c r="BE197" s="2749">
        <f>X_HFO_H_P/(X_HFO_H+X_HFO_H_P)</f>
        <v>0.5</v>
      </c>
      <c r="BF197" s="2750">
        <f>0</f>
        <v>0</v>
      </c>
      <c r="BG197" s="2754">
        <f>0</f>
        <v>0</v>
      </c>
      <c r="BH197" s="2754">
        <f>0</f>
        <v>0</v>
      </c>
      <c r="BI197" s="2673">
        <f>0</f>
        <v>0</v>
      </c>
      <c r="BJ197" s="2754">
        <f>0</f>
        <v>0</v>
      </c>
      <c r="BK197" s="2673">
        <f>0</f>
        <v>0</v>
      </c>
      <c r="BL197" s="2754">
        <f>0</f>
        <v>0</v>
      </c>
      <c r="BM197" s="2673">
        <f>0</f>
        <v>0</v>
      </c>
      <c r="BN197" s="2673">
        <f>0</f>
        <v>0</v>
      </c>
      <c r="BO197" s="2673">
        <f>0</f>
        <v>0</v>
      </c>
      <c r="BP197" s="2750">
        <f>0</f>
        <v>0</v>
      </c>
      <c r="BQ197" s="2707">
        <f>0</f>
        <v>0</v>
      </c>
      <c r="BR197" s="2673">
        <f>0</f>
        <v>0</v>
      </c>
      <c r="BS197" s="2720">
        <f>0</f>
        <v>0</v>
      </c>
      <c r="BT197" s="2720">
        <f>0</f>
        <v>0</v>
      </c>
      <c r="BU197" s="2720">
        <f>0</f>
        <v>0</v>
      </c>
      <c r="BV197" s="2720">
        <f>0</f>
        <v>0</v>
      </c>
      <c r="BW197" s="2673">
        <f>0</f>
        <v>0</v>
      </c>
      <c r="BX197" s="2784">
        <f>0</f>
        <v>0</v>
      </c>
      <c r="BY197" s="2720">
        <f>0</f>
        <v>0</v>
      </c>
      <c r="BZ197" s="2707">
        <f>0</f>
        <v>0</v>
      </c>
      <c r="CA197" s="2707">
        <f>0</f>
        <v>0</v>
      </c>
      <c r="CB197" s="2707">
        <f>0</f>
        <v>0</v>
      </c>
      <c r="CC197" s="2707">
        <f>0</f>
        <v>0</v>
      </c>
      <c r="CD197" s="2707">
        <f>0</f>
        <v>0</v>
      </c>
      <c r="CE197" s="2707">
        <f>0</f>
        <v>0</v>
      </c>
      <c r="CF197" s="2707">
        <f>0</f>
        <v>0</v>
      </c>
      <c r="CG197" s="2707">
        <f>0</f>
        <v>0</v>
      </c>
      <c r="CH197" s="2707">
        <f>0</f>
        <v>0</v>
      </c>
      <c r="CI197" s="2707">
        <f>0</f>
        <v>0</v>
      </c>
      <c r="CJ197" s="2707">
        <f>0</f>
        <v>0</v>
      </c>
      <c r="CK197" s="2707">
        <f>0</f>
        <v>0</v>
      </c>
      <c r="CL197" s="2815">
        <f>q_HFOH_AGING*(X_HFO_H+X_HFO_H_P)</f>
        <v>4.9999999999999999E-48</v>
      </c>
      <c r="CN197" s="2295">
        <f>E236*E197+F236*F197+G236*G197+H236*H197+I236*I197+J236*J197+K236*K197+L236*L197+M236*M197+N236*N197+O236*O197+P236*P197+Q236*Q197+R236*R197+S236*S197+T236*T197+U236*U197+V236*V197+W236*W197+X236*X197+Y236*Y197+Z236*Z197+AA236*AA197+AB236*AB197+AC236*AC197+AD236*AD197+AE236*AE197+AF236*AF197+AG236*AG197+AH236*AH197+AI236*AI197+AJ236*AJ197+AK236*AK197+AL236*AL197+AM236*AM197+AN236*AN197+AO236*AO197+AP236*AP197+AQ236*AQ197+AR236*AR197+AS236*AS197+AT236*AT197+AU236*AU197+AV236*AV197+AW236*AW197+AX236*AX197+AY236*AY197+AZ236*AZ197+BA236*BA197+BB236*BB197+BC236*BC197+BD236*BD197+BE236*BE197+BF236*BF197+BG236*BG197+BH236*BH197+BI236*BI197+BJ236*BJ197+BK236*BK197+BL236*BL197+BM236*BM197+BN236*BN197+BO236*BO197+BP236*BP197+BQ236*BQ197+BR236*BR197+BS236*BS197+BT236*BT197+BU236*BU197+BV236*BV197+BW236*BW197+BX236*BX197+BY236*BY197+BZ236*BZ197+CA236*CA197+CB236*CB197+CC236*CC197+CD236*CD197+CE236*CE197+CF236*CF197+CG236*CG197+CH236*CH197+CI236*CI197+CJ236*CJ197+CK236*CK197</f>
        <v>0</v>
      </c>
      <c r="CO197" s="2295">
        <f>E237*E197+F237*F197+G237*G197+H237*H197+I237*I197+J237*J197+K237*K197+L237*L197+M237*M197+N237*N197+O237*O197+P237*P197+Q237*Q197+R237*R197+S237*S197+T237*T197+U237*U197+V237*V197+W237*W197+X237*X197+Y237*Y197+Z237*Z197+AA237*AA197+AB237*AB197+AC237*AC197+AD237*AD197+AE237*AE197+AF237*AF197+AG237*AG197+AH237*AH197+AI237*AI197+AJ237*AJ197+AK237*AK197+AL237*AL197+AM237*AM197+AN237*AN197+AO237*AO197+AP237*AP197+AQ237*AQ197+AR237*AR197+AS237*AS197+AT237*AT197+AU237*AU197+AV237*AV197+AW237*AW197+AX237*AX197+AY237*AY197+AZ237*AZ197+BA237*BA197+BB237*BB197+BC237*BC197+BD237*BD197+BE237*BE197+BF237*BF197+BG237*BG197+BH237*BH197+BI237*BI197+BJ237*BJ197+BK237*BK197+BL237*BL197+BM237*BM197+BN237*BN197+BO237*BO197+BP237*BP197+BQ237*BQ197+BR237*BR197+BS237*BS197+BT237*BT197+BU237*BU197+BV237*BV197+BW237*BW197+BX237*BX197+BY237*BY197+BZ237*BZ197+CA237*CA197+CB237*CB197+CC237*CC197+CD237*CD197+CE237*CE197+CF237*CF197+CG237*CG197+CH237*CH197+CI237*CI197+CJ237*CJ197+CK237*CK197</f>
        <v>0</v>
      </c>
      <c r="CP197" s="2296">
        <f>E238*E197+F238*F197+G238*G197+H238*H197+I238*I197+J238*J197+K238*K197+L238*L197+M238*M197+N238*N197+O238*O197+P238*P197+Q238*Q197+R238*R197+S238*S197+T238*T197+U238*U197+V238*V197+W238*W197+X238*X197+Y238*Y197+Z238*Z197+AA238*AA197+AB238*AB197+AC238*AC197+AD238*AD197+AE238*AE197+AF238*AF197+AG238*AG197+AH238*AH197+AI238*AI197+AJ238*AJ197+AK238*AK197+AL238*AL197+AM238*AM197+AN238*AN197+AO238*AO197+AP238*AP197+AQ238*AQ197+AR238*AR197+AS238*AS197+AT238*AT197+AU238*AU197+AV238*AV197+AW238*AW197+AX238*AX197+AY238*AY197+AZ238*AZ197+BA238*BA197+BB238*BB197+BC238*BC197+BD238*BD197+BE238*BE197+BF238*BF197+BG238*BG197+BH238*BH197+BI238*BI197+BJ238*BJ197+BK238*BK197+BL238*BL197+BM238*BM197+BN238*BN197+BO238*BO197+BP238*BP197+BQ238*BQ197+BR238*BR197+BS238*BS197+BT238*BT197+BU238*BU197+BV238*BV197+BW238*BW197+BX238*BX197+BY238*BY197+BZ238*BZ197+CA238*CA197+CB238*CB197+CC238*CC197+CD238*CD197+CE238*CE197+CF238*CF197+CG238*CG197+CH238*CH197+CI238*CI197+CJ238*CJ197+CK238*CK197</f>
        <v>0</v>
      </c>
      <c r="CQ197" s="2297">
        <f>E239*E197+F239*F197+G239*G197+H239*H197+I239*I197+J239*J197+K239*K197+L239*L197+M239*M197+N239*N197+O239*O197+P239*P197+Q239*Q197+R239*R197+S239*S197+T239*T197+U239*U197+V239*V197+W239*W197+X239*X197+Y239*Y197+Z239*Z197+AA239*AA197+AB239*AB197+AC239*AC197+AD239*AD197+AE239*AE197+AF239*AF197+AG239*AG197+AH239*AH197+AI239*AI197+AJ239*AJ197+AK239*AK197+AL239*AL197+AM239*AM197+AN239*AN197+AO239*AO197+AP239*AP197+AQ239*AQ197+AR239*AR197+AS239*AS197+AT239*AT197+AU239*AU197+AV239*AV197+AW239*AW197+AX239*AX197+AY239*AY197+AZ239*AZ197+BA239*BA197+BB239*BB197+BC239*BC197+BD239*BD197+BE239*BE197+BF239*BF197+BG239*BG197+BH239*BH197+BI239*BI197+BJ239*BJ197+BK239*BK197+BL239*BL197+BM239*BM197+BN239*BN197+BO239*BO197+BP239*BP197+BQ239*BQ197+BR239*BR197+BS239*BS197+BT239*BT197+BU239*BU197+BV239*BV197+BW239*BW197+BX239*BX197+BY239*BY197+BZ239*BZ197+CA239*CA197+CB239*CB197+CC239*CC197+CD239*CD197+CE239*CE197+CF239*CF197+CG239*CG197+CH239*CH197+CI239*CI197+CJ239*CJ197+CK239*CK197</f>
        <v>0</v>
      </c>
      <c r="CR197" s="2297">
        <f>E240*E197+F240*F197+G240*G197+H240*H197+I240*I197+J240*J197+K240*K197+L240*L197+M240*M197+N240*N197+O240*O197+P240*P197+Q240*Q197+R240*R197+S240*S197+T240*T197+U240*U197+V240*V197+W240*W197+X240*X197+Y240*Y197+Z240*Z197+AA240*AA197+AB240*AB197+AC240*AC197+AD240*AD197+AE240*AE197+AF240*AF197+AG240*AG197+AH240*AH197+AI240*AI197+AJ240*AJ197+AK240*AK197+AL240*AL197+AM240*AM197+AN240*AN197+AO240*AO197+AP240*AP197+AQ240*AQ197+AR240*AR197+AS240*AS197+AT240*AT197+AU240*AU197+AV240*AV197+AW240*AW197+AX240*AX197+AY240*AY197+AZ240*AZ197+BA240*BA197+BB240*BB197+BC240*BC197+BD240*BD197+BE240*BE197+BF240*BF197+BG240*BG197+BH240*BH197+BI240*BI197+BJ240*BJ197+BK240*BK197+BL240*BL197+BM240*BM197+BN240*BN197+BO240*BO197+BP240*BP197+BQ240*BQ197+BR240*BR197+BS240*BS197+BT240*BT197+BU240*BU197+BV240*BV197+BW240*BW197+BX240*BX197+BY240*BY197+BZ240*BZ197+CA240*CA197+CB240*CB197+CC240*CC197+CD240*CD197+CE240*CE197+CF240*CF197+CG240*CG197+CH240*CH197+CI240*CI197+CJ240*CJ197+CK240*CK197</f>
        <v>0</v>
      </c>
      <c r="CS197" s="2297">
        <f>E241*E197+F241*F197+G241*G197+H241*H197+I241*I197+J241*J197+K241*K197+L241*L197+M241*M197+N241*N197+O241*O197+P241*P197+Q241*Q197+R241*R197+S241*S197+T241*T197+U241*U197+V241*V197+W241*W197+X241*X197+Y241*Y197+Z241*Z197+AA241*AA197+AB241*AB197+AC241*AC197+AD241*AD197+AE241*AE197+AF241*AF197+AG241*AG197+AH241*AH197+AI241*AI197+AJ241*AJ197+AK241*AK197+AL241*AL197+AM241*AM197+AN241*AN197+AO241*AO197+AP241*AP197+AQ241*AQ197+AR241*AR197+AS241*AS197+AT241*AT197+AU241*AU197+AV241*AV197+AW241*AW197+AX241*AX197+AY241*AY197+AZ241*AZ197+BA241*BA197+BB241*BB197+BC241*BC197+BD241*BD197+BE241*BE197+BF241*BF197+BG241*BG197+BH241*BH197+BI241*BI197+BJ241*BJ197+BK241*BK197+BL241*BL197+BM241*BM197+BN241*BN197+BO241*BO197+BP241*BP197+BQ241*BQ197+BR241*BR197+BS241*BS197+BT241*BT197+BU241*BU197+BV241*BV197+BW241*BW197+BX241*BX197+BY241*BY197+BZ241*BZ197+CA241*CA197+CB241*CB197+CC241*CC197+CD241*CD197+CE241*CE197+CF241*CF197+CG241*CG197+CH241*CH197+CI241*CI197+CJ241*CJ197+CK241*CK197</f>
        <v>0</v>
      </c>
      <c r="CT197" s="2297">
        <f>E242*E197+F242*F197+G242*G197+H242*H197+I242*I197+J242*J197+K242*K197+L242*L197+M242*M197+N242*N197+O242*O197+P242*P197+Q242*Q197+R242*R197+S242*S197+T242*T197+U242*U197+V242*V197+W242*W197+X242*X197+Y242*Y197+Z242*Z197+AA242*AA197+AB242*AB197+AC242*AC197+AD242*AD197+AE242*AE197+AF242*AF197+AG242*AG197+AH242*AH197+AI242*AI197+AJ242*AJ197+AK242*AK197+AL242*AL197+AM242*AM197+AN242*AN197+AO242*AO197+AP242*AP197+AQ242*AQ197+AR242*AR197+AS242*AS197+AT242*AT197+AU242*AU197+AV242*AV197+AW242*AW197+AX242*AX197+AY242*AY197+AZ242*AZ197+BA242*BA197+BB242*BB197+BC242*BC197+BD242*BD197+BE242*BE197+BF242*BF197+BG242*BG197+BH242*BH197+BI242*BI197+BJ242*BJ197+BK242*BK197+BL242*BL197+BM242*BM197+BN242*BN197+BO242*BO197+BP242*BP197+BQ242*BQ197+BR242*BR197+BS242*BS197+BT242*BT197+BU242*BU197+BV242*BV197+BW242*BW197+BX242*BX197+BY242*BY197+BZ242*BZ197+CA242*CA197+CB242*CB197+CC242*CC197+CD242*CD197+CE242*CE197+CF242*CF197+CG242*CG197+CH242*CH197+CI242*CI197+CJ242*CJ197+CK242*CK197</f>
        <v>0</v>
      </c>
      <c r="CU197" s="2297">
        <f>E243*E197+F243*F197+G243*G197+H243*H197+I243*I197+J243*J197+K243*K197+L243*L197+M243*M197+N243*N197+O243*O197+P243*P197+Q243*Q197+R243*R197+S243*S197+T243*T197+U243*U197+V243*V197+W243*W197+X243*X197+Y243*Y197+Z243*Z197+AA243*AA197+AB243*AB197+AC243*AC197+AD243*AD197+AE243*AE197+AF243*AF197+AG243*AG197+AH243*AH197+AI243*AI197+AJ243*AJ197+AK243*AK197+AL243*AL197+AM243*AM197+AN243*AN197+AO243*AO197+AP243*AP197+AQ243*AQ197+AR243*AR197+AS243*AS197+AT243*AT197+AU243*AU197+AV243*AV197+AW243*AW197+AX243*AX197+AY243*AY197+AZ243*AZ197+BA243*BA197+BB243*BB197+BC243*BC197+BD243*BD197+BE243*BE197+BF243*BF197+BG243*BG197+BH243*BH197+BI243*BI197+BJ243*BJ197+BK243*BK197+BL243*BL197+BM243*BM197+BN243*BN197+BO243*BO197+BP243*BP197+BQ243*BQ197+BR243*BR197+BS243*BS197+BT243*BT197+BU243*BU197+BV243*BV197+BW243*BW197+BX243*BX197+BY243*BY197+BZ243*BZ197+CA243*CA197+CB243*CB197+CC243*CC197+CD243*CD197+CE243*CE197+CF243*CF197+CG243*CG197+CH243*CH197+CI243*CI197+CJ243*CJ197+CK243*CK197</f>
        <v>0</v>
      </c>
      <c r="CV197" s="2297">
        <f>E244*E197+F244*F197+G244*G197+H244*H197+I244*I197+J244*J197+K244*K197+L244*L197+M244*M197+N244*N197+O244*O197+P244*P197+Q244*Q197+R244*R197+S244*S197+T244*T197+U244*U197+V244*V197+W244*W197+X244*X197+Y244*Y197+Z244*Z197+AA244*AA197+AB244*AB197+AC244*AC197+AD244*AD197+AE244*AE197+AF244*AF197+AG244*AG197+AH244*AH197+AI244*AI197+AJ244*AJ197+AK244*AK197+AL244*AL197+AM244*AM197+AN244*AN197+AO244*AO197+AP244*AP197+AQ244*AQ197+AR244*AR197+AS244*AS197+AT244*AT197+AU244*AU197+AV244*AV197+AW244*AW197+AX244*AX197+AY244*AY197+AZ244*AZ197+BA244*BA197+BB244*BB197+BC244*BC197+BD244*BD197+BE244*BE197+BF244*BF197+BG244*BG197+BH244*BH197+BI244*BI197+BJ244*BJ197+BK244*BK197+BL244*BL197+BM244*BM197+BN244*BN197+BO244*BO197+BP244*BP197+BQ244*BQ197+BR244*BR197+BS244*BS197+BT244*BT197+BU244*BU197+BV244*BV197+BW244*BW197+BX244*BX197+BY244*BY197+BZ244*BZ197+CA244*CA197+CB244*CB197+CC244*CC197+CD244*CD197+CE244*CE197+CF244*CF197+CG244*CG197+CH244*CH197+CI244*CI197+CJ244*CJ197+CK244*CK197</f>
        <v>0</v>
      </c>
      <c r="CW197" s="2297">
        <f>E245*E197+F245*F197+G245*G197+H245*H197+I245*I197+J245*J197+K245*K197+L245*L197+M245*M197+N245*N197+O245*O197+P245*P197+Q245*Q197+R245*R197+S245*S197+T245*T197+U245*U197+V245*V197+W245*W197+X245*X197+Y245*Y197+Z245*Z197+AA245*AA197+AB245*AB197+AC245*AC197+AD245*AD197+AE245*AE197+AF245*AF197+AG245*AG197+AH245*AH197+AI245*AI197+AJ245*AJ197+AK245*AK197+AL245*AL197+AM245*AM197+AN245*AN197+AO245*AO197+AP245*AP197+AQ245*AQ197+AR245*AR197+AS245*AS197+AT245*AT197+AU245*AU197+AV245*AV197+AW245*AW197+AX245*AX197+AY245*AY197+AZ245*AZ197+BA245*BA197+BB245*BB197+BC245*BC197+BD245*BD197+BE245*BE197+BF245*BF197+BG245*BG197+BH245*BH197+BI245*BI197+BJ245*BJ197+BK245*BK197+BL245*BL197+BM245*BM197+BN245*BN197+BO245*BO197+BP245*BP197+BQ245*BQ197+BR245*BR197+BS245*BS197+BT245*BT197+BU245*BU197+BV245*BV197+BW245*BW197+BX245*BX197+BY245*BY197+BZ245*BZ197+CA245*CA197+CB245*CB197+CC245*CC197+CD245*CD197+CE245*CE197+CF245*CF197+CG245*CG197+CH245*CH197+CI245*CI197+CJ245*CJ197+CK245*CK197</f>
        <v>0</v>
      </c>
      <c r="CX197" s="2297">
        <f>E246*E197+F246*F197+G246*G197+H246*H197+I246*I197+J246*J197+K246*K197+L246*L197+M246*M197+N246*N197+O246*O197+P246*P197+Q246*Q197+R246*R197+S246*S197+T246*T197+U246*U197+V246*V197+W246*W197+X246*X197+Y246*Y197+Z246*Z197+AA246*AA197+AB246*AB197+AC246*AC197+AD246*AD197+AE246*AE197+AF246*AF197+AG246*AG197+AH246*AH197+AI246*AI197+AJ246*AJ197+AK246*AK197+AL246*AL197+AM246*AM197+AN246*AN197+AO246*AO197+AP246*AP197+AQ246*AQ197+AR246*AR197+AS246*AS197+AT246*AT197+AU246*AU197+AV246*AV197+AW246*AW197+AX246*AX197+AY246*AY197+AZ246*AZ197+BA246*BA197+BB246*BB197+BC246*BC197+BD246*BD197+BE246*BE197+BF246*BF197+BG246*BG197+BH246*BH197+BI246*BI197+BJ246*BJ197+BK246*BK197+BL246*BL197+BM246*BM197+BN246*BN197+BO246*BO197+BP246*BP197+BQ246*BQ197+BR246*BR197+BS246*BS197+BT246*BT197+BU246*BU197+BV246*BV197+BW246*BW197+BX246*BX197+BY246*BY197+BZ246*BZ197+CA246*CA197+CB246*CB197+CC246*CC197+CD246*CD197+CE246*CE197+CF246*CF197+CG246*CG197+CH246*CH197+CI246*CI197+CJ246*CJ197+CK246*CK197</f>
        <v>0</v>
      </c>
    </row>
    <row r="198" spans="2:102" ht="18" x14ac:dyDescent="0.25">
      <c r="B198" s="1968">
        <v>71</v>
      </c>
      <c r="C198" s="1969" t="s">
        <v>2421</v>
      </c>
      <c r="D198" s="1201" t="s">
        <v>2867</v>
      </c>
      <c r="E198" s="2673">
        <f>0</f>
        <v>0</v>
      </c>
      <c r="F198" s="2673">
        <f>0</f>
        <v>0</v>
      </c>
      <c r="G198" s="2673">
        <f>0</f>
        <v>0</v>
      </c>
      <c r="H198" s="2673">
        <f>0</f>
        <v>0</v>
      </c>
      <c r="I198" s="2673">
        <f>0</f>
        <v>0</v>
      </c>
      <c r="J198" s="2694">
        <f>0</f>
        <v>0</v>
      </c>
      <c r="K198" s="2673">
        <f>0</f>
        <v>0</v>
      </c>
      <c r="L198" s="2673">
        <f>0</f>
        <v>0</v>
      </c>
      <c r="M198" s="2673">
        <f>0</f>
        <v>0</v>
      </c>
      <c r="N198" s="2673">
        <f>0</f>
        <v>0</v>
      </c>
      <c r="O198" s="2673">
        <f>0</f>
        <v>0</v>
      </c>
      <c r="P198" s="2673">
        <f>0</f>
        <v>0</v>
      </c>
      <c r="Q198" s="2673">
        <f>0</f>
        <v>0</v>
      </c>
      <c r="R198" s="2707">
        <f>0</f>
        <v>0</v>
      </c>
      <c r="S198" s="2673">
        <f>0</f>
        <v>0</v>
      </c>
      <c r="T198" s="2673">
        <f>0</f>
        <v>0</v>
      </c>
      <c r="U198" s="2673">
        <f>0</f>
        <v>0</v>
      </c>
      <c r="V198" s="2673">
        <f>0</f>
        <v>0</v>
      </c>
      <c r="W198" s="2673">
        <f>0</f>
        <v>0</v>
      </c>
      <c r="X198" s="2673">
        <f>0</f>
        <v>0</v>
      </c>
      <c r="Y198" s="2673">
        <f>0</f>
        <v>0</v>
      </c>
      <c r="Z198" s="2720">
        <f>0</f>
        <v>0</v>
      </c>
      <c r="AA198" s="2673">
        <f>0</f>
        <v>0</v>
      </c>
      <c r="AB198" s="2673">
        <f>0</f>
        <v>0</v>
      </c>
      <c r="AC198" s="2673">
        <f>0</f>
        <v>0</v>
      </c>
      <c r="AD198" s="2673">
        <f>0</f>
        <v>0</v>
      </c>
      <c r="AE198" s="2673">
        <f>0</f>
        <v>0</v>
      </c>
      <c r="AF198" s="2673">
        <f>0</f>
        <v>0</v>
      </c>
      <c r="AG198" s="2694">
        <f>0</f>
        <v>0</v>
      </c>
      <c r="AH198" s="2673">
        <f>0</f>
        <v>0</v>
      </c>
      <c r="AI198" s="2673">
        <f>0</f>
        <v>0</v>
      </c>
      <c r="AJ198" s="2673">
        <f>0</f>
        <v>0</v>
      </c>
      <c r="AK198" s="2673">
        <f>0</f>
        <v>0</v>
      </c>
      <c r="AL198" s="2673">
        <f>0</f>
        <v>0</v>
      </c>
      <c r="AM198" s="2694">
        <f>0</f>
        <v>0</v>
      </c>
      <c r="AN198" s="2673">
        <f>0</f>
        <v>0</v>
      </c>
      <c r="AO198" s="2673">
        <f>0</f>
        <v>0</v>
      </c>
      <c r="AP198" s="2673">
        <f>0</f>
        <v>0</v>
      </c>
      <c r="AQ198" s="2673">
        <f>0</f>
        <v>0</v>
      </c>
      <c r="AR198" s="2673">
        <f>0</f>
        <v>0</v>
      </c>
      <c r="AS198" s="2673">
        <f>0</f>
        <v>0</v>
      </c>
      <c r="AT198" s="2673">
        <f>0</f>
        <v>0</v>
      </c>
      <c r="AU198" s="2673">
        <f>0</f>
        <v>0</v>
      </c>
      <c r="AV198" s="2673">
        <f>0</f>
        <v>0</v>
      </c>
      <c r="AW198" s="2673">
        <f>0</f>
        <v>0</v>
      </c>
      <c r="AX198" s="2673">
        <f>0</f>
        <v>0</v>
      </c>
      <c r="AY198" s="2673">
        <f>0</f>
        <v>0</v>
      </c>
      <c r="AZ198" s="2750">
        <f>0</f>
        <v>0</v>
      </c>
      <c r="BA198" s="2749">
        <f>-X_HFO_L/(X_HFO_L+X_HFO_L_P)</f>
        <v>-0.5</v>
      </c>
      <c r="BB198" s="2749">
        <f>X_HFO_L/(X_HFO_L+X_HFO_L_P)</f>
        <v>0.5</v>
      </c>
      <c r="BC198" s="2749">
        <f>0</f>
        <v>0</v>
      </c>
      <c r="BD198" s="2749">
        <f>-X_HFO_L_P/(X_HFO_L+X_HFO_L_P)</f>
        <v>-0.5</v>
      </c>
      <c r="BE198" s="2749">
        <f>0</f>
        <v>0</v>
      </c>
      <c r="BF198" s="2749">
        <f>X_HFO_L_P/(X_HFO_L+X_HFO_L_P)</f>
        <v>0.5</v>
      </c>
      <c r="BG198" s="2673">
        <f>0</f>
        <v>0</v>
      </c>
      <c r="BH198" s="2754">
        <f>0</f>
        <v>0</v>
      </c>
      <c r="BI198" s="2754">
        <f>0</f>
        <v>0</v>
      </c>
      <c r="BJ198" s="2754">
        <f>0</f>
        <v>0</v>
      </c>
      <c r="BK198" s="2754">
        <f>0</f>
        <v>0</v>
      </c>
      <c r="BL198" s="2754">
        <f>0</f>
        <v>0</v>
      </c>
      <c r="BM198" s="2754">
        <f>0</f>
        <v>0</v>
      </c>
      <c r="BN198" s="2673">
        <f>0</f>
        <v>0</v>
      </c>
      <c r="BO198" s="2673">
        <f>0</f>
        <v>0</v>
      </c>
      <c r="BP198" s="2750">
        <f>0</f>
        <v>0</v>
      </c>
      <c r="BQ198" s="2707">
        <f>0</f>
        <v>0</v>
      </c>
      <c r="BR198" s="2673">
        <f>0</f>
        <v>0</v>
      </c>
      <c r="BS198" s="2720">
        <f>0</f>
        <v>0</v>
      </c>
      <c r="BT198" s="2720">
        <f>0</f>
        <v>0</v>
      </c>
      <c r="BU198" s="2720">
        <f>0</f>
        <v>0</v>
      </c>
      <c r="BV198" s="2720">
        <f>0</f>
        <v>0</v>
      </c>
      <c r="BW198" s="2673">
        <f>0</f>
        <v>0</v>
      </c>
      <c r="BX198" s="2784">
        <f>0</f>
        <v>0</v>
      </c>
      <c r="BY198" s="2720">
        <f>0</f>
        <v>0</v>
      </c>
      <c r="BZ198" s="2707">
        <f>0</f>
        <v>0</v>
      </c>
      <c r="CA198" s="2707">
        <f>0</f>
        <v>0</v>
      </c>
      <c r="CB198" s="2707">
        <f>0</f>
        <v>0</v>
      </c>
      <c r="CC198" s="2707">
        <f>0</f>
        <v>0</v>
      </c>
      <c r="CD198" s="2707">
        <f>0</f>
        <v>0</v>
      </c>
      <c r="CE198" s="2707">
        <f>0</f>
        <v>0</v>
      </c>
      <c r="CF198" s="2707">
        <f>0</f>
        <v>0</v>
      </c>
      <c r="CG198" s="2707">
        <f>0</f>
        <v>0</v>
      </c>
      <c r="CH198" s="2707">
        <f>0</f>
        <v>0</v>
      </c>
      <c r="CI198" s="2707">
        <f>0</f>
        <v>0</v>
      </c>
      <c r="CJ198" s="2707">
        <f>0</f>
        <v>0</v>
      </c>
      <c r="CK198" s="2707">
        <f>0</f>
        <v>0</v>
      </c>
      <c r="CL198" s="2815">
        <f>q_HFOL_AGING*(X_HFO_L+X_HFO_L_P)</f>
        <v>2E-50</v>
      </c>
      <c r="CN198" s="2295">
        <f>E236*E198+F236*F198+G236*G198+H236*H198+I236*I198+J236*J198+K236*K198+L236*L198+M236*M198+N236*N198+O236*O198+P236*P198+Q236*Q198+R236*R198+S236*S198+T236*T198+U236*U198+V236*V198+W236*W198+X236*X198+Y236*Y198+Z236*Z198+AA236*AA198+AB236*AB198+AC236*AC198+AD236*AD198+AE236*AE198+AF236*AF198+AG236*AG198+AH236*AH198+AI236*AI198+AJ236*AJ198+AK236*AK198+AL236*AL198+AM236*AM198+AN236*AN198+AO236*AO198+AP236*AP198+AQ236*AQ198+AR236*AR198+AS236*AS198+AT236*AT198+AU236*AU198+AV236*AV198+AW236*AW198+AX236*AX198+AY236*AY198+AZ236*AZ198+BA236*BA198+BB236*BB198+BC236*BC198+BD236*BD198+BE236*BE198+BF236*BF198+BG236*BG198+BH236*BH198+BI236*BI198+BJ236*BJ198+BK236*BK198+BL236*BL198+BM236*BM198+BN236*BN198+BO236*BO198+BP236*BP198+BQ236*BQ198+BR236*BR198+BS236*BS198+BT236*BT198+BU236*BU198+BV236*BV198+BW236*BW198+BX236*BX198+BY236*BY198+BZ236*BZ198+CA236*CA198+CB236*CB198+CC236*CC198+CD236*CD198+CE236*CE198+CF236*CF198+CG236*CG198+CH236*CH198+CI236*CI198+CJ236*CJ198+CK236*CK198</f>
        <v>0</v>
      </c>
      <c r="CO198" s="2295">
        <f>E237*E198+F237*F198+G237*G198+H237*H198+I237*I198+J237*J198+K237*K198+L237*L198+M237*M198+N237*N198+O237*O198+P237*P198+Q237*Q198+R237*R198+S237*S198+T237*T198+U237*U198+V237*V198+W237*W198+X237*X198+Y237*Y198+Z237*Z198+AA237*AA198+AB237*AB198+AC237*AC198+AD237*AD198+AE237*AE198+AF237*AF198+AG237*AG198+AH237*AH198+AI237*AI198+AJ237*AJ198+AK237*AK198+AL237*AL198+AM237*AM198+AN237*AN198+AO237*AO198+AP237*AP198+AQ237*AQ198+AR237*AR198+AS237*AS198+AT237*AT198+AU237*AU198+AV237*AV198+AW237*AW198+AX237*AX198+AY237*AY198+AZ237*AZ198+BA237*BA198+BB237*BB198+BC237*BC198+BD237*BD198+BE237*BE198+BF237*BF198+BG237*BG198+BH237*BH198+BI237*BI198+BJ237*BJ198+BK237*BK198+BL237*BL198+BM237*BM198+BN237*BN198+BO237*BO198+BP237*BP198+BQ237*BQ198+BR237*BR198+BS237*BS198+BT237*BT198+BU237*BU198+BV237*BV198+BW237*BW198+BX237*BX198+BY237*BY198+BZ237*BZ198+CA237*CA198+CB237*CB198+CC237*CC198+CD237*CD198+CE237*CE198+CF237*CF198+CG237*CG198+CH237*CH198+CI237*CI198+CJ237*CJ198+CK237*CK198</f>
        <v>0</v>
      </c>
      <c r="CP198" s="2296">
        <f>E238*E198+F238*F198+G238*G198+H238*H198+I238*I198+J238*J198+K238*K198+L238*L198+M238*M198+N238*N198+O238*O198+P238*P198+Q238*Q198+R238*R198+S238*S198+T238*T198+U238*U198+V238*V198+W238*W198+X238*X198+Y238*Y198+Z238*Z198+AA238*AA198+AB238*AB198+AC238*AC198+AD238*AD198+AE238*AE198+AF238*AF198+AG238*AG198+AH238*AH198+AI238*AI198+AJ238*AJ198+AK238*AK198+AL238*AL198+AM238*AM198+AN238*AN198+AO238*AO198+AP238*AP198+AQ238*AQ198+AR238*AR198+AS238*AS198+AT238*AT198+AU238*AU198+AV238*AV198+AW238*AW198+AX238*AX198+AY238*AY198+AZ238*AZ198+BA238*BA198+BB238*BB198+BC238*BC198+BD238*BD198+BE238*BE198+BF238*BF198+BG238*BG198+BH238*BH198+BI238*BI198+BJ238*BJ198+BK238*BK198+BL238*BL198+BM238*BM198+BN238*BN198+BO238*BO198+BP238*BP198+BQ238*BQ198+BR238*BR198+BS238*BS198+BT238*BT198+BU238*BU198+BV238*BV198+BW238*BW198+BX238*BX198+BY238*BY198+BZ238*BZ198+CA238*CA198+CB238*CB198+CC238*CC198+CD238*CD198+CE238*CE198+CF238*CF198+CG238*CG198+CH238*CH198+CI238*CI198+CJ238*CJ198+CK238*CK198</f>
        <v>0</v>
      </c>
      <c r="CQ198" s="2297">
        <f>E239*E198+F239*F198+G239*G198+H239*H198+I239*I198+J239*J198+K239*K198+L239*L198+M239*M198+N239*N198+O239*O198+P239*P198+Q239*Q198+R239*R198+S239*S198+T239*T198+U239*U198+V239*V198+W239*W198+X239*X198+Y239*Y198+Z239*Z198+AA239*AA198+AB239*AB198+AC239*AC198+AD239*AD198+AE239*AE198+AF239*AF198+AG239*AG198+AH239*AH198+AI239*AI198+AJ239*AJ198+AK239*AK198+AL239*AL198+AM239*AM198+AN239*AN198+AO239*AO198+AP239*AP198+AQ239*AQ198+AR239*AR198+AS239*AS198+AT239*AT198+AU239*AU198+AV239*AV198+AW239*AW198+AX239*AX198+AY239*AY198+AZ239*AZ198+BA239*BA198+BB239*BB198+BC239*BC198+BD239*BD198+BE239*BE198+BF239*BF198+BG239*BG198+BH239*BH198+BI239*BI198+BJ239*BJ198+BK239*BK198+BL239*BL198+BM239*BM198+BN239*BN198+BO239*BO198+BP239*BP198+BQ239*BQ198+BR239*BR198+BS239*BS198+BT239*BT198+BU239*BU198+BV239*BV198+BW239*BW198+BX239*BX198+BY239*BY198+BZ239*BZ198+CA239*CA198+CB239*CB198+CC239*CC198+CD239*CD198+CE239*CE198+CF239*CF198+CG239*CG198+CH239*CH198+CI239*CI198+CJ239*CJ198+CK239*CK198</f>
        <v>0</v>
      </c>
      <c r="CR198" s="2297">
        <f>E240*E198+F240*F198+G240*G198+H240*H198+I240*I198+J240*J198+K240*K198+L240*L198+M240*M198+N240*N198+O240*O198+P240*P198+Q240*Q198+R240*R198+S240*S198+T240*T198+U240*U198+V240*V198+W240*W198+X240*X198+Y240*Y198+Z240*Z198+AA240*AA198+AB240*AB198+AC240*AC198+AD240*AD198+AE240*AE198+AF240*AF198+AG240*AG198+AH240*AH198+AI240*AI198+AJ240*AJ198+AK240*AK198+AL240*AL198+AM240*AM198+AN240*AN198+AO240*AO198+AP240*AP198+AQ240*AQ198+AR240*AR198+AS240*AS198+AT240*AT198+AU240*AU198+AV240*AV198+AW240*AW198+AX240*AX198+AY240*AY198+AZ240*AZ198+BA240*BA198+BB240*BB198+BC240*BC198+BD240*BD198+BE240*BE198+BF240*BF198+BG240*BG198+BH240*BH198+BI240*BI198+BJ240*BJ198+BK240*BK198+BL240*BL198+BM240*BM198+BN240*BN198+BO240*BO198+BP240*BP198+BQ240*BQ198+BR240*BR198+BS240*BS198+BT240*BT198+BU240*BU198+BV240*BV198+BW240*BW198+BX240*BX198+BY240*BY198+BZ240*BZ198+CA240*CA198+CB240*CB198+CC240*CC198+CD240*CD198+CE240*CE198+CF240*CF198+CG240*CG198+CH240*CH198+CI240*CI198+CJ240*CJ198+CK240*CK198</f>
        <v>0</v>
      </c>
      <c r="CS198" s="2297">
        <f>E241*E198+F241*F198+G241*G198+H241*H198+I241*I198+J241*J198+K241*K198+L241*L198+M241*M198+N241*N198+O241*O198+P241*P198+Q241*Q198+R241*R198+S241*S198+T241*T198+U241*U198+V241*V198+W241*W198+X241*X198+Y241*Y198+Z241*Z198+AA241*AA198+AB241*AB198+AC241*AC198+AD241*AD198+AE241*AE198+AF241*AF198+AG241*AG198+AH241*AH198+AI241*AI198+AJ241*AJ198+AK241*AK198+AL241*AL198+AM241*AM198+AN241*AN198+AO241*AO198+AP241*AP198+AQ241*AQ198+AR241*AR198+AS241*AS198+AT241*AT198+AU241*AU198+AV241*AV198+AW241*AW198+AX241*AX198+AY241*AY198+AZ241*AZ198+BA241*BA198+BB241*BB198+BC241*BC198+BD241*BD198+BE241*BE198+BF241*BF198+BG241*BG198+BH241*BH198+BI241*BI198+BJ241*BJ198+BK241*BK198+BL241*BL198+BM241*BM198+BN241*BN198+BO241*BO198+BP241*BP198+BQ241*BQ198+BR241*BR198+BS241*BS198+BT241*BT198+BU241*BU198+BV241*BV198+BW241*BW198+BX241*BX198+BY241*BY198+BZ241*BZ198+CA241*CA198+CB241*CB198+CC241*CC198+CD241*CD198+CE241*CE198+CF241*CF198+CG241*CG198+CH241*CH198+CI241*CI198+CJ241*CJ198+CK241*CK198</f>
        <v>0</v>
      </c>
      <c r="CT198" s="2297">
        <f>E242*E198+F242*F198+G242*G198+H242*H198+I242*I198+J242*J198+K242*K198+L242*L198+M242*M198+N242*N198+O242*O198+P242*P198+Q242*Q198+R242*R198+S242*S198+T242*T198+U242*U198+V242*V198+W242*W198+X242*X198+Y242*Y198+Z242*Z198+AA242*AA198+AB242*AB198+AC242*AC198+AD242*AD198+AE242*AE198+AF242*AF198+AG242*AG198+AH242*AH198+AI242*AI198+AJ242*AJ198+AK242*AK198+AL242*AL198+AM242*AM198+AN242*AN198+AO242*AO198+AP242*AP198+AQ242*AQ198+AR242*AR198+AS242*AS198+AT242*AT198+AU242*AU198+AV242*AV198+AW242*AW198+AX242*AX198+AY242*AY198+AZ242*AZ198+BA242*BA198+BB242*BB198+BC242*BC198+BD242*BD198+BE242*BE198+BF242*BF198+BG242*BG198+BH242*BH198+BI242*BI198+BJ242*BJ198+BK242*BK198+BL242*BL198+BM242*BM198+BN242*BN198+BO242*BO198+BP242*BP198+BQ242*BQ198+BR242*BR198+BS242*BS198+BT242*BT198+BU242*BU198+BV242*BV198+BW242*BW198+BX242*BX198+BY242*BY198+BZ242*BZ198+CA242*CA198+CB242*CB198+CC242*CC198+CD242*CD198+CE242*CE198+CF242*CF198+CG242*CG198+CH242*CH198+CI242*CI198+CJ242*CJ198+CK242*CK198</f>
        <v>0</v>
      </c>
      <c r="CU198" s="2297">
        <f>E243*E198+F243*F198+G243*G198+H243*H198+I243*I198+J243*J198+K243*K198+L243*L198+M243*M198+N243*N198+O243*O198+P243*P198+Q243*Q198+R243*R198+S243*S198+T243*T198+U243*U198+V243*V198+W243*W198+X243*X198+Y243*Y198+Z243*Z198+AA243*AA198+AB243*AB198+AC243*AC198+AD243*AD198+AE243*AE198+AF243*AF198+AG243*AG198+AH243*AH198+AI243*AI198+AJ243*AJ198+AK243*AK198+AL243*AL198+AM243*AM198+AN243*AN198+AO243*AO198+AP243*AP198+AQ243*AQ198+AR243*AR198+AS243*AS198+AT243*AT198+AU243*AU198+AV243*AV198+AW243*AW198+AX243*AX198+AY243*AY198+AZ243*AZ198+BA243*BA198+BB243*BB198+BC243*BC198+BD243*BD198+BE243*BE198+BF243*BF198+BG243*BG198+BH243*BH198+BI243*BI198+BJ243*BJ198+BK243*BK198+BL243*BL198+BM243*BM198+BN243*BN198+BO243*BO198+BP243*BP198+BQ243*BQ198+BR243*BR198+BS243*BS198+BT243*BT198+BU243*BU198+BV243*BV198+BW243*BW198+BX243*BX198+BY243*BY198+BZ243*BZ198+CA243*CA198+CB243*CB198+CC243*CC198+CD243*CD198+CE243*CE198+CF243*CF198+CG243*CG198+CH243*CH198+CI243*CI198+CJ243*CJ198+CK243*CK198</f>
        <v>0</v>
      </c>
      <c r="CV198" s="2297">
        <f>E244*E198+F244*F198+G244*G198+H244*H198+I244*I198+J244*J198+K244*K198+L244*L198+M244*M198+N244*N198+O244*O198+P244*P198+Q244*Q198+R244*R198+S244*S198+T244*T198+U244*U198+V244*V198+W244*W198+X244*X198+Y244*Y198+Z244*Z198+AA244*AA198+AB244*AB198+AC244*AC198+AD244*AD198+AE244*AE198+AF244*AF198+AG244*AG198+AH244*AH198+AI244*AI198+AJ244*AJ198+AK244*AK198+AL244*AL198+AM244*AM198+AN244*AN198+AO244*AO198+AP244*AP198+AQ244*AQ198+AR244*AR198+AS244*AS198+AT244*AT198+AU244*AU198+AV244*AV198+AW244*AW198+AX244*AX198+AY244*AY198+AZ244*AZ198+BA244*BA198+BB244*BB198+BC244*BC198+BD244*BD198+BE244*BE198+BF244*BF198+BG244*BG198+BH244*BH198+BI244*BI198+BJ244*BJ198+BK244*BK198+BL244*BL198+BM244*BM198+BN244*BN198+BO244*BO198+BP244*BP198+BQ244*BQ198+BR244*BR198+BS244*BS198+BT244*BT198+BU244*BU198+BV244*BV198+BW244*BW198+BX244*BX198+BY244*BY198+BZ244*BZ198+CA244*CA198+CB244*CB198+CC244*CC198+CD244*CD198+CE244*CE198+CF244*CF198+CG244*CG198+CH244*CH198+CI244*CI198+CJ244*CJ198+CK244*CK198</f>
        <v>0</v>
      </c>
      <c r="CW198" s="2297">
        <f>E245*E198+F245*F198+G245*G198+H245*H198+I245*I198+J245*J198+K245*K198+L245*L198+M245*M198+N245*N198+O245*O198+P245*P198+Q245*Q198+R245*R198+S245*S198+T245*T198+U245*U198+V245*V198+W245*W198+X245*X198+Y245*Y198+Z245*Z198+AA245*AA198+AB245*AB198+AC245*AC198+AD245*AD198+AE245*AE198+AF245*AF198+AG245*AG198+AH245*AH198+AI245*AI198+AJ245*AJ198+AK245*AK198+AL245*AL198+AM245*AM198+AN245*AN198+AO245*AO198+AP245*AP198+AQ245*AQ198+AR245*AR198+AS245*AS198+AT245*AT198+AU245*AU198+AV245*AV198+AW245*AW198+AX245*AX198+AY245*AY198+AZ245*AZ198+BA245*BA198+BB245*BB198+BC245*BC198+BD245*BD198+BE245*BE198+BF245*BF198+BG245*BG198+BH245*BH198+BI245*BI198+BJ245*BJ198+BK245*BK198+BL245*BL198+BM245*BM198+BN245*BN198+BO245*BO198+BP245*BP198+BQ245*BQ198+BR245*BR198+BS245*BS198+BT245*BT198+BU245*BU198+BV245*BV198+BW245*BW198+BX245*BX198+BY245*BY198+BZ245*BZ198+CA245*CA198+CB245*CB198+CC245*CC198+CD245*CD198+CE245*CE198+CF245*CF198+CG245*CG198+CH245*CH198+CI245*CI198+CJ245*CJ198+CK245*CK198</f>
        <v>0</v>
      </c>
      <c r="CX198" s="2297">
        <f>E246*E198+F246*F198+G246*G198+H246*H198+I246*I198+J246*J198+K246*K198+L246*L198+M246*M198+N246*N198+O246*O198+P246*P198+Q246*Q198+R246*R198+S246*S198+T246*T198+U246*U198+V246*V198+W246*W198+X246*X198+Y246*Y198+Z246*Z198+AA246*AA198+AB246*AB198+AC246*AC198+AD246*AD198+AE246*AE198+AF246*AF198+AG246*AG198+AH246*AH198+AI246*AI198+AJ246*AJ198+AK246*AK198+AL246*AL198+AM246*AM198+AN246*AN198+AO246*AO198+AP246*AP198+AQ246*AQ198+AR246*AR198+AS246*AS198+AT246*AT198+AU246*AU198+AV246*AV198+AW246*AW198+AX246*AX198+AY246*AY198+AZ246*AZ198+BA246*BA198+BB246*BB198+BC246*BC198+BD246*BD198+BE246*BE198+BF246*BF198+BG246*BG198+BH246*BH198+BI246*BI198+BJ246*BJ198+BK246*BK198+BL246*BL198+BM246*BM198+BN246*BN198+BO246*BO198+BP246*BP198+BQ246*BQ198+BR246*BR198+BS246*BS198+BT246*BT198+BU246*BU198+BV246*BV198+BW246*BW198+BX246*BX198+BY246*BY198+BZ246*BZ198+CA246*CA198+CB246*CB198+CC246*CC198+CD246*CD198+CE246*CE198+CF246*CF198+CG246*CG198+CH246*CH198+CI246*CI198+CJ246*CJ198+CK246*CK198</f>
        <v>0</v>
      </c>
    </row>
    <row r="199" spans="2:102" ht="18" x14ac:dyDescent="0.25">
      <c r="B199" s="1968">
        <v>72</v>
      </c>
      <c r="C199" s="1969" t="s">
        <v>2422</v>
      </c>
      <c r="D199" s="1201" t="s">
        <v>2868</v>
      </c>
      <c r="E199" s="2673">
        <f>0</f>
        <v>0</v>
      </c>
      <c r="F199" s="2673">
        <f>0</f>
        <v>0</v>
      </c>
      <c r="G199" s="2673">
        <f>0</f>
        <v>0</v>
      </c>
      <c r="H199" s="2673">
        <f>0</f>
        <v>0</v>
      </c>
      <c r="I199" s="2673">
        <f>0</f>
        <v>0</v>
      </c>
      <c r="J199" s="2694">
        <f>0</f>
        <v>0</v>
      </c>
      <c r="K199" s="2673">
        <f>0</f>
        <v>0</v>
      </c>
      <c r="L199" s="2673">
        <f>0</f>
        <v>0</v>
      </c>
      <c r="M199" s="2673">
        <f>0</f>
        <v>0</v>
      </c>
      <c r="N199" s="2673">
        <f>0</f>
        <v>0</v>
      </c>
      <c r="O199" s="2673">
        <f>0</f>
        <v>0</v>
      </c>
      <c r="P199" s="2673">
        <f>0</f>
        <v>0</v>
      </c>
      <c r="Q199" s="2673">
        <f>0</f>
        <v>0</v>
      </c>
      <c r="R199" s="2707">
        <f>0</f>
        <v>0</v>
      </c>
      <c r="S199" s="2673">
        <f>0</f>
        <v>0</v>
      </c>
      <c r="T199" s="2673">
        <f>0</f>
        <v>0</v>
      </c>
      <c r="U199" s="2673">
        <f>0</f>
        <v>0</v>
      </c>
      <c r="V199" s="2673">
        <f>0</f>
        <v>0</v>
      </c>
      <c r="W199" s="2673">
        <f>0</f>
        <v>0</v>
      </c>
      <c r="X199" s="2673">
        <f>0</f>
        <v>0</v>
      </c>
      <c r="Y199" s="2673">
        <f>0</f>
        <v>0</v>
      </c>
      <c r="Z199" s="2720">
        <f>0</f>
        <v>0</v>
      </c>
      <c r="AA199" s="2673">
        <f>0</f>
        <v>0</v>
      </c>
      <c r="AB199" s="2673">
        <f>0</f>
        <v>0</v>
      </c>
      <c r="AC199" s="2673">
        <f>0</f>
        <v>0</v>
      </c>
      <c r="AD199" s="2673">
        <f>0</f>
        <v>0</v>
      </c>
      <c r="AE199" s="2673">
        <f>0</f>
        <v>0</v>
      </c>
      <c r="AF199" s="2673">
        <f>0</f>
        <v>0</v>
      </c>
      <c r="AG199" s="2694">
        <f>0</f>
        <v>0</v>
      </c>
      <c r="AH199" s="2673">
        <f>0</f>
        <v>0</v>
      </c>
      <c r="AI199" s="2673">
        <f>-1</f>
        <v>-1</v>
      </c>
      <c r="AJ199" s="2673">
        <f>0</f>
        <v>0</v>
      </c>
      <c r="AK199" s="2673">
        <f>0</f>
        <v>0</v>
      </c>
      <c r="AL199" s="2673">
        <f>0</f>
        <v>0</v>
      </c>
      <c r="AM199" s="2694">
        <f>0</f>
        <v>0</v>
      </c>
      <c r="AN199" s="2673">
        <f>0</f>
        <v>0</v>
      </c>
      <c r="AO199" s="2673">
        <f>0</f>
        <v>0</v>
      </c>
      <c r="AP199" s="2673">
        <f>0</f>
        <v>0</v>
      </c>
      <c r="AQ199" s="2673">
        <f>0</f>
        <v>0</v>
      </c>
      <c r="AR199" s="2673">
        <f>0</f>
        <v>0</v>
      </c>
      <c r="AS199" s="2673">
        <f>0</f>
        <v>0</v>
      </c>
      <c r="AT199" s="2673">
        <f>0</f>
        <v>0</v>
      </c>
      <c r="AU199" s="2673">
        <f>0</f>
        <v>0</v>
      </c>
      <c r="AV199" s="2673">
        <f>0</f>
        <v>0</v>
      </c>
      <c r="AW199" s="2673">
        <f>0</f>
        <v>0</v>
      </c>
      <c r="AX199" s="2673">
        <f>0</f>
        <v>0</v>
      </c>
      <c r="AY199" s="2673">
        <f>0</f>
        <v>0</v>
      </c>
      <c r="AZ199" s="2751">
        <f>-1/(A_SFHFO_H*(A_MP/A_MFe))</f>
        <v>-1.5024813485524857</v>
      </c>
      <c r="BA199" s="2750">
        <f>0</f>
        <v>0</v>
      </c>
      <c r="BB199" s="2750">
        <f>0</f>
        <v>0</v>
      </c>
      <c r="BC199" s="2751">
        <f>1/(A_SFHFO_H*(A_MP/A_MFe))</f>
        <v>1.5024813485524857</v>
      </c>
      <c r="BD199" s="2750">
        <f>0</f>
        <v>0</v>
      </c>
      <c r="BE199" s="2751">
        <f>0</f>
        <v>0</v>
      </c>
      <c r="BF199" s="2751">
        <f>0</f>
        <v>0</v>
      </c>
      <c r="BG199" s="2707">
        <f>0</f>
        <v>0</v>
      </c>
      <c r="BH199" s="2673">
        <f>0</f>
        <v>0</v>
      </c>
      <c r="BI199" s="2673">
        <f>0</f>
        <v>0</v>
      </c>
      <c r="BJ199" s="2707">
        <f>0</f>
        <v>0</v>
      </c>
      <c r="BK199" s="2673">
        <f>0</f>
        <v>0</v>
      </c>
      <c r="BL199" s="2707">
        <f>0</f>
        <v>0</v>
      </c>
      <c r="BM199" s="2707">
        <f>0</f>
        <v>0</v>
      </c>
      <c r="BN199" s="2673">
        <f>0</f>
        <v>0</v>
      </c>
      <c r="BO199" s="2673">
        <f>0</f>
        <v>0</v>
      </c>
      <c r="BP199" s="2750">
        <f>0</f>
        <v>0</v>
      </c>
      <c r="BQ199" s="2707">
        <f>0</f>
        <v>0</v>
      </c>
      <c r="BR199" s="2673">
        <f>0</f>
        <v>0</v>
      </c>
      <c r="BS199" s="2720">
        <f>0</f>
        <v>0</v>
      </c>
      <c r="BT199" s="2720">
        <f>0</f>
        <v>0</v>
      </c>
      <c r="BU199" s="2720">
        <f>0</f>
        <v>0</v>
      </c>
      <c r="BV199" s="2720">
        <f>0</f>
        <v>0</v>
      </c>
      <c r="BW199" s="2673">
        <f>0</f>
        <v>0</v>
      </c>
      <c r="BX199" s="2784">
        <f>0</f>
        <v>0</v>
      </c>
      <c r="BY199" s="2720">
        <f>0</f>
        <v>0</v>
      </c>
      <c r="BZ199" s="2707">
        <f>0</f>
        <v>0</v>
      </c>
      <c r="CA199" s="2707">
        <f>0</f>
        <v>0</v>
      </c>
      <c r="CB199" s="2707">
        <f>0</f>
        <v>0</v>
      </c>
      <c r="CC199" s="2707">
        <f>0</f>
        <v>0</v>
      </c>
      <c r="CD199" s="2707">
        <f>0</f>
        <v>0</v>
      </c>
      <c r="CE199" s="2707">
        <f>0</f>
        <v>0</v>
      </c>
      <c r="CF199" s="2707">
        <f>0</f>
        <v>0</v>
      </c>
      <c r="CG199" s="2707">
        <f>0</f>
        <v>0</v>
      </c>
      <c r="CH199" s="2707">
        <f>0</f>
        <v>0</v>
      </c>
      <c r="CI199" s="2707">
        <f>0</f>
        <v>0</v>
      </c>
      <c r="CJ199" s="2707">
        <f>0</f>
        <v>0</v>
      </c>
      <c r="CK199" s="2707">
        <f>0</f>
        <v>0</v>
      </c>
      <c r="CL199" s="2815">
        <f>q_P_HFO_COPREC*X_HFO_H*M_satSPO4_KP_HFO_BIND</f>
        <v>1.25E-48</v>
      </c>
      <c r="CN199" s="2295">
        <f>E236*E199+F236*F199+G236*G199+H236*H199+I236*I199+J236*J199+K236*K199+L236*L199+M236*M199+N236*N199+O236*O199+P236*P199+Q236*Q199+R236*R199+S236*S199+T236*T199+U236*U199+V236*V199+W236*W199+X236*X199+Y236*Y199+Z236*Z199+AA236*AA199+AB236*AB199+AC236*AC199+AD236*AD199+AE236*AE199+AF236*AF199+AG236*AG199+AH236*AH199+AI236*AI199+AJ236*AJ199+AK236*AK199+AL236*AL199+AM236*AM199+AN236*AN199+AO236*AO199+AP236*AP199+AQ236*AQ199+AR236*AR199+AS236*AS199+AT236*AT199+AU236*AU199+AV236*AV199+AW236*AW199+AX236*AX199+AY236*AY199+AZ236*AZ199+BA236*BA199+BB236*BB199+BC236*BC199+BD236*BD199+BE236*BE199+BF236*BF199+BG236*BG199+BH236*BH199+BI236*BI199+BJ236*BJ199+BK236*BK199+BL236*BL199+BM236*BM199+BN236*BN199+BO236*BO199+BP236*BP199+BQ236*BQ199+BR236*BR199+BS236*BS199+BT236*BT199+BU236*BU199+BV236*BV199+BW236*BW199+BX236*BX199+BY236*BY199+BZ236*BZ199+CA236*CA199+CB236*CB199+CC236*CC199+CD236*CD199+CE236*CE199+CF236*CF199+CG236*CG199+CH236*CH199+CI236*CI199+CJ236*CJ199+CK236*CK199</f>
        <v>0</v>
      </c>
      <c r="CO199" s="2295">
        <f>E237*E199+F237*F199+G237*G199+H237*H199+I237*I199+J237*J199+K237*K199+L237*L199+M237*M199+N237*N199+O237*O199+P237*P199+Q237*Q199+R237*R199+S237*S199+T237*T199+U237*U199+V237*V199+W237*W199+X237*X199+Y237*Y199+Z237*Z199+AA237*AA199+AB237*AB199+AC237*AC199+AD237*AD199+AE237*AE199+AF237*AF199+AG237*AG199+AH237*AH199+AI237*AI199+AJ237*AJ199+AK237*AK199+AL237*AL199+AM237*AM199+AN237*AN199+AO237*AO199+AP237*AP199+AQ237*AQ199+AR237*AR199+AS237*AS199+AT237*AT199+AU237*AU199+AV237*AV199+AW237*AW199+AX237*AX199+AY237*AY199+AZ237*AZ199+BA237*BA199+BB237*BB199+BC237*BC199+BD237*BD199+BE237*BE199+BF237*BF199+BG237*BG199+BH237*BH199+BI237*BI199+BJ237*BJ199+BK237*BK199+BL237*BL199+BM237*BM199+BN237*BN199+BO237*BO199+BP237*BP199+BQ237*BQ199+BR237*BR199+BS237*BS199+BT237*BT199+BU237*BU199+BV237*BV199+BW237*BW199+BX237*BX199+BY237*BY199+BZ237*BZ199+CA237*CA199+CB237*CB199+CC237*CC199+CD237*CD199+CE237*CE199+CF237*CF199+CG237*CG199+CH237*CH199+CI237*CI199+CJ237*CJ199+CK237*CK199</f>
        <v>0</v>
      </c>
      <c r="CP199" s="2296">
        <f>E238*E199+F238*F199+G238*G199+H238*H199+I238*I199+J238*J199+K238*K199+L238*L199+M238*M199+N238*N199+O238*O199+P238*P199+Q238*Q199+R238*R199+S238*S199+T238*T199+U238*U199+V238*V199+W238*W199+X238*X199+Y238*Y199+Z238*Z199+AA238*AA199+AB238*AB199+AC238*AC199+AD238*AD199+AE238*AE199+AF238*AF199+AG238*AG199+AH238*AH199+AI238*AI199+AJ238*AJ199+AK238*AK199+AL238*AL199+AM238*AM199+AN238*AN199+AO238*AO199+AP238*AP199+AQ238*AQ199+AR238*AR199+AS238*AS199+AT238*AT199+AU238*AU199+AV238*AV199+AW238*AW199+AX238*AX199+AY238*AY199+AZ238*AZ199+BA238*BA199+BB238*BB199+BC238*BC199+BD238*BD199+BE238*BE199+BF238*BF199+BG238*BG199+BH238*BH199+BI238*BI199+BJ238*BJ199+BK238*BK199+BL238*BL199+BM238*BM199+BN238*BN199+BO238*BO199+BP238*BP199+BQ238*BQ199+BR238*BR199+BS238*BS199+BT238*BT199+BU238*BU199+BV238*BV199+BW238*BW199+BX238*BX199+BY238*BY199+BZ238*BZ199+CA238*CA199+CB238*CB199+CC238*CC199+CD238*CD199+CE238*CE199+CF238*CF199+CG238*CG199+CH238*CH199+CI238*CI199+CJ238*CJ199+CK238*CK199</f>
        <v>0</v>
      </c>
      <c r="CQ199" s="2297">
        <f>E239*E199+F239*F199+G239*G199+H239*H199+I239*I199+J239*J199+K239*K199+L239*L199+M239*M199+N239*N199+O239*O199+P239*P199+Q239*Q199+R239*R199+S239*S199+T239*T199+U239*U199+V239*V199+W239*W199+X239*X199+Y239*Y199+Z239*Z199+AA239*AA199+AB239*AB199+AC239*AC199+AD239*AD199+AE239*AE199+AF239*AF199+AG239*AG199+AH239*AH199+AI239*AI199+AJ239*AJ199+AK239*AK199+AL239*AL199+AM239*AM199+AN239*AN199+AO239*AO199+AP239*AP199+AQ239*AQ199+AR239*AR199+AS239*AS199+AT239*AT199+AU239*AU199+AV239*AV199+AW239*AW199+AX239*AX199+AY239*AY199+AZ239*AZ199+BA239*BA199+BB239*BB199+BC239*BC199+BD239*BD199+BE239*BE199+BF239*BF199+BG239*BG199+BH239*BH199+BI239*BI199+BJ239*BJ199+BK239*BK199+BL239*BL199+BM239*BM199+BN239*BN199+BO239*BO199+BP239*BP199+BQ239*BQ199+BR239*BR199+BS239*BS199+BT239*BT199+BU239*BU199+BV239*BV199+BW239*BW199+BX239*BX199+BY239*BY199+BZ239*BZ199+CA239*CA199+CB239*CB199+CC239*CC199+CD239*CD199+CE239*CE199+CF239*CF199+CG239*CG199+CH239*CH199+CI239*CI199+CJ239*CJ199+CK239*CK199</f>
        <v>0</v>
      </c>
      <c r="CR199" s="2297">
        <f>E240*E199+F240*F199+G240*G199+H240*H199+I240*I199+J240*J199+K240*K199+L240*L199+M240*M199+N240*N199+O240*O199+P240*P199+Q240*Q199+R240*R199+S240*S199+T240*T199+U240*U199+V240*V199+W240*W199+X240*X199+Y240*Y199+Z240*Z199+AA240*AA199+AB240*AB199+AC240*AC199+AD240*AD199+AE240*AE199+AF240*AF199+AG240*AG199+AH240*AH199+AI240*AI199+AJ240*AJ199+AK240*AK199+AL240*AL199+AM240*AM199+AN240*AN199+AO240*AO199+AP240*AP199+AQ240*AQ199+AR240*AR199+AS240*AS199+AT240*AT199+AU240*AU199+AV240*AV199+AW240*AW199+AX240*AX199+AY240*AY199+AZ240*AZ199+BA240*BA199+BB240*BB199+BC240*BC199+BD240*BD199+BE240*BE199+BF240*BF199+BG240*BG199+BH240*BH199+BI240*BI199+BJ240*BJ199+BK240*BK199+BL240*BL199+BM240*BM199+BN240*BN199+BO240*BO199+BP240*BP199+BQ240*BQ199+BR240*BR199+BS240*BS199+BT240*BT199+BU240*BU199+BV240*BV199+BW240*BW199+BX240*BX199+BY240*BY199+BZ240*BZ199+CA240*CA199+CB240*CB199+CC240*CC199+CD240*CD199+CE240*CE199+CF240*CF199+CG240*CG199+CH240*CH199+CI240*CI199+CJ240*CJ199+CK240*CK199</f>
        <v>0</v>
      </c>
      <c r="CS199" s="2297">
        <f>E241*E199+F241*F199+G241*G199+H241*H199+I241*I199+J241*J199+K241*K199+L241*L199+M241*M199+N241*N199+O241*O199+P241*P199+Q241*Q199+R241*R199+S241*S199+T241*T199+U241*U199+V241*V199+W241*W199+X241*X199+Y241*Y199+Z241*Z199+AA241*AA199+AB241*AB199+AC241*AC199+AD241*AD199+AE241*AE199+AF241*AF199+AG241*AG199+AH241*AH199+AI241*AI199+AJ241*AJ199+AK241*AK199+AL241*AL199+AM241*AM199+AN241*AN199+AO241*AO199+AP241*AP199+AQ241*AQ199+AR241*AR199+AS241*AS199+AT241*AT199+AU241*AU199+AV241*AV199+AW241*AW199+AX241*AX199+AY241*AY199+AZ241*AZ199+BA241*BA199+BB241*BB199+BC241*BC199+BD241*BD199+BE241*BE199+BF241*BF199+BG241*BG199+BH241*BH199+BI241*BI199+BJ241*BJ199+BK241*BK199+BL241*BL199+BM241*BM199+BN241*BN199+BO241*BO199+BP241*BP199+BQ241*BQ199+BR241*BR199+BS241*BS199+BT241*BT199+BU241*BU199+BV241*BV199+BW241*BW199+BX241*BX199+BY241*BY199+BZ241*BZ199+CA241*CA199+CB241*CB199+CC241*CC199+CD241*CD199+CE241*CE199+CF241*CF199+CG241*CG199+CH241*CH199+CI241*CI199+CJ241*CJ199+CK241*CK199</f>
        <v>0</v>
      </c>
      <c r="CT199" s="2297">
        <f>E242*E199+F242*F199+G242*G199+H242*H199+I242*I199+J242*J199+K242*K199+L242*L199+M242*M199+N242*N199+O242*O199+P242*P199+Q242*Q199+R242*R199+S242*S199+T242*T199+U242*U199+V242*V199+W242*W199+X242*X199+Y242*Y199+Z242*Z199+AA242*AA199+AB242*AB199+AC242*AC199+AD242*AD199+AE242*AE199+AF242*AF199+AG242*AG199+AH242*AH199+AI242*AI199+AJ242*AJ199+AK242*AK199+AL242*AL199+AM242*AM199+AN242*AN199+AO242*AO199+AP242*AP199+AQ242*AQ199+AR242*AR199+AS242*AS199+AT242*AT199+AU242*AU199+AV242*AV199+AW242*AW199+AX242*AX199+AY242*AY199+AZ242*AZ199+BA242*BA199+BB242*BB199+BC242*BC199+BD242*BD199+BE242*BE199+BF242*BF199+BG242*BG199+BH242*BH199+BI242*BI199+BJ242*BJ199+BK242*BK199+BL242*BL199+BM242*BM199+BN242*BN199+BO242*BO199+BP242*BP199+BQ242*BQ199+BR242*BR199+BS242*BS199+BT242*BT199+BU242*BU199+BV242*BV199+BW242*BW199+BX242*BX199+BY242*BY199+BZ242*BZ199+CA242*CA199+CB242*CB199+CC242*CC199+CD242*CD199+CE242*CE199+CF242*CF199+CG242*CG199+CH242*CH199+CI242*CI199+CJ242*CJ199+CK242*CK199</f>
        <v>0</v>
      </c>
      <c r="CU199" s="2297">
        <f>E243*E199+F243*F199+G243*G199+H243*H199+I243*I199+J243*J199+K243*K199+L243*L199+M243*M199+N243*N199+O243*O199+P243*P199+Q243*Q199+R243*R199+S243*S199+T243*T199+U243*U199+V243*V199+W243*W199+X243*X199+Y243*Y199+Z243*Z199+AA243*AA199+AB243*AB199+AC243*AC199+AD243*AD199+AE243*AE199+AF243*AF199+AG243*AG199+AH243*AH199+AI243*AI199+AJ243*AJ199+AK243*AK199+AL243*AL199+AM243*AM199+AN243*AN199+AO243*AO199+AP243*AP199+AQ243*AQ199+AR243*AR199+AS243*AS199+AT243*AT199+AU243*AU199+AV243*AV199+AW243*AW199+AX243*AX199+AY243*AY199+AZ243*AZ199+BA243*BA199+BB243*BB199+BC243*BC199+BD243*BD199+BE243*BE199+BF243*BF199+BG243*BG199+BH243*BH199+BI243*BI199+BJ243*BJ199+BK243*BK199+BL243*BL199+BM243*BM199+BN243*BN199+BO243*BO199+BP243*BP199+BQ243*BQ199+BR243*BR199+BS243*BS199+BT243*BT199+BU243*BU199+BV243*BV199+BW243*BW199+BX243*BX199+BY243*BY199+BZ243*BZ199+CA243*CA199+CB243*CB199+CC243*CC199+CD243*CD199+CE243*CE199+CF243*CF199+CG243*CG199+CH243*CH199+CI243*CI199+CJ243*CJ199+CK243*CK199</f>
        <v>0</v>
      </c>
      <c r="CV199" s="2297">
        <f>E244*E199+F244*F199+G244*G199+H244*H199+I244*I199+J244*J199+K244*K199+L244*L199+M244*M199+N244*N199+O244*O199+P244*P199+Q244*Q199+R244*R199+S244*S199+T244*T199+U244*U199+V244*V199+W244*W199+X244*X199+Y244*Y199+Z244*Z199+AA244*AA199+AB244*AB199+AC244*AC199+AD244*AD199+AE244*AE199+AF244*AF199+AG244*AG199+AH244*AH199+AI244*AI199+AJ244*AJ199+AK244*AK199+AL244*AL199+AM244*AM199+AN244*AN199+AO244*AO199+AP244*AP199+AQ244*AQ199+AR244*AR199+AS244*AS199+AT244*AT199+AU244*AU199+AV244*AV199+AW244*AW199+AX244*AX199+AY244*AY199+AZ244*AZ199+BA244*BA199+BB244*BB199+BC244*BC199+BD244*BD199+BE244*BE199+BF244*BF199+BG244*BG199+BH244*BH199+BI244*BI199+BJ244*BJ199+BK244*BK199+BL244*BL199+BM244*BM199+BN244*BN199+BO244*BO199+BP244*BP199+BQ244*BQ199+BR244*BR199+BS244*BS199+BT244*BT199+BU244*BU199+BV244*BV199+BW244*BW199+BX244*BX199+BY244*BY199+BZ244*BZ199+CA244*CA199+CB244*CB199+CC244*CC199+CD244*CD199+CE244*CE199+CF244*CF199+CG244*CG199+CH244*CH199+CI244*CI199+CJ244*CJ199+CK244*CK199</f>
        <v>0</v>
      </c>
      <c r="CW199" s="2297">
        <f>E245*E199+F245*F199+G245*G199+H245*H199+I245*I199+J245*J199+K245*K199+L245*L199+M245*M199+N245*N199+O245*O199+P245*P199+Q245*Q199+R245*R199+S245*S199+T245*T199+U245*U199+V245*V199+W245*W199+X245*X199+Y245*Y199+Z245*Z199+AA245*AA199+AB245*AB199+AC245*AC199+AD245*AD199+AE245*AE199+AF245*AF199+AG245*AG199+AH245*AH199+AI245*AI199+AJ245*AJ199+AK245*AK199+AL245*AL199+AM245*AM199+AN245*AN199+AO245*AO199+AP245*AP199+AQ245*AQ199+AR245*AR199+AS245*AS199+AT245*AT199+AU245*AU199+AV245*AV199+AW245*AW199+AX245*AX199+AY245*AY199+AZ245*AZ199+BA245*BA199+BB245*BB199+BC245*BC199+BD245*BD199+BE245*BE199+BF245*BF199+BG245*BG199+BH245*BH199+BI245*BI199+BJ245*BJ199+BK245*BK199+BL245*BL199+BM245*BM199+BN245*BN199+BO245*BO199+BP245*BP199+BQ245*BQ199+BR245*BR199+BS245*BS199+BT245*BT199+BU245*BU199+BV245*BV199+BW245*BW199+BX245*BX199+BY245*BY199+BZ245*BZ199+CA245*CA199+CB245*CB199+CC245*CC199+CD245*CD199+CE245*CE199+CF245*CF199+CG245*CG199+CH245*CH199+CI245*CI199+CJ245*CJ199+CK245*CK199</f>
        <v>0</v>
      </c>
      <c r="CX199" s="2297">
        <f>E246*E199+F246*F199+G246*G199+H246*H199+I246*I199+J246*J199+K246*K199+L246*L199+M246*M199+N246*N199+O246*O199+P246*P199+Q246*Q199+R246*R199+S246*S199+T246*T199+U246*U199+V246*V199+W246*W199+X246*X199+Y246*Y199+Z246*Z199+AA246*AA199+AB246*AB199+AC246*AC199+AD246*AD199+AE246*AE199+AF246*AF199+AG246*AG199+AH246*AH199+AI246*AI199+AJ246*AJ199+AK246*AK199+AL246*AL199+AM246*AM199+AN246*AN199+AO246*AO199+AP246*AP199+AQ246*AQ199+AR246*AR199+AS246*AS199+AT246*AT199+AU246*AU199+AV246*AV199+AW246*AW199+AX246*AX199+AY246*AY199+AZ246*AZ199+BA246*BA199+BB246*BB199+BC246*BC199+BD246*BD199+BE246*BE199+BF246*BF199+BG246*BG199+BH246*BH199+BI246*BI199+BJ246*BJ199+BK246*BK199+BL246*BL199+BM246*BM199+BN246*BN199+BO246*BO199+BP246*BP199+BQ246*BQ199+BR246*BR199+BS246*BS199+BT246*BT199+BU246*BU199+BV246*BV199+BW246*BW199+BX246*BX199+BY246*BY199+BZ246*BZ199+CA246*CA199+CB246*CB199+CC246*CC199+CD246*CD199+CE246*CE199+CF246*CF199+CG246*CG199+CH246*CH199+CI246*CI199+CJ246*CJ199+CK246*CK199</f>
        <v>0</v>
      </c>
    </row>
    <row r="200" spans="2:102" ht="18" x14ac:dyDescent="0.25">
      <c r="B200" s="1968">
        <v>73</v>
      </c>
      <c r="C200" s="1969" t="s">
        <v>2849</v>
      </c>
      <c r="D200" s="1201" t="s">
        <v>2869</v>
      </c>
      <c r="E200" s="2673">
        <f>0</f>
        <v>0</v>
      </c>
      <c r="F200" s="2673">
        <f>0</f>
        <v>0</v>
      </c>
      <c r="G200" s="2673">
        <f>0</f>
        <v>0</v>
      </c>
      <c r="H200" s="2673">
        <f>0</f>
        <v>0</v>
      </c>
      <c r="I200" s="2673">
        <f>0</f>
        <v>0</v>
      </c>
      <c r="J200" s="2694">
        <f>0</f>
        <v>0</v>
      </c>
      <c r="K200" s="2673">
        <f>0</f>
        <v>0</v>
      </c>
      <c r="L200" s="2673">
        <f>0</f>
        <v>0</v>
      </c>
      <c r="M200" s="2673">
        <f>0</f>
        <v>0</v>
      </c>
      <c r="N200" s="2673">
        <f>0</f>
        <v>0</v>
      </c>
      <c r="O200" s="2673">
        <f>0</f>
        <v>0</v>
      </c>
      <c r="P200" s="2673">
        <f>0</f>
        <v>0</v>
      </c>
      <c r="Q200" s="2673">
        <f>0</f>
        <v>0</v>
      </c>
      <c r="R200" s="2707">
        <f>0</f>
        <v>0</v>
      </c>
      <c r="S200" s="2673">
        <f>0</f>
        <v>0</v>
      </c>
      <c r="T200" s="2673">
        <f>0</f>
        <v>0</v>
      </c>
      <c r="U200" s="2673">
        <f>0</f>
        <v>0</v>
      </c>
      <c r="V200" s="2673">
        <f>0</f>
        <v>0</v>
      </c>
      <c r="W200" s="2673">
        <f>0</f>
        <v>0</v>
      </c>
      <c r="X200" s="2673">
        <f>0</f>
        <v>0</v>
      </c>
      <c r="Y200" s="2673">
        <f>0</f>
        <v>0</v>
      </c>
      <c r="Z200" s="2720">
        <f>0</f>
        <v>0</v>
      </c>
      <c r="AA200" s="2673">
        <f>0</f>
        <v>0</v>
      </c>
      <c r="AB200" s="2673">
        <f>0</f>
        <v>0</v>
      </c>
      <c r="AC200" s="2673">
        <f>0</f>
        <v>0</v>
      </c>
      <c r="AD200" s="2673">
        <f>0</f>
        <v>0</v>
      </c>
      <c r="AE200" s="2673">
        <f>0</f>
        <v>0</v>
      </c>
      <c r="AF200" s="2673">
        <f>0</f>
        <v>0</v>
      </c>
      <c r="AG200" s="2694">
        <f>0</f>
        <v>0</v>
      </c>
      <c r="AH200" s="2673">
        <f>0</f>
        <v>0</v>
      </c>
      <c r="AI200" s="2673">
        <f>-1</f>
        <v>-1</v>
      </c>
      <c r="AJ200" s="2673">
        <f>0</f>
        <v>0</v>
      </c>
      <c r="AK200" s="2673">
        <f>0</f>
        <v>0</v>
      </c>
      <c r="AL200" s="2673">
        <f>0</f>
        <v>0</v>
      </c>
      <c r="AM200" s="2694">
        <f>0</f>
        <v>0</v>
      </c>
      <c r="AN200" s="2673">
        <f>0</f>
        <v>0</v>
      </c>
      <c r="AO200" s="2673">
        <f>0</f>
        <v>0</v>
      </c>
      <c r="AP200" s="2673">
        <f>0</f>
        <v>0</v>
      </c>
      <c r="AQ200" s="2673">
        <f>0</f>
        <v>0</v>
      </c>
      <c r="AR200" s="2673">
        <f>0</f>
        <v>0</v>
      </c>
      <c r="AS200" s="2673">
        <f>0</f>
        <v>0</v>
      </c>
      <c r="AT200" s="2673">
        <f>0</f>
        <v>0</v>
      </c>
      <c r="AU200" s="2673">
        <f>0</f>
        <v>0</v>
      </c>
      <c r="AV200" s="2673">
        <f>0</f>
        <v>0</v>
      </c>
      <c r="AW200" s="2673">
        <f>0</f>
        <v>0</v>
      </c>
      <c r="AX200" s="2673">
        <f>0</f>
        <v>0</v>
      </c>
      <c r="AY200" s="2673">
        <f>0</f>
        <v>0</v>
      </c>
      <c r="AZ200" s="2750">
        <f>0</f>
        <v>0</v>
      </c>
      <c r="BA200" s="2751">
        <f>-1/(A_SFHFO_L*(A_MP/A_MFe))</f>
        <v>-9.0148880913149121</v>
      </c>
      <c r="BB200" s="2750">
        <f>0</f>
        <v>0</v>
      </c>
      <c r="BC200" s="2750">
        <f>0</f>
        <v>0</v>
      </c>
      <c r="BD200" s="2751">
        <f>1/(A_SFHFO_L*(A_MP/A_MFe))</f>
        <v>9.0148880913149121</v>
      </c>
      <c r="BE200" s="2750">
        <f>0</f>
        <v>0</v>
      </c>
      <c r="BF200" s="2750">
        <f>0</f>
        <v>0</v>
      </c>
      <c r="BG200" s="2673">
        <f>0</f>
        <v>0</v>
      </c>
      <c r="BH200" s="2707">
        <f>0</f>
        <v>0</v>
      </c>
      <c r="BI200" s="2673">
        <f>0</f>
        <v>0</v>
      </c>
      <c r="BJ200" s="2673">
        <f>0</f>
        <v>0</v>
      </c>
      <c r="BK200" s="2707">
        <f>0</f>
        <v>0</v>
      </c>
      <c r="BL200" s="2673">
        <f>0</f>
        <v>0</v>
      </c>
      <c r="BM200" s="2673">
        <f>0</f>
        <v>0</v>
      </c>
      <c r="BN200" s="2673">
        <f>0</f>
        <v>0</v>
      </c>
      <c r="BO200" s="2673">
        <f>0</f>
        <v>0</v>
      </c>
      <c r="BP200" s="2750">
        <f>0</f>
        <v>0</v>
      </c>
      <c r="BQ200" s="2707">
        <f>0</f>
        <v>0</v>
      </c>
      <c r="BR200" s="2673">
        <f>0</f>
        <v>0</v>
      </c>
      <c r="BS200" s="2720">
        <f>0</f>
        <v>0</v>
      </c>
      <c r="BT200" s="2720">
        <f>0</f>
        <v>0</v>
      </c>
      <c r="BU200" s="2720">
        <f>0</f>
        <v>0</v>
      </c>
      <c r="BV200" s="2720">
        <f>0</f>
        <v>0</v>
      </c>
      <c r="BW200" s="2673">
        <f>0</f>
        <v>0</v>
      </c>
      <c r="BX200" s="2784">
        <f>0</f>
        <v>0</v>
      </c>
      <c r="BY200" s="2720">
        <f>0</f>
        <v>0</v>
      </c>
      <c r="BZ200" s="2707">
        <f>0</f>
        <v>0</v>
      </c>
      <c r="CA200" s="2707">
        <f>0</f>
        <v>0</v>
      </c>
      <c r="CB200" s="2707">
        <f>0</f>
        <v>0</v>
      </c>
      <c r="CC200" s="2707">
        <f>0</f>
        <v>0</v>
      </c>
      <c r="CD200" s="2707">
        <f>0</f>
        <v>0</v>
      </c>
      <c r="CE200" s="2707">
        <f>0</f>
        <v>0</v>
      </c>
      <c r="CF200" s="2707">
        <f>0</f>
        <v>0</v>
      </c>
      <c r="CG200" s="2707">
        <f>0</f>
        <v>0</v>
      </c>
      <c r="CH200" s="2707">
        <f>0</f>
        <v>0</v>
      </c>
      <c r="CI200" s="2707">
        <f>0</f>
        <v>0</v>
      </c>
      <c r="CJ200" s="2707">
        <f>0</f>
        <v>0</v>
      </c>
      <c r="CK200" s="2707">
        <f>0</f>
        <v>0</v>
      </c>
      <c r="CL200" s="2815">
        <f>q_P_HFO_BIND*X_HFO_L*M_satSPO4_KP_HFO_BIND</f>
        <v>8.3333333333333332E-51</v>
      </c>
      <c r="CN200" s="2295">
        <f>E236*E200+F236*F200+G236*G200+H236*H200+I236*I200+J236*J200+K236*K200+L236*L200+M236*M200+N236*N200+O236*O200+P236*P200+Q236*Q200+R236*R200+S236*S200+T236*T200+U236*U200+V236*V200+W236*W200+X236*X200+Y236*Y200+Z236*Z200+AA236*AA200+AB236*AB200+AC236*AC200+AD236*AD200+AE236*AE200+AF236*AF200+AG236*AG200+AH236*AH200+AI236*AI200+AJ236*AJ200+AK236*AK200+AL236*AL200+AM236*AM200+AN236*AN200+AO236*AO200+AP236*AP200+AQ236*AQ200+AR236*AR200+AS236*AS200+AT236*AT200+AU236*AU200+AV236*AV200+AW236*AW200+AX236*AX200+AY236*AY200+AZ236*AZ200+BA236*BA200+BB236*BB200+BC236*BC200+BD236*BD200+BE236*BE200+BF236*BF200+BG236*BG200+BH236*BH200+BI236*BI200+BJ236*BJ200+BK236*BK200+BL236*BL200+BM236*BM200+BN236*BN200+BO236*BO200+BP236*BP200+BQ236*BQ200+BR236*BR200+BS236*BS200+BT236*BT200+BU236*BU200+BV236*BV200+BW236*BW200+BX236*BX200+BY236*BY200+BZ236*BZ200+CA236*CA200+CB236*CB200+CC236*CC200+CD236*CD200+CE236*CE200+CF236*CF200+CG236*CG200+CH236*CH200+CI236*CI200+CJ236*CJ200+CK236*CK200</f>
        <v>0</v>
      </c>
      <c r="CO200" s="2295">
        <f>E237*E200+F237*F200+G237*G200+H237*H200+I237*I200+J237*J200+K237*K200+L237*L200+M237*M200+N237*N200+O237*O200+P237*P200+Q237*Q200+R237*R200+S237*S200+T237*T200+U237*U200+V237*V200+W237*W200+X237*X200+Y237*Y200+Z237*Z200+AA237*AA200+AB237*AB200+AC237*AC200+AD237*AD200+AE237*AE200+AF237*AF200+AG237*AG200+AH237*AH200+AI237*AI200+AJ237*AJ200+AK237*AK200+AL237*AL200+AM237*AM200+AN237*AN200+AO237*AO200+AP237*AP200+AQ237*AQ200+AR237*AR200+AS237*AS200+AT237*AT200+AU237*AU200+AV237*AV200+AW237*AW200+AX237*AX200+AY237*AY200+AZ237*AZ200+BA237*BA200+BB237*BB200+BC237*BC200+BD237*BD200+BE237*BE200+BF237*BF200+BG237*BG200+BH237*BH200+BI237*BI200+BJ237*BJ200+BK237*BK200+BL237*BL200+BM237*BM200+BN237*BN200+BO237*BO200+BP237*BP200+BQ237*BQ200+BR237*BR200+BS237*BS200+BT237*BT200+BU237*BU200+BV237*BV200+BW237*BW200+BX237*BX200+BY237*BY200+BZ237*BZ200+CA237*CA200+CB237*CB200+CC237*CC200+CD237*CD200+CE237*CE200+CF237*CF200+CG237*CG200+CH237*CH200+CI237*CI200+CJ237*CJ200+CK237*CK200</f>
        <v>0</v>
      </c>
      <c r="CP200" s="2296">
        <f>E238*E200+F238*F200+G238*G200+H238*H200+I238*I200+J238*J200+K238*K200+L238*L200+M238*M200+N238*N200+O238*O200+P238*P200+Q238*Q200+R238*R200+S238*S200+T238*T200+U238*U200+V238*V200+W238*W200+X238*X200+Y238*Y200+Z238*Z200+AA238*AA200+AB238*AB200+AC238*AC200+AD238*AD200+AE238*AE200+AF238*AF200+AG238*AG200+AH238*AH200+AI238*AI200+AJ238*AJ200+AK238*AK200+AL238*AL200+AM238*AM200+AN238*AN200+AO238*AO200+AP238*AP200+AQ238*AQ200+AR238*AR200+AS238*AS200+AT238*AT200+AU238*AU200+AV238*AV200+AW238*AW200+AX238*AX200+AY238*AY200+AZ238*AZ200+BA238*BA200+BB238*BB200+BC238*BC200+BD238*BD200+BE238*BE200+BF238*BF200+BG238*BG200+BH238*BH200+BI238*BI200+BJ238*BJ200+BK238*BK200+BL238*BL200+BM238*BM200+BN238*BN200+BO238*BO200+BP238*BP200+BQ238*BQ200+BR238*BR200+BS238*BS200+BT238*BT200+BU238*BU200+BV238*BV200+BW238*BW200+BX238*BX200+BY238*BY200+BZ238*BZ200+CA238*CA200+CB238*CB200+CC238*CC200+CD238*CD200+CE238*CE200+CF238*CF200+CG238*CG200+CH238*CH200+CI238*CI200+CJ238*CJ200+CK238*CK200</f>
        <v>0</v>
      </c>
      <c r="CQ200" s="2297">
        <f>E239*E200+F239*F200+G239*G200+H239*H200+I239*I200+J239*J200+K239*K200+L239*L200+M239*M200+N239*N200+O239*O200+P239*P200+Q239*Q200+R239*R200+S239*S200+T239*T200+U239*U200+V239*V200+W239*W200+X239*X200+Y239*Y200+Z239*Z200+AA239*AA200+AB239*AB200+AC239*AC200+AD239*AD200+AE239*AE200+AF239*AF200+AG239*AG200+AH239*AH200+AI239*AI200+AJ239*AJ200+AK239*AK200+AL239*AL200+AM239*AM200+AN239*AN200+AO239*AO200+AP239*AP200+AQ239*AQ200+AR239*AR200+AS239*AS200+AT239*AT200+AU239*AU200+AV239*AV200+AW239*AW200+AX239*AX200+AY239*AY200+AZ239*AZ200+BA239*BA200+BB239*BB200+BC239*BC200+BD239*BD200+BE239*BE200+BF239*BF200+BG239*BG200+BH239*BH200+BI239*BI200+BJ239*BJ200+BK239*BK200+BL239*BL200+BM239*BM200+BN239*BN200+BO239*BO200+BP239*BP200+BQ239*BQ200+BR239*BR200+BS239*BS200+BT239*BT200+BU239*BU200+BV239*BV200+BW239*BW200+BX239*BX200+BY239*BY200+BZ239*BZ200+CA239*CA200+CB239*CB200+CC239*CC200+CD239*CD200+CE239*CE200+CF239*CF200+CG239*CG200+CH239*CH200+CI239*CI200+CJ239*CJ200+CK239*CK200</f>
        <v>0</v>
      </c>
      <c r="CR200" s="2297">
        <f>E240*E200+F240*F200+G240*G200+H240*H200+I240*I200+J240*J200+K240*K200+L240*L200+M240*M200+N240*N200+O240*O200+P240*P200+Q240*Q200+R240*R200+S240*S200+T240*T200+U240*U200+V240*V200+W240*W200+X240*X200+Y240*Y200+Z240*Z200+AA240*AA200+AB240*AB200+AC240*AC200+AD240*AD200+AE240*AE200+AF240*AF200+AG240*AG200+AH240*AH200+AI240*AI200+AJ240*AJ200+AK240*AK200+AL240*AL200+AM240*AM200+AN240*AN200+AO240*AO200+AP240*AP200+AQ240*AQ200+AR240*AR200+AS240*AS200+AT240*AT200+AU240*AU200+AV240*AV200+AW240*AW200+AX240*AX200+AY240*AY200+AZ240*AZ200+BA240*BA200+BB240*BB200+BC240*BC200+BD240*BD200+BE240*BE200+BF240*BF200+BG240*BG200+BH240*BH200+BI240*BI200+BJ240*BJ200+BK240*BK200+BL240*BL200+BM240*BM200+BN240*BN200+BO240*BO200+BP240*BP200+BQ240*BQ200+BR240*BR200+BS240*BS200+BT240*BT200+BU240*BU200+BV240*BV200+BW240*BW200+BX240*BX200+BY240*BY200+BZ240*BZ200+CA240*CA200+CB240*CB200+CC240*CC200+CD240*CD200+CE240*CE200+CF240*CF200+CG240*CG200+CH240*CH200+CI240*CI200+CJ240*CJ200+CK240*CK200</f>
        <v>0</v>
      </c>
      <c r="CS200" s="2297">
        <f>E241*E200+F241*F200+G241*G200+H241*H200+I241*I200+J241*J200+K241*K200+L241*L200+M241*M200+N241*N200+O241*O200+P241*P200+Q241*Q200+R241*R200+S241*S200+T241*T200+U241*U200+V241*V200+W241*W200+X241*X200+Y241*Y200+Z241*Z200+AA241*AA200+AB241*AB200+AC241*AC200+AD241*AD200+AE241*AE200+AF241*AF200+AG241*AG200+AH241*AH200+AI241*AI200+AJ241*AJ200+AK241*AK200+AL241*AL200+AM241*AM200+AN241*AN200+AO241*AO200+AP241*AP200+AQ241*AQ200+AR241*AR200+AS241*AS200+AT241*AT200+AU241*AU200+AV241*AV200+AW241*AW200+AX241*AX200+AY241*AY200+AZ241*AZ200+BA241*BA200+BB241*BB200+BC241*BC200+BD241*BD200+BE241*BE200+BF241*BF200+BG241*BG200+BH241*BH200+BI241*BI200+BJ241*BJ200+BK241*BK200+BL241*BL200+BM241*BM200+BN241*BN200+BO241*BO200+BP241*BP200+BQ241*BQ200+BR241*BR200+BS241*BS200+BT241*BT200+BU241*BU200+BV241*BV200+BW241*BW200+BX241*BX200+BY241*BY200+BZ241*BZ200+CA241*CA200+CB241*CB200+CC241*CC200+CD241*CD200+CE241*CE200+CF241*CF200+CG241*CG200+CH241*CH200+CI241*CI200+CJ241*CJ200+CK241*CK200</f>
        <v>0</v>
      </c>
      <c r="CT200" s="2297">
        <f>E242*E200+F242*F200+G242*G200+H242*H200+I242*I200+J242*J200+K242*K200+L242*L200+M242*M200+N242*N200+O242*O200+P242*P200+Q242*Q200+R242*R200+S242*S200+T242*T200+U242*U200+V242*V200+W242*W200+X242*X200+Y242*Y200+Z242*Z200+AA242*AA200+AB242*AB200+AC242*AC200+AD242*AD200+AE242*AE200+AF242*AF200+AG242*AG200+AH242*AH200+AI242*AI200+AJ242*AJ200+AK242*AK200+AL242*AL200+AM242*AM200+AN242*AN200+AO242*AO200+AP242*AP200+AQ242*AQ200+AR242*AR200+AS242*AS200+AT242*AT200+AU242*AU200+AV242*AV200+AW242*AW200+AX242*AX200+AY242*AY200+AZ242*AZ200+BA242*BA200+BB242*BB200+BC242*BC200+BD242*BD200+BE242*BE200+BF242*BF200+BG242*BG200+BH242*BH200+BI242*BI200+BJ242*BJ200+BK242*BK200+BL242*BL200+BM242*BM200+BN242*BN200+BO242*BO200+BP242*BP200+BQ242*BQ200+BR242*BR200+BS242*BS200+BT242*BT200+BU242*BU200+BV242*BV200+BW242*BW200+BX242*BX200+BY242*BY200+BZ242*BZ200+CA242*CA200+CB242*CB200+CC242*CC200+CD242*CD200+CE242*CE200+CF242*CF200+CG242*CG200+CH242*CH200+CI242*CI200+CJ242*CJ200+CK242*CK200</f>
        <v>0</v>
      </c>
      <c r="CU200" s="2297">
        <f>E243*E200+F243*F200+G243*G200+H243*H200+I243*I200+J243*J200+K243*K200+L243*L200+M243*M200+N243*N200+O243*O200+P243*P200+Q243*Q200+R243*R200+S243*S200+T243*T200+U243*U200+V243*V200+W243*W200+X243*X200+Y243*Y200+Z243*Z200+AA243*AA200+AB243*AB200+AC243*AC200+AD243*AD200+AE243*AE200+AF243*AF200+AG243*AG200+AH243*AH200+AI243*AI200+AJ243*AJ200+AK243*AK200+AL243*AL200+AM243*AM200+AN243*AN200+AO243*AO200+AP243*AP200+AQ243*AQ200+AR243*AR200+AS243*AS200+AT243*AT200+AU243*AU200+AV243*AV200+AW243*AW200+AX243*AX200+AY243*AY200+AZ243*AZ200+BA243*BA200+BB243*BB200+BC243*BC200+BD243*BD200+BE243*BE200+BF243*BF200+BG243*BG200+BH243*BH200+BI243*BI200+BJ243*BJ200+BK243*BK200+BL243*BL200+BM243*BM200+BN243*BN200+BO243*BO200+BP243*BP200+BQ243*BQ200+BR243*BR200+BS243*BS200+BT243*BT200+BU243*BU200+BV243*BV200+BW243*BW200+BX243*BX200+BY243*BY200+BZ243*BZ200+CA243*CA200+CB243*CB200+CC243*CC200+CD243*CD200+CE243*CE200+CF243*CF200+CG243*CG200+CH243*CH200+CI243*CI200+CJ243*CJ200+CK243*CK200</f>
        <v>0</v>
      </c>
      <c r="CV200" s="2297">
        <f>E244*E200+F244*F200+G244*G200+H244*H200+I244*I200+J244*J200+K244*K200+L244*L200+M244*M200+N244*N200+O244*O200+P244*P200+Q244*Q200+R244*R200+S244*S200+T244*T200+U244*U200+V244*V200+W244*W200+X244*X200+Y244*Y200+Z244*Z200+AA244*AA200+AB244*AB200+AC244*AC200+AD244*AD200+AE244*AE200+AF244*AF200+AG244*AG200+AH244*AH200+AI244*AI200+AJ244*AJ200+AK244*AK200+AL244*AL200+AM244*AM200+AN244*AN200+AO244*AO200+AP244*AP200+AQ244*AQ200+AR244*AR200+AS244*AS200+AT244*AT200+AU244*AU200+AV244*AV200+AW244*AW200+AX244*AX200+AY244*AY200+AZ244*AZ200+BA244*BA200+BB244*BB200+BC244*BC200+BD244*BD200+BE244*BE200+BF244*BF200+BG244*BG200+BH244*BH200+BI244*BI200+BJ244*BJ200+BK244*BK200+BL244*BL200+BM244*BM200+BN244*BN200+BO244*BO200+BP244*BP200+BQ244*BQ200+BR244*BR200+BS244*BS200+BT244*BT200+BU244*BU200+BV244*BV200+BW244*BW200+BX244*BX200+BY244*BY200+BZ244*BZ200+CA244*CA200+CB244*CB200+CC244*CC200+CD244*CD200+CE244*CE200+CF244*CF200+CG244*CG200+CH244*CH200+CI244*CI200+CJ244*CJ200+CK244*CK200</f>
        <v>0</v>
      </c>
      <c r="CW200" s="2297">
        <f>E245*E200+F245*F200+G245*G200+H245*H200+I245*I200+J245*J200+K245*K200+L245*L200+M245*M200+N245*N200+O245*O200+P245*P200+Q245*Q200+R245*R200+S245*S200+T245*T200+U245*U200+V245*V200+W245*W200+X245*X200+Y245*Y200+Z245*Z200+AA245*AA200+AB245*AB200+AC245*AC200+AD245*AD200+AE245*AE200+AF245*AF200+AG245*AG200+AH245*AH200+AI245*AI200+AJ245*AJ200+AK245*AK200+AL245*AL200+AM245*AM200+AN245*AN200+AO245*AO200+AP245*AP200+AQ245*AQ200+AR245*AR200+AS245*AS200+AT245*AT200+AU245*AU200+AV245*AV200+AW245*AW200+AX245*AX200+AY245*AY200+AZ245*AZ200+BA245*BA200+BB245*BB200+BC245*BC200+BD245*BD200+BE245*BE200+BF245*BF200+BG245*BG200+BH245*BH200+BI245*BI200+BJ245*BJ200+BK245*BK200+BL245*BL200+BM245*BM200+BN245*BN200+BO245*BO200+BP245*BP200+BQ245*BQ200+BR245*BR200+BS245*BS200+BT245*BT200+BU245*BU200+BV245*BV200+BW245*BW200+BX245*BX200+BY245*BY200+BZ245*BZ200+CA245*CA200+CB245*CB200+CC245*CC200+CD245*CD200+CE245*CE200+CF245*CF200+CG245*CG200+CH245*CH200+CI245*CI200+CJ245*CJ200+CK245*CK200</f>
        <v>0</v>
      </c>
      <c r="CX200" s="2297">
        <f>E246*E200+F246*F200+G246*G200+H246*H200+I246*I200+J246*J200+K246*K200+L246*L200+M246*M200+N246*N200+O246*O200+P246*P200+Q246*Q200+R246*R200+S246*S200+T246*T200+U246*U200+V246*V200+W246*W200+X246*X200+Y246*Y200+Z246*Z200+AA246*AA200+AB246*AB200+AC246*AC200+AD246*AD200+AE246*AE200+AF246*AF200+AG246*AG200+AH246*AH200+AI246*AI200+AJ246*AJ200+AK246*AK200+AL246*AL200+AM246*AM200+AN246*AN200+AO246*AO200+AP246*AP200+AQ246*AQ200+AR246*AR200+AS246*AS200+AT246*AT200+AU246*AU200+AV246*AV200+AW246*AW200+AX246*AX200+AY246*AY200+AZ246*AZ200+BA246*BA200+BB246*BB200+BC246*BC200+BD246*BD200+BE246*BE200+BF246*BF200+BG246*BG200+BH246*BH200+BI246*BI200+BJ246*BJ200+BK246*BK200+BL246*BL200+BM246*BM200+BN246*BN200+BO246*BO200+BP246*BP200+BQ246*BQ200+BR246*BR200+BS246*BS200+BT246*BT200+BU246*BU200+BV246*BV200+BW246*BW200+BX246*BX200+BY246*BY200+BZ246*BZ200+CA246*CA200+CB246*CB200+CC246*CC200+CD246*CD200+CE246*CE200+CF246*CF200+CG246*CG200+CH246*CH200+CI246*CI200+CJ246*CJ200+CK246*CK200</f>
        <v>0</v>
      </c>
    </row>
    <row r="201" spans="2:102" ht="18" x14ac:dyDescent="0.25">
      <c r="B201" s="1968">
        <v>74</v>
      </c>
      <c r="C201" s="1969" t="s">
        <v>2850</v>
      </c>
      <c r="D201" s="1201" t="s">
        <v>3345</v>
      </c>
      <c r="E201" s="2673">
        <f>0</f>
        <v>0</v>
      </c>
      <c r="F201" s="2673">
        <f>0</f>
        <v>0</v>
      </c>
      <c r="G201" s="2673">
        <f>0</f>
        <v>0</v>
      </c>
      <c r="H201" s="2673">
        <f>0</f>
        <v>0</v>
      </c>
      <c r="I201" s="2673">
        <f>0</f>
        <v>0</v>
      </c>
      <c r="J201" s="2694">
        <f>0</f>
        <v>0</v>
      </c>
      <c r="K201" s="2673">
        <f>0</f>
        <v>0</v>
      </c>
      <c r="L201" s="2673">
        <f>0</f>
        <v>0</v>
      </c>
      <c r="M201" s="2673">
        <f>0</f>
        <v>0</v>
      </c>
      <c r="N201" s="2673">
        <f>0</f>
        <v>0</v>
      </c>
      <c r="O201" s="2673">
        <f>0</f>
        <v>0</v>
      </c>
      <c r="P201" s="2673">
        <f>0</f>
        <v>0</v>
      </c>
      <c r="Q201" s="2673">
        <f>0</f>
        <v>0</v>
      </c>
      <c r="R201" s="2707">
        <f>0</f>
        <v>0</v>
      </c>
      <c r="S201" s="2673">
        <f>0</f>
        <v>0</v>
      </c>
      <c r="T201" s="2673">
        <f>0</f>
        <v>0</v>
      </c>
      <c r="U201" s="2673">
        <f>0</f>
        <v>0</v>
      </c>
      <c r="V201" s="2673">
        <f>0</f>
        <v>0</v>
      </c>
      <c r="W201" s="2673">
        <f>0</f>
        <v>0</v>
      </c>
      <c r="X201" s="2673">
        <f>0</f>
        <v>0</v>
      </c>
      <c r="Y201" s="2673">
        <f>0</f>
        <v>0</v>
      </c>
      <c r="Z201" s="2720">
        <f>0</f>
        <v>0</v>
      </c>
      <c r="AA201" s="2673">
        <f>0</f>
        <v>0</v>
      </c>
      <c r="AB201" s="2673">
        <f>0</f>
        <v>0</v>
      </c>
      <c r="AC201" s="2673">
        <f>0</f>
        <v>0</v>
      </c>
      <c r="AD201" s="2673">
        <f>0</f>
        <v>0</v>
      </c>
      <c r="AE201" s="2673">
        <f>0</f>
        <v>0</v>
      </c>
      <c r="AF201" s="2673">
        <f>0</f>
        <v>0</v>
      </c>
      <c r="AG201" s="2694">
        <f>0</f>
        <v>0</v>
      </c>
      <c r="AH201" s="2673">
        <f>0</f>
        <v>0</v>
      </c>
      <c r="AI201" s="2732">
        <f>(A_SFHFO_H*(A_MP/A_MFe))</f>
        <v>0.66556566639806602</v>
      </c>
      <c r="AJ201" s="2673">
        <f>0</f>
        <v>0</v>
      </c>
      <c r="AK201" s="2673">
        <f>0</f>
        <v>0</v>
      </c>
      <c r="AL201" s="2673">
        <f>0</f>
        <v>0</v>
      </c>
      <c r="AM201" s="2694">
        <f>0</f>
        <v>0</v>
      </c>
      <c r="AN201" s="2673">
        <f>0</f>
        <v>0</v>
      </c>
      <c r="AO201" s="2673">
        <f>0</f>
        <v>0</v>
      </c>
      <c r="AP201" s="2673">
        <f>0</f>
        <v>0</v>
      </c>
      <c r="AQ201" s="2673">
        <f>0</f>
        <v>0</v>
      </c>
      <c r="AR201" s="2673">
        <f>0</f>
        <v>0</v>
      </c>
      <c r="AS201" s="2673">
        <f>0</f>
        <v>0</v>
      </c>
      <c r="AT201" s="2673">
        <f>0</f>
        <v>0</v>
      </c>
      <c r="AU201" s="2673">
        <f>0</f>
        <v>0</v>
      </c>
      <c r="AV201" s="2673">
        <f>0</f>
        <v>0</v>
      </c>
      <c r="AW201" s="2673">
        <f>0</f>
        <v>0</v>
      </c>
      <c r="AX201" s="2673">
        <f>0</f>
        <v>0</v>
      </c>
      <c r="AY201" s="2707">
        <f>0</f>
        <v>0</v>
      </c>
      <c r="AZ201" s="2750">
        <f>1</f>
        <v>1</v>
      </c>
      <c r="BA201" s="2750">
        <f>0</f>
        <v>0</v>
      </c>
      <c r="BB201" s="2751">
        <f>0</f>
        <v>0</v>
      </c>
      <c r="BC201" s="2751">
        <f>-1</f>
        <v>-1</v>
      </c>
      <c r="BD201" s="2750">
        <f>0</f>
        <v>0</v>
      </c>
      <c r="BE201" s="2751">
        <f>0</f>
        <v>0</v>
      </c>
      <c r="BF201" s="2751">
        <f>0</f>
        <v>0</v>
      </c>
      <c r="BG201" s="2673">
        <f>0</f>
        <v>0</v>
      </c>
      <c r="BH201" s="2673">
        <f>0</f>
        <v>0</v>
      </c>
      <c r="BI201" s="2707">
        <f>0</f>
        <v>0</v>
      </c>
      <c r="BJ201" s="2707">
        <f>0</f>
        <v>0</v>
      </c>
      <c r="BK201" s="2673">
        <f>0</f>
        <v>0</v>
      </c>
      <c r="BL201" s="2707">
        <f>0</f>
        <v>0</v>
      </c>
      <c r="BM201" s="2707">
        <f>0</f>
        <v>0</v>
      </c>
      <c r="BN201" s="2707">
        <f>0</f>
        <v>0</v>
      </c>
      <c r="BO201" s="2707">
        <f>0</f>
        <v>0</v>
      </c>
      <c r="BP201" s="2751">
        <f>0</f>
        <v>0</v>
      </c>
      <c r="BQ201" s="2707">
        <f>0</f>
        <v>0</v>
      </c>
      <c r="BR201" s="2707">
        <f>0</f>
        <v>0</v>
      </c>
      <c r="BS201" s="2770">
        <f>0</f>
        <v>0</v>
      </c>
      <c r="BT201" s="2770">
        <f>0</f>
        <v>0</v>
      </c>
      <c r="BU201" s="2770">
        <f>0</f>
        <v>0</v>
      </c>
      <c r="BV201" s="2770">
        <f>0</f>
        <v>0</v>
      </c>
      <c r="BW201" s="2707">
        <f>0</f>
        <v>0</v>
      </c>
      <c r="BX201" s="2732">
        <f>0</f>
        <v>0</v>
      </c>
      <c r="BY201" s="2770">
        <f>0</f>
        <v>0</v>
      </c>
      <c r="BZ201" s="2707">
        <f>0</f>
        <v>0</v>
      </c>
      <c r="CA201" s="2707">
        <f>0</f>
        <v>0</v>
      </c>
      <c r="CB201" s="2707">
        <f>0</f>
        <v>0</v>
      </c>
      <c r="CC201" s="2707">
        <f>0</f>
        <v>0</v>
      </c>
      <c r="CD201" s="2707">
        <f>0</f>
        <v>0</v>
      </c>
      <c r="CE201" s="2707">
        <f>0</f>
        <v>0</v>
      </c>
      <c r="CF201" s="2707">
        <f>0</f>
        <v>0</v>
      </c>
      <c r="CG201" s="2707">
        <f>0</f>
        <v>0</v>
      </c>
      <c r="CH201" s="2707">
        <f>0</f>
        <v>0</v>
      </c>
      <c r="CI201" s="2707">
        <f>0</f>
        <v>0</v>
      </c>
      <c r="CJ201" s="2707">
        <f>0</f>
        <v>0</v>
      </c>
      <c r="CK201" s="2707">
        <f>0</f>
        <v>0</v>
      </c>
      <c r="CL201" s="2815">
        <f>q_HFOH_DESORP*X_HFO_H_P*M_inhSPO4_KiP_HFO_DESORP</f>
        <v>1.6666666666666669E-49</v>
      </c>
      <c r="CN201" s="2295">
        <f>E236*E201+F236*F201+G236*G201+H236*H201+I236*I201+J236*J201+K236*K201+L236*L201+M236*M201+N236*N201+O236*O201+P236*P201+Q236*Q201+R236*R201+S236*S201+T236*T201+U236*U201+V236*V201+W236*W201+X236*X201+Y236*Y201+Z236*Z201+AA236*AA201+AB236*AB201+AC236*AC201+AD236*AD201+AE236*AE201+AF236*AF201+AG236*AG201+AH236*AH201+AI236*AI201+AJ236*AJ201+AK236*AK201+AL236*AL201+AM236*AM201+AN236*AN201+AO236*AO201+AP236*AP201+AQ236*AQ201+AR236*AR201+AS236*AS201+AT236*AT201+AU236*AU201+AV236*AV201+AW236*AW201+AX236*AX201+AY236*AY201+AZ236*AZ201+BA236*BA201+BB236*BB201+BC236*BC201+BD236*BD201+BE236*BE201+BF236*BF201+BG236*BG201+BH236*BH201+BI236*BI201+BJ236*BJ201+BK236*BK201+BL236*BL201+BM236*BM201+BN236*BN201+BO236*BO201+BP236*BP201+BQ236*BQ201+BR236*BR201+BS236*BS201+BT236*BT201+BU236*BU201+BV236*BV201+BW236*BW201+BX236*BX201+BY236*BY201+BZ236*BZ201+CA236*CA201+CB236*CB201+CC236*CC201+CD236*CD201+CE236*CE201+CF236*CF201+CG236*CG201+CH236*CH201+CI236*CI201+CJ236*CJ201+CK236*CK201</f>
        <v>0</v>
      </c>
      <c r="CO201" s="2295">
        <f>E237*E201+F237*F201+G237*G201+H237*H201+I237*I201+J237*J201+K237*K201+L237*L201+M237*M201+N237*N201+O237*O201+P237*P201+Q237*Q201+R237*R201+S237*S201+T237*T201+U237*U201+V237*V201+W237*W201+X237*X201+Y237*Y201+Z237*Z201+AA237*AA201+AB237*AB201+AC237*AC201+AD237*AD201+AE237*AE201+AF237*AF201+AG237*AG201+AH237*AH201+AI237*AI201+AJ237*AJ201+AK237*AK201+AL237*AL201+AM237*AM201+AN237*AN201+AO237*AO201+AP237*AP201+AQ237*AQ201+AR237*AR201+AS237*AS201+AT237*AT201+AU237*AU201+AV237*AV201+AW237*AW201+AX237*AX201+AY237*AY201+AZ237*AZ201+BA237*BA201+BB237*BB201+BC237*BC201+BD237*BD201+BE237*BE201+BF237*BF201+BG237*BG201+BH237*BH201+BI237*BI201+BJ237*BJ201+BK237*BK201+BL237*BL201+BM237*BM201+BN237*BN201+BO237*BO201+BP237*BP201+BQ237*BQ201+BR237*BR201+BS237*BS201+BT237*BT201+BU237*BU201+BV237*BV201+BW237*BW201+BX237*BX201+BY237*BY201+BZ237*BZ201+CA237*CA201+CB237*CB201+CC237*CC201+CD237*CD201+CE237*CE201+CF237*CF201+CG237*CG201+CH237*CH201+CI237*CI201+CJ237*CJ201+CK237*CK201</f>
        <v>0</v>
      </c>
      <c r="CP201" s="2296">
        <f>E238*E201+F238*F201+G238*G201+H238*H201+I238*I201+J238*J201+K238*K201+L238*L201+M238*M201+N238*N201+O238*O201+P238*P201+Q238*Q201+R238*R201+S238*S201+T238*T201+U238*U201+V238*V201+W238*W201+X238*X201+Y238*Y201+Z238*Z201+AA238*AA201+AB238*AB201+AC238*AC201+AD238*AD201+AE238*AE201+AF238*AF201+AG238*AG201+AH238*AH201+AI238*AI201+AJ238*AJ201+AK238*AK201+AL238*AL201+AM238*AM201+AN238*AN201+AO238*AO201+AP238*AP201+AQ238*AQ201+AR238*AR201+AS238*AS201+AT238*AT201+AU238*AU201+AV238*AV201+AW238*AW201+AX238*AX201+AY238*AY201+AZ238*AZ201+BA238*BA201+BB238*BB201+BC238*BC201+BD238*BD201+BE238*BE201+BF238*BF201+BG238*BG201+BH238*BH201+BI238*BI201+BJ238*BJ201+BK238*BK201+BL238*BL201+BM238*BM201+BN238*BN201+BO238*BO201+BP238*BP201+BQ238*BQ201+BR238*BR201+BS238*BS201+BT238*BT201+BU238*BU201+BV238*BV201+BW238*BW201+BX238*BX201+BY238*BY201+BZ238*BZ201+CA238*CA201+CB238*CB201+CC238*CC201+CD238*CD201+CE238*CE201+CF238*CF201+CG238*CG201+CH238*CH201+CI238*CI201+CJ238*CJ201+CK238*CK201</f>
        <v>0</v>
      </c>
      <c r="CQ201" s="2297">
        <f>E239*E201+F239*F201+G239*G201+H239*H201+I239*I201+J239*J201+K239*K201+L239*L201+M239*M201+N239*N201+O239*O201+P239*P201+Q239*Q201+R239*R201+S239*S201+T239*T201+U239*U201+V239*V201+W239*W201+X239*X201+Y239*Y201+Z239*Z201+AA239*AA201+AB239*AB201+AC239*AC201+AD239*AD201+AE239*AE201+AF239*AF201+AG239*AG201+AH239*AH201+AI239*AI201+AJ239*AJ201+AK239*AK201+AL239*AL201+AM239*AM201+AN239*AN201+AO239*AO201+AP239*AP201+AQ239*AQ201+AR239*AR201+AS239*AS201+AT239*AT201+AU239*AU201+AV239*AV201+AW239*AW201+AX239*AX201+AY239*AY201+AZ239*AZ201+BA239*BA201+BB239*BB201+BC239*BC201+BD239*BD201+BE239*BE201+BF239*BF201+BG239*BG201+BH239*BH201+BI239*BI201+BJ239*BJ201+BK239*BK201+BL239*BL201+BM239*BM201+BN239*BN201+BO239*BO201+BP239*BP201+BQ239*BQ201+BR239*BR201+BS239*BS201+BT239*BT201+BU239*BU201+BV239*BV201+BW239*BW201+BX239*BX201+BY239*BY201+BZ239*BZ201+CA239*CA201+CB239*CB201+CC239*CC201+CD239*CD201+CE239*CE201+CF239*CF201+CG239*CG201+CH239*CH201+CI239*CI201+CJ239*CJ201+CK239*CK201</f>
        <v>0</v>
      </c>
      <c r="CR201" s="2297">
        <f>E240*E201+F240*F201+G240*G201+H240*H201+I240*I201+J240*J201+K240*K201+L240*L201+M240*M201+N240*N201+O240*O201+P240*P201+Q240*Q201+R240*R201+S240*S201+T240*T201+U240*U201+V240*V201+W240*W201+X240*X201+Y240*Y201+Z240*Z201+AA240*AA201+AB240*AB201+AC240*AC201+AD240*AD201+AE240*AE201+AF240*AF201+AG240*AG201+AH240*AH201+AI240*AI201+AJ240*AJ201+AK240*AK201+AL240*AL201+AM240*AM201+AN240*AN201+AO240*AO201+AP240*AP201+AQ240*AQ201+AR240*AR201+AS240*AS201+AT240*AT201+AU240*AU201+AV240*AV201+AW240*AW201+AX240*AX201+AY240*AY201+AZ240*AZ201+BA240*BA201+BB240*BB201+BC240*BC201+BD240*BD201+BE240*BE201+BF240*BF201+BG240*BG201+BH240*BH201+BI240*BI201+BJ240*BJ201+BK240*BK201+BL240*BL201+BM240*BM201+BN240*BN201+BO240*BO201+BP240*BP201+BQ240*BQ201+BR240*BR201+BS240*BS201+BT240*BT201+BU240*BU201+BV240*BV201+BW240*BW201+BX240*BX201+BY240*BY201+BZ240*BZ201+CA240*CA201+CB240*CB201+CC240*CC201+CD240*CD201+CE240*CE201+CF240*CF201+CG240*CG201+CH240*CH201+CI240*CI201+CJ240*CJ201+CK240*CK201</f>
        <v>0</v>
      </c>
      <c r="CS201" s="2297">
        <f>E241*E201+F241*F201+G241*G201+H241*H201+I241*I201+J241*J201+K241*K201+L241*L201+M241*M201+N241*N201+O241*O201+P241*P201+Q241*Q201+R241*R201+S241*S201+T241*T201+U241*U201+V241*V201+W241*W201+X241*X201+Y241*Y201+Z241*Z201+AA241*AA201+AB241*AB201+AC241*AC201+AD241*AD201+AE241*AE201+AF241*AF201+AG241*AG201+AH241*AH201+AI241*AI201+AJ241*AJ201+AK241*AK201+AL241*AL201+AM241*AM201+AN241*AN201+AO241*AO201+AP241*AP201+AQ241*AQ201+AR241*AR201+AS241*AS201+AT241*AT201+AU241*AU201+AV241*AV201+AW241*AW201+AX241*AX201+AY241*AY201+AZ241*AZ201+BA241*BA201+BB241*BB201+BC241*BC201+BD241*BD201+BE241*BE201+BF241*BF201+BG241*BG201+BH241*BH201+BI241*BI201+BJ241*BJ201+BK241*BK201+BL241*BL201+BM241*BM201+BN241*BN201+BO241*BO201+BP241*BP201+BQ241*BQ201+BR241*BR201+BS241*BS201+BT241*BT201+BU241*BU201+BV241*BV201+BW241*BW201+BX241*BX201+BY241*BY201+BZ241*BZ201+CA241*CA201+CB241*CB201+CC241*CC201+CD241*CD201+CE241*CE201+CF241*CF201+CG241*CG201+CH241*CH201+CI241*CI201+CJ241*CJ201+CK241*CK201</f>
        <v>0</v>
      </c>
      <c r="CT201" s="2297">
        <f>E242*E201+F242*F201+G242*G201+H242*H201+I242*I201+J242*J201+K242*K201+L242*L201+M242*M201+N242*N201+O242*O201+P242*P201+Q242*Q201+R242*R201+S242*S201+T242*T201+U242*U201+V242*V201+W242*W201+X242*X201+Y242*Y201+Z242*Z201+AA242*AA201+AB242*AB201+AC242*AC201+AD242*AD201+AE242*AE201+AF242*AF201+AG242*AG201+AH242*AH201+AI242*AI201+AJ242*AJ201+AK242*AK201+AL242*AL201+AM242*AM201+AN242*AN201+AO242*AO201+AP242*AP201+AQ242*AQ201+AR242*AR201+AS242*AS201+AT242*AT201+AU242*AU201+AV242*AV201+AW242*AW201+AX242*AX201+AY242*AY201+AZ242*AZ201+BA242*BA201+BB242*BB201+BC242*BC201+BD242*BD201+BE242*BE201+BF242*BF201+BG242*BG201+BH242*BH201+BI242*BI201+BJ242*BJ201+BK242*BK201+BL242*BL201+BM242*BM201+BN242*BN201+BO242*BO201+BP242*BP201+BQ242*BQ201+BR242*BR201+BS242*BS201+BT242*BT201+BU242*BU201+BV242*BV201+BW242*BW201+BX242*BX201+BY242*BY201+BZ242*BZ201+CA242*CA201+CB242*CB201+CC242*CC201+CD242*CD201+CE242*CE201+CF242*CF201+CG242*CG201+CH242*CH201+CI242*CI201+CJ242*CJ201+CK242*CK201</f>
        <v>0</v>
      </c>
      <c r="CU201" s="2297">
        <f>E243*E201+F243*F201+G243*G201+H243*H201+I243*I201+J243*J201+K243*K201+L243*L201+M243*M201+N243*N201+O243*O201+P243*P201+Q243*Q201+R243*R201+S243*S201+T243*T201+U243*U201+V243*V201+W243*W201+X243*X201+Y243*Y201+Z243*Z201+AA243*AA201+AB243*AB201+AC243*AC201+AD243*AD201+AE243*AE201+AF243*AF201+AG243*AG201+AH243*AH201+AI243*AI201+AJ243*AJ201+AK243*AK201+AL243*AL201+AM243*AM201+AN243*AN201+AO243*AO201+AP243*AP201+AQ243*AQ201+AR243*AR201+AS243*AS201+AT243*AT201+AU243*AU201+AV243*AV201+AW243*AW201+AX243*AX201+AY243*AY201+AZ243*AZ201+BA243*BA201+BB243*BB201+BC243*BC201+BD243*BD201+BE243*BE201+BF243*BF201+BG243*BG201+BH243*BH201+BI243*BI201+BJ243*BJ201+BK243*BK201+BL243*BL201+BM243*BM201+BN243*BN201+BO243*BO201+BP243*BP201+BQ243*BQ201+BR243*BR201+BS243*BS201+BT243*BT201+BU243*BU201+BV243*BV201+BW243*BW201+BX243*BX201+BY243*BY201+BZ243*BZ201+CA243*CA201+CB243*CB201+CC243*CC201+CD243*CD201+CE243*CE201+CF243*CF201+CG243*CG201+CH243*CH201+CI243*CI201+CJ243*CJ201+CK243*CK201</f>
        <v>0</v>
      </c>
      <c r="CV201" s="2297">
        <f>E244*E201+F244*F201+G244*G201+H244*H201+I244*I201+J244*J201+K244*K201+L244*L201+M244*M201+N244*N201+O244*O201+P244*P201+Q244*Q201+R244*R201+S244*S201+T244*T201+U244*U201+V244*V201+W244*W201+X244*X201+Y244*Y201+Z244*Z201+AA244*AA201+AB244*AB201+AC244*AC201+AD244*AD201+AE244*AE201+AF244*AF201+AG244*AG201+AH244*AH201+AI244*AI201+AJ244*AJ201+AK244*AK201+AL244*AL201+AM244*AM201+AN244*AN201+AO244*AO201+AP244*AP201+AQ244*AQ201+AR244*AR201+AS244*AS201+AT244*AT201+AU244*AU201+AV244*AV201+AW244*AW201+AX244*AX201+AY244*AY201+AZ244*AZ201+BA244*BA201+BB244*BB201+BC244*BC201+BD244*BD201+BE244*BE201+BF244*BF201+BG244*BG201+BH244*BH201+BI244*BI201+BJ244*BJ201+BK244*BK201+BL244*BL201+BM244*BM201+BN244*BN201+BO244*BO201+BP244*BP201+BQ244*BQ201+BR244*BR201+BS244*BS201+BT244*BT201+BU244*BU201+BV244*BV201+BW244*BW201+BX244*BX201+BY244*BY201+BZ244*BZ201+CA244*CA201+CB244*CB201+CC244*CC201+CD244*CD201+CE244*CE201+CF244*CF201+CG244*CG201+CH244*CH201+CI244*CI201+CJ244*CJ201+CK244*CK201</f>
        <v>0</v>
      </c>
      <c r="CW201" s="2297">
        <f>E245*E201+F245*F201+G245*G201+H245*H201+I245*I201+J245*J201+K245*K201+L245*L201+M245*M201+N245*N201+O245*O201+P245*P201+Q245*Q201+R245*R201+S245*S201+T245*T201+U245*U201+V245*V201+W245*W201+X245*X201+Y245*Y201+Z245*Z201+AA245*AA201+AB245*AB201+AC245*AC201+AD245*AD201+AE245*AE201+AF245*AF201+AG245*AG201+AH245*AH201+AI245*AI201+AJ245*AJ201+AK245*AK201+AL245*AL201+AM245*AM201+AN245*AN201+AO245*AO201+AP245*AP201+AQ245*AQ201+AR245*AR201+AS245*AS201+AT245*AT201+AU245*AU201+AV245*AV201+AW245*AW201+AX245*AX201+AY245*AY201+AZ245*AZ201+BA245*BA201+BB245*BB201+BC245*BC201+BD245*BD201+BE245*BE201+BF245*BF201+BG245*BG201+BH245*BH201+BI245*BI201+BJ245*BJ201+BK245*BK201+BL245*BL201+BM245*BM201+BN245*BN201+BO245*BO201+BP245*BP201+BQ245*BQ201+BR245*BR201+BS245*BS201+BT245*BT201+BU245*BU201+BV245*BV201+BW245*BW201+BX245*BX201+BY245*BY201+BZ245*BZ201+CA245*CA201+CB245*CB201+CC245*CC201+CD245*CD201+CE245*CE201+CF245*CF201+CG245*CG201+CH245*CH201+CI245*CI201+CJ245*CJ201+CK245*CK201</f>
        <v>0</v>
      </c>
      <c r="CX201" s="2297">
        <f>E246*E201+F246*F201+G246*G201+H246*H201+I246*I201+J246*J201+K246*K201+L246*L201+M246*M201+N246*N201+O246*O201+P246*P201+Q246*Q201+R246*R201+S246*S201+T246*T201+U246*U201+V246*V201+W246*W201+X246*X201+Y246*Y201+Z246*Z201+AA246*AA201+AB246*AB201+AC246*AC201+AD246*AD201+AE246*AE201+AF246*AF201+AG246*AG201+AH246*AH201+AI246*AI201+AJ246*AJ201+AK246*AK201+AL246*AL201+AM246*AM201+AN246*AN201+AO246*AO201+AP246*AP201+AQ246*AQ201+AR246*AR201+AS246*AS201+AT246*AT201+AU246*AU201+AV246*AV201+AW246*AW201+AX246*AX201+AY246*AY201+AZ246*AZ201+BA246*BA201+BB246*BB201+BC246*BC201+BD246*BD201+BE246*BE201+BF246*BF201+BG246*BG201+BH246*BH201+BI246*BI201+BJ246*BJ201+BK246*BK201+BL246*BL201+BM246*BM201+BN246*BN201+BO246*BO201+BP246*BP201+BQ246*BQ201+BR246*BR201+BS246*BS201+BT246*BT201+BU246*BU201+BV246*BV201+BW246*BW201+BX246*BX201+BY246*BY201+BZ246*BZ201+CA246*CA201+CB246*CB201+CC246*CC201+CD246*CD201+CE246*CE201+CF246*CF201+CG246*CG201+CH246*CH201+CI246*CI201+CJ246*CJ201+CK246*CK201</f>
        <v>0</v>
      </c>
    </row>
    <row r="202" spans="2:102" ht="18" x14ac:dyDescent="0.25">
      <c r="B202" s="1968">
        <v>75</v>
      </c>
      <c r="C202" s="1969" t="s">
        <v>2964</v>
      </c>
      <c r="D202" s="1201" t="s">
        <v>3346</v>
      </c>
      <c r="E202" s="2673">
        <f>0</f>
        <v>0</v>
      </c>
      <c r="F202" s="2673">
        <f>0</f>
        <v>0</v>
      </c>
      <c r="G202" s="2673">
        <f>0</f>
        <v>0</v>
      </c>
      <c r="H202" s="2673">
        <f>0</f>
        <v>0</v>
      </c>
      <c r="I202" s="2673">
        <f>0</f>
        <v>0</v>
      </c>
      <c r="J202" s="2694">
        <f>0</f>
        <v>0</v>
      </c>
      <c r="K202" s="2673">
        <f>0</f>
        <v>0</v>
      </c>
      <c r="L202" s="2673">
        <f>0</f>
        <v>0</v>
      </c>
      <c r="M202" s="2673">
        <f>0</f>
        <v>0</v>
      </c>
      <c r="N202" s="2673">
        <f>0</f>
        <v>0</v>
      </c>
      <c r="O202" s="2673">
        <f>0</f>
        <v>0</v>
      </c>
      <c r="P202" s="2673">
        <f>0</f>
        <v>0</v>
      </c>
      <c r="Q202" s="2673">
        <f>0</f>
        <v>0</v>
      </c>
      <c r="R202" s="2707">
        <f>0</f>
        <v>0</v>
      </c>
      <c r="S202" s="2673">
        <f>0</f>
        <v>0</v>
      </c>
      <c r="T202" s="2673">
        <f>0</f>
        <v>0</v>
      </c>
      <c r="U202" s="2673">
        <f>0</f>
        <v>0</v>
      </c>
      <c r="V202" s="2673">
        <f>0</f>
        <v>0</v>
      </c>
      <c r="W202" s="2673">
        <f>0</f>
        <v>0</v>
      </c>
      <c r="X202" s="2673">
        <f>0</f>
        <v>0</v>
      </c>
      <c r="Y202" s="2673">
        <f>0</f>
        <v>0</v>
      </c>
      <c r="Z202" s="2720">
        <f>0</f>
        <v>0</v>
      </c>
      <c r="AA202" s="2673">
        <f>0</f>
        <v>0</v>
      </c>
      <c r="AB202" s="2673">
        <f>0</f>
        <v>0</v>
      </c>
      <c r="AC202" s="2673">
        <f>0</f>
        <v>0</v>
      </c>
      <c r="AD202" s="2673">
        <f>0</f>
        <v>0</v>
      </c>
      <c r="AE202" s="2673">
        <f>0</f>
        <v>0</v>
      </c>
      <c r="AF202" s="2673">
        <f>0</f>
        <v>0</v>
      </c>
      <c r="AG202" s="2694">
        <f>0</f>
        <v>0</v>
      </c>
      <c r="AH202" s="2673">
        <f>0</f>
        <v>0</v>
      </c>
      <c r="AI202" s="2732">
        <f>(A_SFHFO_L*(A_MP/A_MFe))</f>
        <v>0.11092761106634436</v>
      </c>
      <c r="AJ202" s="2673">
        <f>0</f>
        <v>0</v>
      </c>
      <c r="AK202" s="2673">
        <f>0</f>
        <v>0</v>
      </c>
      <c r="AL202" s="2673">
        <f>0</f>
        <v>0</v>
      </c>
      <c r="AM202" s="2694">
        <f>0</f>
        <v>0</v>
      </c>
      <c r="AN202" s="2673">
        <f>0</f>
        <v>0</v>
      </c>
      <c r="AO202" s="2673">
        <f>0</f>
        <v>0</v>
      </c>
      <c r="AP202" s="2673">
        <f>0</f>
        <v>0</v>
      </c>
      <c r="AQ202" s="2673">
        <f>0</f>
        <v>0</v>
      </c>
      <c r="AR202" s="2673">
        <f>0</f>
        <v>0</v>
      </c>
      <c r="AS202" s="2673">
        <f>0</f>
        <v>0</v>
      </c>
      <c r="AT202" s="2673">
        <f>0</f>
        <v>0</v>
      </c>
      <c r="AU202" s="2673">
        <f>0</f>
        <v>0</v>
      </c>
      <c r="AV202" s="2673">
        <f>0</f>
        <v>0</v>
      </c>
      <c r="AW202" s="2673">
        <f>0</f>
        <v>0</v>
      </c>
      <c r="AX202" s="2673">
        <f>0</f>
        <v>0</v>
      </c>
      <c r="AY202" s="2707">
        <f>0</f>
        <v>0</v>
      </c>
      <c r="AZ202" s="2750">
        <f>0</f>
        <v>0</v>
      </c>
      <c r="BA202" s="2750">
        <f>1</f>
        <v>1</v>
      </c>
      <c r="BB202" s="2751">
        <f>0</f>
        <v>0</v>
      </c>
      <c r="BC202" s="2751">
        <f>0</f>
        <v>0</v>
      </c>
      <c r="BD202" s="2750">
        <f>-1</f>
        <v>-1</v>
      </c>
      <c r="BE202" s="2751">
        <f>0</f>
        <v>0</v>
      </c>
      <c r="BF202" s="2751">
        <f>0</f>
        <v>0</v>
      </c>
      <c r="BG202" s="2673">
        <f>0</f>
        <v>0</v>
      </c>
      <c r="BH202" s="2673">
        <f>0</f>
        <v>0</v>
      </c>
      <c r="BI202" s="2707">
        <f>0</f>
        <v>0</v>
      </c>
      <c r="BJ202" s="2707">
        <f>0</f>
        <v>0</v>
      </c>
      <c r="BK202" s="2673">
        <f>0</f>
        <v>0</v>
      </c>
      <c r="BL202" s="2707">
        <f>0</f>
        <v>0</v>
      </c>
      <c r="BM202" s="2707">
        <f>0</f>
        <v>0</v>
      </c>
      <c r="BN202" s="2707">
        <f>0</f>
        <v>0</v>
      </c>
      <c r="BO202" s="2707">
        <f>0</f>
        <v>0</v>
      </c>
      <c r="BP202" s="2751">
        <f>0</f>
        <v>0</v>
      </c>
      <c r="BQ202" s="2707">
        <f>0</f>
        <v>0</v>
      </c>
      <c r="BR202" s="2707">
        <f>0</f>
        <v>0</v>
      </c>
      <c r="BS202" s="2770">
        <f>0</f>
        <v>0</v>
      </c>
      <c r="BT202" s="2770">
        <f>0</f>
        <v>0</v>
      </c>
      <c r="BU202" s="2770">
        <f>0</f>
        <v>0</v>
      </c>
      <c r="BV202" s="2770">
        <f>0</f>
        <v>0</v>
      </c>
      <c r="BW202" s="2707">
        <f>0</f>
        <v>0</v>
      </c>
      <c r="BX202" s="2732">
        <f>0</f>
        <v>0</v>
      </c>
      <c r="BY202" s="2770">
        <f>0</f>
        <v>0</v>
      </c>
      <c r="BZ202" s="2707">
        <f>0</f>
        <v>0</v>
      </c>
      <c r="CA202" s="2707">
        <f>0</f>
        <v>0</v>
      </c>
      <c r="CB202" s="2707">
        <f>0</f>
        <v>0</v>
      </c>
      <c r="CC202" s="2707">
        <f>0</f>
        <v>0</v>
      </c>
      <c r="CD202" s="2707">
        <f>0</f>
        <v>0</v>
      </c>
      <c r="CE202" s="2707">
        <f>0</f>
        <v>0</v>
      </c>
      <c r="CF202" s="2707">
        <f>0</f>
        <v>0</v>
      </c>
      <c r="CG202" s="2707">
        <f>0</f>
        <v>0</v>
      </c>
      <c r="CH202" s="2707">
        <f>0</f>
        <v>0</v>
      </c>
      <c r="CI202" s="2707">
        <f>0</f>
        <v>0</v>
      </c>
      <c r="CJ202" s="2707">
        <f>0</f>
        <v>0</v>
      </c>
      <c r="CK202" s="2707">
        <f>0</f>
        <v>0</v>
      </c>
      <c r="CL202" s="2815">
        <f>q_HFOL_DESORP*X_HFO_L_P*M_inhSPO4_KiP_HFO_DESORP</f>
        <v>1.6666666666666666E-50</v>
      </c>
      <c r="CN202" s="2295">
        <f>E236*E202+F236*F202+G236*G202+H236*H202+I236*I202+J236*J202+K236*K202+L236*L202+M236*M202+N236*N202+O236*O202+P236*P202+Q236*Q202+R236*R202+S236*S202+T236*T202+U236*U202+V236*V202+W236*W202+X236*X202+Y236*Y202+Z236*Z202+AA236*AA202+AB236*AB202+AC236*AC202+AD236*AD202+AE236*AE202+AF236*AF202+AG236*AG202+AH236*AH202+AI236*AI202+AJ236*AJ202+AK236*AK202+AL236*AL202+AM236*AM202+AN236*AN202+AO236*AO202+AP236*AP202+AQ236*AQ202+AR236*AR202+AS236*AS202+AT236*AT202+AU236*AU202+AV236*AV202+AW236*AW202+AX236*AX202+AY236*AY202+AZ236*AZ202+BA236*BA202+BB236*BB202+BC236*BC202+BD236*BD202+BE236*BE202+BF236*BF202+BG236*BG202+BH236*BH202+BI236*BI202+BJ236*BJ202+BK236*BK202+BL236*BL202+BM236*BM202+BN236*BN202+BO236*BO202+BP236*BP202+BQ236*BQ202+BR236*BR202+BS236*BS202+BT236*BT202+BU236*BU202+BV236*BV202+BW236*BW202+BX236*BX202+BY236*BY202+BZ236*BZ202+CA236*CA202+CB236*CB202+CC236*CC202+CD236*CD202+CE236*CE202+CF236*CF202+CG236*CG202+CH236*CH202+CI236*CI202+CJ236*CJ202+CK236*CK202</f>
        <v>0</v>
      </c>
      <c r="CO202" s="2295">
        <f>E237*E202+F237*F202+G237*G202+H237*H202+I237*I202+J237*J202+K237*K202+L237*L202+M237*M202+N237*N202+O237*O202+P237*P202+Q237*Q202+R237*R202+S237*S202+T237*T202+U237*U202+V237*V202+W237*W202+X237*X202+Y237*Y202+Z237*Z202+AA237*AA202+AB237*AB202+AC237*AC202+AD237*AD202+AE237*AE202+AF237*AF202+AG237*AG202+AH237*AH202+AI237*AI202+AJ237*AJ202+AK237*AK202+AL237*AL202+AM237*AM202+AN237*AN202+AO237*AO202+AP237*AP202+AQ237*AQ202+AR237*AR202+AS237*AS202+AT237*AT202+AU237*AU202+AV237*AV202+AW237*AW202+AX237*AX202+AY237*AY202+AZ237*AZ202+BA237*BA202+BB237*BB202+BC237*BC202+BD237*BD202+BE237*BE202+BF237*BF202+BG237*BG202+BH237*BH202+BI237*BI202+BJ237*BJ202+BK237*BK202+BL237*BL202+BM237*BM202+BN237*BN202+BO237*BO202+BP237*BP202+BQ237*BQ202+BR237*BR202+BS237*BS202+BT237*BT202+BU237*BU202+BV237*BV202+BW237*BW202+BX237*BX202+BY237*BY202+BZ237*BZ202+CA237*CA202+CB237*CB202+CC237*CC202+CD237*CD202+CE237*CE202+CF237*CF202+CG237*CG202+CH237*CH202+CI237*CI202+CJ237*CJ202+CK237*CK202</f>
        <v>0</v>
      </c>
      <c r="CP202" s="2296">
        <f>E238*E202+F238*F202+G238*G202+H238*H202+I238*I202+J238*J202+K238*K202+L238*L202+M238*M202+N238*N202+O238*O202+P238*P202+Q238*Q202+R238*R202+S238*S202+T238*T202+U238*U202+V238*V202+W238*W202+X238*X202+Y238*Y202+Z238*Z202+AA238*AA202+AB238*AB202+AC238*AC202+AD238*AD202+AE238*AE202+AF238*AF202+AG238*AG202+AH238*AH202+AI238*AI202+AJ238*AJ202+AK238*AK202+AL238*AL202+AM238*AM202+AN238*AN202+AO238*AO202+AP238*AP202+AQ238*AQ202+AR238*AR202+AS238*AS202+AT238*AT202+AU238*AU202+AV238*AV202+AW238*AW202+AX238*AX202+AY238*AY202+AZ238*AZ202+BA238*BA202+BB238*BB202+BC238*BC202+BD238*BD202+BE238*BE202+BF238*BF202+BG238*BG202+BH238*BH202+BI238*BI202+BJ238*BJ202+BK238*BK202+BL238*BL202+BM238*BM202+BN238*BN202+BO238*BO202+BP238*BP202+BQ238*BQ202+BR238*BR202+BS238*BS202+BT238*BT202+BU238*BU202+BV238*BV202+BW238*BW202+BX238*BX202+BY238*BY202+BZ238*BZ202+CA238*CA202+CB238*CB202+CC238*CC202+CD238*CD202+CE238*CE202+CF238*CF202+CG238*CG202+CH238*CH202+CI238*CI202+CJ238*CJ202+CK238*CK202</f>
        <v>0</v>
      </c>
      <c r="CQ202" s="2297">
        <f>E239*E202+F239*F202+G239*G202+H239*H202+I239*I202+J239*J202+K239*K202+L239*L202+M239*M202+N239*N202+O239*O202+P239*P202+Q239*Q202+R239*R202+S239*S202+T239*T202+U239*U202+V239*V202+W239*W202+X239*X202+Y239*Y202+Z239*Z202+AA239*AA202+AB239*AB202+AC239*AC202+AD239*AD202+AE239*AE202+AF239*AF202+AG239*AG202+AH239*AH202+AI239*AI202+AJ239*AJ202+AK239*AK202+AL239*AL202+AM239*AM202+AN239*AN202+AO239*AO202+AP239*AP202+AQ239*AQ202+AR239*AR202+AS239*AS202+AT239*AT202+AU239*AU202+AV239*AV202+AW239*AW202+AX239*AX202+AY239*AY202+AZ239*AZ202+BA239*BA202+BB239*BB202+BC239*BC202+BD239*BD202+BE239*BE202+BF239*BF202+BG239*BG202+BH239*BH202+BI239*BI202+BJ239*BJ202+BK239*BK202+BL239*BL202+BM239*BM202+BN239*BN202+BO239*BO202+BP239*BP202+BQ239*BQ202+BR239*BR202+BS239*BS202+BT239*BT202+BU239*BU202+BV239*BV202+BW239*BW202+BX239*BX202+BY239*BY202+BZ239*BZ202+CA239*CA202+CB239*CB202+CC239*CC202+CD239*CD202+CE239*CE202+CF239*CF202+CG239*CG202+CH239*CH202+CI239*CI202+CJ239*CJ202+CK239*CK202</f>
        <v>0</v>
      </c>
      <c r="CR202" s="2297">
        <f>E240*E202+F240*F202+G240*G202+H240*H202+I240*I202+J240*J202+K240*K202+L240*L202+M240*M202+N240*N202+O240*O202+P240*P202+Q240*Q202+R240*R202+S240*S202+T240*T202+U240*U202+V240*V202+W240*W202+X240*X202+Y240*Y202+Z240*Z202+AA240*AA202+AB240*AB202+AC240*AC202+AD240*AD202+AE240*AE202+AF240*AF202+AG240*AG202+AH240*AH202+AI240*AI202+AJ240*AJ202+AK240*AK202+AL240*AL202+AM240*AM202+AN240*AN202+AO240*AO202+AP240*AP202+AQ240*AQ202+AR240*AR202+AS240*AS202+AT240*AT202+AU240*AU202+AV240*AV202+AW240*AW202+AX240*AX202+AY240*AY202+AZ240*AZ202+BA240*BA202+BB240*BB202+BC240*BC202+BD240*BD202+BE240*BE202+BF240*BF202+BG240*BG202+BH240*BH202+BI240*BI202+BJ240*BJ202+BK240*BK202+BL240*BL202+BM240*BM202+BN240*BN202+BO240*BO202+BP240*BP202+BQ240*BQ202+BR240*BR202+BS240*BS202+BT240*BT202+BU240*BU202+BV240*BV202+BW240*BW202+BX240*BX202+BY240*BY202+BZ240*BZ202+CA240*CA202+CB240*CB202+CC240*CC202+CD240*CD202+CE240*CE202+CF240*CF202+CG240*CG202+CH240*CH202+CI240*CI202+CJ240*CJ202+CK240*CK202</f>
        <v>0</v>
      </c>
      <c r="CS202" s="2297">
        <f>E241*E202+F241*F202+G241*G202+H241*H202+I241*I202+J241*J202+K241*K202+L241*L202+M241*M202+N241*N202+O241*O202+P241*P202+Q241*Q202+R241*R202+S241*S202+T241*T202+U241*U202+V241*V202+W241*W202+X241*X202+Y241*Y202+Z241*Z202+AA241*AA202+AB241*AB202+AC241*AC202+AD241*AD202+AE241*AE202+AF241*AF202+AG241*AG202+AH241*AH202+AI241*AI202+AJ241*AJ202+AK241*AK202+AL241*AL202+AM241*AM202+AN241*AN202+AO241*AO202+AP241*AP202+AQ241*AQ202+AR241*AR202+AS241*AS202+AT241*AT202+AU241*AU202+AV241*AV202+AW241*AW202+AX241*AX202+AY241*AY202+AZ241*AZ202+BA241*BA202+BB241*BB202+BC241*BC202+BD241*BD202+BE241*BE202+BF241*BF202+BG241*BG202+BH241*BH202+BI241*BI202+BJ241*BJ202+BK241*BK202+BL241*BL202+BM241*BM202+BN241*BN202+BO241*BO202+BP241*BP202+BQ241*BQ202+BR241*BR202+BS241*BS202+BT241*BT202+BU241*BU202+BV241*BV202+BW241*BW202+BX241*BX202+BY241*BY202+BZ241*BZ202+CA241*CA202+CB241*CB202+CC241*CC202+CD241*CD202+CE241*CE202+CF241*CF202+CG241*CG202+CH241*CH202+CI241*CI202+CJ241*CJ202+CK241*CK202</f>
        <v>0</v>
      </c>
      <c r="CT202" s="2297">
        <f>E242*E202+F242*F202+G242*G202+H242*H202+I242*I202+J242*J202+K242*K202+L242*L202+M242*M202+N242*N202+O242*O202+P242*P202+Q242*Q202+R242*R202+S242*S202+T242*T202+U242*U202+V242*V202+W242*W202+X242*X202+Y242*Y202+Z242*Z202+AA242*AA202+AB242*AB202+AC242*AC202+AD242*AD202+AE242*AE202+AF242*AF202+AG242*AG202+AH242*AH202+AI242*AI202+AJ242*AJ202+AK242*AK202+AL242*AL202+AM242*AM202+AN242*AN202+AO242*AO202+AP242*AP202+AQ242*AQ202+AR242*AR202+AS242*AS202+AT242*AT202+AU242*AU202+AV242*AV202+AW242*AW202+AX242*AX202+AY242*AY202+AZ242*AZ202+BA242*BA202+BB242*BB202+BC242*BC202+BD242*BD202+BE242*BE202+BF242*BF202+BG242*BG202+BH242*BH202+BI242*BI202+BJ242*BJ202+BK242*BK202+BL242*BL202+BM242*BM202+BN242*BN202+BO242*BO202+BP242*BP202+BQ242*BQ202+BR242*BR202+BS242*BS202+BT242*BT202+BU242*BU202+BV242*BV202+BW242*BW202+BX242*BX202+BY242*BY202+BZ242*BZ202+CA242*CA202+CB242*CB202+CC242*CC202+CD242*CD202+CE242*CE202+CF242*CF202+CG242*CG202+CH242*CH202+CI242*CI202+CJ242*CJ202+CK242*CK202</f>
        <v>0</v>
      </c>
      <c r="CU202" s="2297">
        <f>E243*E202+F243*F202+G243*G202+H243*H202+I243*I202+J243*J202+K243*K202+L243*L202+M243*M202+N243*N202+O243*O202+P243*P202+Q243*Q202+R243*R202+S243*S202+T243*T202+U243*U202+V243*V202+W243*W202+X243*X202+Y243*Y202+Z243*Z202+AA243*AA202+AB243*AB202+AC243*AC202+AD243*AD202+AE243*AE202+AF243*AF202+AG243*AG202+AH243*AH202+AI243*AI202+AJ243*AJ202+AK243*AK202+AL243*AL202+AM243*AM202+AN243*AN202+AO243*AO202+AP243*AP202+AQ243*AQ202+AR243*AR202+AS243*AS202+AT243*AT202+AU243*AU202+AV243*AV202+AW243*AW202+AX243*AX202+AY243*AY202+AZ243*AZ202+BA243*BA202+BB243*BB202+BC243*BC202+BD243*BD202+BE243*BE202+BF243*BF202+BG243*BG202+BH243*BH202+BI243*BI202+BJ243*BJ202+BK243*BK202+BL243*BL202+BM243*BM202+BN243*BN202+BO243*BO202+BP243*BP202+BQ243*BQ202+BR243*BR202+BS243*BS202+BT243*BT202+BU243*BU202+BV243*BV202+BW243*BW202+BX243*BX202+BY243*BY202+BZ243*BZ202+CA243*CA202+CB243*CB202+CC243*CC202+CD243*CD202+CE243*CE202+CF243*CF202+CG243*CG202+CH243*CH202+CI243*CI202+CJ243*CJ202+CK243*CK202</f>
        <v>0</v>
      </c>
      <c r="CV202" s="2297">
        <f>E244*E202+F244*F202+G244*G202+H244*H202+I244*I202+J244*J202+K244*K202+L244*L202+M244*M202+N244*N202+O244*O202+P244*P202+Q244*Q202+R244*R202+S244*S202+T244*T202+U244*U202+V244*V202+W244*W202+X244*X202+Y244*Y202+Z244*Z202+AA244*AA202+AB244*AB202+AC244*AC202+AD244*AD202+AE244*AE202+AF244*AF202+AG244*AG202+AH244*AH202+AI244*AI202+AJ244*AJ202+AK244*AK202+AL244*AL202+AM244*AM202+AN244*AN202+AO244*AO202+AP244*AP202+AQ244*AQ202+AR244*AR202+AS244*AS202+AT244*AT202+AU244*AU202+AV244*AV202+AW244*AW202+AX244*AX202+AY244*AY202+AZ244*AZ202+BA244*BA202+BB244*BB202+BC244*BC202+BD244*BD202+BE244*BE202+BF244*BF202+BG244*BG202+BH244*BH202+BI244*BI202+BJ244*BJ202+BK244*BK202+BL244*BL202+BM244*BM202+BN244*BN202+BO244*BO202+BP244*BP202+BQ244*BQ202+BR244*BR202+BS244*BS202+BT244*BT202+BU244*BU202+BV244*BV202+BW244*BW202+BX244*BX202+BY244*BY202+BZ244*BZ202+CA244*CA202+CB244*CB202+CC244*CC202+CD244*CD202+CE244*CE202+CF244*CF202+CG244*CG202+CH244*CH202+CI244*CI202+CJ244*CJ202+CK244*CK202</f>
        <v>0</v>
      </c>
      <c r="CW202" s="2297">
        <f>E245*E202+F245*F202+G245*G202+H245*H202+I245*I202+J245*J202+K245*K202+L245*L202+M245*M202+N245*N202+O245*O202+P245*P202+Q245*Q202+R245*R202+S245*S202+T245*T202+U245*U202+V245*V202+W245*W202+X245*X202+Y245*Y202+Z245*Z202+AA245*AA202+AB245*AB202+AC245*AC202+AD245*AD202+AE245*AE202+AF245*AF202+AG245*AG202+AH245*AH202+AI245*AI202+AJ245*AJ202+AK245*AK202+AL245*AL202+AM245*AM202+AN245*AN202+AO245*AO202+AP245*AP202+AQ245*AQ202+AR245*AR202+AS245*AS202+AT245*AT202+AU245*AU202+AV245*AV202+AW245*AW202+AX245*AX202+AY245*AY202+AZ245*AZ202+BA245*BA202+BB245*BB202+BC245*BC202+BD245*BD202+BE245*BE202+BF245*BF202+BG245*BG202+BH245*BH202+BI245*BI202+BJ245*BJ202+BK245*BK202+BL245*BL202+BM245*BM202+BN245*BN202+BO245*BO202+BP245*BP202+BQ245*BQ202+BR245*BR202+BS245*BS202+BT245*BT202+BU245*BU202+BV245*BV202+BW245*BW202+BX245*BX202+BY245*BY202+BZ245*BZ202+CA245*CA202+CB245*CB202+CC245*CC202+CD245*CD202+CE245*CE202+CF245*CF202+CG245*CG202+CH245*CH202+CI245*CI202+CJ245*CJ202+CK245*CK202</f>
        <v>0</v>
      </c>
      <c r="CX202" s="2297">
        <f>E246*E202+F246*F202+G246*G202+H246*H202+I246*I202+J246*J202+K246*K202+L246*L202+M246*M202+N246*N202+O246*O202+P246*P202+Q246*Q202+R246*R202+S246*S202+T246*T202+U246*U202+V246*V202+W246*W202+X246*X202+Y246*Y202+Z246*Z202+AA246*AA202+AB246*AB202+AC246*AC202+AD246*AD202+AE246*AE202+AF246*AF202+AG246*AG202+AH246*AH202+AI246*AI202+AJ246*AJ202+AK246*AK202+AL246*AL202+AM246*AM202+AN246*AN202+AO246*AO202+AP246*AP202+AQ246*AQ202+AR246*AR202+AS246*AS202+AT246*AT202+AU246*AU202+AV246*AV202+AW246*AW202+AX246*AX202+AY246*AY202+AZ246*AZ202+BA246*BA202+BB246*BB202+BC246*BC202+BD246*BD202+BE246*BE202+BF246*BF202+BG246*BG202+BH246*BH202+BI246*BI202+BJ246*BJ202+BK246*BK202+BL246*BL202+BM246*BM202+BN246*BN202+BO246*BO202+BP246*BP202+BQ246*BQ202+BR246*BR202+BS246*BS202+BT246*BT202+BU246*BU202+BV246*BV202+BW246*BW202+BX246*BX202+BY246*BY202+BZ246*BZ202+CA246*CA202+CB246*CB202+CC246*CC202+CD246*CD202+CE246*CE202+CF246*CF202+CG246*CG202+CH246*CH202+CI246*CI202+CJ246*CJ202+CK246*CK202</f>
        <v>0</v>
      </c>
    </row>
    <row r="203" spans="2:102" ht="18" x14ac:dyDescent="0.25">
      <c r="B203" s="1968">
        <v>76</v>
      </c>
      <c r="C203" s="1969" t="s">
        <v>2965</v>
      </c>
      <c r="D203" s="1201" t="s">
        <v>3347</v>
      </c>
      <c r="E203" s="2673">
        <f>0</f>
        <v>0</v>
      </c>
      <c r="F203" s="2673">
        <f>0</f>
        <v>0</v>
      </c>
      <c r="G203" s="2673">
        <f>0</f>
        <v>0</v>
      </c>
      <c r="H203" s="2673">
        <f>0</f>
        <v>0</v>
      </c>
      <c r="I203" s="2673">
        <f>0</f>
        <v>0</v>
      </c>
      <c r="J203" s="2694">
        <f>0</f>
        <v>0</v>
      </c>
      <c r="K203" s="2673">
        <f>0</f>
        <v>0</v>
      </c>
      <c r="L203" s="2673">
        <f>0</f>
        <v>0</v>
      </c>
      <c r="M203" s="2673">
        <f>0</f>
        <v>0</v>
      </c>
      <c r="N203" s="2673">
        <f>0</f>
        <v>0</v>
      </c>
      <c r="O203" s="2673">
        <f>0</f>
        <v>0</v>
      </c>
      <c r="P203" s="2673">
        <f>0</f>
        <v>0</v>
      </c>
      <c r="Q203" s="2673">
        <f>0</f>
        <v>0</v>
      </c>
      <c r="R203" s="2707">
        <f>0</f>
        <v>0</v>
      </c>
      <c r="S203" s="2673">
        <f>0</f>
        <v>0</v>
      </c>
      <c r="T203" s="2673">
        <f>0</f>
        <v>0</v>
      </c>
      <c r="U203" s="2673">
        <f>0</f>
        <v>0</v>
      </c>
      <c r="V203" s="2673">
        <f>0</f>
        <v>0</v>
      </c>
      <c r="W203" s="2673">
        <f>0</f>
        <v>0</v>
      </c>
      <c r="X203" s="2673">
        <f>0</f>
        <v>0</v>
      </c>
      <c r="Y203" s="2673">
        <f>0</f>
        <v>0</v>
      </c>
      <c r="Z203" s="2720">
        <f>0</f>
        <v>0</v>
      </c>
      <c r="AA203" s="2673">
        <f>0</f>
        <v>0</v>
      </c>
      <c r="AB203" s="2673">
        <f>0</f>
        <v>0</v>
      </c>
      <c r="AC203" s="2673">
        <f>0</f>
        <v>0</v>
      </c>
      <c r="AD203" s="2673">
        <f>0</f>
        <v>0</v>
      </c>
      <c r="AE203" s="2673">
        <f>0</f>
        <v>0</v>
      </c>
      <c r="AF203" s="2673">
        <f>0</f>
        <v>0</v>
      </c>
      <c r="AG203" s="2694">
        <f>0</f>
        <v>0</v>
      </c>
      <c r="AH203" s="2673">
        <f>0</f>
        <v>0</v>
      </c>
      <c r="AI203" s="2732">
        <f>(A_SFHFO_H*(A_MP/A_MFe))*X_HFO_H_P_old/(X_HFO_H_P_old+X_HFO_L_P_old)+(A_SFHFO_L*(A_MP/A_MFe))*X_HFO_L_P_old/(X_HFO_H_P_old+X_HFO_L_P_old)</f>
        <v>0.38824663873220522</v>
      </c>
      <c r="AJ203" s="2673">
        <f>0</f>
        <v>0</v>
      </c>
      <c r="AK203" s="2673">
        <f>0</f>
        <v>0</v>
      </c>
      <c r="AL203" s="2673">
        <f>0</f>
        <v>0</v>
      </c>
      <c r="AM203" s="2694">
        <f>0</f>
        <v>0</v>
      </c>
      <c r="AN203" s="2673">
        <f>0</f>
        <v>0</v>
      </c>
      <c r="AO203" s="2673">
        <f>0</f>
        <v>0</v>
      </c>
      <c r="AP203" s="2673">
        <f>0</f>
        <v>0</v>
      </c>
      <c r="AQ203" s="2673">
        <f>0</f>
        <v>0</v>
      </c>
      <c r="AR203" s="2673">
        <f>0</f>
        <v>0</v>
      </c>
      <c r="AS203" s="2673">
        <f>0</f>
        <v>0</v>
      </c>
      <c r="AT203" s="2673">
        <f>0</f>
        <v>0</v>
      </c>
      <c r="AU203" s="2673">
        <f>0</f>
        <v>0</v>
      </c>
      <c r="AV203" s="2673">
        <f>0</f>
        <v>0</v>
      </c>
      <c r="AW203" s="2673">
        <f>0</f>
        <v>0</v>
      </c>
      <c r="AX203" s="2673">
        <f>0</f>
        <v>0</v>
      </c>
      <c r="AY203" s="2707">
        <f>0</f>
        <v>0</v>
      </c>
      <c r="AZ203" s="2750">
        <f>0</f>
        <v>0</v>
      </c>
      <c r="BA203" s="2750">
        <f>0</f>
        <v>0</v>
      </c>
      <c r="BB203" s="2751">
        <f>1</f>
        <v>1</v>
      </c>
      <c r="BC203" s="2751">
        <f>0</f>
        <v>0</v>
      </c>
      <c r="BD203" s="2750">
        <f>0</f>
        <v>0</v>
      </c>
      <c r="BE203" s="2749">
        <f>-X_HFO_H_P_old/(X_HFO_H_P_old+X_HFO_L_P_old)</f>
        <v>-0.5</v>
      </c>
      <c r="BF203" s="2749">
        <f>-X_HFO_L_P_old/(X_HFO_H_P_old+X_HFO_L_P_old)</f>
        <v>-0.5</v>
      </c>
      <c r="BG203" s="2673">
        <f>0</f>
        <v>0</v>
      </c>
      <c r="BH203" s="2673">
        <f>0</f>
        <v>0</v>
      </c>
      <c r="BI203" s="2707">
        <f>0</f>
        <v>0</v>
      </c>
      <c r="BJ203" s="2707">
        <f>0</f>
        <v>0</v>
      </c>
      <c r="BK203" s="2673">
        <f>0</f>
        <v>0</v>
      </c>
      <c r="BL203" s="2754">
        <f>0</f>
        <v>0</v>
      </c>
      <c r="BM203" s="2754">
        <f>0</f>
        <v>0</v>
      </c>
      <c r="BN203" s="2707">
        <f>0</f>
        <v>0</v>
      </c>
      <c r="BO203" s="2707">
        <f>0</f>
        <v>0</v>
      </c>
      <c r="BP203" s="2751">
        <f>0</f>
        <v>0</v>
      </c>
      <c r="BQ203" s="2707">
        <f>0</f>
        <v>0</v>
      </c>
      <c r="BR203" s="2707">
        <f>0</f>
        <v>0</v>
      </c>
      <c r="BS203" s="2770">
        <f>0</f>
        <v>0</v>
      </c>
      <c r="BT203" s="2770">
        <f>0</f>
        <v>0</v>
      </c>
      <c r="BU203" s="2770">
        <f>0</f>
        <v>0</v>
      </c>
      <c r="BV203" s="2770">
        <f>0</f>
        <v>0</v>
      </c>
      <c r="BW203" s="2707">
        <f>0</f>
        <v>0</v>
      </c>
      <c r="BX203" s="2732">
        <f>0</f>
        <v>0</v>
      </c>
      <c r="BY203" s="2770">
        <f>0</f>
        <v>0</v>
      </c>
      <c r="BZ203" s="2707">
        <f>0</f>
        <v>0</v>
      </c>
      <c r="CA203" s="2707">
        <f>0</f>
        <v>0</v>
      </c>
      <c r="CB203" s="2707">
        <f>0</f>
        <v>0</v>
      </c>
      <c r="CC203" s="2707">
        <f>0</f>
        <v>0</v>
      </c>
      <c r="CD203" s="2707">
        <f>0</f>
        <v>0</v>
      </c>
      <c r="CE203" s="2707">
        <f>0</f>
        <v>0</v>
      </c>
      <c r="CF203" s="2707">
        <f>0</f>
        <v>0</v>
      </c>
      <c r="CG203" s="2707">
        <f>0</f>
        <v>0</v>
      </c>
      <c r="CH203" s="2707">
        <f>0</f>
        <v>0</v>
      </c>
      <c r="CI203" s="2707">
        <f>0</f>
        <v>0</v>
      </c>
      <c r="CJ203" s="2707">
        <f>0</f>
        <v>0</v>
      </c>
      <c r="CK203" s="2707">
        <f>0</f>
        <v>0</v>
      </c>
      <c r="CL203" s="2815">
        <f>q_HFO_DISS*(X_HFO_H_P_old+X_HFO_L_P_old)*L_oginhSPO4_KiP_HFO_DISS</f>
        <v>0</v>
      </c>
      <c r="CN203" s="2295">
        <f>E236*E203+F236*F203+G236*G203+H236*H203+I236*I203+J236*J203+K236*K203+L236*L203+M236*M203+N236*N203+O236*O203+P236*P203+Q236*Q203+R236*R203+S236*S203+T236*T203+U236*U203+V236*V203+W236*W203+X236*X203+Y236*Y203+Z236*Z203+AA236*AA203+AB236*AB203+AC236*AC203+AD236*AD203+AE236*AE203+AF236*AF203+AG236*AG203+AH236*AH203+AI236*AI203+AJ236*AJ203+AK236*AK203+AL236*AL203+AM236*AM203+AN236*AN203+AO236*AO203+AP236*AP203+AQ236*AQ203+AR236*AR203+AS236*AS203+AT236*AT203+AU236*AU203+AV236*AV203+AW236*AW203+AX236*AX203+AY236*AY203+AZ236*AZ203+BA236*BA203+BB236*BB203+BC236*BC203+BD236*BD203+BE236*BE203+BF236*BF203+BG236*BG203+BH236*BH203+BI236*BI203+BJ236*BJ203+BK236*BK203+BL236*BL203+BM236*BM203+BN236*BN203+BO236*BO203+BP236*BP203+BQ236*BQ203+BR236*BR203+BS236*BS203+BT236*BT203+BU236*BU203+BV236*BV203+BW236*BW203+BX236*BX203+BY236*BY203+BZ236*BZ203+CA236*CA203+CB236*CB203+CC236*CC203+CD236*CD203+CE236*CE203+CF236*CF203+CG236*CG203+CH236*CH203+CI236*CI203+CJ236*CJ203+CK236*CK203</f>
        <v>0</v>
      </c>
      <c r="CO203" s="2295">
        <f>E237*E203+F237*F203+G237*G203+H237*H203+I237*I203+J237*J203+K237*K203+L237*L203+M237*M203+N237*N203+O237*O203+P237*P203+Q237*Q203+R237*R203+S237*S203+T237*T203+U237*U203+V237*V203+W237*W203+X237*X203+Y237*Y203+Z237*Z203+AA237*AA203+AB237*AB203+AC237*AC203+AD237*AD203+AE237*AE203+AF237*AF203+AG237*AG203+AH237*AH203+AI237*AI203+AJ237*AJ203+AK237*AK203+AL237*AL203+AM237*AM203+AN237*AN203+AO237*AO203+AP237*AP203+AQ237*AQ203+AR237*AR203+AS237*AS203+AT237*AT203+AU237*AU203+AV237*AV203+AW237*AW203+AX237*AX203+AY237*AY203+AZ237*AZ203+BA237*BA203+BB237*BB203+BC237*BC203+BD237*BD203+BE237*BE203+BF237*BF203+BG237*BG203+BH237*BH203+BI237*BI203+BJ237*BJ203+BK237*BK203+BL237*BL203+BM237*BM203+BN237*BN203+BO237*BO203+BP237*BP203+BQ237*BQ203+BR237*BR203+BS237*BS203+BT237*BT203+BU237*BU203+BV237*BV203+BW237*BW203+BX237*BX203+BY237*BY203+BZ237*BZ203+CA237*CA203+CB237*CB203+CC237*CC203+CD237*CD203+CE237*CE203+CF237*CF203+CG237*CG203+CH237*CH203+CI237*CI203+CJ237*CJ203+CK237*CK203</f>
        <v>0</v>
      </c>
      <c r="CP203" s="2296">
        <f>E238*E203+F238*F203+G238*G203+H238*H203+I238*I203+J238*J203+K238*K203+L238*L203+M238*M203+N238*N203+O238*O203+P238*P203+Q238*Q203+R238*R203+S238*S203+T238*T203+U238*U203+V238*V203+W238*W203+X238*X203+Y238*Y203+Z238*Z203+AA238*AA203+AB238*AB203+AC238*AC203+AD238*AD203+AE238*AE203+AF238*AF203+AG238*AG203+AH238*AH203+AI238*AI203+AJ238*AJ203+AK238*AK203+AL238*AL203+AM238*AM203+AN238*AN203+AO238*AO203+AP238*AP203+AQ238*AQ203+AR238*AR203+AS238*AS203+AT238*AT203+AU238*AU203+AV238*AV203+AW238*AW203+AX238*AX203+AY238*AY203+AZ238*AZ203+BA238*BA203+BB238*BB203+BC238*BC203+BD238*BD203+BE238*BE203+BF238*BF203+BG238*BG203+BH238*BH203+BI238*BI203+BJ238*BJ203+BK238*BK203+BL238*BL203+BM238*BM203+BN238*BN203+BO238*BO203+BP238*BP203+BQ238*BQ203+BR238*BR203+BS238*BS203+BT238*BT203+BU238*BU203+BV238*BV203+BW238*BW203+BX238*BX203+BY238*BY203+BZ238*BZ203+CA238*CA203+CB238*CB203+CC238*CC203+CD238*CD203+CE238*CE203+CF238*CF203+CG238*CG203+CH238*CH203+CI238*CI203+CJ238*CJ203+CK238*CK203</f>
        <v>0</v>
      </c>
      <c r="CQ203" s="2297">
        <f>E239*E203+F239*F203+G239*G203+H239*H203+I239*I203+J239*J203+K239*K203+L239*L203+M239*M203+N239*N203+O239*O203+P239*P203+Q239*Q203+R239*R203+S239*S203+T239*T203+U239*U203+V239*V203+W239*W203+X239*X203+Y239*Y203+Z239*Z203+AA239*AA203+AB239*AB203+AC239*AC203+AD239*AD203+AE239*AE203+AF239*AF203+AG239*AG203+AH239*AH203+AI239*AI203+AJ239*AJ203+AK239*AK203+AL239*AL203+AM239*AM203+AN239*AN203+AO239*AO203+AP239*AP203+AQ239*AQ203+AR239*AR203+AS239*AS203+AT239*AT203+AU239*AU203+AV239*AV203+AW239*AW203+AX239*AX203+AY239*AY203+AZ239*AZ203+BA239*BA203+BB239*BB203+BC239*BC203+BD239*BD203+BE239*BE203+BF239*BF203+BG239*BG203+BH239*BH203+BI239*BI203+BJ239*BJ203+BK239*BK203+BL239*BL203+BM239*BM203+BN239*BN203+BO239*BO203+BP239*BP203+BQ239*BQ203+BR239*BR203+BS239*BS203+BT239*BT203+BU239*BU203+BV239*BV203+BW239*BW203+BX239*BX203+BY239*BY203+BZ239*BZ203+CA239*CA203+CB239*CB203+CC239*CC203+CD239*CD203+CE239*CE203+CF239*CF203+CG239*CG203+CH239*CH203+CI239*CI203+CJ239*CJ203+CK239*CK203</f>
        <v>2.7755575615628914E-17</v>
      </c>
      <c r="CR203" s="2297">
        <f>E240*E203+F240*F203+G240*G203+H240*H203+I240*I203+J240*J203+K240*K203+L240*L203+M240*M203+N240*N203+O240*O203+P240*P203+Q240*Q203+R240*R203+S240*S203+T240*T203+U240*U203+V240*V203+W240*W203+X240*X203+Y240*Y203+Z240*Z203+AA240*AA203+AB240*AB203+AC240*AC203+AD240*AD203+AE240*AE203+AF240*AF203+AG240*AG203+AH240*AH203+AI240*AI203+AJ240*AJ203+AK240*AK203+AL240*AL203+AM240*AM203+AN240*AN203+AO240*AO203+AP240*AP203+AQ240*AQ203+AR240*AR203+AS240*AS203+AT240*AT203+AU240*AU203+AV240*AV203+AW240*AW203+AX240*AX203+AY240*AY203+AZ240*AZ203+BA240*BA203+BB240*BB203+BC240*BC203+BD240*BD203+BE240*BE203+BF240*BF203+BG240*BG203+BH240*BH203+BI240*BI203+BJ240*BJ203+BK240*BK203+BL240*BL203+BM240*BM203+BN240*BN203+BO240*BO203+BP240*BP203+BQ240*BQ203+BR240*BR203+BS240*BS203+BT240*BT203+BU240*BU203+BV240*BV203+BW240*BW203+BX240*BX203+BY240*BY203+BZ240*BZ203+CA240*CA203+CB240*CB203+CC240*CC203+CD240*CD203+CE240*CE203+CF240*CF203+CG240*CG203+CH240*CH203+CI240*CI203+CJ240*CJ203+CK240*CK203</f>
        <v>0</v>
      </c>
      <c r="CS203" s="2297">
        <f>E241*E203+F241*F203+G241*G203+H241*H203+I241*I203+J241*J203+K241*K203+L241*L203+M241*M203+N241*N203+O241*O203+P241*P203+Q241*Q203+R241*R203+S241*S203+T241*T203+U241*U203+V241*V203+W241*W203+X241*X203+Y241*Y203+Z241*Z203+AA241*AA203+AB241*AB203+AC241*AC203+AD241*AD203+AE241*AE203+AF241*AF203+AG241*AG203+AH241*AH203+AI241*AI203+AJ241*AJ203+AK241*AK203+AL241*AL203+AM241*AM203+AN241*AN203+AO241*AO203+AP241*AP203+AQ241*AQ203+AR241*AR203+AS241*AS203+AT241*AT203+AU241*AU203+AV241*AV203+AW241*AW203+AX241*AX203+AY241*AY203+AZ241*AZ203+BA241*BA203+BB241*BB203+BC241*BC203+BD241*BD203+BE241*BE203+BF241*BF203+BG241*BG203+BH241*BH203+BI241*BI203+BJ241*BJ203+BK241*BK203+BL241*BL203+BM241*BM203+BN241*BN203+BO241*BO203+BP241*BP203+BQ241*BQ203+BR241*BR203+BS241*BS203+BT241*BT203+BU241*BU203+BV241*BV203+BW241*BW203+BX241*BX203+BY241*BY203+BZ241*BZ203+CA241*CA203+CB241*CB203+CC241*CC203+CD241*CD203+CE241*CE203+CF241*CF203+CG241*CG203+CH241*CH203+CI241*CI203+CJ241*CJ203+CK241*CK203</f>
        <v>0</v>
      </c>
      <c r="CT203" s="2297">
        <f>E242*E203+F242*F203+G242*G203+H242*H203+I242*I203+J242*J203+K242*K203+L242*L203+M242*M203+N242*N203+O242*O203+P242*P203+Q242*Q203+R242*R203+S242*S203+T242*T203+U242*U203+V242*V203+W242*W203+X242*X203+Y242*Y203+Z242*Z203+AA242*AA203+AB242*AB203+AC242*AC203+AD242*AD203+AE242*AE203+AF242*AF203+AG242*AG203+AH242*AH203+AI242*AI203+AJ242*AJ203+AK242*AK203+AL242*AL203+AM242*AM203+AN242*AN203+AO242*AO203+AP242*AP203+AQ242*AQ203+AR242*AR203+AS242*AS203+AT242*AT203+AU242*AU203+AV242*AV203+AW242*AW203+AX242*AX203+AY242*AY203+AZ242*AZ203+BA242*BA203+BB242*BB203+BC242*BC203+BD242*BD203+BE242*BE203+BF242*BF203+BG242*BG203+BH242*BH203+BI242*BI203+BJ242*BJ203+BK242*BK203+BL242*BL203+BM242*BM203+BN242*BN203+BO242*BO203+BP242*BP203+BQ242*BQ203+BR242*BR203+BS242*BS203+BT242*BT203+BU242*BU203+BV242*BV203+BW242*BW203+BX242*BX203+BY242*BY203+BZ242*BZ203+CA242*CA203+CB242*CB203+CC242*CC203+CD242*CD203+CE242*CE203+CF242*CF203+CG242*CG203+CH242*CH203+CI242*CI203+CJ242*CJ203+CK242*CK203</f>
        <v>0</v>
      </c>
      <c r="CU203" s="2297">
        <f>E243*E203+F243*F203+G243*G203+H243*H203+I243*I203+J243*J203+K243*K203+L243*L203+M243*M203+N243*N203+O243*O203+P243*P203+Q243*Q203+R243*R203+S243*S203+T243*T203+U243*U203+V243*V203+W243*W203+X243*X203+Y243*Y203+Z243*Z203+AA243*AA203+AB243*AB203+AC243*AC203+AD243*AD203+AE243*AE203+AF243*AF203+AG243*AG203+AH243*AH203+AI243*AI203+AJ243*AJ203+AK243*AK203+AL243*AL203+AM243*AM203+AN243*AN203+AO243*AO203+AP243*AP203+AQ243*AQ203+AR243*AR203+AS243*AS203+AT243*AT203+AU243*AU203+AV243*AV203+AW243*AW203+AX243*AX203+AY243*AY203+AZ243*AZ203+BA243*BA203+BB243*BB203+BC243*BC203+BD243*BD203+BE243*BE203+BF243*BF203+BG243*BG203+BH243*BH203+BI243*BI203+BJ243*BJ203+BK243*BK203+BL243*BL203+BM243*BM203+BN243*BN203+BO243*BO203+BP243*BP203+BQ243*BQ203+BR243*BR203+BS243*BS203+BT243*BT203+BU243*BU203+BV243*BV203+BW243*BW203+BX243*BX203+BY243*BY203+BZ243*BZ203+CA243*CA203+CB243*CB203+CC243*CC203+CD243*CD203+CE243*CE203+CF243*CF203+CG243*CG203+CH243*CH203+CI243*CI203+CJ243*CJ203+CK243*CK203</f>
        <v>0</v>
      </c>
      <c r="CV203" s="2297">
        <f>E244*E203+F244*F203+G244*G203+H244*H203+I244*I203+J244*J203+K244*K203+L244*L203+M244*M203+N244*N203+O244*O203+P244*P203+Q244*Q203+R244*R203+S244*S203+T244*T203+U244*U203+V244*V203+W244*W203+X244*X203+Y244*Y203+Z244*Z203+AA244*AA203+AB244*AB203+AC244*AC203+AD244*AD203+AE244*AE203+AF244*AF203+AG244*AG203+AH244*AH203+AI244*AI203+AJ244*AJ203+AK244*AK203+AL244*AL203+AM244*AM203+AN244*AN203+AO244*AO203+AP244*AP203+AQ244*AQ203+AR244*AR203+AS244*AS203+AT244*AT203+AU244*AU203+AV244*AV203+AW244*AW203+AX244*AX203+AY244*AY203+AZ244*AZ203+BA244*BA203+BB244*BB203+BC244*BC203+BD244*BD203+BE244*BE203+BF244*BF203+BG244*BG203+BH244*BH203+BI244*BI203+BJ244*BJ203+BK244*BK203+BL244*BL203+BM244*BM203+BN244*BN203+BO244*BO203+BP244*BP203+BQ244*BQ203+BR244*BR203+BS244*BS203+BT244*BT203+BU244*BU203+BV244*BV203+BW244*BW203+BX244*BX203+BY244*BY203+BZ244*BZ203+CA244*CA203+CB244*CB203+CC244*CC203+CD244*CD203+CE244*CE203+CF244*CF203+CG244*CG203+CH244*CH203+CI244*CI203+CJ244*CJ203+CK244*CK203</f>
        <v>0</v>
      </c>
      <c r="CW203" s="2297">
        <f>E245*E203+F245*F203+G245*G203+H245*H203+I245*I203+J245*J203+K245*K203+L245*L203+M245*M203+N245*N203+O245*O203+P245*P203+Q245*Q203+R245*R203+S245*S203+T245*T203+U245*U203+V245*V203+W245*W203+X245*X203+Y245*Y203+Z245*Z203+AA245*AA203+AB245*AB203+AC245*AC203+AD245*AD203+AE245*AE203+AF245*AF203+AG245*AG203+AH245*AH203+AI245*AI203+AJ245*AJ203+AK245*AK203+AL245*AL203+AM245*AM203+AN245*AN203+AO245*AO203+AP245*AP203+AQ245*AQ203+AR245*AR203+AS245*AS203+AT245*AT203+AU245*AU203+AV245*AV203+AW245*AW203+AX245*AX203+AY245*AY203+AZ245*AZ203+BA245*BA203+BB245*BB203+BC245*BC203+BD245*BD203+BE245*BE203+BF245*BF203+BG245*BG203+BH245*BH203+BI245*BI203+BJ245*BJ203+BK245*BK203+BL245*BL203+BM245*BM203+BN245*BN203+BO245*BO203+BP245*BP203+BQ245*BQ203+BR245*BR203+BS245*BS203+BT245*BT203+BU245*BU203+BV245*BV203+BW245*BW203+BX245*BX203+BY245*BY203+BZ245*BZ203+CA245*CA203+CB245*CB203+CC245*CC203+CD245*CD203+CE245*CE203+CF245*CF203+CG245*CG203+CH245*CH203+CI245*CI203+CJ245*CJ203+CK245*CK203</f>
        <v>0</v>
      </c>
      <c r="CX203" s="2297">
        <f>E246*E203+F246*F203+G246*G203+H246*H203+I246*I203+J246*J203+K246*K203+L246*L203+M246*M203+N246*N203+O246*O203+P246*P203+Q246*Q203+R246*R203+S246*S203+T246*T203+U246*U203+V246*V203+W246*W203+X246*X203+Y246*Y203+Z246*Z203+AA246*AA203+AB246*AB203+AC246*AC203+AD246*AD203+AE246*AE203+AF246*AF203+AG246*AG203+AH246*AH203+AI246*AI203+AJ246*AJ203+AK246*AK203+AL246*AL203+AM246*AM203+AN246*AN203+AO246*AO203+AP246*AP203+AQ246*AQ203+AR246*AR203+AS246*AS203+AT246*AT203+AU246*AU203+AV246*AV203+AW246*AW203+AX246*AX203+AY246*AY203+AZ246*AZ203+BA246*BA203+BB246*BB203+BC246*BC203+BD246*BD203+BE246*BE203+BF246*BF203+BG246*BG203+BH246*BH203+BI246*BI203+BJ246*BJ203+BK246*BK203+BL246*BL203+BM246*BM203+BN246*BN203+BO246*BO203+BP246*BP203+BQ246*BQ203+BR246*BR203+BS246*BS203+BT246*BT203+BU246*BU203+BV246*BV203+BW246*BW203+BX246*BX203+BY246*BY203+BZ246*BZ203+CA246*CA203+CB246*CB203+CC246*CC203+CD246*CD203+CE246*CE203+CF246*CF203+CG246*CG203+CH246*CH203+CI246*CI203+CJ246*CJ203+CK246*CK203</f>
        <v>0</v>
      </c>
    </row>
    <row r="204" spans="2:102" ht="18" x14ac:dyDescent="0.25">
      <c r="B204" s="1970">
        <v>77</v>
      </c>
      <c r="C204" s="1971" t="s">
        <v>2966</v>
      </c>
      <c r="D204" s="624" t="s">
        <v>1687</v>
      </c>
      <c r="E204" s="2674">
        <f>-E_EQFe2*S_VFA/(S_B+S_VFA)</f>
        <v>-1.4183529553600002E-3</v>
      </c>
      <c r="F204" s="2674">
        <f>-E_EQFe2*S_B/(S_B+S_VFA)</f>
        <v>-0.14183529553600002</v>
      </c>
      <c r="G204" s="2675">
        <f>0</f>
        <v>0</v>
      </c>
      <c r="H204" s="2675">
        <f>0</f>
        <v>0</v>
      </c>
      <c r="I204" s="2675">
        <f>0</f>
        <v>0</v>
      </c>
      <c r="J204" s="2695">
        <f>0</f>
        <v>0</v>
      </c>
      <c r="K204" s="2675">
        <f>0</f>
        <v>0</v>
      </c>
      <c r="L204" s="2675">
        <f>0</f>
        <v>0</v>
      </c>
      <c r="M204" s="2675">
        <f>0</f>
        <v>0</v>
      </c>
      <c r="N204" s="2675">
        <f>0</f>
        <v>0</v>
      </c>
      <c r="O204" s="2675">
        <f>0</f>
        <v>0</v>
      </c>
      <c r="P204" s="2675">
        <f>0</f>
        <v>0</v>
      </c>
      <c r="Q204" s="2675">
        <f>0</f>
        <v>0</v>
      </c>
      <c r="R204" s="2674">
        <f>0</f>
        <v>0</v>
      </c>
      <c r="S204" s="2675">
        <f>0</f>
        <v>0</v>
      </c>
      <c r="T204" s="2675">
        <f>0</f>
        <v>0</v>
      </c>
      <c r="U204" s="2675">
        <f>0</f>
        <v>0</v>
      </c>
      <c r="V204" s="2675">
        <f>0</f>
        <v>0</v>
      </c>
      <c r="W204" s="2675">
        <f>0</f>
        <v>0</v>
      </c>
      <c r="X204" s="2675">
        <f>0</f>
        <v>0</v>
      </c>
      <c r="Y204" s="2675">
        <f>0</f>
        <v>0</v>
      </c>
      <c r="Z204" s="2721">
        <f>0</f>
        <v>0</v>
      </c>
      <c r="AA204" s="2675">
        <f>0</f>
        <v>0</v>
      </c>
      <c r="AB204" s="2675">
        <f>0</f>
        <v>0</v>
      </c>
      <c r="AC204" s="2675">
        <f>0</f>
        <v>0</v>
      </c>
      <c r="AD204" s="2675">
        <f>0</f>
        <v>0</v>
      </c>
      <c r="AE204" s="2675">
        <f>0</f>
        <v>0</v>
      </c>
      <c r="AF204" s="2675">
        <f>0</f>
        <v>0</v>
      </c>
      <c r="AG204" s="2695">
        <f>0</f>
        <v>0</v>
      </c>
      <c r="AH204" s="2675">
        <f>0</f>
        <v>0</v>
      </c>
      <c r="AI204" s="2733">
        <f>X_HFO_P/X_HFO</f>
        <v>1.5529865549288207E-48</v>
      </c>
      <c r="AJ204" s="2675">
        <f>0</f>
        <v>0</v>
      </c>
      <c r="AK204" s="2675">
        <f>0</f>
        <v>0</v>
      </c>
      <c r="AL204" s="2675">
        <f>0</f>
        <v>0</v>
      </c>
      <c r="AM204" s="2695">
        <f>0</f>
        <v>0</v>
      </c>
      <c r="AN204" s="2675">
        <f>0</f>
        <v>0</v>
      </c>
      <c r="AO204" s="2675">
        <f>0</f>
        <v>0</v>
      </c>
      <c r="AP204" s="2675">
        <f>0</f>
        <v>0</v>
      </c>
      <c r="AQ204" s="2675">
        <f>0</f>
        <v>0</v>
      </c>
      <c r="AR204" s="2674">
        <f>i_CIT_SB*E_EQFe2*S_B/(S_B+S_VFA)+i_CIT_VFA*E_EQFe2*S_VFA/(S_B+S_VFA)</f>
        <v>4.1096776881556003E-2</v>
      </c>
      <c r="AS204" s="2675">
        <f>0</f>
        <v>0</v>
      </c>
      <c r="AT204" s="2675">
        <f>0</f>
        <v>0</v>
      </c>
      <c r="AU204" s="2675">
        <f>0</f>
        <v>0</v>
      </c>
      <c r="AV204" s="2675">
        <f>0</f>
        <v>0</v>
      </c>
      <c r="AW204" s="2675">
        <f>0</f>
        <v>0</v>
      </c>
      <c r="AX204" s="2675">
        <f>0</f>
        <v>0</v>
      </c>
      <c r="AY204" s="2674">
        <f>1</f>
        <v>1</v>
      </c>
      <c r="AZ204" s="2733">
        <f>-X_HFO_H/X_HFO</f>
        <v>-9.9999999999999997E-49</v>
      </c>
      <c r="BA204" s="2733">
        <f>-X_HFO_L/X_HFO</f>
        <v>-9.9999999999999997E-49</v>
      </c>
      <c r="BB204" s="2733">
        <f>-X_HFO_old/X_HFO</f>
        <v>-1</v>
      </c>
      <c r="BC204" s="2733">
        <f>-X_HFO_H_P/X_HFO</f>
        <v>-9.9999999999999997E-49</v>
      </c>
      <c r="BD204" s="2733">
        <f>-X_HFO_L_P/X_HFO</f>
        <v>-9.9999999999999997E-49</v>
      </c>
      <c r="BE204" s="2733">
        <f>-X_HFO_H_P_old/X_HFO</f>
        <v>-9.9999999999999997E-49</v>
      </c>
      <c r="BF204" s="2733">
        <f>-X_HFO_L_P_old/X_HFO</f>
        <v>-9.9999999999999997E-49</v>
      </c>
      <c r="BG204" s="2733">
        <f>0</f>
        <v>0</v>
      </c>
      <c r="BH204" s="2733">
        <f>0</f>
        <v>0</v>
      </c>
      <c r="BI204" s="2733">
        <f>0</f>
        <v>0</v>
      </c>
      <c r="BJ204" s="2733">
        <f>0</f>
        <v>0</v>
      </c>
      <c r="BK204" s="2733">
        <f>0</f>
        <v>0</v>
      </c>
      <c r="BL204" s="2733">
        <f>0</f>
        <v>0</v>
      </c>
      <c r="BM204" s="2733">
        <f>0</f>
        <v>0</v>
      </c>
      <c r="BN204" s="2674">
        <f>0</f>
        <v>0</v>
      </c>
      <c r="BO204" s="2674">
        <f>0</f>
        <v>0</v>
      </c>
      <c r="BP204" s="2763">
        <f>0</f>
        <v>0</v>
      </c>
      <c r="BQ204" s="2674">
        <f>0</f>
        <v>0</v>
      </c>
      <c r="BR204" s="2674">
        <f>0</f>
        <v>0</v>
      </c>
      <c r="BS204" s="2771">
        <f>0</f>
        <v>0</v>
      </c>
      <c r="BT204" s="2771">
        <f>0</f>
        <v>0</v>
      </c>
      <c r="BU204" s="2771">
        <f>0</f>
        <v>0</v>
      </c>
      <c r="BV204" s="2771">
        <f>0</f>
        <v>0</v>
      </c>
      <c r="BW204" s="2674">
        <f>0</f>
        <v>0</v>
      </c>
      <c r="BX204" s="2785">
        <f>0</f>
        <v>0</v>
      </c>
      <c r="BY204" s="2771">
        <f>0</f>
        <v>0</v>
      </c>
      <c r="BZ204" s="2674">
        <f>0</f>
        <v>0</v>
      </c>
      <c r="CA204" s="2674">
        <f>0</f>
        <v>0</v>
      </c>
      <c r="CB204" s="2674">
        <f>0</f>
        <v>0</v>
      </c>
      <c r="CC204" s="2674">
        <f>0</f>
        <v>0</v>
      </c>
      <c r="CD204" s="2674">
        <f>0</f>
        <v>0</v>
      </c>
      <c r="CE204" s="2674">
        <f>0</f>
        <v>0</v>
      </c>
      <c r="CF204" s="2674">
        <f>0</f>
        <v>0</v>
      </c>
      <c r="CG204" s="2674">
        <f>0</f>
        <v>0</v>
      </c>
      <c r="CH204" s="2674">
        <f>0</f>
        <v>0</v>
      </c>
      <c r="CI204" s="2674">
        <f>0</f>
        <v>0</v>
      </c>
      <c r="CJ204" s="2674">
        <f>0</f>
        <v>0</v>
      </c>
      <c r="CK204" s="2674">
        <f>0</f>
        <v>0</v>
      </c>
      <c r="CL204" s="2816">
        <f>q_HFO_RED_T*X_HFO*L_oginhORP_HFO*(M_satSB_KSB+M_satSVFA_KVFA)</f>
        <v>6.8384401301643267E-20</v>
      </c>
      <c r="CN204" s="2295">
        <f>E236*E204+F236*F204+G236*G204+H236*H204+I236*I204+J236*J204+K236*K204+L236*L204+M236*M204+N236*N204+O236*O204+P236*P204+Q236*Q204+R236*R204+S236*S204+T236*T204+U236*U204+V236*V204+W236*W204+X236*X204+Y236*Y204+Z236*Z204+AA236*AA204+AB236*AB204+AC236*AC204+AD236*AD204+AE236*AE204+AF236*AF204+AG236*AG204+AH236*AH204+AI236*AI204+AJ236*AJ204+AK236*AK204+AL236*AL204+AM236*AM204+AN236*AN204+AO236*AO204+AP236*AP204+AQ236*AQ204+AR236*AR204+AS236*AS204+AT236*AT204+AU236*AU204+AV236*AV204+AW236*AW204+AX236*AX204+AY236*AY204+AZ236*AZ204+BA236*BA204+BB236*BB204+BC236*BC204+BD236*BD204+BE236*BE204+BF236*BF204+BG236*BG204+BH236*BH204+BI236*BI204+BJ236*BJ204+BK236*BK204+BL236*BL204+BM236*BM204+BN236*BN204+BO236*BO204+BP236*BP204+BQ236*BQ204+BR236*BR204+BS236*BS204+BT236*BT204+BU236*BU204+BV236*BV204+BW236*BW204+BX236*BX204+BY236*BY204+BZ236*BZ204+CA236*CA204+CB236*CB204+CC236*CC204+CD236*CD204+CE236*CE204+CF236*CF204+CG236*CG204+CH236*CH204+CI236*CI204+CJ236*CJ204+CK236*CK204</f>
        <v>0</v>
      </c>
      <c r="CO204" s="2295">
        <f>E237*E204+F237*F204+G237*G204+H237*H204+I237*I204+J237*J204+K237*K204+L237*L204+M237*M204+N237*N204+O237*O204+P237*P204+Q237*Q204+R237*R204+S237*S204+T237*T204+U237*U204+V237*V204+W237*W204+X237*X204+Y237*Y204+Z237*Z204+AA237*AA204+AB237*AB204+AC237*AC204+AD237*AD204+AE237*AE204+AF237*AF204+AG237*AG204+AH237*AH204+AI237*AI204+AJ237*AJ204+AK237*AK204+AL237*AL204+AM237*AM204+AN237*AN204+AO237*AO204+AP237*AP204+AQ237*AQ204+AR237*AR204+AS237*AS204+AT237*AT204+AU237*AU204+AV237*AV204+AW237*AW204+AX237*AX204+AY237*AY204+AZ237*AZ204+BA237*BA204+BB237*BB204+BC237*BC204+BD237*BD204+BE237*BE204+BF237*BF204+BG237*BG204+BH237*BH204+BI237*BI204+BJ237*BJ204+BK237*BK204+BL237*BL204+BM237*BM204+BN237*BN204+BO237*BO204+BP237*BP204+BQ237*BQ204+BR237*BR204+BS237*BS204+BT237*BT204+BU237*BU204+BV237*BV204+BW237*BW204+BX237*BX204+BY237*BY204+BZ237*BZ204+CA237*CA204+CB237*CB204+CC237*CC204+CD237*CD204+CE237*CE204+CF237*CF204+CG237*CG204+CH237*CH204+CI237*CI204+CJ237*CJ204+CK237*CK204</f>
        <v>0</v>
      </c>
      <c r="CP204" s="2296">
        <f>E238*E204+F238*F204+G238*G204+H238*H204+I238*I204+J238*J204+K238*K204+L238*L204+M238*M204+N238*N204+O238*O204+P238*P204+Q238*Q204+R238*R204+S238*S204+T238*T204+U238*U204+V238*V204+W238*W204+X238*X204+Y238*Y204+Z238*Z204+AA238*AA204+AB238*AB204+AC238*AC204+AD238*AD204+AE238*AE204+AF238*AF204+AG238*AG204+AH238*AH204+AI238*AI204+AJ238*AJ204+AK238*AK204+AL238*AL204+AM238*AM204+AN238*AN204+AO238*AO204+AP238*AP204+AQ238*AQ204+AR238*AR204+AS238*AS204+AT238*AT204+AU238*AU204+AV238*AV204+AW238*AW204+AX238*AX204+AY238*AY204+AZ238*AZ204+BA238*BA204+BB238*BB204+BC238*BC204+BD238*BD204+BE238*BE204+BF238*BF204+BG238*BG204+BH238*BH204+BI238*BI204+BJ238*BJ204+BK238*BK204+BL238*BL204+BM238*BM204+BN238*BN204+BO238*BO204+BP238*BP204+BQ238*BQ204+BR238*BR204+BS238*BS204+BT238*BT204+BU238*BU204+BV238*BV204+BW238*BW204+BX238*BX204+BY238*BY204+BZ238*BZ204+CA238*CA204+CB238*CB204+CC238*CC204+CD238*CD204+CE238*CE204+CF238*CF204+CG238*CG204+CH238*CH204+CI238*CI204+CJ238*CJ204+CK238*CK204</f>
        <v>0</v>
      </c>
      <c r="CQ204" s="2297">
        <f>E239*E204+F239*F204+G239*G204+H239*H204+I239*I204+J239*J204+K239*K204+L239*L204+M239*M204+N239*N204+O239*O204+P239*P204+Q239*Q204+R239*R204+S239*S204+T239*T204+U239*U204+V239*V204+W239*W204+X239*X204+Y239*Y204+Z239*Z204+AA239*AA204+AB239*AB204+AC239*AC204+AD239*AD204+AE239*AE204+AF239*AF204+AG239*AG204+AH239*AH204+AI239*AI204+AJ239*AJ204+AK239*AK204+AL239*AL204+AM239*AM204+AN239*AN204+AO239*AO204+AP239*AP204+AQ239*AQ204+AR239*AR204+AS239*AS204+AT239*AT204+AU239*AU204+AV239*AV204+AW239*AW204+AX239*AX204+AY239*AY204+AZ239*AZ204+BA239*BA204+BB239*BB204+BC239*BC204+BD239*BD204+BE239*BE204+BF239*BF204+BG239*BG204+BH239*BH204+BI239*BI204+BJ239*BJ204+BK239*BK204+BL239*BL204+BM239*BM204+BN239*BN204+BO239*BO204+BP239*BP204+BQ239*BQ204+BR239*BR204+BS239*BS204+BT239*BT204+BU239*BU204+BV239*BV204+BW239*BW204+BX239*BX204+BY239*BY204+BZ239*BZ204+CA239*CA204+CB239*CB204+CC239*CC204+CD239*CD204+CE239*CE204+CF239*CF204+CG239*CG204+CH239*CH204+CI239*CI204+CJ239*CJ204+CK239*CK204</f>
        <v>0</v>
      </c>
      <c r="CR204" s="2297">
        <f>E240*E204+F240*F204+G240*G204+H240*H204+I240*I204+J240*J204+K240*K204+L240*L204+M240*M204+N240*N204+O240*O204+P240*P204+Q240*Q204+R240*R204+S240*S204+T240*T204+U240*U204+V240*V204+W240*W204+X240*X204+Y240*Y204+Z240*Z204+AA240*AA204+AB240*AB204+AC240*AC204+AD240*AD204+AE240*AE204+AF240*AF204+AG240*AG204+AH240*AH204+AI240*AI204+AJ240*AJ204+AK240*AK204+AL240*AL204+AM240*AM204+AN240*AN204+AO240*AO204+AP240*AP204+AQ240*AQ204+AR240*AR204+AS240*AS204+AT240*AT204+AU240*AU204+AV240*AV204+AW240*AW204+AX240*AX204+AY240*AY204+AZ240*AZ204+BA240*BA204+BB240*BB204+BC240*BC204+BD240*BD204+BE240*BE204+BF240*BF204+BG240*BG204+BH240*BH204+BI240*BI204+BJ240*BJ204+BK240*BK204+BL240*BL204+BM240*BM204+BN240*BN204+BO240*BO204+BP240*BP204+BQ240*BQ204+BR240*BR204+BS240*BS204+BT240*BT204+BU240*BU204+BV240*BV204+BW240*BW204+BX240*BX204+BY240*BY204+BZ240*BZ204+CA240*CA204+CB240*CB204+CC240*CC204+CD240*CD204+CE240*CE204+CF240*CF204+CG240*CG204+CH240*CH204+CI240*CI204+CJ240*CJ204+CK240*CK204</f>
        <v>0</v>
      </c>
      <c r="CS204" s="2297">
        <f>E241*E204+F241*F204+G241*G204+H241*H204+I241*I204+J241*J204+K241*K204+L241*L204+M241*M204+N241*N204+O241*O204+P241*P204+Q241*Q204+R241*R204+S241*S204+T241*T204+U241*U204+V241*V204+W241*W204+X241*X204+Y241*Y204+Z241*Z204+AA241*AA204+AB241*AB204+AC241*AC204+AD241*AD204+AE241*AE204+AF241*AF204+AG241*AG204+AH241*AH204+AI241*AI204+AJ241*AJ204+AK241*AK204+AL241*AL204+AM241*AM204+AN241*AN204+AO241*AO204+AP241*AP204+AQ241*AQ204+AR241*AR204+AS241*AS204+AT241*AT204+AU241*AU204+AV241*AV204+AW241*AW204+AX241*AX204+AY241*AY204+AZ241*AZ204+BA241*BA204+BB241*BB204+BC241*BC204+BD241*BD204+BE241*BE204+BF241*BF204+BG241*BG204+BH241*BH204+BI241*BI204+BJ241*BJ204+BK241*BK204+BL241*BL204+BM241*BM204+BN241*BN204+BO241*BO204+BP241*BP204+BQ241*BQ204+BR241*BR204+BS241*BS204+BT241*BT204+BU241*BU204+BV241*BV204+BW241*BW204+BX241*BX204+BY241*BY204+BZ241*BZ204+CA241*CA204+CB241*CB204+CC241*CC204+CD241*CD204+CE241*CE204+CF241*CF204+CG241*CG204+CH241*CH204+CI241*CI204+CJ241*CJ204+CK241*CK204</f>
        <v>0</v>
      </c>
      <c r="CT204" s="2297">
        <f>E242*E204+F242*F204+G242*G204+H242*H204+I242*I204+J242*J204+K242*K204+L242*L204+M242*M204+N242*N204+O242*O204+P242*P204+Q242*Q204+R242*R204+S242*S204+T242*T204+U242*U204+V242*V204+W242*W204+X242*X204+Y242*Y204+Z242*Z204+AA242*AA204+AB242*AB204+AC242*AC204+AD242*AD204+AE242*AE204+AF242*AF204+AG242*AG204+AH242*AH204+AI242*AI204+AJ242*AJ204+AK242*AK204+AL242*AL204+AM242*AM204+AN242*AN204+AO242*AO204+AP242*AP204+AQ242*AQ204+AR242*AR204+AS242*AS204+AT242*AT204+AU242*AU204+AV242*AV204+AW242*AW204+AX242*AX204+AY242*AY204+AZ242*AZ204+BA242*BA204+BB242*BB204+BC242*BC204+BD242*BD204+BE242*BE204+BF242*BF204+BG242*BG204+BH242*BH204+BI242*BI204+BJ242*BJ204+BK242*BK204+BL242*BL204+BM242*BM204+BN242*BN204+BO242*BO204+BP242*BP204+BQ242*BQ204+BR242*BR204+BS242*BS204+BT242*BT204+BU242*BU204+BV242*BV204+BW242*BW204+BX242*BX204+BY242*BY204+BZ242*BZ204+CA242*CA204+CB242*CB204+CC242*CC204+CD242*CD204+CE242*CE204+CF242*CF204+CG242*CG204+CH242*CH204+CI242*CI204+CJ242*CJ204+CK242*CK204</f>
        <v>0</v>
      </c>
      <c r="CU204" s="2297">
        <f>E243*E204+F243*F204+G243*G204+H243*H204+I243*I204+J243*J204+K243*K204+L243*L204+M243*M204+N243*N204+O243*O204+P243*P204+Q243*Q204+R243*R204+S243*S204+T243*T204+U243*U204+V243*V204+W243*W204+X243*X204+Y243*Y204+Z243*Z204+AA243*AA204+AB243*AB204+AC243*AC204+AD243*AD204+AE243*AE204+AF243*AF204+AG243*AG204+AH243*AH204+AI243*AI204+AJ243*AJ204+AK243*AK204+AL243*AL204+AM243*AM204+AN243*AN204+AO243*AO204+AP243*AP204+AQ243*AQ204+AR243*AR204+AS243*AS204+AT243*AT204+AU243*AU204+AV243*AV204+AW243*AW204+AX243*AX204+AY243*AY204+AZ243*AZ204+BA243*BA204+BB243*BB204+BC243*BC204+BD243*BD204+BE243*BE204+BF243*BF204+BG243*BG204+BH243*BH204+BI243*BI204+BJ243*BJ204+BK243*BK204+BL243*BL204+BM243*BM204+BN243*BN204+BO243*BO204+BP243*BP204+BQ243*BQ204+BR243*BR204+BS243*BS204+BT243*BT204+BU243*BU204+BV243*BV204+BW243*BW204+BX243*BX204+BY243*BY204+BZ243*BZ204+CA243*CA204+CB243*CB204+CC243*CC204+CD243*CD204+CE243*CE204+CF243*CF204+CG243*CG204+CH243*CH204+CI243*CI204+CJ243*CJ204+CK243*CK204</f>
        <v>0</v>
      </c>
      <c r="CV204" s="2297">
        <f>E244*E204+F244*F204+G244*G204+H244*H204+I244*I204+J244*J204+K244*K204+L244*L204+M244*M204+N244*N204+O244*O204+P244*P204+Q244*Q204+R244*R204+S244*S204+T244*T204+U244*U204+V244*V204+W244*W204+X244*X204+Y244*Y204+Z244*Z204+AA244*AA204+AB244*AB204+AC244*AC204+AD244*AD204+AE244*AE204+AF244*AF204+AG244*AG204+AH244*AH204+AI244*AI204+AJ244*AJ204+AK244*AK204+AL244*AL204+AM244*AM204+AN244*AN204+AO244*AO204+AP244*AP204+AQ244*AQ204+AR244*AR204+AS244*AS204+AT244*AT204+AU244*AU204+AV244*AV204+AW244*AW204+AX244*AX204+AY244*AY204+AZ244*AZ204+BA244*BA204+BB244*BB204+BC244*BC204+BD244*BD204+BE244*BE204+BF244*BF204+BG244*BG204+BH244*BH204+BI244*BI204+BJ244*BJ204+BK244*BK204+BL244*BL204+BM244*BM204+BN244*BN204+BO244*BO204+BP244*BP204+BQ244*BQ204+BR244*BR204+BS244*BS204+BT244*BT204+BU244*BU204+BV244*BV204+BW244*BW204+BX244*BX204+BY244*BY204+BZ244*BZ204+CA244*CA204+CB244*CB204+CC244*CC204+CD244*CD204+CE244*CE204+CF244*CF204+CG244*CG204+CH244*CH204+CI244*CI204+CJ244*CJ204+CK244*CK204</f>
        <v>0</v>
      </c>
      <c r="CW204" s="2297">
        <f>E245*E204+F245*F204+G245*G204+H245*H204+I245*I204+J245*J204+K245*K204+L245*L204+M245*M204+N245*N204+O245*O204+P245*P204+Q245*Q204+R245*R204+S245*S204+T245*T204+U245*U204+V245*V204+W245*W204+X245*X204+Y245*Y204+Z245*Z204+AA245*AA204+AB245*AB204+AC245*AC204+AD245*AD204+AE245*AE204+AF245*AF204+AG245*AG204+AH245*AH204+AI245*AI204+AJ245*AJ204+AK245*AK204+AL245*AL204+AM245*AM204+AN245*AN204+AO245*AO204+AP245*AP204+AQ245*AQ204+AR245*AR204+AS245*AS204+AT245*AT204+AU245*AU204+AV245*AV204+AW245*AW204+AX245*AX204+AY245*AY204+AZ245*AZ204+BA245*BA204+BB245*BB204+BC245*BC204+BD245*BD204+BE245*BE204+BF245*BF204+BG245*BG204+BH245*BH204+BI245*BI204+BJ245*BJ204+BK245*BK204+BL245*BL204+BM245*BM204+BN245*BN204+BO245*BO204+BP245*BP204+BQ245*BQ204+BR245*BR204+BS245*BS204+BT245*BT204+BU245*BU204+BV245*BV204+BW245*BW204+BX245*BX204+BY245*BY204+BZ245*BZ204+CA245*CA204+CB245*CB204+CC245*CC204+CD245*CD204+CE245*CE204+CF245*CF204+CG245*CG204+CH245*CH204+CI245*CI204+CJ245*CJ204+CK245*CK204</f>
        <v>-3.9999999999999999E-48</v>
      </c>
      <c r="CX204" s="2297">
        <f>E246*E204+F246*F204+G246*G204+H246*H204+I246*I204+J246*J204+K246*K204+L246*L204+M246*M204+N246*N204+O246*O204+P246*P204+Q246*Q204+R246*R204+S246*S204+T246*T204+U246*U204+V246*V204+W246*W204+X246*X204+Y246*Y204+Z246*Z204+AA246*AA204+AB246*AB204+AC246*AC204+AD246*AD204+AE246*AE204+AF246*AF204+AG246*AG204+AH246*AH204+AI246*AI204+AJ246*AJ204+AK246*AK204+AL246*AL204+AM246*AM204+AN246*AN204+AO246*AO204+AP246*AP204+AQ246*AQ204+AR246*AR204+AS246*AS204+AT246*AT204+AU246*AU204+AV246*AV204+AW246*AW204+AX246*AX204+AY246*AY204+AZ246*AZ204+BA246*BA204+BB246*BB204+BC246*BC204+BD246*BD204+BE246*BE204+BF246*BF204+BG246*BG204+BH246*BH204+BI246*BI204+BJ246*BJ204+BK246*BK204+BL246*BL204+BM246*BM204+BN246*BN204+BO246*BO204+BP246*BP204+BQ246*BQ204+BR246*BR204+BS246*BS204+BT246*BT204+BU246*BU204+BV246*BV204+BW246*BW204+BX246*BX204+BY246*BY204+BZ246*BZ204+CA246*CA204+CB246*CB204+CC246*CC204+CD246*CD204+CE246*CE204+CF246*CF204+CG246*CG204+CH246*CH204+CI246*CI204+CJ246*CJ204+CK246*CK204</f>
        <v>0</v>
      </c>
    </row>
    <row r="205" spans="2:102" ht="18" x14ac:dyDescent="0.25">
      <c r="B205" s="1972">
        <v>78</v>
      </c>
      <c r="C205" s="1973" t="s">
        <v>2967</v>
      </c>
      <c r="D205" s="1202" t="s">
        <v>1688</v>
      </c>
      <c r="E205" s="2675">
        <f>0</f>
        <v>0</v>
      </c>
      <c r="F205" s="2675">
        <f>0</f>
        <v>0</v>
      </c>
      <c r="G205" s="2675">
        <f>0</f>
        <v>0</v>
      </c>
      <c r="H205" s="2675">
        <f>0</f>
        <v>0</v>
      </c>
      <c r="I205" s="2675">
        <f>0</f>
        <v>0</v>
      </c>
      <c r="J205" s="2695">
        <f>0</f>
        <v>0</v>
      </c>
      <c r="K205" s="2675">
        <f>0</f>
        <v>0</v>
      </c>
      <c r="L205" s="2675">
        <f>0</f>
        <v>0</v>
      </c>
      <c r="M205" s="2675">
        <f>0</f>
        <v>0</v>
      </c>
      <c r="N205" s="2675">
        <f>0</f>
        <v>0</v>
      </c>
      <c r="O205" s="2675">
        <f>0</f>
        <v>0</v>
      </c>
      <c r="P205" s="2675">
        <f>0</f>
        <v>0</v>
      </c>
      <c r="Q205" s="2675">
        <f>0</f>
        <v>0</v>
      </c>
      <c r="R205" s="2674">
        <f>0</f>
        <v>0</v>
      </c>
      <c r="S205" s="2675">
        <f>0</f>
        <v>0</v>
      </c>
      <c r="T205" s="2675">
        <f>0</f>
        <v>0</v>
      </c>
      <c r="U205" s="2675">
        <f>0</f>
        <v>0</v>
      </c>
      <c r="V205" s="2675">
        <f>0</f>
        <v>0</v>
      </c>
      <c r="W205" s="2675">
        <f>0</f>
        <v>0</v>
      </c>
      <c r="X205" s="2675">
        <f>0</f>
        <v>0</v>
      </c>
      <c r="Y205" s="2675">
        <f>0</f>
        <v>0</v>
      </c>
      <c r="Z205" s="2721">
        <f>0</f>
        <v>0</v>
      </c>
      <c r="AA205" s="2675">
        <f>0</f>
        <v>0</v>
      </c>
      <c r="AB205" s="2675">
        <f>0</f>
        <v>0</v>
      </c>
      <c r="AC205" s="2675">
        <f>0</f>
        <v>0</v>
      </c>
      <c r="AD205" s="2675">
        <f>0</f>
        <v>0</v>
      </c>
      <c r="AE205" s="2675">
        <f>0</f>
        <v>0</v>
      </c>
      <c r="AF205" s="2675">
        <f>0</f>
        <v>0</v>
      </c>
      <c r="AG205" s="2695">
        <f>0</f>
        <v>0</v>
      </c>
      <c r="AH205" s="2675">
        <f>0</f>
        <v>0</v>
      </c>
      <c r="AI205" s="2674">
        <f>0</f>
        <v>0</v>
      </c>
      <c r="AJ205" s="2675">
        <f>0</f>
        <v>0</v>
      </c>
      <c r="AK205" s="2675">
        <f>0</f>
        <v>0</v>
      </c>
      <c r="AL205" s="2675">
        <f>0</f>
        <v>0</v>
      </c>
      <c r="AM205" s="2695">
        <f>0</f>
        <v>0</v>
      </c>
      <c r="AN205" s="2675">
        <f>0</f>
        <v>0</v>
      </c>
      <c r="AO205" s="2674">
        <f>-E_EQFe2</f>
        <v>-0.14325364849136002</v>
      </c>
      <c r="AP205" s="2675">
        <f>0</f>
        <v>0</v>
      </c>
      <c r="AQ205" s="2675">
        <f>0</f>
        <v>0</v>
      </c>
      <c r="AR205" s="2674">
        <f>0</f>
        <v>0</v>
      </c>
      <c r="AS205" s="2675">
        <f>0</f>
        <v>0</v>
      </c>
      <c r="AT205" s="2675">
        <f>0</f>
        <v>0</v>
      </c>
      <c r="AU205" s="2675">
        <f>0</f>
        <v>0</v>
      </c>
      <c r="AV205" s="2675">
        <f>0</f>
        <v>0</v>
      </c>
      <c r="AW205" s="2675">
        <f>0</f>
        <v>0</v>
      </c>
      <c r="AX205" s="2675">
        <f>0</f>
        <v>0</v>
      </c>
      <c r="AY205" s="2674">
        <f>-1</f>
        <v>-1</v>
      </c>
      <c r="AZ205" s="2675">
        <f>1</f>
        <v>1</v>
      </c>
      <c r="BA205" s="2675">
        <f>0</f>
        <v>0</v>
      </c>
      <c r="BB205" s="2675">
        <f>0</f>
        <v>0</v>
      </c>
      <c r="BC205" s="2674">
        <f>0</f>
        <v>0</v>
      </c>
      <c r="BD205" s="2675">
        <f>0</f>
        <v>0</v>
      </c>
      <c r="BE205" s="2674">
        <f>0</f>
        <v>0</v>
      </c>
      <c r="BF205" s="2674">
        <f>0</f>
        <v>0</v>
      </c>
      <c r="BG205" s="2675">
        <f>0</f>
        <v>0</v>
      </c>
      <c r="BH205" s="2675">
        <f>0</f>
        <v>0</v>
      </c>
      <c r="BI205" s="2675">
        <f>0</f>
        <v>0</v>
      </c>
      <c r="BJ205" s="2674">
        <f>0</f>
        <v>0</v>
      </c>
      <c r="BK205" s="2675">
        <f>0</f>
        <v>0</v>
      </c>
      <c r="BL205" s="2674">
        <f>0</f>
        <v>0</v>
      </c>
      <c r="BM205" s="2674">
        <f>0</f>
        <v>0</v>
      </c>
      <c r="BN205" s="2674">
        <f>0</f>
        <v>0</v>
      </c>
      <c r="BO205" s="2674">
        <f>0</f>
        <v>0</v>
      </c>
      <c r="BP205" s="2763">
        <f>0</f>
        <v>0</v>
      </c>
      <c r="BQ205" s="2674">
        <f>0</f>
        <v>0</v>
      </c>
      <c r="BR205" s="2674">
        <f>0</f>
        <v>0</v>
      </c>
      <c r="BS205" s="2771">
        <f>0</f>
        <v>0</v>
      </c>
      <c r="BT205" s="2771">
        <f>0</f>
        <v>0</v>
      </c>
      <c r="BU205" s="2771">
        <f>0</f>
        <v>0</v>
      </c>
      <c r="BV205" s="2771">
        <f>0</f>
        <v>0</v>
      </c>
      <c r="BW205" s="2674">
        <f>0</f>
        <v>0</v>
      </c>
      <c r="BX205" s="2785">
        <f>0</f>
        <v>0</v>
      </c>
      <c r="BY205" s="2771">
        <f>0</f>
        <v>0</v>
      </c>
      <c r="BZ205" s="2674">
        <f>0</f>
        <v>0</v>
      </c>
      <c r="CA205" s="2674">
        <f>0</f>
        <v>0</v>
      </c>
      <c r="CB205" s="2674">
        <f>0</f>
        <v>0</v>
      </c>
      <c r="CC205" s="2674">
        <f>0</f>
        <v>0</v>
      </c>
      <c r="CD205" s="2674">
        <f>0</f>
        <v>0</v>
      </c>
      <c r="CE205" s="2674">
        <f>0</f>
        <v>0</v>
      </c>
      <c r="CF205" s="2674">
        <f>0</f>
        <v>0</v>
      </c>
      <c r="CG205" s="2674">
        <f>0</f>
        <v>0</v>
      </c>
      <c r="CH205" s="2674">
        <f>0</f>
        <v>0</v>
      </c>
      <c r="CI205" s="2674">
        <f>0</f>
        <v>0</v>
      </c>
      <c r="CJ205" s="2674">
        <f>0</f>
        <v>0</v>
      </c>
      <c r="CK205" s="2674">
        <f>0</f>
        <v>0</v>
      </c>
      <c r="CL205" s="2816">
        <f>q_Fe2_OX_T*S_Fe2*M_satSO2_KO2_OHO</f>
        <v>4.6511627906976739E-49</v>
      </c>
      <c r="CN205" s="2295">
        <f>E236*E205+F236*F205+G236*G205+H236*H205+I236*I205+J236*J205+K236*K205+L236*L205+M236*M205+N236*N205+O236*O205+P236*P205+Q236*Q205+R236*R205+S236*S205+T236*T205+U236*U205+V236*V205+W236*W205+X236*X205+Y236*Y205+Z236*Z205+AA236*AA205+AB236*AB205+AC236*AC205+AD236*AD205+AE236*AE205+AF236*AF205+AG236*AG205+AH236*AH205+AI236*AI205+AJ236*AJ205+AK236*AK205+AL236*AL205+AM236*AM205+AN236*AN205+AO236*AO205+AP236*AP205+AQ236*AQ205+AR236*AR205+AS236*AS205+AT236*AT205+AU236*AU205+AV236*AV205+AW236*AW205+AX236*AX205+AY236*AY205+AZ236*AZ205+BA236*BA205+BB236*BB205+BC236*BC205+BD236*BD205+BE236*BE205+BF236*BF205+BG236*BG205+BH236*BH205+BI236*BI205+BJ236*BJ205+BK236*BK205+BL236*BL205+BM236*BM205+BN236*BN205+BO236*BO205+BP236*BP205+BQ236*BQ205+BR236*BR205+BS236*BS205+BT236*BT205+BU236*BU205+BV236*BV205+BW236*BW205+BX236*BX205+BY236*BY205+BZ236*BZ205+CA236*CA205+CB236*CB205+CC236*CC205+CD236*CD205+CE236*CE205+CF236*CF205+CG236*CG205+CH236*CH205+CI236*CI205+CJ236*CJ205+CK236*CK205</f>
        <v>0</v>
      </c>
      <c r="CO205" s="2295">
        <f>E237*E205+F237*F205+G237*G205+H237*H205+I237*I205+J237*J205+K237*K205+L237*L205+M237*M205+N237*N205+O237*O205+P237*P205+Q237*Q205+R237*R205+S237*S205+T237*T205+U237*U205+V237*V205+W237*W205+X237*X205+Y237*Y205+Z237*Z205+AA237*AA205+AB237*AB205+AC237*AC205+AD237*AD205+AE237*AE205+AF237*AF205+AG237*AG205+AH237*AH205+AI237*AI205+AJ237*AJ205+AK237*AK205+AL237*AL205+AM237*AM205+AN237*AN205+AO237*AO205+AP237*AP205+AQ237*AQ205+AR237*AR205+AS237*AS205+AT237*AT205+AU237*AU205+AV237*AV205+AW237*AW205+AX237*AX205+AY237*AY205+AZ237*AZ205+BA237*BA205+BB237*BB205+BC237*BC205+BD237*BD205+BE237*BE205+BF237*BF205+BG237*BG205+BH237*BH205+BI237*BI205+BJ237*BJ205+BK237*BK205+BL237*BL205+BM237*BM205+BN237*BN205+BO237*BO205+BP237*BP205+BQ237*BQ205+BR237*BR205+BS237*BS205+BT237*BT205+BU237*BU205+BV237*BV205+BW237*BW205+BX237*BX205+BY237*BY205+BZ237*BZ205+CA237*CA205+CB237*CB205+CC237*CC205+CD237*CD205+CE237*CE205+CF237*CF205+CG237*CG205+CH237*CH205+CI237*CI205+CJ237*CJ205+CK237*CK205</f>
        <v>0</v>
      </c>
      <c r="CP205" s="2296">
        <f>E238*E205+F238*F205+G238*G205+H238*H205+I238*I205+J238*J205+K238*K205+L238*L205+M238*M205+N238*N205+O238*O205+P238*P205+Q238*Q205+R238*R205+S238*S205+T238*T205+U238*U205+V238*V205+W238*W205+X238*X205+Y238*Y205+Z238*Z205+AA238*AA205+AB238*AB205+AC238*AC205+AD238*AD205+AE238*AE205+AF238*AF205+AG238*AG205+AH238*AH205+AI238*AI205+AJ238*AJ205+AK238*AK205+AL238*AL205+AM238*AM205+AN238*AN205+AO238*AO205+AP238*AP205+AQ238*AQ205+AR238*AR205+AS238*AS205+AT238*AT205+AU238*AU205+AV238*AV205+AW238*AW205+AX238*AX205+AY238*AY205+AZ238*AZ205+BA238*BA205+BB238*BB205+BC238*BC205+BD238*BD205+BE238*BE205+BF238*BF205+BG238*BG205+BH238*BH205+BI238*BI205+BJ238*BJ205+BK238*BK205+BL238*BL205+BM238*BM205+BN238*BN205+BO238*BO205+BP238*BP205+BQ238*BQ205+BR238*BR205+BS238*BS205+BT238*BT205+BU238*BU205+BV238*BV205+BW238*BW205+BX238*BX205+BY238*BY205+BZ238*BZ205+CA238*CA205+CB238*CB205+CC238*CC205+CD238*CD205+CE238*CE205+CF238*CF205+CG238*CG205+CH238*CH205+CI238*CI205+CJ238*CJ205+CK238*CK205</f>
        <v>0</v>
      </c>
      <c r="CQ205" s="2297">
        <f>E239*E205+F239*F205+G239*G205+H239*H205+I239*I205+J239*J205+K239*K205+L239*L205+M239*M205+N239*N205+O239*O205+P239*P205+Q239*Q205+R239*R205+S239*S205+T239*T205+U239*U205+V239*V205+W239*W205+X239*X205+Y239*Y205+Z239*Z205+AA239*AA205+AB239*AB205+AC239*AC205+AD239*AD205+AE239*AE205+AF239*AF205+AG239*AG205+AH239*AH205+AI239*AI205+AJ239*AJ205+AK239*AK205+AL239*AL205+AM239*AM205+AN239*AN205+AO239*AO205+AP239*AP205+AQ239*AQ205+AR239*AR205+AS239*AS205+AT239*AT205+AU239*AU205+AV239*AV205+AW239*AW205+AX239*AX205+AY239*AY205+AZ239*AZ205+BA239*BA205+BB239*BB205+BC239*BC205+BD239*BD205+BE239*BE205+BF239*BF205+BG239*BG205+BH239*BH205+BI239*BI205+BJ239*BJ205+BK239*BK205+BL239*BL205+BM239*BM205+BN239*BN205+BO239*BO205+BP239*BP205+BQ239*BQ205+BR239*BR205+BS239*BS205+BT239*BT205+BU239*BU205+BV239*BV205+BW239*BW205+BX239*BX205+BY239*BY205+BZ239*BZ205+CA239*CA205+CB239*CB205+CC239*CC205+CD239*CD205+CE239*CE205+CF239*CF205+CG239*CG205+CH239*CH205+CI239*CI205+CJ239*CJ205+CK239*CK205</f>
        <v>0</v>
      </c>
      <c r="CR205" s="2297">
        <f>E240*E205+F240*F205+G240*G205+H240*H205+I240*I205+J240*J205+K240*K205+L240*L205+M240*M205+N240*N205+O240*O205+P240*P205+Q240*Q205+R240*R205+S240*S205+T240*T205+U240*U205+V240*V205+W240*W205+X240*X205+Y240*Y205+Z240*Z205+AA240*AA205+AB240*AB205+AC240*AC205+AD240*AD205+AE240*AE205+AF240*AF205+AG240*AG205+AH240*AH205+AI240*AI205+AJ240*AJ205+AK240*AK205+AL240*AL205+AM240*AM205+AN240*AN205+AO240*AO205+AP240*AP205+AQ240*AQ205+AR240*AR205+AS240*AS205+AT240*AT205+AU240*AU205+AV240*AV205+AW240*AW205+AX240*AX205+AY240*AY205+AZ240*AZ205+BA240*BA205+BB240*BB205+BC240*BC205+BD240*BD205+BE240*BE205+BF240*BF205+BG240*BG205+BH240*BH205+BI240*BI205+BJ240*BJ205+BK240*BK205+BL240*BL205+BM240*BM205+BN240*BN205+BO240*BO205+BP240*BP205+BQ240*BQ205+BR240*BR205+BS240*BS205+BT240*BT205+BU240*BU205+BV240*BV205+BW240*BW205+BX240*BX205+BY240*BY205+BZ240*BZ205+CA240*CA205+CB240*CB205+CC240*CC205+CD240*CD205+CE240*CE205+CF240*CF205+CG240*CG205+CH240*CH205+CI240*CI205+CJ240*CJ205+CK240*CK205</f>
        <v>0</v>
      </c>
      <c r="CS205" s="2297">
        <f>E241*E205+F241*F205+G241*G205+H241*H205+I241*I205+J241*J205+K241*K205+L241*L205+M241*M205+N241*N205+O241*O205+P241*P205+Q241*Q205+R241*R205+S241*S205+T241*T205+U241*U205+V241*V205+W241*W205+X241*X205+Y241*Y205+Z241*Z205+AA241*AA205+AB241*AB205+AC241*AC205+AD241*AD205+AE241*AE205+AF241*AF205+AG241*AG205+AH241*AH205+AI241*AI205+AJ241*AJ205+AK241*AK205+AL241*AL205+AM241*AM205+AN241*AN205+AO241*AO205+AP241*AP205+AQ241*AQ205+AR241*AR205+AS241*AS205+AT241*AT205+AU241*AU205+AV241*AV205+AW241*AW205+AX241*AX205+AY241*AY205+AZ241*AZ205+BA241*BA205+BB241*BB205+BC241*BC205+BD241*BD205+BE241*BE205+BF241*BF205+BG241*BG205+BH241*BH205+BI241*BI205+BJ241*BJ205+BK241*BK205+BL241*BL205+BM241*BM205+BN241*BN205+BO241*BO205+BP241*BP205+BQ241*BQ205+BR241*BR205+BS241*BS205+BT241*BT205+BU241*BU205+BV241*BV205+BW241*BW205+BX241*BX205+BY241*BY205+BZ241*BZ205+CA241*CA205+CB241*CB205+CC241*CC205+CD241*CD205+CE241*CE205+CF241*CF205+CG241*CG205+CH241*CH205+CI241*CI205+CJ241*CJ205+CK241*CK205</f>
        <v>0</v>
      </c>
      <c r="CT205" s="2297">
        <f>E242*E205+F242*F205+G242*G205+H242*H205+I242*I205+J242*J205+K242*K205+L242*L205+M242*M205+N242*N205+O242*O205+P242*P205+Q242*Q205+R242*R205+S242*S205+T242*T205+U242*U205+V242*V205+W242*W205+X242*X205+Y242*Y205+Z242*Z205+AA242*AA205+AB242*AB205+AC242*AC205+AD242*AD205+AE242*AE205+AF242*AF205+AG242*AG205+AH242*AH205+AI242*AI205+AJ242*AJ205+AK242*AK205+AL242*AL205+AM242*AM205+AN242*AN205+AO242*AO205+AP242*AP205+AQ242*AQ205+AR242*AR205+AS242*AS205+AT242*AT205+AU242*AU205+AV242*AV205+AW242*AW205+AX242*AX205+AY242*AY205+AZ242*AZ205+BA242*BA205+BB242*BB205+BC242*BC205+BD242*BD205+BE242*BE205+BF242*BF205+BG242*BG205+BH242*BH205+BI242*BI205+BJ242*BJ205+BK242*BK205+BL242*BL205+BM242*BM205+BN242*BN205+BO242*BO205+BP242*BP205+BQ242*BQ205+BR242*BR205+BS242*BS205+BT242*BT205+BU242*BU205+BV242*BV205+BW242*BW205+BX242*BX205+BY242*BY205+BZ242*BZ205+CA242*CA205+CB242*CB205+CC242*CC205+CD242*CD205+CE242*CE205+CF242*CF205+CG242*CG205+CH242*CH205+CI242*CI205+CJ242*CJ205+CK242*CK205</f>
        <v>0</v>
      </c>
      <c r="CU205" s="2297">
        <f>E243*E205+F243*F205+G243*G205+H243*H205+I243*I205+J243*J205+K243*K205+L243*L205+M243*M205+N243*N205+O243*O205+P243*P205+Q243*Q205+R243*R205+S243*S205+T243*T205+U243*U205+V243*V205+W243*W205+X243*X205+Y243*Y205+Z243*Z205+AA243*AA205+AB243*AB205+AC243*AC205+AD243*AD205+AE243*AE205+AF243*AF205+AG243*AG205+AH243*AH205+AI243*AI205+AJ243*AJ205+AK243*AK205+AL243*AL205+AM243*AM205+AN243*AN205+AO243*AO205+AP243*AP205+AQ243*AQ205+AR243*AR205+AS243*AS205+AT243*AT205+AU243*AU205+AV243*AV205+AW243*AW205+AX243*AX205+AY243*AY205+AZ243*AZ205+BA243*BA205+BB243*BB205+BC243*BC205+BD243*BD205+BE243*BE205+BF243*BF205+BG243*BG205+BH243*BH205+BI243*BI205+BJ243*BJ205+BK243*BK205+BL243*BL205+BM243*BM205+BN243*BN205+BO243*BO205+BP243*BP205+BQ243*BQ205+BR243*BR205+BS243*BS205+BT243*BT205+BU243*BU205+BV243*BV205+BW243*BW205+BX243*BX205+BY243*BY205+BZ243*BZ205+CA243*CA205+CB243*CB205+CC243*CC205+CD243*CD205+CE243*CE205+CF243*CF205+CG243*CG205+CH243*CH205+CI243*CI205+CJ243*CJ205+CK243*CK205</f>
        <v>0</v>
      </c>
      <c r="CV205" s="2297">
        <f>E244*E205+F244*F205+G244*G205+H244*H205+I244*I205+J244*J205+K244*K205+L244*L205+M244*M205+N244*N205+O244*O205+P244*P205+Q244*Q205+R244*R205+S244*S205+T244*T205+U244*U205+V244*V205+W244*W205+X244*X205+Y244*Y205+Z244*Z205+AA244*AA205+AB244*AB205+AC244*AC205+AD244*AD205+AE244*AE205+AF244*AF205+AG244*AG205+AH244*AH205+AI244*AI205+AJ244*AJ205+AK244*AK205+AL244*AL205+AM244*AM205+AN244*AN205+AO244*AO205+AP244*AP205+AQ244*AQ205+AR244*AR205+AS244*AS205+AT244*AT205+AU244*AU205+AV244*AV205+AW244*AW205+AX244*AX205+AY244*AY205+AZ244*AZ205+BA244*BA205+BB244*BB205+BC244*BC205+BD244*BD205+BE244*BE205+BF244*BF205+BG244*BG205+BH244*BH205+BI244*BI205+BJ244*BJ205+BK244*BK205+BL244*BL205+BM244*BM205+BN244*BN205+BO244*BO205+BP244*BP205+BQ244*BQ205+BR244*BR205+BS244*BS205+BT244*BT205+BU244*BU205+BV244*BV205+BW244*BW205+BX244*BX205+BY244*BY205+BZ244*BZ205+CA244*CA205+CB244*CB205+CC244*CC205+CD244*CD205+CE244*CE205+CF244*CF205+CG244*CG205+CH244*CH205+CI244*CI205+CJ244*CJ205+CK244*CK205</f>
        <v>0</v>
      </c>
      <c r="CW205" s="2297">
        <f>E245*E205+F245*F205+G245*G205+H245*H205+I245*I205+J245*J205+K245*K205+L245*L205+M245*M205+N245*N205+O245*O205+P245*P205+Q245*Q205+R245*R205+S245*S205+T245*T205+U245*U205+V245*V205+W245*W205+X245*X205+Y245*Y205+Z245*Z205+AA245*AA205+AB245*AB205+AC245*AC205+AD245*AD205+AE245*AE205+AF245*AF205+AG245*AG205+AH245*AH205+AI245*AI205+AJ245*AJ205+AK245*AK205+AL245*AL205+AM245*AM205+AN245*AN205+AO245*AO205+AP245*AP205+AQ245*AQ205+AR245*AR205+AS245*AS205+AT245*AT205+AU245*AU205+AV245*AV205+AW245*AW205+AX245*AX205+AY245*AY205+AZ245*AZ205+BA245*BA205+BB245*BB205+BC245*BC205+BD245*BD205+BE245*BE205+BF245*BF205+BG245*BG205+BH245*BH205+BI245*BI205+BJ245*BJ205+BK245*BK205+BL245*BL205+BM245*BM205+BN245*BN205+BO245*BO205+BP245*BP205+BQ245*BQ205+BR245*BR205+BS245*BS205+BT245*BT205+BU245*BU205+BV245*BV205+BW245*BW205+BX245*BX205+BY245*BY205+BZ245*BZ205+CA245*CA205+CB245*CB205+CC245*CC205+CD245*CD205+CE245*CE205+CF245*CF205+CG245*CG205+CH245*CH205+CI245*CI205+CJ245*CJ205+CK245*CK205</f>
        <v>0</v>
      </c>
      <c r="CX205" s="2297">
        <f>E246*E205+F246*F205+G246*G205+H246*H205+I246*I205+J246*J205+K246*K205+L246*L205+M246*M205+N246*N205+O246*O205+P246*P205+Q246*Q205+R246*R205+S246*S205+T246*T205+U246*U205+V246*V205+W246*W205+X246*X205+Y246*Y205+Z246*Z205+AA246*AA205+AB246*AB205+AC246*AC205+AD246*AD205+AE246*AE205+AF246*AF205+AG246*AG205+AH246*AH205+AI246*AI205+AJ246*AJ205+AK246*AK205+AL246*AL205+AM246*AM205+AN246*AN205+AO246*AO205+AP246*AP205+AQ246*AQ205+AR246*AR205+AS246*AS205+AT246*AT205+AU246*AU205+AV246*AV205+AW246*AW205+AX246*AX205+AY246*AY205+AZ246*AZ205+BA246*BA205+BB246*BB205+BC246*BC205+BD246*BD205+BE246*BE205+BF246*BF205+BG246*BG205+BH246*BH205+BI246*BI205+BJ246*BJ205+BK246*BK205+BL246*BL205+BM246*BM205+BN246*BN205+BO246*BO205+BP246*BP205+BQ246*BQ205+BR246*BR205+BS246*BS205+BT246*BT205+BU246*BU205+BV246*BV205+BW246*BW205+BX246*BX205+BY246*BY205+BZ246*BZ205+CA246*CA205+CB246*CB205+CC246*CC205+CD246*CD205+CE246*CE205+CF246*CF205+CG246*CG205+CH246*CH205+CI246*CI205+CJ246*CJ205+CK246*CK205</f>
        <v>0</v>
      </c>
    </row>
    <row r="206" spans="2:102" ht="18" x14ac:dyDescent="0.25">
      <c r="B206" s="1974">
        <v>79</v>
      </c>
      <c r="C206" s="1975" t="s">
        <v>2968</v>
      </c>
      <c r="D206" s="915" t="s">
        <v>3748</v>
      </c>
      <c r="E206" s="2676">
        <f>0</f>
        <v>0</v>
      </c>
      <c r="F206" s="2676">
        <f>0</f>
        <v>0</v>
      </c>
      <c r="G206" s="2676">
        <f>0</f>
        <v>0</v>
      </c>
      <c r="H206" s="2676">
        <f>0</f>
        <v>0</v>
      </c>
      <c r="I206" s="2676">
        <f>0</f>
        <v>0</v>
      </c>
      <c r="J206" s="2693">
        <f>0</f>
        <v>0</v>
      </c>
      <c r="K206" s="2676">
        <f>0</f>
        <v>0</v>
      </c>
      <c r="L206" s="2676">
        <f>0</f>
        <v>0</v>
      </c>
      <c r="M206" s="2676">
        <f>0</f>
        <v>0</v>
      </c>
      <c r="N206" s="2676">
        <f>0</f>
        <v>0</v>
      </c>
      <c r="O206" s="2676">
        <f>0</f>
        <v>0</v>
      </c>
      <c r="P206" s="2676">
        <f>0</f>
        <v>0</v>
      </c>
      <c r="Q206" s="2676">
        <f>0</f>
        <v>0</v>
      </c>
      <c r="R206" s="2708">
        <f>0</f>
        <v>0</v>
      </c>
      <c r="S206" s="2676">
        <f>0</f>
        <v>0</v>
      </c>
      <c r="T206" s="2676">
        <f>0</f>
        <v>0</v>
      </c>
      <c r="U206" s="2676">
        <f>0</f>
        <v>0</v>
      </c>
      <c r="V206" s="2676">
        <f>0</f>
        <v>0</v>
      </c>
      <c r="W206" s="2676">
        <f>0</f>
        <v>0</v>
      </c>
      <c r="X206" s="2676">
        <f>0</f>
        <v>0</v>
      </c>
      <c r="Y206" s="2676">
        <f>0</f>
        <v>0</v>
      </c>
      <c r="Z206" s="2671">
        <f>0</f>
        <v>0</v>
      </c>
      <c r="AA206" s="2676">
        <f>0</f>
        <v>0</v>
      </c>
      <c r="AB206" s="2676">
        <f>0</f>
        <v>0</v>
      </c>
      <c r="AC206" s="2676">
        <f>0</f>
        <v>0</v>
      </c>
      <c r="AD206" s="2676">
        <f>0</f>
        <v>0</v>
      </c>
      <c r="AE206" s="2727">
        <f>0</f>
        <v>0</v>
      </c>
      <c r="AF206" s="2676">
        <f>0</f>
        <v>0</v>
      </c>
      <c r="AG206" s="2693">
        <f>0</f>
        <v>0</v>
      </c>
      <c r="AH206" s="2676">
        <f>0</f>
        <v>0</v>
      </c>
      <c r="AI206" s="2727">
        <f>0</f>
        <v>0</v>
      </c>
      <c r="AJ206" s="2676">
        <f>0</f>
        <v>0</v>
      </c>
      <c r="AK206" s="2708">
        <f>0</f>
        <v>0</v>
      </c>
      <c r="AL206" s="2676">
        <f>0</f>
        <v>0</v>
      </c>
      <c r="AM206" s="2693">
        <f>0</f>
        <v>0</v>
      </c>
      <c r="AN206" s="2676">
        <f>0</f>
        <v>0</v>
      </c>
      <c r="AO206" s="2708">
        <f>0</f>
        <v>0</v>
      </c>
      <c r="AP206" s="2676">
        <f>0</f>
        <v>0</v>
      </c>
      <c r="AQ206" s="2676">
        <f>0</f>
        <v>0</v>
      </c>
      <c r="AR206" s="2676">
        <f>0</f>
        <v>0</v>
      </c>
      <c r="AS206" s="2676">
        <f>0</f>
        <v>0</v>
      </c>
      <c r="AT206" s="2676">
        <f>0</f>
        <v>0</v>
      </c>
      <c r="AU206" s="2676">
        <f>0</f>
        <v>0</v>
      </c>
      <c r="AV206" s="2708">
        <f>0</f>
        <v>0</v>
      </c>
      <c r="AW206" s="2676">
        <f>0</f>
        <v>0</v>
      </c>
      <c r="AX206" s="2676">
        <f>0</f>
        <v>0</v>
      </c>
      <c r="AY206" s="2676">
        <f>0</f>
        <v>0</v>
      </c>
      <c r="AZ206" s="2708">
        <f>0</f>
        <v>0</v>
      </c>
      <c r="BA206" s="2676">
        <f>0</f>
        <v>0</v>
      </c>
      <c r="BB206" s="2708">
        <f>0</f>
        <v>0</v>
      </c>
      <c r="BC206" s="2708">
        <f>0</f>
        <v>0</v>
      </c>
      <c r="BD206" s="2752">
        <f>0</f>
        <v>0</v>
      </c>
      <c r="BE206" s="2752">
        <f>0</f>
        <v>0</v>
      </c>
      <c r="BF206" s="2676">
        <f>0</f>
        <v>0</v>
      </c>
      <c r="BG206" s="2752">
        <f>-X_HAO_H/(X_HAO_H+X_HAO_H_P)</f>
        <v>-0.5</v>
      </c>
      <c r="BH206" s="2752">
        <f>X_HAO_H/(X_HAO_H+X_HAO_H_P)</f>
        <v>0.5</v>
      </c>
      <c r="BI206" s="2676">
        <f>0</f>
        <v>0</v>
      </c>
      <c r="BJ206" s="2752">
        <f>-X_HAO_H_P/(X_HAO_H+X_HAO_H_P)</f>
        <v>-0.5</v>
      </c>
      <c r="BK206" s="2676">
        <f>0</f>
        <v>0</v>
      </c>
      <c r="BL206" s="2752">
        <f>X_HAO_H_P/(X_HAO_H+X_HAO_H_P)</f>
        <v>0.5</v>
      </c>
      <c r="BM206" s="2676">
        <f>0</f>
        <v>0</v>
      </c>
      <c r="BN206" s="2708">
        <f>0</f>
        <v>0</v>
      </c>
      <c r="BO206" s="2708">
        <f>0</f>
        <v>0</v>
      </c>
      <c r="BP206" s="2708">
        <f>0</f>
        <v>0</v>
      </c>
      <c r="BQ206" s="2708">
        <f>0</f>
        <v>0</v>
      </c>
      <c r="BR206" s="2708">
        <f>0</f>
        <v>0</v>
      </c>
      <c r="BS206" s="2728">
        <f>0</f>
        <v>0</v>
      </c>
      <c r="BT206" s="2728">
        <f>0</f>
        <v>0</v>
      </c>
      <c r="BU206" s="2728">
        <f>0</f>
        <v>0</v>
      </c>
      <c r="BV206" s="2728">
        <f>0</f>
        <v>0</v>
      </c>
      <c r="BW206" s="2708">
        <f>0</f>
        <v>0</v>
      </c>
      <c r="BX206" s="2786">
        <f>0</f>
        <v>0</v>
      </c>
      <c r="BY206" s="2728">
        <f>0</f>
        <v>0</v>
      </c>
      <c r="BZ206" s="2708">
        <f>0</f>
        <v>0</v>
      </c>
      <c r="CA206" s="2708">
        <f>0</f>
        <v>0</v>
      </c>
      <c r="CB206" s="2708">
        <f>0</f>
        <v>0</v>
      </c>
      <c r="CC206" s="2708">
        <f>0</f>
        <v>0</v>
      </c>
      <c r="CD206" s="2708">
        <f>0</f>
        <v>0</v>
      </c>
      <c r="CE206" s="2708">
        <f>0</f>
        <v>0</v>
      </c>
      <c r="CF206" s="2708">
        <f>0</f>
        <v>0</v>
      </c>
      <c r="CG206" s="2708">
        <f>0</f>
        <v>0</v>
      </c>
      <c r="CH206" s="2708">
        <f>0</f>
        <v>0</v>
      </c>
      <c r="CI206" s="2708">
        <f>0</f>
        <v>0</v>
      </c>
      <c r="CJ206" s="2708">
        <f>0</f>
        <v>0</v>
      </c>
      <c r="CK206" s="2708">
        <f>0</f>
        <v>0</v>
      </c>
      <c r="CL206" s="2812">
        <f>q_HAOH_AGING*(X_HAO_H+X_HAO_H_P)</f>
        <v>1.5E-48</v>
      </c>
      <c r="CN206" s="2295">
        <f>E236*E206+F236*F206+G236*G206+H236*H206+I236*I206+J236*J206+K236*K206+L236*L206+M236*M206+N236*N206+O236*O206+P236*P206+Q236*Q206+R236*R206+S236*S206+T236*T206+U236*U206+V236*V206+W236*W206+X236*X206+Y236*Y206+Z236*Z206+AA236*AA206+AB236*AB206+AC236*AC206+AD236*AD206+AE236*AE206+AF236*AF206+AG236*AG206+AH236*AH206+AI236*AI206+AJ236*AJ206+AK236*AK206+AL236*AL206+AM236*AM206+AN236*AN206+AO236*AO206+AP236*AP206+AQ236*AQ206+AR236*AR206+AS236*AS206+AT236*AT206+AU236*AU206+AV236*AV206+AW236*AW206+AX236*AX206+AY236*AY206+AZ236*AZ206+BA236*BA206+BB236*BB206+BC236*BC206+BD236*BD206+BE236*BE206+BF236*BF206+BG236*BG206+BH236*BH206+BI236*BI206+BJ236*BJ206+BK236*BK206+BL236*BL206+BM236*BM206+BN236*BN206+BO236*BO206+BP236*BP206+BQ236*BQ206+BR236*BR206+BS236*BS206+BT236*BT206+BU236*BU206+BV236*BV206+BW236*BW206+BX236*BX206+BY236*BY206+BZ236*BZ206+CA236*CA206+CB236*CB206+CC236*CC206+CD236*CD206+CE236*CE206+CF236*CF206+CG236*CG206+CH236*CH206+CI236*CI206+CJ236*CJ206+CK236*CK206</f>
        <v>0</v>
      </c>
      <c r="CO206" s="2295">
        <f>E237*E206+F237*F206+G237*G206+H237*H206+I237*I206+J237*J206+K237*K206+L237*L206+M237*M206+N237*N206+O237*O206+P237*P206+Q237*Q206+R237*R206+S237*S206+T237*T206+U237*U206+V237*V206+W237*W206+X237*X206+Y237*Y206+Z237*Z206+AA237*AA206+AB237*AB206+AC237*AC206+AD237*AD206+AE237*AE206+AF237*AF206+AG237*AG206+AH237*AH206+AI237*AI206+AJ237*AJ206+AK237*AK206+AL237*AL206+AM237*AM206+AN237*AN206+AO237*AO206+AP237*AP206+AQ237*AQ206+AR237*AR206+AS237*AS206+AT237*AT206+AU237*AU206+AV237*AV206+AW237*AW206+AX237*AX206+AY237*AY206+AZ237*AZ206+BA237*BA206+BB237*BB206+BC237*BC206+BD237*BD206+BE237*BE206+BF237*BF206+BG237*BG206+BH237*BH206+BI237*BI206+BJ237*BJ206+BK237*BK206+BL237*BL206+BM237*BM206+BN237*BN206+BO237*BO206+BP237*BP206+BQ237*BQ206+BR237*BR206+BS237*BS206+BT237*BT206+BU237*BU206+BV237*BV206+BW237*BW206+BX237*BX206+BY237*BY206+BZ237*BZ206+CA237*CA206+CB237*CB206+CC237*CC206+CD237*CD206+CE237*CE206+CF237*CF206+CG237*CG206+CH237*CH206+CI237*CI206+CJ237*CJ206+CK237*CK206</f>
        <v>0</v>
      </c>
      <c r="CP206" s="2296">
        <f>E238*E206+F238*F206+G238*G206+H238*H206+I238*I206+J238*J206+K238*K206+L238*L206+M238*M206+N238*N206+O238*O206+P238*P206+Q238*Q206+R238*R206+S238*S206+T238*T206+U238*U206+V238*V206+W238*W206+X238*X206+Y238*Y206+Z238*Z206+AA238*AA206+AB238*AB206+AC238*AC206+AD238*AD206+AE238*AE206+AF238*AF206+AG238*AG206+AH238*AH206+AI238*AI206+AJ238*AJ206+AK238*AK206+AL238*AL206+AM238*AM206+AN238*AN206+AO238*AO206+AP238*AP206+AQ238*AQ206+AR238*AR206+AS238*AS206+AT238*AT206+AU238*AU206+AV238*AV206+AW238*AW206+AX238*AX206+AY238*AY206+AZ238*AZ206+BA238*BA206+BB238*BB206+BC238*BC206+BD238*BD206+BE238*BE206+BF238*BF206+BG238*BG206+BH238*BH206+BI238*BI206+BJ238*BJ206+BK238*BK206+BL238*BL206+BM238*BM206+BN238*BN206+BO238*BO206+BP238*BP206+BQ238*BQ206+BR238*BR206+BS238*BS206+BT238*BT206+BU238*BU206+BV238*BV206+BW238*BW206+BX238*BX206+BY238*BY206+BZ238*BZ206+CA238*CA206+CB238*CB206+CC238*CC206+CD238*CD206+CE238*CE206+CF238*CF206+CG238*CG206+CH238*CH206+CI238*CI206+CJ238*CJ206+CK238*CK206</f>
        <v>0</v>
      </c>
      <c r="CQ206" s="2297">
        <f>E239*E206+F239*F206+G239*G206+H239*H206+I239*I206+J239*J206+K239*K206+L239*L206+M239*M206+N239*N206+O239*O206+P239*P206+Q239*Q206+R239*R206+S239*S206+T239*T206+U239*U206+V239*V206+W239*W206+X239*X206+Y239*Y206+Z239*Z206+AA239*AA206+AB239*AB206+AC239*AC206+AD239*AD206+AE239*AE206+AF239*AF206+AG239*AG206+AH239*AH206+AI239*AI206+AJ239*AJ206+AK239*AK206+AL239*AL206+AM239*AM206+AN239*AN206+AO239*AO206+AP239*AP206+AQ239*AQ206+AR239*AR206+AS239*AS206+AT239*AT206+AU239*AU206+AV239*AV206+AW239*AW206+AX239*AX206+AY239*AY206+AZ239*AZ206+BA239*BA206+BB239*BB206+BC239*BC206+BD239*BD206+BE239*BE206+BF239*BF206+BG239*BG206+BH239*BH206+BI239*BI206+BJ239*BJ206+BK239*BK206+BL239*BL206+BM239*BM206+BN239*BN206+BO239*BO206+BP239*BP206+BQ239*BQ206+BR239*BR206+BS239*BS206+BT239*BT206+BU239*BU206+BV239*BV206+BW239*BW206+BX239*BX206+BY239*BY206+BZ239*BZ206+CA239*CA206+CB239*CB206+CC239*CC206+CD239*CD206+CE239*CE206+CF239*CF206+CG239*CG206+CH239*CH206+CI239*CI206+CJ239*CJ206+CK239*CK206</f>
        <v>0</v>
      </c>
      <c r="CR206" s="2297">
        <f>E240*E206+F240*F206+G240*G206+H240*H206+I240*I206+J240*J206+K240*K206+L240*L206+M240*M206+N240*N206+O240*O206+P240*P206+Q240*Q206+R240*R206+S240*S206+T240*T206+U240*U206+V240*V206+W240*W206+X240*X206+Y240*Y206+Z240*Z206+AA240*AA206+AB240*AB206+AC240*AC206+AD240*AD206+AE240*AE206+AF240*AF206+AG240*AG206+AH240*AH206+AI240*AI206+AJ240*AJ206+AK240*AK206+AL240*AL206+AM240*AM206+AN240*AN206+AO240*AO206+AP240*AP206+AQ240*AQ206+AR240*AR206+AS240*AS206+AT240*AT206+AU240*AU206+AV240*AV206+AW240*AW206+AX240*AX206+AY240*AY206+AZ240*AZ206+BA240*BA206+BB240*BB206+BC240*BC206+BD240*BD206+BE240*BE206+BF240*BF206+BG240*BG206+BH240*BH206+BI240*BI206+BJ240*BJ206+BK240*BK206+BL240*BL206+BM240*BM206+BN240*BN206+BO240*BO206+BP240*BP206+BQ240*BQ206+BR240*BR206+BS240*BS206+BT240*BT206+BU240*BU206+BV240*BV206+BW240*BW206+BX240*BX206+BY240*BY206+BZ240*BZ206+CA240*CA206+CB240*CB206+CC240*CC206+CD240*CD206+CE240*CE206+CF240*CF206+CG240*CG206+CH240*CH206+CI240*CI206+CJ240*CJ206+CK240*CK206</f>
        <v>0</v>
      </c>
      <c r="CS206" s="2297">
        <f>E241*E206+F241*F206+G241*G206+H241*H206+I241*I206+J241*J206+K241*K206+L241*L206+M241*M206+N241*N206+O241*O206+P241*P206+Q241*Q206+R241*R206+S241*S206+T241*T206+U241*U206+V241*V206+W241*W206+X241*X206+Y241*Y206+Z241*Z206+AA241*AA206+AB241*AB206+AC241*AC206+AD241*AD206+AE241*AE206+AF241*AF206+AG241*AG206+AH241*AH206+AI241*AI206+AJ241*AJ206+AK241*AK206+AL241*AL206+AM241*AM206+AN241*AN206+AO241*AO206+AP241*AP206+AQ241*AQ206+AR241*AR206+AS241*AS206+AT241*AT206+AU241*AU206+AV241*AV206+AW241*AW206+AX241*AX206+AY241*AY206+AZ241*AZ206+BA241*BA206+BB241*BB206+BC241*BC206+BD241*BD206+BE241*BE206+BF241*BF206+BG241*BG206+BH241*BH206+BI241*BI206+BJ241*BJ206+BK241*BK206+BL241*BL206+BM241*BM206+BN241*BN206+BO241*BO206+BP241*BP206+BQ241*BQ206+BR241*BR206+BS241*BS206+BT241*BT206+BU241*BU206+BV241*BV206+BW241*BW206+BX241*BX206+BY241*BY206+BZ241*BZ206+CA241*CA206+CB241*CB206+CC241*CC206+CD241*CD206+CE241*CE206+CF241*CF206+CG241*CG206+CH241*CH206+CI241*CI206+CJ241*CJ206+CK241*CK206</f>
        <v>0</v>
      </c>
      <c r="CT206" s="2297">
        <f>E242*E206+F242*F206+G242*G206+H242*H206+I242*I206+J242*J206+K242*K206+L242*L206+M242*M206+N242*N206+O242*O206+P242*P206+Q242*Q206+R242*R206+S242*S206+T242*T206+U242*U206+V242*V206+W242*W206+X242*X206+Y242*Y206+Z242*Z206+AA242*AA206+AB242*AB206+AC242*AC206+AD242*AD206+AE242*AE206+AF242*AF206+AG242*AG206+AH242*AH206+AI242*AI206+AJ242*AJ206+AK242*AK206+AL242*AL206+AM242*AM206+AN242*AN206+AO242*AO206+AP242*AP206+AQ242*AQ206+AR242*AR206+AS242*AS206+AT242*AT206+AU242*AU206+AV242*AV206+AW242*AW206+AX242*AX206+AY242*AY206+AZ242*AZ206+BA242*BA206+BB242*BB206+BC242*BC206+BD242*BD206+BE242*BE206+BF242*BF206+BG242*BG206+BH242*BH206+BI242*BI206+BJ242*BJ206+BK242*BK206+BL242*BL206+BM242*BM206+BN242*BN206+BO242*BO206+BP242*BP206+BQ242*BQ206+BR242*BR206+BS242*BS206+BT242*BT206+BU242*BU206+BV242*BV206+BW242*BW206+BX242*BX206+BY242*BY206+BZ242*BZ206+CA242*CA206+CB242*CB206+CC242*CC206+CD242*CD206+CE242*CE206+CF242*CF206+CG242*CG206+CH242*CH206+CI242*CI206+CJ242*CJ206+CK242*CK206</f>
        <v>0</v>
      </c>
      <c r="CU206" s="2297">
        <f>E243*E206+F243*F206+G243*G206+H243*H206+I243*I206+J243*J206+K243*K206+L243*L206+M243*M206+N243*N206+O243*O206+P243*P206+Q243*Q206+R243*R206+S243*S206+T243*T206+U243*U206+V243*V206+W243*W206+X243*X206+Y243*Y206+Z243*Z206+AA243*AA206+AB243*AB206+AC243*AC206+AD243*AD206+AE243*AE206+AF243*AF206+AG243*AG206+AH243*AH206+AI243*AI206+AJ243*AJ206+AK243*AK206+AL243*AL206+AM243*AM206+AN243*AN206+AO243*AO206+AP243*AP206+AQ243*AQ206+AR243*AR206+AS243*AS206+AT243*AT206+AU243*AU206+AV243*AV206+AW243*AW206+AX243*AX206+AY243*AY206+AZ243*AZ206+BA243*BA206+BB243*BB206+BC243*BC206+BD243*BD206+BE243*BE206+BF243*BF206+BG243*BG206+BH243*BH206+BI243*BI206+BJ243*BJ206+BK243*BK206+BL243*BL206+BM243*BM206+BN243*BN206+BO243*BO206+BP243*BP206+BQ243*BQ206+BR243*BR206+BS243*BS206+BT243*BT206+BU243*BU206+BV243*BV206+BW243*BW206+BX243*BX206+BY243*BY206+BZ243*BZ206+CA243*CA206+CB243*CB206+CC243*CC206+CD243*CD206+CE243*CE206+CF243*CF206+CG243*CG206+CH243*CH206+CI243*CI206+CJ243*CJ206+CK243*CK206</f>
        <v>0</v>
      </c>
      <c r="CV206" s="2297">
        <f>E244*E206+F244*F206+G244*G206+H244*H206+I244*I206+J244*J206+K244*K206+L244*L206+M244*M206+N244*N206+O244*O206+P244*P206+Q244*Q206+R244*R206+S244*S206+T244*T206+U244*U206+V244*V206+W244*W206+X244*X206+Y244*Y206+Z244*Z206+AA244*AA206+AB244*AB206+AC244*AC206+AD244*AD206+AE244*AE206+AF244*AF206+AG244*AG206+AH244*AH206+AI244*AI206+AJ244*AJ206+AK244*AK206+AL244*AL206+AM244*AM206+AN244*AN206+AO244*AO206+AP244*AP206+AQ244*AQ206+AR244*AR206+AS244*AS206+AT244*AT206+AU244*AU206+AV244*AV206+AW244*AW206+AX244*AX206+AY244*AY206+AZ244*AZ206+BA244*BA206+BB244*BB206+BC244*BC206+BD244*BD206+BE244*BE206+BF244*BF206+BG244*BG206+BH244*BH206+BI244*BI206+BJ244*BJ206+BK244*BK206+BL244*BL206+BM244*BM206+BN244*BN206+BO244*BO206+BP244*BP206+BQ244*BQ206+BR244*BR206+BS244*BS206+BT244*BT206+BU244*BU206+BV244*BV206+BW244*BW206+BX244*BX206+BY244*BY206+BZ244*BZ206+CA244*CA206+CB244*CB206+CC244*CC206+CD244*CD206+CE244*CE206+CF244*CF206+CG244*CG206+CH244*CH206+CI244*CI206+CJ244*CJ206+CK244*CK206</f>
        <v>0</v>
      </c>
      <c r="CW206" s="2297">
        <f>E245*E206+F245*F206+G245*G206+H245*H206+I245*I206+J245*J206+K245*K206+L245*L206+M245*M206+N245*N206+O245*O206+P245*P206+Q245*Q206+R245*R206+S245*S206+T245*T206+U245*U206+V245*V206+W245*W206+X245*X206+Y245*Y206+Z245*Z206+AA245*AA206+AB245*AB206+AC245*AC206+AD245*AD206+AE245*AE206+AF245*AF206+AG245*AG206+AH245*AH206+AI245*AI206+AJ245*AJ206+AK245*AK206+AL245*AL206+AM245*AM206+AN245*AN206+AO245*AO206+AP245*AP206+AQ245*AQ206+AR245*AR206+AS245*AS206+AT245*AT206+AU245*AU206+AV245*AV206+AW245*AW206+AX245*AX206+AY245*AY206+AZ245*AZ206+BA245*BA206+BB245*BB206+BC245*BC206+BD245*BD206+BE245*BE206+BF245*BF206+BG245*BG206+BH245*BH206+BI245*BI206+BJ245*BJ206+BK245*BK206+BL245*BL206+BM245*BM206+BN245*BN206+BO245*BO206+BP245*BP206+BQ245*BQ206+BR245*BR206+BS245*BS206+BT245*BT206+BU245*BU206+BV245*BV206+BW245*BW206+BX245*BX206+BY245*BY206+BZ245*BZ206+CA245*CA206+CB245*CB206+CC245*CC206+CD245*CD206+CE245*CE206+CF245*CF206+CG245*CG206+CH245*CH206+CI245*CI206+CJ245*CJ206+CK245*CK206</f>
        <v>0</v>
      </c>
      <c r="CX206" s="2297">
        <f>E246*E206+F246*F206+G246*G206+H246*H206+I246*I206+J246*J206+K246*K206+L246*L206+M246*M206+N246*N206+O246*O206+P246*P206+Q246*Q206+R246*R206+S246*S206+T246*T206+U246*U206+V246*V206+W246*W206+X246*X206+Y246*Y206+Z246*Z206+AA246*AA206+AB246*AB206+AC246*AC206+AD246*AD206+AE246*AE206+AF246*AF206+AG246*AG206+AH246*AH206+AI246*AI206+AJ246*AJ206+AK246*AK206+AL246*AL206+AM246*AM206+AN246*AN206+AO246*AO206+AP246*AP206+AQ246*AQ206+AR246*AR206+AS246*AS206+AT246*AT206+AU246*AU206+AV246*AV206+AW246*AW206+AX246*AX206+AY246*AY206+AZ246*AZ206+BA246*BA206+BB246*BB206+BC246*BC206+BD246*BD206+BE246*BE206+BF246*BF206+BG246*BG206+BH246*BH206+BI246*BI206+BJ246*BJ206+BK246*BK206+BL246*BL206+BM246*BM206+BN246*BN206+BO246*BO206+BP246*BP206+BQ246*BQ206+BR246*BR206+BS246*BS206+BT246*BT206+BU246*BU206+BV246*BV206+BW246*BW206+BX246*BX206+BY246*BY206+BZ246*BZ206+CA246*CA206+CB246*CB206+CC246*CC206+CD246*CD206+CE246*CE206+CF246*CF206+CG246*CG206+CH246*CH206+CI246*CI206+CJ246*CJ206+CK246*CK206</f>
        <v>0</v>
      </c>
    </row>
    <row r="207" spans="2:102" ht="18" x14ac:dyDescent="0.25">
      <c r="B207" s="1974">
        <v>80</v>
      </c>
      <c r="C207" s="1975" t="s">
        <v>2969</v>
      </c>
      <c r="D207" s="915" t="s">
        <v>3754</v>
      </c>
      <c r="E207" s="2676">
        <f>0</f>
        <v>0</v>
      </c>
      <c r="F207" s="2676">
        <f>0</f>
        <v>0</v>
      </c>
      <c r="G207" s="2676">
        <f>0</f>
        <v>0</v>
      </c>
      <c r="H207" s="2676">
        <f>0</f>
        <v>0</v>
      </c>
      <c r="I207" s="2676">
        <f>0</f>
        <v>0</v>
      </c>
      <c r="J207" s="2693">
        <f>0</f>
        <v>0</v>
      </c>
      <c r="K207" s="2676">
        <f>0</f>
        <v>0</v>
      </c>
      <c r="L207" s="2676">
        <f>0</f>
        <v>0</v>
      </c>
      <c r="M207" s="2676">
        <f>0</f>
        <v>0</v>
      </c>
      <c r="N207" s="2676">
        <f>0</f>
        <v>0</v>
      </c>
      <c r="O207" s="2676">
        <f>0</f>
        <v>0</v>
      </c>
      <c r="P207" s="2676">
        <f>0</f>
        <v>0</v>
      </c>
      <c r="Q207" s="2676">
        <f>0</f>
        <v>0</v>
      </c>
      <c r="R207" s="2708">
        <f>0</f>
        <v>0</v>
      </c>
      <c r="S207" s="2676">
        <f>0</f>
        <v>0</v>
      </c>
      <c r="T207" s="2676">
        <f>0</f>
        <v>0</v>
      </c>
      <c r="U207" s="2676">
        <f>0</f>
        <v>0</v>
      </c>
      <c r="V207" s="2676">
        <f>0</f>
        <v>0</v>
      </c>
      <c r="W207" s="2676">
        <f>0</f>
        <v>0</v>
      </c>
      <c r="X207" s="2676">
        <f>0</f>
        <v>0</v>
      </c>
      <c r="Y207" s="2676">
        <f>0</f>
        <v>0</v>
      </c>
      <c r="Z207" s="2671">
        <f>0</f>
        <v>0</v>
      </c>
      <c r="AA207" s="2676">
        <f>0</f>
        <v>0</v>
      </c>
      <c r="AB207" s="2676">
        <f>0</f>
        <v>0</v>
      </c>
      <c r="AC207" s="2676">
        <f>0</f>
        <v>0</v>
      </c>
      <c r="AD207" s="2676">
        <f>0</f>
        <v>0</v>
      </c>
      <c r="AE207" s="2727">
        <f>0</f>
        <v>0</v>
      </c>
      <c r="AF207" s="2676">
        <f>0</f>
        <v>0</v>
      </c>
      <c r="AG207" s="2693">
        <f>0</f>
        <v>0</v>
      </c>
      <c r="AH207" s="2676">
        <f>0</f>
        <v>0</v>
      </c>
      <c r="AI207" s="2727">
        <f>0</f>
        <v>0</v>
      </c>
      <c r="AJ207" s="2676">
        <f>0</f>
        <v>0</v>
      </c>
      <c r="AK207" s="2708">
        <f>0</f>
        <v>0</v>
      </c>
      <c r="AL207" s="2676">
        <f>0</f>
        <v>0</v>
      </c>
      <c r="AM207" s="2693">
        <f>0</f>
        <v>0</v>
      </c>
      <c r="AN207" s="2676">
        <f>0</f>
        <v>0</v>
      </c>
      <c r="AO207" s="2708">
        <f>0</f>
        <v>0</v>
      </c>
      <c r="AP207" s="2676">
        <f>0</f>
        <v>0</v>
      </c>
      <c r="AQ207" s="2676">
        <f>0</f>
        <v>0</v>
      </c>
      <c r="AR207" s="2676">
        <f>0</f>
        <v>0</v>
      </c>
      <c r="AS207" s="2676">
        <f>0</f>
        <v>0</v>
      </c>
      <c r="AT207" s="2676">
        <f>0</f>
        <v>0</v>
      </c>
      <c r="AU207" s="2676">
        <f>0</f>
        <v>0</v>
      </c>
      <c r="AV207" s="2708">
        <f>0</f>
        <v>0</v>
      </c>
      <c r="AW207" s="2676">
        <f>0</f>
        <v>0</v>
      </c>
      <c r="AX207" s="2676">
        <f>0</f>
        <v>0</v>
      </c>
      <c r="AY207" s="2676">
        <f>0</f>
        <v>0</v>
      </c>
      <c r="AZ207" s="2708">
        <f>0</f>
        <v>0</v>
      </c>
      <c r="BA207" s="2676">
        <f>0</f>
        <v>0</v>
      </c>
      <c r="BB207" s="2708">
        <f>0</f>
        <v>0</v>
      </c>
      <c r="BC207" s="2708">
        <f>0</f>
        <v>0</v>
      </c>
      <c r="BD207" s="2676">
        <f>0</f>
        <v>0</v>
      </c>
      <c r="BE207" s="2752">
        <f>0</f>
        <v>0</v>
      </c>
      <c r="BF207" s="2752">
        <f>0</f>
        <v>0</v>
      </c>
      <c r="BG207" s="2676">
        <f>0</f>
        <v>0</v>
      </c>
      <c r="BH207" s="2752">
        <f>-X_HAO_L/(X_HAO_L+X_HAO_L_P)</f>
        <v>-0.5</v>
      </c>
      <c r="BI207" s="2752">
        <f>X_HAO_L/(X_HAO_L+X_HAO_L_P)</f>
        <v>0.5</v>
      </c>
      <c r="BJ207" s="2752">
        <f>0</f>
        <v>0</v>
      </c>
      <c r="BK207" s="2752">
        <f>-X_HAO_L_P/(X_HAO_L+X_HAO_L_P)</f>
        <v>-0.5</v>
      </c>
      <c r="BL207" s="2752">
        <f>0</f>
        <v>0</v>
      </c>
      <c r="BM207" s="2752">
        <f>X_HAO_L_P/(X_HAO_L+X_HAO_L_P)</f>
        <v>0.5</v>
      </c>
      <c r="BN207" s="2708">
        <f>0</f>
        <v>0</v>
      </c>
      <c r="BO207" s="2708">
        <f>0</f>
        <v>0</v>
      </c>
      <c r="BP207" s="2708">
        <f>0</f>
        <v>0</v>
      </c>
      <c r="BQ207" s="2708">
        <f>0</f>
        <v>0</v>
      </c>
      <c r="BR207" s="2708">
        <f>0</f>
        <v>0</v>
      </c>
      <c r="BS207" s="2728">
        <f>0</f>
        <v>0</v>
      </c>
      <c r="BT207" s="2728">
        <f>0</f>
        <v>0</v>
      </c>
      <c r="BU207" s="2728">
        <f>0</f>
        <v>0</v>
      </c>
      <c r="BV207" s="2728">
        <f>0</f>
        <v>0</v>
      </c>
      <c r="BW207" s="2708">
        <f>0</f>
        <v>0</v>
      </c>
      <c r="BX207" s="2786">
        <f>0</f>
        <v>0</v>
      </c>
      <c r="BY207" s="2728">
        <f>0</f>
        <v>0</v>
      </c>
      <c r="BZ207" s="2708">
        <f>0</f>
        <v>0</v>
      </c>
      <c r="CA207" s="2708">
        <f>0</f>
        <v>0</v>
      </c>
      <c r="CB207" s="2708">
        <f>0</f>
        <v>0</v>
      </c>
      <c r="CC207" s="2708">
        <f>0</f>
        <v>0</v>
      </c>
      <c r="CD207" s="2708">
        <f>0</f>
        <v>0</v>
      </c>
      <c r="CE207" s="2708">
        <f>0</f>
        <v>0</v>
      </c>
      <c r="CF207" s="2708">
        <f>0</f>
        <v>0</v>
      </c>
      <c r="CG207" s="2708">
        <f>0</f>
        <v>0</v>
      </c>
      <c r="CH207" s="2708">
        <f>0</f>
        <v>0</v>
      </c>
      <c r="CI207" s="2708">
        <f>0</f>
        <v>0</v>
      </c>
      <c r="CJ207" s="2708">
        <f>0</f>
        <v>0</v>
      </c>
      <c r="CK207" s="2708">
        <f>0</f>
        <v>0</v>
      </c>
      <c r="CL207" s="2812">
        <f>q_HAOL_AGING*(X_HAO_L+X_HAO_L_P)</f>
        <v>2E-50</v>
      </c>
      <c r="CN207" s="2295">
        <f>E236*E207+F236*F207+G236*G207+H236*H207+I236*I207+J236*J207+K236*K207+L236*L207+M236*M207+N236*N207+O236*O207+P236*P207+Q236*Q207+R236*R207+S236*S207+T236*T207+U236*U207+V236*V207+W236*W207+X236*X207+Y236*Y207+Z236*Z207+AA236*AA207+AB236*AB207+AC236*AC207+AD236*AD207+AE236*AE207+AF236*AF207+AG236*AG207+AH236*AH207+AI236*AI207+AJ236*AJ207+AK236*AK207+AL236*AL207+AM236*AM207+AN236*AN207+AO236*AO207+AP236*AP207+AQ236*AQ207+AR236*AR207+AS236*AS207+AT236*AT207+AU236*AU207+AV236*AV207+AW236*AW207+AX236*AX207+AY236*AY207+AZ236*AZ207+BA236*BA207+BB236*BB207+BC236*BC207+BD236*BD207+BE236*BE207+BF236*BF207+BG236*BG207+BH236*BH207+BI236*BI207+BJ236*BJ207+BK236*BK207+BL236*BL207+BM236*BM207+BN236*BN207+BO236*BO207+BP236*BP207+BQ236*BQ207+BR236*BR207+BS236*BS207+BT236*BT207+BU236*BU207+BV236*BV207+BW236*BW207+BX236*BX207+BY236*BY207+BZ236*BZ207+CA236*CA207+CB236*CB207+CC236*CC207+CD236*CD207+CE236*CE207+CF236*CF207+CG236*CG207+CH236*CH207+CI236*CI207+CJ236*CJ207+CK236*CK207</f>
        <v>0</v>
      </c>
      <c r="CO207" s="2295">
        <f>E237*E207+F237*F207+G237*G207+H237*H207+I237*I207+J237*J207+K237*K207+L237*L207+M237*M207+N237*N207+O237*O207+P237*P207+Q237*Q207+R237*R207+S237*S207+T237*T207+U237*U207+V237*V207+W237*W207+X237*X207+Y237*Y207+Z237*Z207+AA237*AA207+AB237*AB207+AC237*AC207+AD237*AD207+AE237*AE207+AF237*AF207+AG237*AG207+AH237*AH207+AI237*AI207+AJ237*AJ207+AK237*AK207+AL237*AL207+AM237*AM207+AN237*AN207+AO237*AO207+AP237*AP207+AQ237*AQ207+AR237*AR207+AS237*AS207+AT237*AT207+AU237*AU207+AV237*AV207+AW237*AW207+AX237*AX207+AY237*AY207+AZ237*AZ207+BA237*BA207+BB237*BB207+BC237*BC207+BD237*BD207+BE237*BE207+BF237*BF207+BG237*BG207+BH237*BH207+BI237*BI207+BJ237*BJ207+BK237*BK207+BL237*BL207+BM237*BM207+BN237*BN207+BO237*BO207+BP237*BP207+BQ237*BQ207+BR237*BR207+BS237*BS207+BT237*BT207+BU237*BU207+BV237*BV207+BW237*BW207+BX237*BX207+BY237*BY207+BZ237*BZ207+CA237*CA207+CB237*CB207+CC237*CC207+CD237*CD207+CE237*CE207+CF237*CF207+CG237*CG207+CH237*CH207+CI237*CI207+CJ237*CJ207+CK237*CK207</f>
        <v>0</v>
      </c>
      <c r="CP207" s="2296">
        <f>E238*E207+F238*F207+G238*G207+H238*H207+I238*I207+J238*J207+K238*K207+L238*L207+M238*M207+N238*N207+O238*O207+P238*P207+Q238*Q207+R238*R207+S238*S207+T238*T207+U238*U207+V238*V207+W238*W207+X238*X207+Y238*Y207+Z238*Z207+AA238*AA207+AB238*AB207+AC238*AC207+AD238*AD207+AE238*AE207+AF238*AF207+AG238*AG207+AH238*AH207+AI238*AI207+AJ238*AJ207+AK238*AK207+AL238*AL207+AM238*AM207+AN238*AN207+AO238*AO207+AP238*AP207+AQ238*AQ207+AR238*AR207+AS238*AS207+AT238*AT207+AU238*AU207+AV238*AV207+AW238*AW207+AX238*AX207+AY238*AY207+AZ238*AZ207+BA238*BA207+BB238*BB207+BC238*BC207+BD238*BD207+BE238*BE207+BF238*BF207+BG238*BG207+BH238*BH207+BI238*BI207+BJ238*BJ207+BK238*BK207+BL238*BL207+BM238*BM207+BN238*BN207+BO238*BO207+BP238*BP207+BQ238*BQ207+BR238*BR207+BS238*BS207+BT238*BT207+BU238*BU207+BV238*BV207+BW238*BW207+BX238*BX207+BY238*BY207+BZ238*BZ207+CA238*CA207+CB238*CB207+CC238*CC207+CD238*CD207+CE238*CE207+CF238*CF207+CG238*CG207+CH238*CH207+CI238*CI207+CJ238*CJ207+CK238*CK207</f>
        <v>0</v>
      </c>
      <c r="CQ207" s="2297">
        <f>E239*E207+F239*F207+G239*G207+H239*H207+I239*I207+J239*J207+K239*K207+L239*L207+M239*M207+N239*N207+O239*O207+P239*P207+Q239*Q207+R239*R207+S239*S207+T239*T207+U239*U207+V239*V207+W239*W207+X239*X207+Y239*Y207+Z239*Z207+AA239*AA207+AB239*AB207+AC239*AC207+AD239*AD207+AE239*AE207+AF239*AF207+AG239*AG207+AH239*AH207+AI239*AI207+AJ239*AJ207+AK239*AK207+AL239*AL207+AM239*AM207+AN239*AN207+AO239*AO207+AP239*AP207+AQ239*AQ207+AR239*AR207+AS239*AS207+AT239*AT207+AU239*AU207+AV239*AV207+AW239*AW207+AX239*AX207+AY239*AY207+AZ239*AZ207+BA239*BA207+BB239*BB207+BC239*BC207+BD239*BD207+BE239*BE207+BF239*BF207+BG239*BG207+BH239*BH207+BI239*BI207+BJ239*BJ207+BK239*BK207+BL239*BL207+BM239*BM207+BN239*BN207+BO239*BO207+BP239*BP207+BQ239*BQ207+BR239*BR207+BS239*BS207+BT239*BT207+BU239*BU207+BV239*BV207+BW239*BW207+BX239*BX207+BY239*BY207+BZ239*BZ207+CA239*CA207+CB239*CB207+CC239*CC207+CD239*CD207+CE239*CE207+CF239*CF207+CG239*CG207+CH239*CH207+CI239*CI207+CJ239*CJ207+CK239*CK207</f>
        <v>0</v>
      </c>
      <c r="CR207" s="2297">
        <f>E240*E207+F240*F207+G240*G207+H240*H207+I240*I207+J240*J207+K240*K207+L240*L207+M240*M207+N240*N207+O240*O207+P240*P207+Q240*Q207+R240*R207+S240*S207+T240*T207+U240*U207+V240*V207+W240*W207+X240*X207+Y240*Y207+Z240*Z207+AA240*AA207+AB240*AB207+AC240*AC207+AD240*AD207+AE240*AE207+AF240*AF207+AG240*AG207+AH240*AH207+AI240*AI207+AJ240*AJ207+AK240*AK207+AL240*AL207+AM240*AM207+AN240*AN207+AO240*AO207+AP240*AP207+AQ240*AQ207+AR240*AR207+AS240*AS207+AT240*AT207+AU240*AU207+AV240*AV207+AW240*AW207+AX240*AX207+AY240*AY207+AZ240*AZ207+BA240*BA207+BB240*BB207+BC240*BC207+BD240*BD207+BE240*BE207+BF240*BF207+BG240*BG207+BH240*BH207+BI240*BI207+BJ240*BJ207+BK240*BK207+BL240*BL207+BM240*BM207+BN240*BN207+BO240*BO207+BP240*BP207+BQ240*BQ207+BR240*BR207+BS240*BS207+BT240*BT207+BU240*BU207+BV240*BV207+BW240*BW207+BX240*BX207+BY240*BY207+BZ240*BZ207+CA240*CA207+CB240*CB207+CC240*CC207+CD240*CD207+CE240*CE207+CF240*CF207+CG240*CG207+CH240*CH207+CI240*CI207+CJ240*CJ207+CK240*CK207</f>
        <v>0</v>
      </c>
      <c r="CS207" s="2297">
        <f>E241*E207+F241*F207+G241*G207+H241*H207+I241*I207+J241*J207+K241*K207+L241*L207+M241*M207+N241*N207+O241*O207+P241*P207+Q241*Q207+R241*R207+S241*S207+T241*T207+U241*U207+V241*V207+W241*W207+X241*X207+Y241*Y207+Z241*Z207+AA241*AA207+AB241*AB207+AC241*AC207+AD241*AD207+AE241*AE207+AF241*AF207+AG241*AG207+AH241*AH207+AI241*AI207+AJ241*AJ207+AK241*AK207+AL241*AL207+AM241*AM207+AN241*AN207+AO241*AO207+AP241*AP207+AQ241*AQ207+AR241*AR207+AS241*AS207+AT241*AT207+AU241*AU207+AV241*AV207+AW241*AW207+AX241*AX207+AY241*AY207+AZ241*AZ207+BA241*BA207+BB241*BB207+BC241*BC207+BD241*BD207+BE241*BE207+BF241*BF207+BG241*BG207+BH241*BH207+BI241*BI207+BJ241*BJ207+BK241*BK207+BL241*BL207+BM241*BM207+BN241*BN207+BO241*BO207+BP241*BP207+BQ241*BQ207+BR241*BR207+BS241*BS207+BT241*BT207+BU241*BU207+BV241*BV207+BW241*BW207+BX241*BX207+BY241*BY207+BZ241*BZ207+CA241*CA207+CB241*CB207+CC241*CC207+CD241*CD207+CE241*CE207+CF241*CF207+CG241*CG207+CH241*CH207+CI241*CI207+CJ241*CJ207+CK241*CK207</f>
        <v>0</v>
      </c>
      <c r="CT207" s="2297">
        <f>E242*E207+F242*F207+G242*G207+H242*H207+I242*I207+J242*J207+K242*K207+L242*L207+M242*M207+N242*N207+O242*O207+P242*P207+Q242*Q207+R242*R207+S242*S207+T242*T207+U242*U207+V242*V207+W242*W207+X242*X207+Y242*Y207+Z242*Z207+AA242*AA207+AB242*AB207+AC242*AC207+AD242*AD207+AE242*AE207+AF242*AF207+AG242*AG207+AH242*AH207+AI242*AI207+AJ242*AJ207+AK242*AK207+AL242*AL207+AM242*AM207+AN242*AN207+AO242*AO207+AP242*AP207+AQ242*AQ207+AR242*AR207+AS242*AS207+AT242*AT207+AU242*AU207+AV242*AV207+AW242*AW207+AX242*AX207+AY242*AY207+AZ242*AZ207+BA242*BA207+BB242*BB207+BC242*BC207+BD242*BD207+BE242*BE207+BF242*BF207+BG242*BG207+BH242*BH207+BI242*BI207+BJ242*BJ207+BK242*BK207+BL242*BL207+BM242*BM207+BN242*BN207+BO242*BO207+BP242*BP207+BQ242*BQ207+BR242*BR207+BS242*BS207+BT242*BT207+BU242*BU207+BV242*BV207+BW242*BW207+BX242*BX207+BY242*BY207+BZ242*BZ207+CA242*CA207+CB242*CB207+CC242*CC207+CD242*CD207+CE242*CE207+CF242*CF207+CG242*CG207+CH242*CH207+CI242*CI207+CJ242*CJ207+CK242*CK207</f>
        <v>0</v>
      </c>
      <c r="CU207" s="2297">
        <f>E243*E207+F243*F207+G243*G207+H243*H207+I243*I207+J243*J207+K243*K207+L243*L207+M243*M207+N243*N207+O243*O207+P243*P207+Q243*Q207+R243*R207+S243*S207+T243*T207+U243*U207+V243*V207+W243*W207+X243*X207+Y243*Y207+Z243*Z207+AA243*AA207+AB243*AB207+AC243*AC207+AD243*AD207+AE243*AE207+AF243*AF207+AG243*AG207+AH243*AH207+AI243*AI207+AJ243*AJ207+AK243*AK207+AL243*AL207+AM243*AM207+AN243*AN207+AO243*AO207+AP243*AP207+AQ243*AQ207+AR243*AR207+AS243*AS207+AT243*AT207+AU243*AU207+AV243*AV207+AW243*AW207+AX243*AX207+AY243*AY207+AZ243*AZ207+BA243*BA207+BB243*BB207+BC243*BC207+BD243*BD207+BE243*BE207+BF243*BF207+BG243*BG207+BH243*BH207+BI243*BI207+BJ243*BJ207+BK243*BK207+BL243*BL207+BM243*BM207+BN243*BN207+BO243*BO207+BP243*BP207+BQ243*BQ207+BR243*BR207+BS243*BS207+BT243*BT207+BU243*BU207+BV243*BV207+BW243*BW207+BX243*BX207+BY243*BY207+BZ243*BZ207+CA243*CA207+CB243*CB207+CC243*CC207+CD243*CD207+CE243*CE207+CF243*CF207+CG243*CG207+CH243*CH207+CI243*CI207+CJ243*CJ207+CK243*CK207</f>
        <v>0</v>
      </c>
      <c r="CV207" s="2297">
        <f>E244*E207+F244*F207+G244*G207+H244*H207+I244*I207+J244*J207+K244*K207+L244*L207+M244*M207+N244*N207+O244*O207+P244*P207+Q244*Q207+R244*R207+S244*S207+T244*T207+U244*U207+V244*V207+W244*W207+X244*X207+Y244*Y207+Z244*Z207+AA244*AA207+AB244*AB207+AC244*AC207+AD244*AD207+AE244*AE207+AF244*AF207+AG244*AG207+AH244*AH207+AI244*AI207+AJ244*AJ207+AK244*AK207+AL244*AL207+AM244*AM207+AN244*AN207+AO244*AO207+AP244*AP207+AQ244*AQ207+AR244*AR207+AS244*AS207+AT244*AT207+AU244*AU207+AV244*AV207+AW244*AW207+AX244*AX207+AY244*AY207+AZ244*AZ207+BA244*BA207+BB244*BB207+BC244*BC207+BD244*BD207+BE244*BE207+BF244*BF207+BG244*BG207+BH244*BH207+BI244*BI207+BJ244*BJ207+BK244*BK207+BL244*BL207+BM244*BM207+BN244*BN207+BO244*BO207+BP244*BP207+BQ244*BQ207+BR244*BR207+BS244*BS207+BT244*BT207+BU244*BU207+BV244*BV207+BW244*BW207+BX244*BX207+BY244*BY207+BZ244*BZ207+CA244*CA207+CB244*CB207+CC244*CC207+CD244*CD207+CE244*CE207+CF244*CF207+CG244*CG207+CH244*CH207+CI244*CI207+CJ244*CJ207+CK244*CK207</f>
        <v>0</v>
      </c>
      <c r="CW207" s="2297">
        <f>E245*E207+F245*F207+G245*G207+H245*H207+I245*I207+J245*J207+K245*K207+L245*L207+M245*M207+N245*N207+O245*O207+P245*P207+Q245*Q207+R245*R207+S245*S207+T245*T207+U245*U207+V245*V207+W245*W207+X245*X207+Y245*Y207+Z245*Z207+AA245*AA207+AB245*AB207+AC245*AC207+AD245*AD207+AE245*AE207+AF245*AF207+AG245*AG207+AH245*AH207+AI245*AI207+AJ245*AJ207+AK245*AK207+AL245*AL207+AM245*AM207+AN245*AN207+AO245*AO207+AP245*AP207+AQ245*AQ207+AR245*AR207+AS245*AS207+AT245*AT207+AU245*AU207+AV245*AV207+AW245*AW207+AX245*AX207+AY245*AY207+AZ245*AZ207+BA245*BA207+BB245*BB207+BC245*BC207+BD245*BD207+BE245*BE207+BF245*BF207+BG245*BG207+BH245*BH207+BI245*BI207+BJ245*BJ207+BK245*BK207+BL245*BL207+BM245*BM207+BN245*BN207+BO245*BO207+BP245*BP207+BQ245*BQ207+BR245*BR207+BS245*BS207+BT245*BT207+BU245*BU207+BV245*BV207+BW245*BW207+BX245*BX207+BY245*BY207+BZ245*BZ207+CA245*CA207+CB245*CB207+CC245*CC207+CD245*CD207+CE245*CE207+CF245*CF207+CG245*CG207+CH245*CH207+CI245*CI207+CJ245*CJ207+CK245*CK207</f>
        <v>0</v>
      </c>
      <c r="CX207" s="2297">
        <f>E246*E207+F246*F207+G246*G207+H246*H207+I246*I207+J246*J207+K246*K207+L246*L207+M246*M207+N246*N207+O246*O207+P246*P207+Q246*Q207+R246*R207+S246*S207+T246*T207+U246*U207+V246*V207+W246*W207+X246*X207+Y246*Y207+Z246*Z207+AA246*AA207+AB246*AB207+AC246*AC207+AD246*AD207+AE246*AE207+AF246*AF207+AG246*AG207+AH246*AH207+AI246*AI207+AJ246*AJ207+AK246*AK207+AL246*AL207+AM246*AM207+AN246*AN207+AO246*AO207+AP246*AP207+AQ246*AQ207+AR246*AR207+AS246*AS207+AT246*AT207+AU246*AU207+AV246*AV207+AW246*AW207+AX246*AX207+AY246*AY207+AZ246*AZ207+BA246*BA207+BB246*BB207+BC246*BC207+BD246*BD207+BE246*BE207+BF246*BF207+BG246*BG207+BH246*BH207+BI246*BI207+BJ246*BJ207+BK246*BK207+BL246*BL207+BM246*BM207+BN246*BN207+BO246*BO207+BP246*BP207+BQ246*BQ207+BR246*BR207+BS246*BS207+BT246*BT207+BU246*BU207+BV246*BV207+BW246*BW207+BX246*BX207+BY246*BY207+BZ246*BZ207+CA246*CA207+CB246*CB207+CC246*CC207+CD246*CD207+CE246*CE207+CF246*CF207+CG246*CG207+CH246*CH207+CI246*CI207+CJ246*CJ207+CK246*CK207</f>
        <v>0</v>
      </c>
    </row>
    <row r="208" spans="2:102" ht="18" x14ac:dyDescent="0.25">
      <c r="B208" s="1974">
        <v>81</v>
      </c>
      <c r="C208" s="1975" t="s">
        <v>2970</v>
      </c>
      <c r="D208" s="915" t="s">
        <v>3760</v>
      </c>
      <c r="E208" s="2676">
        <f>0</f>
        <v>0</v>
      </c>
      <c r="F208" s="2676">
        <f>0</f>
        <v>0</v>
      </c>
      <c r="G208" s="2676">
        <f>0</f>
        <v>0</v>
      </c>
      <c r="H208" s="2676">
        <f>0</f>
        <v>0</v>
      </c>
      <c r="I208" s="2676">
        <f>0</f>
        <v>0</v>
      </c>
      <c r="J208" s="2693">
        <f>0</f>
        <v>0</v>
      </c>
      <c r="K208" s="2676">
        <f>0</f>
        <v>0</v>
      </c>
      <c r="L208" s="2676">
        <f>0</f>
        <v>0</v>
      </c>
      <c r="M208" s="2676">
        <f>0</f>
        <v>0</v>
      </c>
      <c r="N208" s="2676">
        <f>0</f>
        <v>0</v>
      </c>
      <c r="O208" s="2676">
        <f>0</f>
        <v>0</v>
      </c>
      <c r="P208" s="2676">
        <f>0</f>
        <v>0</v>
      </c>
      <c r="Q208" s="2676">
        <f>0</f>
        <v>0</v>
      </c>
      <c r="R208" s="2708">
        <f>0</f>
        <v>0</v>
      </c>
      <c r="S208" s="2676">
        <f>0</f>
        <v>0</v>
      </c>
      <c r="T208" s="2676">
        <f>0</f>
        <v>0</v>
      </c>
      <c r="U208" s="2676">
        <f>0</f>
        <v>0</v>
      </c>
      <c r="V208" s="2676">
        <f>0</f>
        <v>0</v>
      </c>
      <c r="W208" s="2676">
        <f>0</f>
        <v>0</v>
      </c>
      <c r="X208" s="2676">
        <f>0</f>
        <v>0</v>
      </c>
      <c r="Y208" s="2676">
        <f>0</f>
        <v>0</v>
      </c>
      <c r="Z208" s="2671">
        <f>0</f>
        <v>0</v>
      </c>
      <c r="AA208" s="2676">
        <f>0</f>
        <v>0</v>
      </c>
      <c r="AB208" s="2676">
        <f>0</f>
        <v>0</v>
      </c>
      <c r="AC208" s="2676">
        <f>0</f>
        <v>0</v>
      </c>
      <c r="AD208" s="2676">
        <f>0</f>
        <v>0</v>
      </c>
      <c r="AE208" s="2727">
        <f>0</f>
        <v>0</v>
      </c>
      <c r="AF208" s="2676">
        <f>0</f>
        <v>0</v>
      </c>
      <c r="AG208" s="2693">
        <f>0</f>
        <v>0</v>
      </c>
      <c r="AH208" s="2676">
        <f>0</f>
        <v>0</v>
      </c>
      <c r="AI208" s="2727">
        <f>-1</f>
        <v>-1</v>
      </c>
      <c r="AJ208" s="2676">
        <f>0</f>
        <v>0</v>
      </c>
      <c r="AK208" s="2708">
        <f>0</f>
        <v>0</v>
      </c>
      <c r="AL208" s="2676">
        <f>0</f>
        <v>0</v>
      </c>
      <c r="AM208" s="2693">
        <f>0</f>
        <v>0</v>
      </c>
      <c r="AN208" s="2676">
        <f>0</f>
        <v>0</v>
      </c>
      <c r="AO208" s="2708">
        <f>0</f>
        <v>0</v>
      </c>
      <c r="AP208" s="2676">
        <f>0</f>
        <v>0</v>
      </c>
      <c r="AQ208" s="2676">
        <f>0</f>
        <v>0</v>
      </c>
      <c r="AR208" s="2676">
        <f>0</f>
        <v>0</v>
      </c>
      <c r="AS208" s="2676">
        <f>0</f>
        <v>0</v>
      </c>
      <c r="AT208" s="2676">
        <f>0</f>
        <v>0</v>
      </c>
      <c r="AU208" s="2676">
        <f>0</f>
        <v>0</v>
      </c>
      <c r="AV208" s="2708">
        <f>0</f>
        <v>0</v>
      </c>
      <c r="AW208" s="2676">
        <f>0</f>
        <v>0</v>
      </c>
      <c r="AX208" s="2676">
        <f>0</f>
        <v>0</v>
      </c>
      <c r="AY208" s="2676">
        <f>0</f>
        <v>0</v>
      </c>
      <c r="AZ208" s="2708">
        <f>0</f>
        <v>0</v>
      </c>
      <c r="BA208" s="2676">
        <f>0</f>
        <v>0</v>
      </c>
      <c r="BB208" s="2708">
        <f>0</f>
        <v>0</v>
      </c>
      <c r="BC208" s="2708">
        <f>0</f>
        <v>0</v>
      </c>
      <c r="BD208" s="2708">
        <f>0</f>
        <v>0</v>
      </c>
      <c r="BE208" s="2676">
        <f>0</f>
        <v>0</v>
      </c>
      <c r="BF208" s="2676">
        <f>0</f>
        <v>0</v>
      </c>
      <c r="BG208" s="2708">
        <f>-1/(A_SFHAO_H*(A_MP/A_MAl))</f>
        <v>-0.87110825691042471</v>
      </c>
      <c r="BH208" s="2676">
        <f>0</f>
        <v>0</v>
      </c>
      <c r="BI208" s="2676">
        <f>0</f>
        <v>0</v>
      </c>
      <c r="BJ208" s="2708">
        <f>1/(A_SFHAO_H*(A_MP/A_MAl))</f>
        <v>0.87110825691042471</v>
      </c>
      <c r="BK208" s="2676">
        <f>0</f>
        <v>0</v>
      </c>
      <c r="BL208" s="2708">
        <f>0</f>
        <v>0</v>
      </c>
      <c r="BM208" s="2708">
        <f>0</f>
        <v>0</v>
      </c>
      <c r="BN208" s="2708">
        <f>0</f>
        <v>0</v>
      </c>
      <c r="BO208" s="2708">
        <f>0</f>
        <v>0</v>
      </c>
      <c r="BP208" s="2708">
        <f>0</f>
        <v>0</v>
      </c>
      <c r="BQ208" s="2708">
        <f>0</f>
        <v>0</v>
      </c>
      <c r="BR208" s="2708">
        <f>0</f>
        <v>0</v>
      </c>
      <c r="BS208" s="2728">
        <f>0</f>
        <v>0</v>
      </c>
      <c r="BT208" s="2728">
        <f>0</f>
        <v>0</v>
      </c>
      <c r="BU208" s="2728">
        <f>0</f>
        <v>0</v>
      </c>
      <c r="BV208" s="2728">
        <f>0</f>
        <v>0</v>
      </c>
      <c r="BW208" s="2708">
        <f>0</f>
        <v>0</v>
      </c>
      <c r="BX208" s="2786">
        <f>0</f>
        <v>0</v>
      </c>
      <c r="BY208" s="2728">
        <f>0</f>
        <v>0</v>
      </c>
      <c r="BZ208" s="2708">
        <f>0</f>
        <v>0</v>
      </c>
      <c r="CA208" s="2708">
        <f>0</f>
        <v>0</v>
      </c>
      <c r="CB208" s="2708">
        <f>0</f>
        <v>0</v>
      </c>
      <c r="CC208" s="2708">
        <f>0</f>
        <v>0</v>
      </c>
      <c r="CD208" s="2708">
        <f>0</f>
        <v>0</v>
      </c>
      <c r="CE208" s="2708">
        <f>0</f>
        <v>0</v>
      </c>
      <c r="CF208" s="2708">
        <f>0</f>
        <v>0</v>
      </c>
      <c r="CG208" s="2708">
        <f>0</f>
        <v>0</v>
      </c>
      <c r="CH208" s="2708">
        <f>0</f>
        <v>0</v>
      </c>
      <c r="CI208" s="2708">
        <f>0</f>
        <v>0</v>
      </c>
      <c r="CJ208" s="2708">
        <f>0</f>
        <v>0</v>
      </c>
      <c r="CK208" s="2708">
        <f>0</f>
        <v>0</v>
      </c>
      <c r="CL208" s="2812">
        <f>q_P_HAO_COPREC*X_HAO_H*M_satSPO4_KP_HAO_BIND</f>
        <v>1.4583333333333333E-48</v>
      </c>
      <c r="CN208" s="2295">
        <f>E236*E208+F236*F208+G236*G208+H236*H208+I236*I208+J236*J208+K236*K208+L236*L208+M236*M208+N236*N208+O236*O208+P236*P208+Q236*Q208+R236*R208+S236*S208+T236*T208+U236*U208+V236*V208+W236*W208+X236*X208+Y236*Y208+Z236*Z208+AA236*AA208+AB236*AB208+AC236*AC208+AD236*AD208+AE236*AE208+AF236*AF208+AG236*AG208+AH236*AH208+AI236*AI208+AJ236*AJ208+AK236*AK208+AL236*AL208+AM236*AM208+AN236*AN208+AO236*AO208+AP236*AP208+AQ236*AQ208+AR236*AR208+AS236*AS208+AT236*AT208+AU236*AU208+AV236*AV208+AW236*AW208+AX236*AX208+AY236*AY208+AZ236*AZ208+BA236*BA208+BB236*BB208+BC236*BC208+BD236*BD208+BE236*BE208+BF236*BF208+BG236*BG208+BH236*BH208+BI236*BI208+BJ236*BJ208+BK236*BK208+BL236*BL208+BM236*BM208+BN236*BN208+BO236*BO208+BP236*BP208+BQ236*BQ208+BR236*BR208+BS236*BS208+BT236*BT208+BU236*BU208+BV236*BV208+BW236*BW208+BX236*BX208+BY236*BY208+BZ236*BZ208+CA236*CA208+CB236*CB208+CC236*CC208+CD236*CD208+CE236*CE208+CF236*CF208+CG236*CG208+CH236*CH208+CI236*CI208+CJ236*CJ208+CK236*CK208</f>
        <v>0</v>
      </c>
      <c r="CO208" s="2295">
        <f>E237*E208+F237*F208+G237*G208+H237*H208+I237*I208+J237*J208+K237*K208+L237*L208+M237*M208+N237*N208+O237*O208+P237*P208+Q237*Q208+R237*R208+S237*S208+T237*T208+U237*U208+V237*V208+W237*W208+X237*X208+Y237*Y208+Z237*Z208+AA237*AA208+AB237*AB208+AC237*AC208+AD237*AD208+AE237*AE208+AF237*AF208+AG237*AG208+AH237*AH208+AI237*AI208+AJ237*AJ208+AK237*AK208+AL237*AL208+AM237*AM208+AN237*AN208+AO237*AO208+AP237*AP208+AQ237*AQ208+AR237*AR208+AS237*AS208+AT237*AT208+AU237*AU208+AV237*AV208+AW237*AW208+AX237*AX208+AY237*AY208+AZ237*AZ208+BA237*BA208+BB237*BB208+BC237*BC208+BD237*BD208+BE237*BE208+BF237*BF208+BG237*BG208+BH237*BH208+BI237*BI208+BJ237*BJ208+BK237*BK208+BL237*BL208+BM237*BM208+BN237*BN208+BO237*BO208+BP237*BP208+BQ237*BQ208+BR237*BR208+BS237*BS208+BT237*BT208+BU237*BU208+BV237*BV208+BW237*BW208+BX237*BX208+BY237*BY208+BZ237*BZ208+CA237*CA208+CB237*CB208+CC237*CC208+CD237*CD208+CE237*CE208+CF237*CF208+CG237*CG208+CH237*CH208+CI237*CI208+CJ237*CJ208+CK237*CK208</f>
        <v>0</v>
      </c>
      <c r="CP208" s="2296">
        <f>E238*E208+F238*F208+G238*G208+H238*H208+I238*I208+J238*J208+K238*K208+L238*L208+M238*M208+N238*N208+O238*O208+P238*P208+Q238*Q208+R238*R208+S238*S208+T238*T208+U238*U208+V238*V208+W238*W208+X238*X208+Y238*Y208+Z238*Z208+AA238*AA208+AB238*AB208+AC238*AC208+AD238*AD208+AE238*AE208+AF238*AF208+AG238*AG208+AH238*AH208+AI238*AI208+AJ238*AJ208+AK238*AK208+AL238*AL208+AM238*AM208+AN238*AN208+AO238*AO208+AP238*AP208+AQ238*AQ208+AR238*AR208+AS238*AS208+AT238*AT208+AU238*AU208+AV238*AV208+AW238*AW208+AX238*AX208+AY238*AY208+AZ238*AZ208+BA238*BA208+BB238*BB208+BC238*BC208+BD238*BD208+BE238*BE208+BF238*BF208+BG238*BG208+BH238*BH208+BI238*BI208+BJ238*BJ208+BK238*BK208+BL238*BL208+BM238*BM208+BN238*BN208+BO238*BO208+BP238*BP208+BQ238*BQ208+BR238*BR208+BS238*BS208+BT238*BT208+BU238*BU208+BV238*BV208+BW238*BW208+BX238*BX208+BY238*BY208+BZ238*BZ208+CA238*CA208+CB238*CB208+CC238*CC208+CD238*CD208+CE238*CE208+CF238*CF208+CG238*CG208+CH238*CH208+CI238*CI208+CJ238*CJ208+CK238*CK208</f>
        <v>0</v>
      </c>
      <c r="CQ208" s="2297">
        <f>E239*E208+F239*F208+G239*G208+H239*H208+I239*I208+J239*J208+K239*K208+L239*L208+M239*M208+N239*N208+O239*O208+P239*P208+Q239*Q208+R239*R208+S239*S208+T239*T208+U239*U208+V239*V208+W239*W208+X239*X208+Y239*Y208+Z239*Z208+AA239*AA208+AB239*AB208+AC239*AC208+AD239*AD208+AE239*AE208+AF239*AF208+AG239*AG208+AH239*AH208+AI239*AI208+AJ239*AJ208+AK239*AK208+AL239*AL208+AM239*AM208+AN239*AN208+AO239*AO208+AP239*AP208+AQ239*AQ208+AR239*AR208+AS239*AS208+AT239*AT208+AU239*AU208+AV239*AV208+AW239*AW208+AX239*AX208+AY239*AY208+AZ239*AZ208+BA239*BA208+BB239*BB208+BC239*BC208+BD239*BD208+BE239*BE208+BF239*BF208+BG239*BG208+BH239*BH208+BI239*BI208+BJ239*BJ208+BK239*BK208+BL239*BL208+BM239*BM208+BN239*BN208+BO239*BO208+BP239*BP208+BQ239*BQ208+BR239*BR208+BS239*BS208+BT239*BT208+BU239*BU208+BV239*BV208+BW239*BW208+BX239*BX208+BY239*BY208+BZ239*BZ208+CA239*CA208+CB239*CB208+CC239*CC208+CD239*CD208+CE239*CE208+CF239*CF208+CG239*CG208+CH239*CH208+CI239*CI208+CJ239*CJ208+CK239*CK208</f>
        <v>0</v>
      </c>
      <c r="CR208" s="2297">
        <f>E240*E208+F240*F208+G240*G208+H240*H208+I240*I208+J240*J208+K240*K208+L240*L208+M240*M208+N240*N208+O240*O208+P240*P208+Q240*Q208+R240*R208+S240*S208+T240*T208+U240*U208+V240*V208+W240*W208+X240*X208+Y240*Y208+Z240*Z208+AA240*AA208+AB240*AB208+AC240*AC208+AD240*AD208+AE240*AE208+AF240*AF208+AG240*AG208+AH240*AH208+AI240*AI208+AJ240*AJ208+AK240*AK208+AL240*AL208+AM240*AM208+AN240*AN208+AO240*AO208+AP240*AP208+AQ240*AQ208+AR240*AR208+AS240*AS208+AT240*AT208+AU240*AU208+AV240*AV208+AW240*AW208+AX240*AX208+AY240*AY208+AZ240*AZ208+BA240*BA208+BB240*BB208+BC240*BC208+BD240*BD208+BE240*BE208+BF240*BF208+BG240*BG208+BH240*BH208+BI240*BI208+BJ240*BJ208+BK240*BK208+BL240*BL208+BM240*BM208+BN240*BN208+BO240*BO208+BP240*BP208+BQ240*BQ208+BR240*BR208+BS240*BS208+BT240*BT208+BU240*BU208+BV240*BV208+BW240*BW208+BX240*BX208+BY240*BY208+BZ240*BZ208+CA240*CA208+CB240*CB208+CC240*CC208+CD240*CD208+CE240*CE208+CF240*CF208+CG240*CG208+CH240*CH208+CI240*CI208+CJ240*CJ208+CK240*CK208</f>
        <v>0</v>
      </c>
      <c r="CS208" s="2297">
        <f>E241*E208+F241*F208+G241*G208+H241*H208+I241*I208+J241*J208+K241*K208+L241*L208+M241*M208+N241*N208+O241*O208+P241*P208+Q241*Q208+R241*R208+S241*S208+T241*T208+U241*U208+V241*V208+W241*W208+X241*X208+Y241*Y208+Z241*Z208+AA241*AA208+AB241*AB208+AC241*AC208+AD241*AD208+AE241*AE208+AF241*AF208+AG241*AG208+AH241*AH208+AI241*AI208+AJ241*AJ208+AK241*AK208+AL241*AL208+AM241*AM208+AN241*AN208+AO241*AO208+AP241*AP208+AQ241*AQ208+AR241*AR208+AS241*AS208+AT241*AT208+AU241*AU208+AV241*AV208+AW241*AW208+AX241*AX208+AY241*AY208+AZ241*AZ208+BA241*BA208+BB241*BB208+BC241*BC208+BD241*BD208+BE241*BE208+BF241*BF208+BG241*BG208+BH241*BH208+BI241*BI208+BJ241*BJ208+BK241*BK208+BL241*BL208+BM241*BM208+BN241*BN208+BO241*BO208+BP241*BP208+BQ241*BQ208+BR241*BR208+BS241*BS208+BT241*BT208+BU241*BU208+BV241*BV208+BW241*BW208+BX241*BX208+BY241*BY208+BZ241*BZ208+CA241*CA208+CB241*CB208+CC241*CC208+CD241*CD208+CE241*CE208+CF241*CF208+CG241*CG208+CH241*CH208+CI241*CI208+CJ241*CJ208+CK241*CK208</f>
        <v>0</v>
      </c>
      <c r="CT208" s="2297">
        <f>E242*E208+F242*F208+G242*G208+H242*H208+I242*I208+J242*J208+K242*K208+L242*L208+M242*M208+N242*N208+O242*O208+P242*P208+Q242*Q208+R242*R208+S242*S208+T242*T208+U242*U208+V242*V208+W242*W208+X242*X208+Y242*Y208+Z242*Z208+AA242*AA208+AB242*AB208+AC242*AC208+AD242*AD208+AE242*AE208+AF242*AF208+AG242*AG208+AH242*AH208+AI242*AI208+AJ242*AJ208+AK242*AK208+AL242*AL208+AM242*AM208+AN242*AN208+AO242*AO208+AP242*AP208+AQ242*AQ208+AR242*AR208+AS242*AS208+AT242*AT208+AU242*AU208+AV242*AV208+AW242*AW208+AX242*AX208+AY242*AY208+AZ242*AZ208+BA242*BA208+BB242*BB208+BC242*BC208+BD242*BD208+BE242*BE208+BF242*BF208+BG242*BG208+BH242*BH208+BI242*BI208+BJ242*BJ208+BK242*BK208+BL242*BL208+BM242*BM208+BN242*BN208+BO242*BO208+BP242*BP208+BQ242*BQ208+BR242*BR208+BS242*BS208+BT242*BT208+BU242*BU208+BV242*BV208+BW242*BW208+BX242*BX208+BY242*BY208+BZ242*BZ208+CA242*CA208+CB242*CB208+CC242*CC208+CD242*CD208+CE242*CE208+CF242*CF208+CG242*CG208+CH242*CH208+CI242*CI208+CJ242*CJ208+CK242*CK208</f>
        <v>0</v>
      </c>
      <c r="CU208" s="2297">
        <f>E243*E208+F243*F208+G243*G208+H243*H208+I243*I208+J243*J208+K243*K208+L243*L208+M243*M208+N243*N208+O243*O208+P243*P208+Q243*Q208+R243*R208+S243*S208+T243*T208+U243*U208+V243*V208+W243*W208+X243*X208+Y243*Y208+Z243*Z208+AA243*AA208+AB243*AB208+AC243*AC208+AD243*AD208+AE243*AE208+AF243*AF208+AG243*AG208+AH243*AH208+AI243*AI208+AJ243*AJ208+AK243*AK208+AL243*AL208+AM243*AM208+AN243*AN208+AO243*AO208+AP243*AP208+AQ243*AQ208+AR243*AR208+AS243*AS208+AT243*AT208+AU243*AU208+AV243*AV208+AW243*AW208+AX243*AX208+AY243*AY208+AZ243*AZ208+BA243*BA208+BB243*BB208+BC243*BC208+BD243*BD208+BE243*BE208+BF243*BF208+BG243*BG208+BH243*BH208+BI243*BI208+BJ243*BJ208+BK243*BK208+BL243*BL208+BM243*BM208+BN243*BN208+BO243*BO208+BP243*BP208+BQ243*BQ208+BR243*BR208+BS243*BS208+BT243*BT208+BU243*BU208+BV243*BV208+BW243*BW208+BX243*BX208+BY243*BY208+BZ243*BZ208+CA243*CA208+CB243*CB208+CC243*CC208+CD243*CD208+CE243*CE208+CF243*CF208+CG243*CG208+CH243*CH208+CI243*CI208+CJ243*CJ208+CK243*CK208</f>
        <v>0</v>
      </c>
      <c r="CV208" s="2297">
        <f>E244*E208+F244*F208+G244*G208+H244*H208+I244*I208+J244*J208+K244*K208+L244*L208+M244*M208+N244*N208+O244*O208+P244*P208+Q244*Q208+R244*R208+S244*S208+T244*T208+U244*U208+V244*V208+W244*W208+X244*X208+Y244*Y208+Z244*Z208+AA244*AA208+AB244*AB208+AC244*AC208+AD244*AD208+AE244*AE208+AF244*AF208+AG244*AG208+AH244*AH208+AI244*AI208+AJ244*AJ208+AK244*AK208+AL244*AL208+AM244*AM208+AN244*AN208+AO244*AO208+AP244*AP208+AQ244*AQ208+AR244*AR208+AS244*AS208+AT244*AT208+AU244*AU208+AV244*AV208+AW244*AW208+AX244*AX208+AY244*AY208+AZ244*AZ208+BA244*BA208+BB244*BB208+BC244*BC208+BD244*BD208+BE244*BE208+BF244*BF208+BG244*BG208+BH244*BH208+BI244*BI208+BJ244*BJ208+BK244*BK208+BL244*BL208+BM244*BM208+BN244*BN208+BO244*BO208+BP244*BP208+BQ244*BQ208+BR244*BR208+BS244*BS208+BT244*BT208+BU244*BU208+BV244*BV208+BW244*BW208+BX244*BX208+BY244*BY208+BZ244*BZ208+CA244*CA208+CB244*CB208+CC244*CC208+CD244*CD208+CE244*CE208+CF244*CF208+CG244*CG208+CH244*CH208+CI244*CI208+CJ244*CJ208+CK244*CK208</f>
        <v>0</v>
      </c>
      <c r="CW208" s="2297">
        <f>E245*E208+F245*F208+G245*G208+H245*H208+I245*I208+J245*J208+K245*K208+L245*L208+M245*M208+N245*N208+O245*O208+P245*P208+Q245*Q208+R245*R208+S245*S208+T245*T208+U245*U208+V245*V208+W245*W208+X245*X208+Y245*Y208+Z245*Z208+AA245*AA208+AB245*AB208+AC245*AC208+AD245*AD208+AE245*AE208+AF245*AF208+AG245*AG208+AH245*AH208+AI245*AI208+AJ245*AJ208+AK245*AK208+AL245*AL208+AM245*AM208+AN245*AN208+AO245*AO208+AP245*AP208+AQ245*AQ208+AR245*AR208+AS245*AS208+AT245*AT208+AU245*AU208+AV245*AV208+AW245*AW208+AX245*AX208+AY245*AY208+AZ245*AZ208+BA245*BA208+BB245*BB208+BC245*BC208+BD245*BD208+BE245*BE208+BF245*BF208+BG245*BG208+BH245*BH208+BI245*BI208+BJ245*BJ208+BK245*BK208+BL245*BL208+BM245*BM208+BN245*BN208+BO245*BO208+BP245*BP208+BQ245*BQ208+BR245*BR208+BS245*BS208+BT245*BT208+BU245*BU208+BV245*BV208+BW245*BW208+BX245*BX208+BY245*BY208+BZ245*BZ208+CA245*CA208+CB245*CB208+CC245*CC208+CD245*CD208+CE245*CE208+CF245*CF208+CG245*CG208+CH245*CH208+CI245*CI208+CJ245*CJ208+CK245*CK208</f>
        <v>0</v>
      </c>
      <c r="CX208" s="2297">
        <f>E246*E208+F246*F208+G246*G208+H246*H208+I246*I208+J246*J208+K246*K208+L246*L208+M246*M208+N246*N208+O246*O208+P246*P208+Q246*Q208+R246*R208+S246*S208+T246*T208+U246*U208+V246*V208+W246*W208+X246*X208+Y246*Y208+Z246*Z208+AA246*AA208+AB246*AB208+AC246*AC208+AD246*AD208+AE246*AE208+AF246*AF208+AG246*AG208+AH246*AH208+AI246*AI208+AJ246*AJ208+AK246*AK208+AL246*AL208+AM246*AM208+AN246*AN208+AO246*AO208+AP246*AP208+AQ246*AQ208+AR246*AR208+AS246*AS208+AT246*AT208+AU246*AU208+AV246*AV208+AW246*AW208+AX246*AX208+AY246*AY208+AZ246*AZ208+BA246*BA208+BB246*BB208+BC246*BC208+BD246*BD208+BE246*BE208+BF246*BF208+BG246*BG208+BH246*BH208+BI246*BI208+BJ246*BJ208+BK246*BK208+BL246*BL208+BM246*BM208+BN246*BN208+BO246*BO208+BP246*BP208+BQ246*BQ208+BR246*BR208+BS246*BS208+BT246*BT208+BU246*BU208+BV246*BV208+BW246*BW208+BX246*BX208+BY246*BY208+BZ246*BZ208+CA246*CA208+CB246*CB208+CC246*CC208+CD246*CD208+CE246*CE208+CF246*CF208+CG246*CG208+CH246*CH208+CI246*CI208+CJ246*CJ208+CK246*CK208</f>
        <v>0</v>
      </c>
    </row>
    <row r="209" spans="2:102" ht="18" x14ac:dyDescent="0.25">
      <c r="B209" s="1974">
        <v>82</v>
      </c>
      <c r="C209" s="1975" t="s">
        <v>2971</v>
      </c>
      <c r="D209" s="915" t="s">
        <v>3764</v>
      </c>
      <c r="E209" s="2676">
        <f>0</f>
        <v>0</v>
      </c>
      <c r="F209" s="2676">
        <f>0</f>
        <v>0</v>
      </c>
      <c r="G209" s="2676">
        <f>0</f>
        <v>0</v>
      </c>
      <c r="H209" s="2676">
        <f>0</f>
        <v>0</v>
      </c>
      <c r="I209" s="2676">
        <f>0</f>
        <v>0</v>
      </c>
      <c r="J209" s="2693">
        <f>0</f>
        <v>0</v>
      </c>
      <c r="K209" s="2676">
        <f>0</f>
        <v>0</v>
      </c>
      <c r="L209" s="2676">
        <f>0</f>
        <v>0</v>
      </c>
      <c r="M209" s="2676">
        <f>0</f>
        <v>0</v>
      </c>
      <c r="N209" s="2676">
        <f>0</f>
        <v>0</v>
      </c>
      <c r="O209" s="2676">
        <f>0</f>
        <v>0</v>
      </c>
      <c r="P209" s="2676">
        <f>0</f>
        <v>0</v>
      </c>
      <c r="Q209" s="2676">
        <f>0</f>
        <v>0</v>
      </c>
      <c r="R209" s="2708">
        <f>0</f>
        <v>0</v>
      </c>
      <c r="S209" s="2676">
        <f>0</f>
        <v>0</v>
      </c>
      <c r="T209" s="2676">
        <f>0</f>
        <v>0</v>
      </c>
      <c r="U209" s="2676">
        <f>0</f>
        <v>0</v>
      </c>
      <c r="V209" s="2676">
        <f>0</f>
        <v>0</v>
      </c>
      <c r="W209" s="2676">
        <f>0</f>
        <v>0</v>
      </c>
      <c r="X209" s="2676">
        <f>0</f>
        <v>0</v>
      </c>
      <c r="Y209" s="2676">
        <f>0</f>
        <v>0</v>
      </c>
      <c r="Z209" s="2671">
        <f>0</f>
        <v>0</v>
      </c>
      <c r="AA209" s="2676">
        <f>0</f>
        <v>0</v>
      </c>
      <c r="AB209" s="2676">
        <f>0</f>
        <v>0</v>
      </c>
      <c r="AC209" s="2676">
        <f>0</f>
        <v>0</v>
      </c>
      <c r="AD209" s="2676">
        <f>0</f>
        <v>0</v>
      </c>
      <c r="AE209" s="2727">
        <f>0</f>
        <v>0</v>
      </c>
      <c r="AF209" s="2676">
        <f>0</f>
        <v>0</v>
      </c>
      <c r="AG209" s="2693">
        <f>0</f>
        <v>0</v>
      </c>
      <c r="AH209" s="2676">
        <f>0</f>
        <v>0</v>
      </c>
      <c r="AI209" s="2727">
        <f>-1</f>
        <v>-1</v>
      </c>
      <c r="AJ209" s="2676">
        <f>0</f>
        <v>0</v>
      </c>
      <c r="AK209" s="2708">
        <f>0</f>
        <v>0</v>
      </c>
      <c r="AL209" s="2676">
        <f>0</f>
        <v>0</v>
      </c>
      <c r="AM209" s="2693">
        <f>0</f>
        <v>0</v>
      </c>
      <c r="AN209" s="2676">
        <f>0</f>
        <v>0</v>
      </c>
      <c r="AO209" s="2708">
        <f>0</f>
        <v>0</v>
      </c>
      <c r="AP209" s="2676">
        <f>0</f>
        <v>0</v>
      </c>
      <c r="AQ209" s="2676">
        <f>0</f>
        <v>0</v>
      </c>
      <c r="AR209" s="2676">
        <f>0</f>
        <v>0</v>
      </c>
      <c r="AS209" s="2676">
        <f>0</f>
        <v>0</v>
      </c>
      <c r="AT209" s="2676">
        <f>0</f>
        <v>0</v>
      </c>
      <c r="AU209" s="2676">
        <f>0</f>
        <v>0</v>
      </c>
      <c r="AV209" s="2708">
        <f>0</f>
        <v>0</v>
      </c>
      <c r="AW209" s="2676">
        <f>0</f>
        <v>0</v>
      </c>
      <c r="AX209" s="2676">
        <f>0</f>
        <v>0</v>
      </c>
      <c r="AY209" s="2676">
        <f>0</f>
        <v>0</v>
      </c>
      <c r="AZ209" s="2708">
        <f>0</f>
        <v>0</v>
      </c>
      <c r="BA209" s="2676">
        <f>0</f>
        <v>0</v>
      </c>
      <c r="BB209" s="2708">
        <f>0</f>
        <v>0</v>
      </c>
      <c r="BC209" s="2708">
        <f>0</f>
        <v>0</v>
      </c>
      <c r="BD209" s="2676">
        <f>0</f>
        <v>0</v>
      </c>
      <c r="BE209" s="2708">
        <f>0</f>
        <v>0</v>
      </c>
      <c r="BF209" s="2676">
        <f>0</f>
        <v>0</v>
      </c>
      <c r="BG209" s="2676">
        <f>0</f>
        <v>0</v>
      </c>
      <c r="BH209" s="2708">
        <f>-1/(A_SFHAO_L*(A_MP/A_MAl))</f>
        <v>-8.7110825691042457</v>
      </c>
      <c r="BI209" s="2676">
        <f>0</f>
        <v>0</v>
      </c>
      <c r="BJ209" s="2676">
        <f>0</f>
        <v>0</v>
      </c>
      <c r="BK209" s="2708">
        <f>1/(A_SFHAO_L*(A_MP/A_MAl))</f>
        <v>8.7110825691042457</v>
      </c>
      <c r="BL209" s="2676">
        <f>0</f>
        <v>0</v>
      </c>
      <c r="BM209" s="2676">
        <f>0</f>
        <v>0</v>
      </c>
      <c r="BN209" s="2708">
        <f>0</f>
        <v>0</v>
      </c>
      <c r="BO209" s="2708">
        <f>0</f>
        <v>0</v>
      </c>
      <c r="BP209" s="2708">
        <f>0</f>
        <v>0</v>
      </c>
      <c r="BQ209" s="2708">
        <f>0</f>
        <v>0</v>
      </c>
      <c r="BR209" s="2708">
        <f>0</f>
        <v>0</v>
      </c>
      <c r="BS209" s="2728">
        <f>0</f>
        <v>0</v>
      </c>
      <c r="BT209" s="2728">
        <f>0</f>
        <v>0</v>
      </c>
      <c r="BU209" s="2728">
        <f>0</f>
        <v>0</v>
      </c>
      <c r="BV209" s="2728">
        <f>0</f>
        <v>0</v>
      </c>
      <c r="BW209" s="2708">
        <f>0</f>
        <v>0</v>
      </c>
      <c r="BX209" s="2786">
        <f>0</f>
        <v>0</v>
      </c>
      <c r="BY209" s="2728">
        <f>0</f>
        <v>0</v>
      </c>
      <c r="BZ209" s="2708">
        <f>0</f>
        <v>0</v>
      </c>
      <c r="CA209" s="2708">
        <f>0</f>
        <v>0</v>
      </c>
      <c r="CB209" s="2708">
        <f>0</f>
        <v>0</v>
      </c>
      <c r="CC209" s="2708">
        <f>0</f>
        <v>0</v>
      </c>
      <c r="CD209" s="2708">
        <f>0</f>
        <v>0</v>
      </c>
      <c r="CE209" s="2708">
        <f>0</f>
        <v>0</v>
      </c>
      <c r="CF209" s="2708">
        <f>0</f>
        <v>0</v>
      </c>
      <c r="CG209" s="2708">
        <f>0</f>
        <v>0</v>
      </c>
      <c r="CH209" s="2708">
        <f>0</f>
        <v>0</v>
      </c>
      <c r="CI209" s="2708">
        <f>0</f>
        <v>0</v>
      </c>
      <c r="CJ209" s="2708">
        <f>0</f>
        <v>0</v>
      </c>
      <c r="CK209" s="2708">
        <f>0</f>
        <v>0</v>
      </c>
      <c r="CL209" s="2812">
        <f>q_P_HAO_BIND*X_HAO_L*M_satSPO4_KP_HAO_BIND</f>
        <v>8.3333333333333332E-51</v>
      </c>
      <c r="CN209" s="2295">
        <f>E236*E209+F236*F209+G236*G209+H236*H209+I236*I209+J236*J209+K236*K209+L236*L209+M236*M209+N236*N209+O236*O209+P236*P209+Q236*Q209+R236*R209+S236*S209+T236*T209+U236*U209+V236*V209+W236*W209+X236*X209+Y236*Y209+Z236*Z209+AA236*AA209+AB236*AB209+AC236*AC209+AD236*AD209+AE236*AE209+AF236*AF209+AG236*AG209+AH236*AH209+AI236*AI209+AJ236*AJ209+AK236*AK209+AL236*AL209+AM236*AM209+AN236*AN209+AO236*AO209+AP236*AP209+AQ236*AQ209+AR236*AR209+AS236*AS209+AT236*AT209+AU236*AU209+AV236*AV209+AW236*AW209+AX236*AX209+AY236*AY209+AZ236*AZ209+BA236*BA209+BB236*BB209+BC236*BC209+BD236*BD209+BE236*BE209+BF236*BF209+BG236*BG209+BH236*BH209+BI236*BI209+BJ236*BJ209+BK236*BK209+BL236*BL209+BM236*BM209+BN236*BN209+BO236*BO209+BP236*BP209+BQ236*BQ209+BR236*BR209+BS236*BS209+BT236*BT209+BU236*BU209+BV236*BV209+BW236*BW209+BX236*BX209+BY236*BY209+BZ236*BZ209+CA236*CA209+CB236*CB209+CC236*CC209+CD236*CD209+CE236*CE209+CF236*CF209+CG236*CG209+CH236*CH209+CI236*CI209+CJ236*CJ209+CK236*CK209</f>
        <v>0</v>
      </c>
      <c r="CO209" s="2295">
        <f>E237*E209+F237*F209+G237*G209+H237*H209+I237*I209+J237*J209+K237*K209+L237*L209+M237*M209+N237*N209+O237*O209+P237*P209+Q237*Q209+R237*R209+S237*S209+T237*T209+U237*U209+V237*V209+W237*W209+X237*X209+Y237*Y209+Z237*Z209+AA237*AA209+AB237*AB209+AC237*AC209+AD237*AD209+AE237*AE209+AF237*AF209+AG237*AG209+AH237*AH209+AI237*AI209+AJ237*AJ209+AK237*AK209+AL237*AL209+AM237*AM209+AN237*AN209+AO237*AO209+AP237*AP209+AQ237*AQ209+AR237*AR209+AS237*AS209+AT237*AT209+AU237*AU209+AV237*AV209+AW237*AW209+AX237*AX209+AY237*AY209+AZ237*AZ209+BA237*BA209+BB237*BB209+BC237*BC209+BD237*BD209+BE237*BE209+BF237*BF209+BG237*BG209+BH237*BH209+BI237*BI209+BJ237*BJ209+BK237*BK209+BL237*BL209+BM237*BM209+BN237*BN209+BO237*BO209+BP237*BP209+BQ237*BQ209+BR237*BR209+BS237*BS209+BT237*BT209+BU237*BU209+BV237*BV209+BW237*BW209+BX237*BX209+BY237*BY209+BZ237*BZ209+CA237*CA209+CB237*CB209+CC237*CC209+CD237*CD209+CE237*CE209+CF237*CF209+CG237*CG209+CH237*CH209+CI237*CI209+CJ237*CJ209+CK237*CK209</f>
        <v>0</v>
      </c>
      <c r="CP209" s="2296">
        <f>E238*E209+F238*F209+G238*G209+H238*H209+I238*I209+J238*J209+K238*K209+L238*L209+M238*M209+N238*N209+O238*O209+P238*P209+Q238*Q209+R238*R209+S238*S209+T238*T209+U238*U209+V238*V209+W238*W209+X238*X209+Y238*Y209+Z238*Z209+AA238*AA209+AB238*AB209+AC238*AC209+AD238*AD209+AE238*AE209+AF238*AF209+AG238*AG209+AH238*AH209+AI238*AI209+AJ238*AJ209+AK238*AK209+AL238*AL209+AM238*AM209+AN238*AN209+AO238*AO209+AP238*AP209+AQ238*AQ209+AR238*AR209+AS238*AS209+AT238*AT209+AU238*AU209+AV238*AV209+AW238*AW209+AX238*AX209+AY238*AY209+AZ238*AZ209+BA238*BA209+BB238*BB209+BC238*BC209+BD238*BD209+BE238*BE209+BF238*BF209+BG238*BG209+BH238*BH209+BI238*BI209+BJ238*BJ209+BK238*BK209+BL238*BL209+BM238*BM209+BN238*BN209+BO238*BO209+BP238*BP209+BQ238*BQ209+BR238*BR209+BS238*BS209+BT238*BT209+BU238*BU209+BV238*BV209+BW238*BW209+BX238*BX209+BY238*BY209+BZ238*BZ209+CA238*CA209+CB238*CB209+CC238*CC209+CD238*CD209+CE238*CE209+CF238*CF209+CG238*CG209+CH238*CH209+CI238*CI209+CJ238*CJ209+CK238*CK209</f>
        <v>0</v>
      </c>
      <c r="CQ209" s="2297">
        <f>E239*E209+F239*F209+G239*G209+H239*H209+I239*I209+J239*J209+K239*K209+L239*L209+M239*M209+N239*N209+O239*O209+P239*P209+Q239*Q209+R239*R209+S239*S209+T239*T209+U239*U209+V239*V209+W239*W209+X239*X209+Y239*Y209+Z239*Z209+AA239*AA209+AB239*AB209+AC239*AC209+AD239*AD209+AE239*AE209+AF239*AF209+AG239*AG209+AH239*AH209+AI239*AI209+AJ239*AJ209+AK239*AK209+AL239*AL209+AM239*AM209+AN239*AN209+AO239*AO209+AP239*AP209+AQ239*AQ209+AR239*AR209+AS239*AS209+AT239*AT209+AU239*AU209+AV239*AV209+AW239*AW209+AX239*AX209+AY239*AY209+AZ239*AZ209+BA239*BA209+BB239*BB209+BC239*BC209+BD239*BD209+BE239*BE209+BF239*BF209+BG239*BG209+BH239*BH209+BI239*BI209+BJ239*BJ209+BK239*BK209+BL239*BL209+BM239*BM209+BN239*BN209+BO239*BO209+BP239*BP209+BQ239*BQ209+BR239*BR209+BS239*BS209+BT239*BT209+BU239*BU209+BV239*BV209+BW239*BW209+BX239*BX209+BY239*BY209+BZ239*BZ209+CA239*CA209+CB239*CB209+CC239*CC209+CD239*CD209+CE239*CE209+CF239*CF209+CG239*CG209+CH239*CH209+CI239*CI209+CJ239*CJ209+CK239*CK209</f>
        <v>0</v>
      </c>
      <c r="CR209" s="2297">
        <f>E240*E209+F240*F209+G240*G209+H240*H209+I240*I209+J240*J209+K240*K209+L240*L209+M240*M209+N240*N209+O240*O209+P240*P209+Q240*Q209+R240*R209+S240*S209+T240*T209+U240*U209+V240*V209+W240*W209+X240*X209+Y240*Y209+Z240*Z209+AA240*AA209+AB240*AB209+AC240*AC209+AD240*AD209+AE240*AE209+AF240*AF209+AG240*AG209+AH240*AH209+AI240*AI209+AJ240*AJ209+AK240*AK209+AL240*AL209+AM240*AM209+AN240*AN209+AO240*AO209+AP240*AP209+AQ240*AQ209+AR240*AR209+AS240*AS209+AT240*AT209+AU240*AU209+AV240*AV209+AW240*AW209+AX240*AX209+AY240*AY209+AZ240*AZ209+BA240*BA209+BB240*BB209+BC240*BC209+BD240*BD209+BE240*BE209+BF240*BF209+BG240*BG209+BH240*BH209+BI240*BI209+BJ240*BJ209+BK240*BK209+BL240*BL209+BM240*BM209+BN240*BN209+BO240*BO209+BP240*BP209+BQ240*BQ209+BR240*BR209+BS240*BS209+BT240*BT209+BU240*BU209+BV240*BV209+BW240*BW209+BX240*BX209+BY240*BY209+BZ240*BZ209+CA240*CA209+CB240*CB209+CC240*CC209+CD240*CD209+CE240*CE209+CF240*CF209+CG240*CG209+CH240*CH209+CI240*CI209+CJ240*CJ209+CK240*CK209</f>
        <v>0</v>
      </c>
      <c r="CS209" s="2297">
        <f>E241*E209+F241*F209+G241*G209+H241*H209+I241*I209+J241*J209+K241*K209+L241*L209+M241*M209+N241*N209+O241*O209+P241*P209+Q241*Q209+R241*R209+S241*S209+T241*T209+U241*U209+V241*V209+W241*W209+X241*X209+Y241*Y209+Z241*Z209+AA241*AA209+AB241*AB209+AC241*AC209+AD241*AD209+AE241*AE209+AF241*AF209+AG241*AG209+AH241*AH209+AI241*AI209+AJ241*AJ209+AK241*AK209+AL241*AL209+AM241*AM209+AN241*AN209+AO241*AO209+AP241*AP209+AQ241*AQ209+AR241*AR209+AS241*AS209+AT241*AT209+AU241*AU209+AV241*AV209+AW241*AW209+AX241*AX209+AY241*AY209+AZ241*AZ209+BA241*BA209+BB241*BB209+BC241*BC209+BD241*BD209+BE241*BE209+BF241*BF209+BG241*BG209+BH241*BH209+BI241*BI209+BJ241*BJ209+BK241*BK209+BL241*BL209+BM241*BM209+BN241*BN209+BO241*BO209+BP241*BP209+BQ241*BQ209+BR241*BR209+BS241*BS209+BT241*BT209+BU241*BU209+BV241*BV209+BW241*BW209+BX241*BX209+BY241*BY209+BZ241*BZ209+CA241*CA209+CB241*CB209+CC241*CC209+CD241*CD209+CE241*CE209+CF241*CF209+CG241*CG209+CH241*CH209+CI241*CI209+CJ241*CJ209+CK241*CK209</f>
        <v>0</v>
      </c>
      <c r="CT209" s="2297">
        <f>E242*E209+F242*F209+G242*G209+H242*H209+I242*I209+J242*J209+K242*K209+L242*L209+M242*M209+N242*N209+O242*O209+P242*P209+Q242*Q209+R242*R209+S242*S209+T242*T209+U242*U209+V242*V209+W242*W209+X242*X209+Y242*Y209+Z242*Z209+AA242*AA209+AB242*AB209+AC242*AC209+AD242*AD209+AE242*AE209+AF242*AF209+AG242*AG209+AH242*AH209+AI242*AI209+AJ242*AJ209+AK242*AK209+AL242*AL209+AM242*AM209+AN242*AN209+AO242*AO209+AP242*AP209+AQ242*AQ209+AR242*AR209+AS242*AS209+AT242*AT209+AU242*AU209+AV242*AV209+AW242*AW209+AX242*AX209+AY242*AY209+AZ242*AZ209+BA242*BA209+BB242*BB209+BC242*BC209+BD242*BD209+BE242*BE209+BF242*BF209+BG242*BG209+BH242*BH209+BI242*BI209+BJ242*BJ209+BK242*BK209+BL242*BL209+BM242*BM209+BN242*BN209+BO242*BO209+BP242*BP209+BQ242*BQ209+BR242*BR209+BS242*BS209+BT242*BT209+BU242*BU209+BV242*BV209+BW242*BW209+BX242*BX209+BY242*BY209+BZ242*BZ209+CA242*CA209+CB242*CB209+CC242*CC209+CD242*CD209+CE242*CE209+CF242*CF209+CG242*CG209+CH242*CH209+CI242*CI209+CJ242*CJ209+CK242*CK209</f>
        <v>0</v>
      </c>
      <c r="CU209" s="2297">
        <f>E243*E209+F243*F209+G243*G209+H243*H209+I243*I209+J243*J209+K243*K209+L243*L209+M243*M209+N243*N209+O243*O209+P243*P209+Q243*Q209+R243*R209+S243*S209+T243*T209+U243*U209+V243*V209+W243*W209+X243*X209+Y243*Y209+Z243*Z209+AA243*AA209+AB243*AB209+AC243*AC209+AD243*AD209+AE243*AE209+AF243*AF209+AG243*AG209+AH243*AH209+AI243*AI209+AJ243*AJ209+AK243*AK209+AL243*AL209+AM243*AM209+AN243*AN209+AO243*AO209+AP243*AP209+AQ243*AQ209+AR243*AR209+AS243*AS209+AT243*AT209+AU243*AU209+AV243*AV209+AW243*AW209+AX243*AX209+AY243*AY209+AZ243*AZ209+BA243*BA209+BB243*BB209+BC243*BC209+BD243*BD209+BE243*BE209+BF243*BF209+BG243*BG209+BH243*BH209+BI243*BI209+BJ243*BJ209+BK243*BK209+BL243*BL209+BM243*BM209+BN243*BN209+BO243*BO209+BP243*BP209+BQ243*BQ209+BR243*BR209+BS243*BS209+BT243*BT209+BU243*BU209+BV243*BV209+BW243*BW209+BX243*BX209+BY243*BY209+BZ243*BZ209+CA243*CA209+CB243*CB209+CC243*CC209+CD243*CD209+CE243*CE209+CF243*CF209+CG243*CG209+CH243*CH209+CI243*CI209+CJ243*CJ209+CK243*CK209</f>
        <v>0</v>
      </c>
      <c r="CV209" s="2297">
        <f>E244*E209+F244*F209+G244*G209+H244*H209+I244*I209+J244*J209+K244*K209+L244*L209+M244*M209+N244*N209+O244*O209+P244*P209+Q244*Q209+R244*R209+S244*S209+T244*T209+U244*U209+V244*V209+W244*W209+X244*X209+Y244*Y209+Z244*Z209+AA244*AA209+AB244*AB209+AC244*AC209+AD244*AD209+AE244*AE209+AF244*AF209+AG244*AG209+AH244*AH209+AI244*AI209+AJ244*AJ209+AK244*AK209+AL244*AL209+AM244*AM209+AN244*AN209+AO244*AO209+AP244*AP209+AQ244*AQ209+AR244*AR209+AS244*AS209+AT244*AT209+AU244*AU209+AV244*AV209+AW244*AW209+AX244*AX209+AY244*AY209+AZ244*AZ209+BA244*BA209+BB244*BB209+BC244*BC209+BD244*BD209+BE244*BE209+BF244*BF209+BG244*BG209+BH244*BH209+BI244*BI209+BJ244*BJ209+BK244*BK209+BL244*BL209+BM244*BM209+BN244*BN209+BO244*BO209+BP244*BP209+BQ244*BQ209+BR244*BR209+BS244*BS209+BT244*BT209+BU244*BU209+BV244*BV209+BW244*BW209+BX244*BX209+BY244*BY209+BZ244*BZ209+CA244*CA209+CB244*CB209+CC244*CC209+CD244*CD209+CE244*CE209+CF244*CF209+CG244*CG209+CH244*CH209+CI244*CI209+CJ244*CJ209+CK244*CK209</f>
        <v>0</v>
      </c>
      <c r="CW209" s="2297">
        <f>E245*E209+F245*F209+G245*G209+H245*H209+I245*I209+J245*J209+K245*K209+L245*L209+M245*M209+N245*N209+O245*O209+P245*P209+Q245*Q209+R245*R209+S245*S209+T245*T209+U245*U209+V245*V209+W245*W209+X245*X209+Y245*Y209+Z245*Z209+AA245*AA209+AB245*AB209+AC245*AC209+AD245*AD209+AE245*AE209+AF245*AF209+AG245*AG209+AH245*AH209+AI245*AI209+AJ245*AJ209+AK245*AK209+AL245*AL209+AM245*AM209+AN245*AN209+AO245*AO209+AP245*AP209+AQ245*AQ209+AR245*AR209+AS245*AS209+AT245*AT209+AU245*AU209+AV245*AV209+AW245*AW209+AX245*AX209+AY245*AY209+AZ245*AZ209+BA245*BA209+BB245*BB209+BC245*BC209+BD245*BD209+BE245*BE209+BF245*BF209+BG245*BG209+BH245*BH209+BI245*BI209+BJ245*BJ209+BK245*BK209+BL245*BL209+BM245*BM209+BN245*BN209+BO245*BO209+BP245*BP209+BQ245*BQ209+BR245*BR209+BS245*BS209+BT245*BT209+BU245*BU209+BV245*BV209+BW245*BW209+BX245*BX209+BY245*BY209+BZ245*BZ209+CA245*CA209+CB245*CB209+CC245*CC209+CD245*CD209+CE245*CE209+CF245*CF209+CG245*CG209+CH245*CH209+CI245*CI209+CJ245*CJ209+CK245*CK209</f>
        <v>0</v>
      </c>
      <c r="CX209" s="2297">
        <f>E246*E209+F246*F209+G246*G209+H246*H209+I246*I209+J246*J209+K246*K209+L246*L209+M246*M209+N246*N209+O246*O209+P246*P209+Q246*Q209+R246*R209+S246*S209+T246*T209+U246*U209+V246*V209+W246*W209+X246*X209+Y246*Y209+Z246*Z209+AA246*AA209+AB246*AB209+AC246*AC209+AD246*AD209+AE246*AE209+AF246*AF209+AG246*AG209+AH246*AH209+AI246*AI209+AJ246*AJ209+AK246*AK209+AL246*AL209+AM246*AM209+AN246*AN209+AO246*AO209+AP246*AP209+AQ246*AQ209+AR246*AR209+AS246*AS209+AT246*AT209+AU246*AU209+AV246*AV209+AW246*AW209+AX246*AX209+AY246*AY209+AZ246*AZ209+BA246*BA209+BB246*BB209+BC246*BC209+BD246*BD209+BE246*BE209+BF246*BF209+BG246*BG209+BH246*BH209+BI246*BI209+BJ246*BJ209+BK246*BK209+BL246*BL209+BM246*BM209+BN246*BN209+BO246*BO209+BP246*BP209+BQ246*BQ209+BR246*BR209+BS246*BS209+BT246*BT209+BU246*BU209+BV246*BV209+BW246*BW209+BX246*BX209+BY246*BY209+BZ246*BZ209+CA246*CA209+CB246*CB209+CC246*CC209+CD246*CD209+CE246*CE209+CF246*CF209+CG246*CG209+CH246*CH209+CI246*CI209+CJ246*CJ209+CK246*CK209</f>
        <v>0</v>
      </c>
    </row>
    <row r="210" spans="2:102" ht="18" x14ac:dyDescent="0.25">
      <c r="B210" s="1974">
        <v>83</v>
      </c>
      <c r="C210" s="1975" t="s">
        <v>2972</v>
      </c>
      <c r="D210" s="915" t="s">
        <v>3768</v>
      </c>
      <c r="E210" s="2676">
        <f>0</f>
        <v>0</v>
      </c>
      <c r="F210" s="2676">
        <f>0</f>
        <v>0</v>
      </c>
      <c r="G210" s="2676">
        <f>0</f>
        <v>0</v>
      </c>
      <c r="H210" s="2676">
        <f>0</f>
        <v>0</v>
      </c>
      <c r="I210" s="2676">
        <f>0</f>
        <v>0</v>
      </c>
      <c r="J210" s="2693">
        <f>0</f>
        <v>0</v>
      </c>
      <c r="K210" s="2676">
        <f>0</f>
        <v>0</v>
      </c>
      <c r="L210" s="2676">
        <f>0</f>
        <v>0</v>
      </c>
      <c r="M210" s="2676">
        <f>0</f>
        <v>0</v>
      </c>
      <c r="N210" s="2676">
        <f>0</f>
        <v>0</v>
      </c>
      <c r="O210" s="2676">
        <f>0</f>
        <v>0</v>
      </c>
      <c r="P210" s="2676">
        <f>0</f>
        <v>0</v>
      </c>
      <c r="Q210" s="2676">
        <f>0</f>
        <v>0</v>
      </c>
      <c r="R210" s="2708">
        <f>0</f>
        <v>0</v>
      </c>
      <c r="S210" s="2676">
        <f>0</f>
        <v>0</v>
      </c>
      <c r="T210" s="2676">
        <f>0</f>
        <v>0</v>
      </c>
      <c r="U210" s="2676">
        <f>0</f>
        <v>0</v>
      </c>
      <c r="V210" s="2676">
        <f>0</f>
        <v>0</v>
      </c>
      <c r="W210" s="2676">
        <f>0</f>
        <v>0</v>
      </c>
      <c r="X210" s="2676">
        <f>0</f>
        <v>0</v>
      </c>
      <c r="Y210" s="2676">
        <f>0</f>
        <v>0</v>
      </c>
      <c r="Z210" s="2671">
        <f>0</f>
        <v>0</v>
      </c>
      <c r="AA210" s="2676">
        <f>0</f>
        <v>0</v>
      </c>
      <c r="AB210" s="2676">
        <f>0</f>
        <v>0</v>
      </c>
      <c r="AC210" s="2676">
        <f>0</f>
        <v>0</v>
      </c>
      <c r="AD210" s="2676">
        <f>0</f>
        <v>0</v>
      </c>
      <c r="AE210" s="2708">
        <f>0</f>
        <v>0</v>
      </c>
      <c r="AF210" s="2676">
        <f>0</f>
        <v>0</v>
      </c>
      <c r="AG210" s="2693">
        <f>0</f>
        <v>0</v>
      </c>
      <c r="AH210" s="2676">
        <f>0</f>
        <v>0</v>
      </c>
      <c r="AI210" s="2708">
        <f>(A_SFHAO_H*(A_MP/A_MAl))</f>
        <v>1.1479629449808202</v>
      </c>
      <c r="AJ210" s="2676">
        <f>0</f>
        <v>0</v>
      </c>
      <c r="AK210" s="2708">
        <f>0</f>
        <v>0</v>
      </c>
      <c r="AL210" s="2676">
        <f>0</f>
        <v>0</v>
      </c>
      <c r="AM210" s="2693">
        <f>0</f>
        <v>0</v>
      </c>
      <c r="AN210" s="2676">
        <f>0</f>
        <v>0</v>
      </c>
      <c r="AO210" s="2708">
        <f>0</f>
        <v>0</v>
      </c>
      <c r="AP210" s="2676">
        <f>0</f>
        <v>0</v>
      </c>
      <c r="AQ210" s="2676">
        <f>0</f>
        <v>0</v>
      </c>
      <c r="AR210" s="2676">
        <f>0</f>
        <v>0</v>
      </c>
      <c r="AS210" s="2676">
        <f>0</f>
        <v>0</v>
      </c>
      <c r="AT210" s="2676">
        <f>0</f>
        <v>0</v>
      </c>
      <c r="AU210" s="2676">
        <f>0</f>
        <v>0</v>
      </c>
      <c r="AV210" s="2708">
        <f>0</f>
        <v>0</v>
      </c>
      <c r="AW210" s="2676">
        <f>0</f>
        <v>0</v>
      </c>
      <c r="AX210" s="2676">
        <f>0</f>
        <v>0</v>
      </c>
      <c r="AY210" s="2676">
        <f>0</f>
        <v>0</v>
      </c>
      <c r="AZ210" s="2708">
        <f>0</f>
        <v>0</v>
      </c>
      <c r="BA210" s="2676">
        <f>0</f>
        <v>0</v>
      </c>
      <c r="BB210" s="2708">
        <f>0</f>
        <v>0</v>
      </c>
      <c r="BC210" s="2708">
        <f>0</f>
        <v>0</v>
      </c>
      <c r="BD210" s="2753">
        <f>0</f>
        <v>0</v>
      </c>
      <c r="BE210" s="2753">
        <f>0</f>
        <v>0</v>
      </c>
      <c r="BF210" s="2753">
        <f>0</f>
        <v>0</v>
      </c>
      <c r="BG210" s="2753">
        <f>1</f>
        <v>1</v>
      </c>
      <c r="BH210" s="2753">
        <f>0</f>
        <v>0</v>
      </c>
      <c r="BI210" s="2753">
        <f>0</f>
        <v>0</v>
      </c>
      <c r="BJ210" s="2753">
        <f>-1</f>
        <v>-1</v>
      </c>
      <c r="BK210" s="2753">
        <f>0</f>
        <v>0</v>
      </c>
      <c r="BL210" s="2753">
        <f>0</f>
        <v>0</v>
      </c>
      <c r="BM210" s="2753">
        <f>0</f>
        <v>0</v>
      </c>
      <c r="BN210" s="2708">
        <f>0</f>
        <v>0</v>
      </c>
      <c r="BO210" s="2708">
        <f>0</f>
        <v>0</v>
      </c>
      <c r="BP210" s="2708">
        <f>0</f>
        <v>0</v>
      </c>
      <c r="BQ210" s="2708">
        <f>0</f>
        <v>0</v>
      </c>
      <c r="BR210" s="2708">
        <f>0</f>
        <v>0</v>
      </c>
      <c r="BS210" s="2728">
        <f>0</f>
        <v>0</v>
      </c>
      <c r="BT210" s="2728">
        <f>0</f>
        <v>0</v>
      </c>
      <c r="BU210" s="2728">
        <f>0</f>
        <v>0</v>
      </c>
      <c r="BV210" s="2728">
        <f>0</f>
        <v>0</v>
      </c>
      <c r="BW210" s="2708">
        <f>0</f>
        <v>0</v>
      </c>
      <c r="BX210" s="2786">
        <f>0</f>
        <v>0</v>
      </c>
      <c r="BY210" s="2728">
        <f>0</f>
        <v>0</v>
      </c>
      <c r="BZ210" s="2708">
        <f>0</f>
        <v>0</v>
      </c>
      <c r="CA210" s="2708">
        <f>0</f>
        <v>0</v>
      </c>
      <c r="CB210" s="2708">
        <f>0</f>
        <v>0</v>
      </c>
      <c r="CC210" s="2708">
        <f>0</f>
        <v>0</v>
      </c>
      <c r="CD210" s="2708">
        <f>0</f>
        <v>0</v>
      </c>
      <c r="CE210" s="2708">
        <f>0</f>
        <v>0</v>
      </c>
      <c r="CF210" s="2708">
        <f>0</f>
        <v>0</v>
      </c>
      <c r="CG210" s="2708">
        <f>0</f>
        <v>0</v>
      </c>
      <c r="CH210" s="2708">
        <f>0</f>
        <v>0</v>
      </c>
      <c r="CI210" s="2708">
        <f>0</f>
        <v>0</v>
      </c>
      <c r="CJ210" s="2708">
        <f>0</f>
        <v>0</v>
      </c>
      <c r="CK210" s="2708">
        <f>0</f>
        <v>0</v>
      </c>
      <c r="CL210" s="2812">
        <f>q_HAOH_DESORP*X_HAO_H_P*M_inhSPO4_KiP_HAO_DESORP</f>
        <v>1.6666666666666669E-49</v>
      </c>
      <c r="CN210" s="2295">
        <f>E236*E210+F236*F210+G236*G210+H236*H210+I236*I210+J236*J210+K236*K210+L236*L210+M236*M210+N236*N210+O236*O210+P236*P210+Q236*Q210+R236*R210+S236*S210+T236*T210+U236*U210+V236*V210+W236*W210+X236*X210+Y236*Y210+Z236*Z210+AA236*AA210+AB236*AB210+AC236*AC210+AD236*AD210+AE236*AE210+AF236*AF210+AG236*AG210+AH236*AH210+AI236*AI210+AJ236*AJ210+AK236*AK210+AL236*AL210+AM236*AM210+AN236*AN210+AO236*AO210+AP236*AP210+AQ236*AQ210+AR236*AR210+AS236*AS210+AT236*AT210+AU236*AU210+AV236*AV210+AW236*AW210+AX236*AX210+AY236*AY210+AZ236*AZ210+BA236*BA210+BB236*BB210+BC236*BC210+BD236*BD210+BE236*BE210+BF236*BF210+BG236*BG210+BH236*BH210+BI236*BI210+BJ236*BJ210+BK236*BK210+BL236*BL210+BM236*BM210+BN236*BN210+BO236*BO210+BP236*BP210+BQ236*BQ210+BR236*BR210+BS236*BS210+BT236*BT210+BU236*BU210+BV236*BV210+BW236*BW210+BX236*BX210+BY236*BY210+BZ236*BZ210+CA236*CA210+CB236*CB210+CC236*CC210+CD236*CD210+CE236*CE210+CF236*CF210+CG236*CG210+CH236*CH210+CI236*CI210+CJ236*CJ210+CK236*CK210</f>
        <v>0</v>
      </c>
      <c r="CO210" s="2295">
        <f>E237*E210+F237*F210+G237*G210+H237*H210+I237*I210+J237*J210+K237*K210+L237*L210+M237*M210+N237*N210+O237*O210+P237*P210+Q237*Q210+R237*R210+S237*S210+T237*T210+U237*U210+V237*V210+W237*W210+X237*X210+Y237*Y210+Z237*Z210+AA237*AA210+AB237*AB210+AC237*AC210+AD237*AD210+AE237*AE210+AF237*AF210+AG237*AG210+AH237*AH210+AI237*AI210+AJ237*AJ210+AK237*AK210+AL237*AL210+AM237*AM210+AN237*AN210+AO237*AO210+AP237*AP210+AQ237*AQ210+AR237*AR210+AS237*AS210+AT237*AT210+AU237*AU210+AV237*AV210+AW237*AW210+AX237*AX210+AY237*AY210+AZ237*AZ210+BA237*BA210+BB237*BB210+BC237*BC210+BD237*BD210+BE237*BE210+BF237*BF210+BG237*BG210+BH237*BH210+BI237*BI210+BJ237*BJ210+BK237*BK210+BL237*BL210+BM237*BM210+BN237*BN210+BO237*BO210+BP237*BP210+BQ237*BQ210+BR237*BR210+BS237*BS210+BT237*BT210+BU237*BU210+BV237*BV210+BW237*BW210+BX237*BX210+BY237*BY210+BZ237*BZ210+CA237*CA210+CB237*CB210+CC237*CC210+CD237*CD210+CE237*CE210+CF237*CF210+CG237*CG210+CH237*CH210+CI237*CI210+CJ237*CJ210+CK237*CK210</f>
        <v>0</v>
      </c>
      <c r="CP210" s="2296">
        <f>E238*E210+F238*F210+G238*G210+H238*H210+I238*I210+J238*J210+K238*K210+L238*L210+M238*M210+N238*N210+O238*O210+P238*P210+Q238*Q210+R238*R210+S238*S210+T238*T210+U238*U210+V238*V210+W238*W210+X238*X210+Y238*Y210+Z238*Z210+AA238*AA210+AB238*AB210+AC238*AC210+AD238*AD210+AE238*AE210+AF238*AF210+AG238*AG210+AH238*AH210+AI238*AI210+AJ238*AJ210+AK238*AK210+AL238*AL210+AM238*AM210+AN238*AN210+AO238*AO210+AP238*AP210+AQ238*AQ210+AR238*AR210+AS238*AS210+AT238*AT210+AU238*AU210+AV238*AV210+AW238*AW210+AX238*AX210+AY238*AY210+AZ238*AZ210+BA238*BA210+BB238*BB210+BC238*BC210+BD238*BD210+BE238*BE210+BF238*BF210+BG238*BG210+BH238*BH210+BI238*BI210+BJ238*BJ210+BK238*BK210+BL238*BL210+BM238*BM210+BN238*BN210+BO238*BO210+BP238*BP210+BQ238*BQ210+BR238*BR210+BS238*BS210+BT238*BT210+BU238*BU210+BV238*BV210+BW238*BW210+BX238*BX210+BY238*BY210+BZ238*BZ210+CA238*CA210+CB238*CB210+CC238*CC210+CD238*CD210+CE238*CE210+CF238*CF210+CG238*CG210+CH238*CH210+CI238*CI210+CJ238*CJ210+CK238*CK210</f>
        <v>0</v>
      </c>
      <c r="CQ210" s="2297">
        <f>E239*E210+F239*F210+G239*G210+H239*H210+I239*I210+J239*J210+K239*K210+L239*L210+M239*M210+N239*N210+O239*O210+P239*P210+Q239*Q210+R239*R210+S239*S210+T239*T210+U239*U210+V239*V210+W239*W210+X239*X210+Y239*Y210+Z239*Z210+AA239*AA210+AB239*AB210+AC239*AC210+AD239*AD210+AE239*AE210+AF239*AF210+AG239*AG210+AH239*AH210+AI239*AI210+AJ239*AJ210+AK239*AK210+AL239*AL210+AM239*AM210+AN239*AN210+AO239*AO210+AP239*AP210+AQ239*AQ210+AR239*AR210+AS239*AS210+AT239*AT210+AU239*AU210+AV239*AV210+AW239*AW210+AX239*AX210+AY239*AY210+AZ239*AZ210+BA239*BA210+BB239*BB210+BC239*BC210+BD239*BD210+BE239*BE210+BF239*BF210+BG239*BG210+BH239*BH210+BI239*BI210+BJ239*BJ210+BK239*BK210+BL239*BL210+BM239*BM210+BN239*BN210+BO239*BO210+BP239*BP210+BQ239*BQ210+BR239*BR210+BS239*BS210+BT239*BT210+BU239*BU210+BV239*BV210+BW239*BW210+BX239*BX210+BY239*BY210+BZ239*BZ210+CA239*CA210+CB239*CB210+CC239*CC210+CD239*CD210+CE239*CE210+CF239*CF210+CG239*CG210+CH239*CH210+CI239*CI210+CJ239*CJ210+CK239*CK210</f>
        <v>0</v>
      </c>
      <c r="CR210" s="2297">
        <f>E240*E210+F240*F210+G240*G210+H240*H210+I240*I210+J240*J210+K240*K210+L240*L210+M240*M210+N240*N210+O240*O210+P240*P210+Q240*Q210+R240*R210+S240*S210+T240*T210+U240*U210+V240*V210+W240*W210+X240*X210+Y240*Y210+Z240*Z210+AA240*AA210+AB240*AB210+AC240*AC210+AD240*AD210+AE240*AE210+AF240*AF210+AG240*AG210+AH240*AH210+AI240*AI210+AJ240*AJ210+AK240*AK210+AL240*AL210+AM240*AM210+AN240*AN210+AO240*AO210+AP240*AP210+AQ240*AQ210+AR240*AR210+AS240*AS210+AT240*AT210+AU240*AU210+AV240*AV210+AW240*AW210+AX240*AX210+AY240*AY210+AZ240*AZ210+BA240*BA210+BB240*BB210+BC240*BC210+BD240*BD210+BE240*BE210+BF240*BF210+BG240*BG210+BH240*BH210+BI240*BI210+BJ240*BJ210+BK240*BK210+BL240*BL210+BM240*BM210+BN240*BN210+BO240*BO210+BP240*BP210+BQ240*BQ210+BR240*BR210+BS240*BS210+BT240*BT210+BU240*BU210+BV240*BV210+BW240*BW210+BX240*BX210+BY240*BY210+BZ240*BZ210+CA240*CA210+CB240*CB210+CC240*CC210+CD240*CD210+CE240*CE210+CF240*CF210+CG240*CG210+CH240*CH210+CI240*CI210+CJ240*CJ210+CK240*CK210</f>
        <v>0</v>
      </c>
      <c r="CS210" s="2297">
        <f>E241*E210+F241*F210+G241*G210+H241*H210+I241*I210+J241*J210+K241*K210+L241*L210+M241*M210+N241*N210+O241*O210+P241*P210+Q241*Q210+R241*R210+S241*S210+T241*T210+U241*U210+V241*V210+W241*W210+X241*X210+Y241*Y210+Z241*Z210+AA241*AA210+AB241*AB210+AC241*AC210+AD241*AD210+AE241*AE210+AF241*AF210+AG241*AG210+AH241*AH210+AI241*AI210+AJ241*AJ210+AK241*AK210+AL241*AL210+AM241*AM210+AN241*AN210+AO241*AO210+AP241*AP210+AQ241*AQ210+AR241*AR210+AS241*AS210+AT241*AT210+AU241*AU210+AV241*AV210+AW241*AW210+AX241*AX210+AY241*AY210+AZ241*AZ210+BA241*BA210+BB241*BB210+BC241*BC210+BD241*BD210+BE241*BE210+BF241*BF210+BG241*BG210+BH241*BH210+BI241*BI210+BJ241*BJ210+BK241*BK210+BL241*BL210+BM241*BM210+BN241*BN210+BO241*BO210+BP241*BP210+BQ241*BQ210+BR241*BR210+BS241*BS210+BT241*BT210+BU241*BU210+BV241*BV210+BW241*BW210+BX241*BX210+BY241*BY210+BZ241*BZ210+CA241*CA210+CB241*CB210+CC241*CC210+CD241*CD210+CE241*CE210+CF241*CF210+CG241*CG210+CH241*CH210+CI241*CI210+CJ241*CJ210+CK241*CK210</f>
        <v>0</v>
      </c>
      <c r="CT210" s="2297">
        <f>E242*E210+F242*F210+G242*G210+H242*H210+I242*I210+J242*J210+K242*K210+L242*L210+M242*M210+N242*N210+O242*O210+P242*P210+Q242*Q210+R242*R210+S242*S210+T242*T210+U242*U210+V242*V210+W242*W210+X242*X210+Y242*Y210+Z242*Z210+AA242*AA210+AB242*AB210+AC242*AC210+AD242*AD210+AE242*AE210+AF242*AF210+AG242*AG210+AH242*AH210+AI242*AI210+AJ242*AJ210+AK242*AK210+AL242*AL210+AM242*AM210+AN242*AN210+AO242*AO210+AP242*AP210+AQ242*AQ210+AR242*AR210+AS242*AS210+AT242*AT210+AU242*AU210+AV242*AV210+AW242*AW210+AX242*AX210+AY242*AY210+AZ242*AZ210+BA242*BA210+BB242*BB210+BC242*BC210+BD242*BD210+BE242*BE210+BF242*BF210+BG242*BG210+BH242*BH210+BI242*BI210+BJ242*BJ210+BK242*BK210+BL242*BL210+BM242*BM210+BN242*BN210+BO242*BO210+BP242*BP210+BQ242*BQ210+BR242*BR210+BS242*BS210+BT242*BT210+BU242*BU210+BV242*BV210+BW242*BW210+BX242*BX210+BY242*BY210+BZ242*BZ210+CA242*CA210+CB242*CB210+CC242*CC210+CD242*CD210+CE242*CE210+CF242*CF210+CG242*CG210+CH242*CH210+CI242*CI210+CJ242*CJ210+CK242*CK210</f>
        <v>0</v>
      </c>
      <c r="CU210" s="2297">
        <f>E243*E210+F243*F210+G243*G210+H243*H210+I243*I210+J243*J210+K243*K210+L243*L210+M243*M210+N243*N210+O243*O210+P243*P210+Q243*Q210+R243*R210+S243*S210+T243*T210+U243*U210+V243*V210+W243*W210+X243*X210+Y243*Y210+Z243*Z210+AA243*AA210+AB243*AB210+AC243*AC210+AD243*AD210+AE243*AE210+AF243*AF210+AG243*AG210+AH243*AH210+AI243*AI210+AJ243*AJ210+AK243*AK210+AL243*AL210+AM243*AM210+AN243*AN210+AO243*AO210+AP243*AP210+AQ243*AQ210+AR243*AR210+AS243*AS210+AT243*AT210+AU243*AU210+AV243*AV210+AW243*AW210+AX243*AX210+AY243*AY210+AZ243*AZ210+BA243*BA210+BB243*BB210+BC243*BC210+BD243*BD210+BE243*BE210+BF243*BF210+BG243*BG210+BH243*BH210+BI243*BI210+BJ243*BJ210+BK243*BK210+BL243*BL210+BM243*BM210+BN243*BN210+BO243*BO210+BP243*BP210+BQ243*BQ210+BR243*BR210+BS243*BS210+BT243*BT210+BU243*BU210+BV243*BV210+BW243*BW210+BX243*BX210+BY243*BY210+BZ243*BZ210+CA243*CA210+CB243*CB210+CC243*CC210+CD243*CD210+CE243*CE210+CF243*CF210+CG243*CG210+CH243*CH210+CI243*CI210+CJ243*CJ210+CK243*CK210</f>
        <v>0</v>
      </c>
      <c r="CV210" s="2297">
        <f>E244*E210+F244*F210+G244*G210+H244*H210+I244*I210+J244*J210+K244*K210+L244*L210+M244*M210+N244*N210+O244*O210+P244*P210+Q244*Q210+R244*R210+S244*S210+T244*T210+U244*U210+V244*V210+W244*W210+X244*X210+Y244*Y210+Z244*Z210+AA244*AA210+AB244*AB210+AC244*AC210+AD244*AD210+AE244*AE210+AF244*AF210+AG244*AG210+AH244*AH210+AI244*AI210+AJ244*AJ210+AK244*AK210+AL244*AL210+AM244*AM210+AN244*AN210+AO244*AO210+AP244*AP210+AQ244*AQ210+AR244*AR210+AS244*AS210+AT244*AT210+AU244*AU210+AV244*AV210+AW244*AW210+AX244*AX210+AY244*AY210+AZ244*AZ210+BA244*BA210+BB244*BB210+BC244*BC210+BD244*BD210+BE244*BE210+BF244*BF210+BG244*BG210+BH244*BH210+BI244*BI210+BJ244*BJ210+BK244*BK210+BL244*BL210+BM244*BM210+BN244*BN210+BO244*BO210+BP244*BP210+BQ244*BQ210+BR244*BR210+BS244*BS210+BT244*BT210+BU244*BU210+BV244*BV210+BW244*BW210+BX244*BX210+BY244*BY210+BZ244*BZ210+CA244*CA210+CB244*CB210+CC244*CC210+CD244*CD210+CE244*CE210+CF244*CF210+CG244*CG210+CH244*CH210+CI244*CI210+CJ244*CJ210+CK244*CK210</f>
        <v>0</v>
      </c>
      <c r="CW210" s="2297">
        <f>E245*E210+F245*F210+G245*G210+H245*H210+I245*I210+J245*J210+K245*K210+L245*L210+M245*M210+N245*N210+O245*O210+P245*P210+Q245*Q210+R245*R210+S245*S210+T245*T210+U245*U210+V245*V210+W245*W210+X245*X210+Y245*Y210+Z245*Z210+AA245*AA210+AB245*AB210+AC245*AC210+AD245*AD210+AE245*AE210+AF245*AF210+AG245*AG210+AH245*AH210+AI245*AI210+AJ245*AJ210+AK245*AK210+AL245*AL210+AM245*AM210+AN245*AN210+AO245*AO210+AP245*AP210+AQ245*AQ210+AR245*AR210+AS245*AS210+AT245*AT210+AU245*AU210+AV245*AV210+AW245*AW210+AX245*AX210+AY245*AY210+AZ245*AZ210+BA245*BA210+BB245*BB210+BC245*BC210+BD245*BD210+BE245*BE210+BF245*BF210+BG245*BG210+BH245*BH210+BI245*BI210+BJ245*BJ210+BK245*BK210+BL245*BL210+BM245*BM210+BN245*BN210+BO245*BO210+BP245*BP210+BQ245*BQ210+BR245*BR210+BS245*BS210+BT245*BT210+BU245*BU210+BV245*BV210+BW245*BW210+BX245*BX210+BY245*BY210+BZ245*BZ210+CA245*CA210+CB245*CB210+CC245*CC210+CD245*CD210+CE245*CE210+CF245*CF210+CG245*CG210+CH245*CH210+CI245*CI210+CJ245*CJ210+CK245*CK210</f>
        <v>0</v>
      </c>
      <c r="CX210" s="2297">
        <f>E246*E210+F246*F210+G246*G210+H246*H210+I246*I210+J246*J210+K246*K210+L246*L210+M246*M210+N246*N210+O246*O210+P246*P210+Q246*Q210+R246*R210+S246*S210+T246*T210+U246*U210+V246*V210+W246*W210+X246*X210+Y246*Y210+Z246*Z210+AA246*AA210+AB246*AB210+AC246*AC210+AD246*AD210+AE246*AE210+AF246*AF210+AG246*AG210+AH246*AH210+AI246*AI210+AJ246*AJ210+AK246*AK210+AL246*AL210+AM246*AM210+AN246*AN210+AO246*AO210+AP246*AP210+AQ246*AQ210+AR246*AR210+AS246*AS210+AT246*AT210+AU246*AU210+AV246*AV210+AW246*AW210+AX246*AX210+AY246*AY210+AZ246*AZ210+BA246*BA210+BB246*BB210+BC246*BC210+BD246*BD210+BE246*BE210+BF246*BF210+BG246*BG210+BH246*BH210+BI246*BI210+BJ246*BJ210+BK246*BK210+BL246*BL210+BM246*BM210+BN246*BN210+BO246*BO210+BP246*BP210+BQ246*BQ210+BR246*BR210+BS246*BS210+BT246*BT210+BU246*BU210+BV246*BV210+BW246*BW210+BX246*BX210+BY246*BY210+BZ246*BZ210+CA246*CA210+CB246*CB210+CC246*CC210+CD246*CD210+CE246*CE210+CF246*CF210+CG246*CG210+CH246*CH210+CI246*CI210+CJ246*CJ210+CK246*CK210</f>
        <v>0</v>
      </c>
    </row>
    <row r="211" spans="2:102" ht="18" x14ac:dyDescent="0.25">
      <c r="B211" s="1974">
        <v>84</v>
      </c>
      <c r="C211" s="1975" t="s">
        <v>2973</v>
      </c>
      <c r="D211" s="915" t="s">
        <v>3771</v>
      </c>
      <c r="E211" s="2676">
        <f>0</f>
        <v>0</v>
      </c>
      <c r="F211" s="2676">
        <f>0</f>
        <v>0</v>
      </c>
      <c r="G211" s="2676">
        <f>0</f>
        <v>0</v>
      </c>
      <c r="H211" s="2676">
        <f>0</f>
        <v>0</v>
      </c>
      <c r="I211" s="2676">
        <f>0</f>
        <v>0</v>
      </c>
      <c r="J211" s="2693">
        <f>0</f>
        <v>0</v>
      </c>
      <c r="K211" s="2676">
        <f>0</f>
        <v>0</v>
      </c>
      <c r="L211" s="2676">
        <f>0</f>
        <v>0</v>
      </c>
      <c r="M211" s="2676">
        <f>0</f>
        <v>0</v>
      </c>
      <c r="N211" s="2676">
        <f>0</f>
        <v>0</v>
      </c>
      <c r="O211" s="2676">
        <f>0</f>
        <v>0</v>
      </c>
      <c r="P211" s="2676">
        <f>0</f>
        <v>0</v>
      </c>
      <c r="Q211" s="2676">
        <f>0</f>
        <v>0</v>
      </c>
      <c r="R211" s="2708">
        <f>0</f>
        <v>0</v>
      </c>
      <c r="S211" s="2676">
        <f>0</f>
        <v>0</v>
      </c>
      <c r="T211" s="2676">
        <f>0</f>
        <v>0</v>
      </c>
      <c r="U211" s="2676">
        <f>0</f>
        <v>0</v>
      </c>
      <c r="V211" s="2676">
        <f>0</f>
        <v>0</v>
      </c>
      <c r="W211" s="2676">
        <f>0</f>
        <v>0</v>
      </c>
      <c r="X211" s="2676">
        <f>0</f>
        <v>0</v>
      </c>
      <c r="Y211" s="2676">
        <f>0</f>
        <v>0</v>
      </c>
      <c r="Z211" s="2671">
        <f>0</f>
        <v>0</v>
      </c>
      <c r="AA211" s="2676">
        <f>0</f>
        <v>0</v>
      </c>
      <c r="AB211" s="2676">
        <f>0</f>
        <v>0</v>
      </c>
      <c r="AC211" s="2676">
        <f>0</f>
        <v>0</v>
      </c>
      <c r="AD211" s="2676">
        <f>0</f>
        <v>0</v>
      </c>
      <c r="AE211" s="2708">
        <f>0</f>
        <v>0</v>
      </c>
      <c r="AF211" s="2676">
        <f>0</f>
        <v>0</v>
      </c>
      <c r="AG211" s="2693">
        <f>0</f>
        <v>0</v>
      </c>
      <c r="AH211" s="2676">
        <f>0</f>
        <v>0</v>
      </c>
      <c r="AI211" s="2708">
        <f>(A_SFHAO_L*(A_MP/A_MAl))</f>
        <v>0.11479629449808203</v>
      </c>
      <c r="AJ211" s="2676">
        <f>0</f>
        <v>0</v>
      </c>
      <c r="AK211" s="2708">
        <f>0</f>
        <v>0</v>
      </c>
      <c r="AL211" s="2676">
        <f>0</f>
        <v>0</v>
      </c>
      <c r="AM211" s="2693">
        <f>0</f>
        <v>0</v>
      </c>
      <c r="AN211" s="2676">
        <f>0</f>
        <v>0</v>
      </c>
      <c r="AO211" s="2708">
        <f>0</f>
        <v>0</v>
      </c>
      <c r="AP211" s="2676">
        <f>0</f>
        <v>0</v>
      </c>
      <c r="AQ211" s="2676">
        <f>0</f>
        <v>0</v>
      </c>
      <c r="AR211" s="2676">
        <f>0</f>
        <v>0</v>
      </c>
      <c r="AS211" s="2676">
        <f>0</f>
        <v>0</v>
      </c>
      <c r="AT211" s="2676">
        <f>0</f>
        <v>0</v>
      </c>
      <c r="AU211" s="2676">
        <f>0</f>
        <v>0</v>
      </c>
      <c r="AV211" s="2708">
        <f>0</f>
        <v>0</v>
      </c>
      <c r="AW211" s="2676">
        <f>0</f>
        <v>0</v>
      </c>
      <c r="AX211" s="2676">
        <f>0</f>
        <v>0</v>
      </c>
      <c r="AY211" s="2676">
        <f>0</f>
        <v>0</v>
      </c>
      <c r="AZ211" s="2708">
        <f>0</f>
        <v>0</v>
      </c>
      <c r="BA211" s="2676">
        <f>0</f>
        <v>0</v>
      </c>
      <c r="BB211" s="2708">
        <f>0</f>
        <v>0</v>
      </c>
      <c r="BC211" s="2708">
        <f>0</f>
        <v>0</v>
      </c>
      <c r="BD211" s="2753">
        <f>0</f>
        <v>0</v>
      </c>
      <c r="BE211" s="2753">
        <f>0</f>
        <v>0</v>
      </c>
      <c r="BF211" s="2753">
        <f>0</f>
        <v>0</v>
      </c>
      <c r="BG211" s="2753">
        <f>0</f>
        <v>0</v>
      </c>
      <c r="BH211" s="2753">
        <f>1</f>
        <v>1</v>
      </c>
      <c r="BI211" s="2753">
        <f>0</f>
        <v>0</v>
      </c>
      <c r="BJ211" s="2753">
        <f>0</f>
        <v>0</v>
      </c>
      <c r="BK211" s="2753">
        <f>-1</f>
        <v>-1</v>
      </c>
      <c r="BL211" s="2753">
        <f>0</f>
        <v>0</v>
      </c>
      <c r="BM211" s="2753">
        <f>0</f>
        <v>0</v>
      </c>
      <c r="BN211" s="2708">
        <f>0</f>
        <v>0</v>
      </c>
      <c r="BO211" s="2708">
        <f>0</f>
        <v>0</v>
      </c>
      <c r="BP211" s="2708">
        <f>0</f>
        <v>0</v>
      </c>
      <c r="BQ211" s="2708">
        <f>0</f>
        <v>0</v>
      </c>
      <c r="BR211" s="2708">
        <f>0</f>
        <v>0</v>
      </c>
      <c r="BS211" s="2728">
        <f>0</f>
        <v>0</v>
      </c>
      <c r="BT211" s="2728">
        <f>0</f>
        <v>0</v>
      </c>
      <c r="BU211" s="2728">
        <f>0</f>
        <v>0</v>
      </c>
      <c r="BV211" s="2728">
        <f>0</f>
        <v>0</v>
      </c>
      <c r="BW211" s="2708">
        <f>0</f>
        <v>0</v>
      </c>
      <c r="BX211" s="2786">
        <f>0</f>
        <v>0</v>
      </c>
      <c r="BY211" s="2728">
        <f>0</f>
        <v>0</v>
      </c>
      <c r="BZ211" s="2708">
        <f>0</f>
        <v>0</v>
      </c>
      <c r="CA211" s="2708">
        <f>0</f>
        <v>0</v>
      </c>
      <c r="CB211" s="2708">
        <f>0</f>
        <v>0</v>
      </c>
      <c r="CC211" s="2708">
        <f>0</f>
        <v>0</v>
      </c>
      <c r="CD211" s="2708">
        <f>0</f>
        <v>0</v>
      </c>
      <c r="CE211" s="2708">
        <f>0</f>
        <v>0</v>
      </c>
      <c r="CF211" s="2708">
        <f>0</f>
        <v>0</v>
      </c>
      <c r="CG211" s="2708">
        <f>0</f>
        <v>0</v>
      </c>
      <c r="CH211" s="2708">
        <f>0</f>
        <v>0</v>
      </c>
      <c r="CI211" s="2708">
        <f>0</f>
        <v>0</v>
      </c>
      <c r="CJ211" s="2708">
        <f>0</f>
        <v>0</v>
      </c>
      <c r="CK211" s="2708">
        <f>0</f>
        <v>0</v>
      </c>
      <c r="CL211" s="2812">
        <f>q_HAOL_DESORP*X_HAO_L_P*M_inhSPO4_KiP_HAO_DESORP</f>
        <v>1.6666666666666666E-50</v>
      </c>
      <c r="CN211" s="2295">
        <f>E236*E211+F236*F211+G236*G211+H236*H211+I236*I211+J236*J211+K236*K211+L236*L211+M236*M211+N236*N211+O236*O211+P236*P211+Q236*Q211+R236*R211+S236*S211+T236*T211+U236*U211+V236*V211+W236*W211+X236*X211+Y236*Y211+Z236*Z211+AA236*AA211+AB236*AB211+AC236*AC211+AD236*AD211+AE236*AE211+AF236*AF211+AG236*AG211+AH236*AH211+AI236*AI211+AJ236*AJ211+AK236*AK211+AL236*AL211+AM236*AM211+AN236*AN211+AO236*AO211+AP236*AP211+AQ236*AQ211+AR236*AR211+AS236*AS211+AT236*AT211+AU236*AU211+AV236*AV211+AW236*AW211+AX236*AX211+AY236*AY211+AZ236*AZ211+BA236*BA211+BB236*BB211+BC236*BC211+BD236*BD211+BE236*BE211+BF236*BF211+BG236*BG211+BH236*BH211+BI236*BI211+BJ236*BJ211+BK236*BK211+BL236*BL211+BM236*BM211+BN236*BN211+BO236*BO211+BP236*BP211+BQ236*BQ211+BR236*BR211+BS236*BS211+BT236*BT211+BU236*BU211+BV236*BV211+BW236*BW211+BX236*BX211+BY236*BY211+BZ236*BZ211+CA236*CA211+CB236*CB211+CC236*CC211+CD236*CD211+CE236*CE211+CF236*CF211+CG236*CG211+CH236*CH211+CI236*CI211+CJ236*CJ211+CK236*CK211</f>
        <v>0</v>
      </c>
      <c r="CO211" s="2295">
        <f>E237*E211+F237*F211+G237*G211+H237*H211+I237*I211+J237*J211+K237*K211+L237*L211+M237*M211+N237*N211+O237*O211+P237*P211+Q237*Q211+R237*R211+S237*S211+T237*T211+U237*U211+V237*V211+W237*W211+X237*X211+Y237*Y211+Z237*Z211+AA237*AA211+AB237*AB211+AC237*AC211+AD237*AD211+AE237*AE211+AF237*AF211+AG237*AG211+AH237*AH211+AI237*AI211+AJ237*AJ211+AK237*AK211+AL237*AL211+AM237*AM211+AN237*AN211+AO237*AO211+AP237*AP211+AQ237*AQ211+AR237*AR211+AS237*AS211+AT237*AT211+AU237*AU211+AV237*AV211+AW237*AW211+AX237*AX211+AY237*AY211+AZ237*AZ211+BA237*BA211+BB237*BB211+BC237*BC211+BD237*BD211+BE237*BE211+BF237*BF211+BG237*BG211+BH237*BH211+BI237*BI211+BJ237*BJ211+BK237*BK211+BL237*BL211+BM237*BM211+BN237*BN211+BO237*BO211+BP237*BP211+BQ237*BQ211+BR237*BR211+BS237*BS211+BT237*BT211+BU237*BU211+BV237*BV211+BW237*BW211+BX237*BX211+BY237*BY211+BZ237*BZ211+CA237*CA211+CB237*CB211+CC237*CC211+CD237*CD211+CE237*CE211+CF237*CF211+CG237*CG211+CH237*CH211+CI237*CI211+CJ237*CJ211+CK237*CK211</f>
        <v>0</v>
      </c>
      <c r="CP211" s="2296">
        <f>E238*E211+F238*F211+G238*G211+H238*H211+I238*I211+J238*J211+K238*K211+L238*L211+M238*M211+N238*N211+O238*O211+P238*P211+Q238*Q211+R238*R211+S238*S211+T238*T211+U238*U211+V238*V211+W238*W211+X238*X211+Y238*Y211+Z238*Z211+AA238*AA211+AB238*AB211+AC238*AC211+AD238*AD211+AE238*AE211+AF238*AF211+AG238*AG211+AH238*AH211+AI238*AI211+AJ238*AJ211+AK238*AK211+AL238*AL211+AM238*AM211+AN238*AN211+AO238*AO211+AP238*AP211+AQ238*AQ211+AR238*AR211+AS238*AS211+AT238*AT211+AU238*AU211+AV238*AV211+AW238*AW211+AX238*AX211+AY238*AY211+AZ238*AZ211+BA238*BA211+BB238*BB211+BC238*BC211+BD238*BD211+BE238*BE211+BF238*BF211+BG238*BG211+BH238*BH211+BI238*BI211+BJ238*BJ211+BK238*BK211+BL238*BL211+BM238*BM211+BN238*BN211+BO238*BO211+BP238*BP211+BQ238*BQ211+BR238*BR211+BS238*BS211+BT238*BT211+BU238*BU211+BV238*BV211+BW238*BW211+BX238*BX211+BY238*BY211+BZ238*BZ211+CA238*CA211+CB238*CB211+CC238*CC211+CD238*CD211+CE238*CE211+CF238*CF211+CG238*CG211+CH238*CH211+CI238*CI211+CJ238*CJ211+CK238*CK211</f>
        <v>0</v>
      </c>
      <c r="CQ211" s="2297">
        <f>E239*E211+F239*F211+G239*G211+H239*H211+I239*I211+J239*J211+K239*K211+L239*L211+M239*M211+N239*N211+O239*O211+P239*P211+Q239*Q211+R239*R211+S239*S211+T239*T211+U239*U211+V239*V211+W239*W211+X239*X211+Y239*Y211+Z239*Z211+AA239*AA211+AB239*AB211+AC239*AC211+AD239*AD211+AE239*AE211+AF239*AF211+AG239*AG211+AH239*AH211+AI239*AI211+AJ239*AJ211+AK239*AK211+AL239*AL211+AM239*AM211+AN239*AN211+AO239*AO211+AP239*AP211+AQ239*AQ211+AR239*AR211+AS239*AS211+AT239*AT211+AU239*AU211+AV239*AV211+AW239*AW211+AX239*AX211+AY239*AY211+AZ239*AZ211+BA239*BA211+BB239*BB211+BC239*BC211+BD239*BD211+BE239*BE211+BF239*BF211+BG239*BG211+BH239*BH211+BI239*BI211+BJ239*BJ211+BK239*BK211+BL239*BL211+BM239*BM211+BN239*BN211+BO239*BO211+BP239*BP211+BQ239*BQ211+BR239*BR211+BS239*BS211+BT239*BT211+BU239*BU211+BV239*BV211+BW239*BW211+BX239*BX211+BY239*BY211+BZ239*BZ211+CA239*CA211+CB239*CB211+CC239*CC211+CD239*CD211+CE239*CE211+CF239*CF211+CG239*CG211+CH239*CH211+CI239*CI211+CJ239*CJ211+CK239*CK211</f>
        <v>0</v>
      </c>
      <c r="CR211" s="2297">
        <f>E240*E211+F240*F211+G240*G211+H240*H211+I240*I211+J240*J211+K240*K211+L240*L211+M240*M211+N240*N211+O240*O211+P240*P211+Q240*Q211+R240*R211+S240*S211+T240*T211+U240*U211+V240*V211+W240*W211+X240*X211+Y240*Y211+Z240*Z211+AA240*AA211+AB240*AB211+AC240*AC211+AD240*AD211+AE240*AE211+AF240*AF211+AG240*AG211+AH240*AH211+AI240*AI211+AJ240*AJ211+AK240*AK211+AL240*AL211+AM240*AM211+AN240*AN211+AO240*AO211+AP240*AP211+AQ240*AQ211+AR240*AR211+AS240*AS211+AT240*AT211+AU240*AU211+AV240*AV211+AW240*AW211+AX240*AX211+AY240*AY211+AZ240*AZ211+BA240*BA211+BB240*BB211+BC240*BC211+BD240*BD211+BE240*BE211+BF240*BF211+BG240*BG211+BH240*BH211+BI240*BI211+BJ240*BJ211+BK240*BK211+BL240*BL211+BM240*BM211+BN240*BN211+BO240*BO211+BP240*BP211+BQ240*BQ211+BR240*BR211+BS240*BS211+BT240*BT211+BU240*BU211+BV240*BV211+BW240*BW211+BX240*BX211+BY240*BY211+BZ240*BZ211+CA240*CA211+CB240*CB211+CC240*CC211+CD240*CD211+CE240*CE211+CF240*CF211+CG240*CG211+CH240*CH211+CI240*CI211+CJ240*CJ211+CK240*CK211</f>
        <v>0</v>
      </c>
      <c r="CS211" s="2297">
        <f>E241*E211+F241*F211+G241*G211+H241*H211+I241*I211+J241*J211+K241*K211+L241*L211+M241*M211+N241*N211+O241*O211+P241*P211+Q241*Q211+R241*R211+S241*S211+T241*T211+U241*U211+V241*V211+W241*W211+X241*X211+Y241*Y211+Z241*Z211+AA241*AA211+AB241*AB211+AC241*AC211+AD241*AD211+AE241*AE211+AF241*AF211+AG241*AG211+AH241*AH211+AI241*AI211+AJ241*AJ211+AK241*AK211+AL241*AL211+AM241*AM211+AN241*AN211+AO241*AO211+AP241*AP211+AQ241*AQ211+AR241*AR211+AS241*AS211+AT241*AT211+AU241*AU211+AV241*AV211+AW241*AW211+AX241*AX211+AY241*AY211+AZ241*AZ211+BA241*BA211+BB241*BB211+BC241*BC211+BD241*BD211+BE241*BE211+BF241*BF211+BG241*BG211+BH241*BH211+BI241*BI211+BJ241*BJ211+BK241*BK211+BL241*BL211+BM241*BM211+BN241*BN211+BO241*BO211+BP241*BP211+BQ241*BQ211+BR241*BR211+BS241*BS211+BT241*BT211+BU241*BU211+BV241*BV211+BW241*BW211+BX241*BX211+BY241*BY211+BZ241*BZ211+CA241*CA211+CB241*CB211+CC241*CC211+CD241*CD211+CE241*CE211+CF241*CF211+CG241*CG211+CH241*CH211+CI241*CI211+CJ241*CJ211+CK241*CK211</f>
        <v>0</v>
      </c>
      <c r="CT211" s="2297">
        <f>E242*E211+F242*F211+G242*G211+H242*H211+I242*I211+J242*J211+K242*K211+L242*L211+M242*M211+N242*N211+O242*O211+P242*P211+Q242*Q211+R242*R211+S242*S211+T242*T211+U242*U211+V242*V211+W242*W211+X242*X211+Y242*Y211+Z242*Z211+AA242*AA211+AB242*AB211+AC242*AC211+AD242*AD211+AE242*AE211+AF242*AF211+AG242*AG211+AH242*AH211+AI242*AI211+AJ242*AJ211+AK242*AK211+AL242*AL211+AM242*AM211+AN242*AN211+AO242*AO211+AP242*AP211+AQ242*AQ211+AR242*AR211+AS242*AS211+AT242*AT211+AU242*AU211+AV242*AV211+AW242*AW211+AX242*AX211+AY242*AY211+AZ242*AZ211+BA242*BA211+BB242*BB211+BC242*BC211+BD242*BD211+BE242*BE211+BF242*BF211+BG242*BG211+BH242*BH211+BI242*BI211+BJ242*BJ211+BK242*BK211+BL242*BL211+BM242*BM211+BN242*BN211+BO242*BO211+BP242*BP211+BQ242*BQ211+BR242*BR211+BS242*BS211+BT242*BT211+BU242*BU211+BV242*BV211+BW242*BW211+BX242*BX211+BY242*BY211+BZ242*BZ211+CA242*CA211+CB242*CB211+CC242*CC211+CD242*CD211+CE242*CE211+CF242*CF211+CG242*CG211+CH242*CH211+CI242*CI211+CJ242*CJ211+CK242*CK211</f>
        <v>0</v>
      </c>
      <c r="CU211" s="2297">
        <f>E243*E211+F243*F211+G243*G211+H243*H211+I243*I211+J243*J211+K243*K211+L243*L211+M243*M211+N243*N211+O243*O211+P243*P211+Q243*Q211+R243*R211+S243*S211+T243*T211+U243*U211+V243*V211+W243*W211+X243*X211+Y243*Y211+Z243*Z211+AA243*AA211+AB243*AB211+AC243*AC211+AD243*AD211+AE243*AE211+AF243*AF211+AG243*AG211+AH243*AH211+AI243*AI211+AJ243*AJ211+AK243*AK211+AL243*AL211+AM243*AM211+AN243*AN211+AO243*AO211+AP243*AP211+AQ243*AQ211+AR243*AR211+AS243*AS211+AT243*AT211+AU243*AU211+AV243*AV211+AW243*AW211+AX243*AX211+AY243*AY211+AZ243*AZ211+BA243*BA211+BB243*BB211+BC243*BC211+BD243*BD211+BE243*BE211+BF243*BF211+BG243*BG211+BH243*BH211+BI243*BI211+BJ243*BJ211+BK243*BK211+BL243*BL211+BM243*BM211+BN243*BN211+BO243*BO211+BP243*BP211+BQ243*BQ211+BR243*BR211+BS243*BS211+BT243*BT211+BU243*BU211+BV243*BV211+BW243*BW211+BX243*BX211+BY243*BY211+BZ243*BZ211+CA243*CA211+CB243*CB211+CC243*CC211+CD243*CD211+CE243*CE211+CF243*CF211+CG243*CG211+CH243*CH211+CI243*CI211+CJ243*CJ211+CK243*CK211</f>
        <v>0</v>
      </c>
      <c r="CV211" s="2297">
        <f>E244*E211+F244*F211+G244*G211+H244*H211+I244*I211+J244*J211+K244*K211+L244*L211+M244*M211+N244*N211+O244*O211+P244*P211+Q244*Q211+R244*R211+S244*S211+T244*T211+U244*U211+V244*V211+W244*W211+X244*X211+Y244*Y211+Z244*Z211+AA244*AA211+AB244*AB211+AC244*AC211+AD244*AD211+AE244*AE211+AF244*AF211+AG244*AG211+AH244*AH211+AI244*AI211+AJ244*AJ211+AK244*AK211+AL244*AL211+AM244*AM211+AN244*AN211+AO244*AO211+AP244*AP211+AQ244*AQ211+AR244*AR211+AS244*AS211+AT244*AT211+AU244*AU211+AV244*AV211+AW244*AW211+AX244*AX211+AY244*AY211+AZ244*AZ211+BA244*BA211+BB244*BB211+BC244*BC211+BD244*BD211+BE244*BE211+BF244*BF211+BG244*BG211+BH244*BH211+BI244*BI211+BJ244*BJ211+BK244*BK211+BL244*BL211+BM244*BM211+BN244*BN211+BO244*BO211+BP244*BP211+BQ244*BQ211+BR244*BR211+BS244*BS211+BT244*BT211+BU244*BU211+BV244*BV211+BW244*BW211+BX244*BX211+BY244*BY211+BZ244*BZ211+CA244*CA211+CB244*CB211+CC244*CC211+CD244*CD211+CE244*CE211+CF244*CF211+CG244*CG211+CH244*CH211+CI244*CI211+CJ244*CJ211+CK244*CK211</f>
        <v>0</v>
      </c>
      <c r="CW211" s="2297">
        <f>E245*E211+F245*F211+G245*G211+H245*H211+I245*I211+J245*J211+K245*K211+L245*L211+M245*M211+N245*N211+O245*O211+P245*P211+Q245*Q211+R245*R211+S245*S211+T245*T211+U245*U211+V245*V211+W245*W211+X245*X211+Y245*Y211+Z245*Z211+AA245*AA211+AB245*AB211+AC245*AC211+AD245*AD211+AE245*AE211+AF245*AF211+AG245*AG211+AH245*AH211+AI245*AI211+AJ245*AJ211+AK245*AK211+AL245*AL211+AM245*AM211+AN245*AN211+AO245*AO211+AP245*AP211+AQ245*AQ211+AR245*AR211+AS245*AS211+AT245*AT211+AU245*AU211+AV245*AV211+AW245*AW211+AX245*AX211+AY245*AY211+AZ245*AZ211+BA245*BA211+BB245*BB211+BC245*BC211+BD245*BD211+BE245*BE211+BF245*BF211+BG245*BG211+BH245*BH211+BI245*BI211+BJ245*BJ211+BK245*BK211+BL245*BL211+BM245*BM211+BN245*BN211+BO245*BO211+BP245*BP211+BQ245*BQ211+BR245*BR211+BS245*BS211+BT245*BT211+BU245*BU211+BV245*BV211+BW245*BW211+BX245*BX211+BY245*BY211+BZ245*BZ211+CA245*CA211+CB245*CB211+CC245*CC211+CD245*CD211+CE245*CE211+CF245*CF211+CG245*CG211+CH245*CH211+CI245*CI211+CJ245*CJ211+CK245*CK211</f>
        <v>0</v>
      </c>
      <c r="CX211" s="2297">
        <f>E246*E211+F246*F211+G246*G211+H246*H211+I246*I211+J246*J211+K246*K211+L246*L211+M246*M211+N246*N211+O246*O211+P246*P211+Q246*Q211+R246*R211+S246*S211+T246*T211+U246*U211+V246*V211+W246*W211+X246*X211+Y246*Y211+Z246*Z211+AA246*AA211+AB246*AB211+AC246*AC211+AD246*AD211+AE246*AE211+AF246*AF211+AG246*AG211+AH246*AH211+AI246*AI211+AJ246*AJ211+AK246*AK211+AL246*AL211+AM246*AM211+AN246*AN211+AO246*AO211+AP246*AP211+AQ246*AQ211+AR246*AR211+AS246*AS211+AT246*AT211+AU246*AU211+AV246*AV211+AW246*AW211+AX246*AX211+AY246*AY211+AZ246*AZ211+BA246*BA211+BB246*BB211+BC246*BC211+BD246*BD211+BE246*BE211+BF246*BF211+BG246*BG211+BH246*BH211+BI246*BI211+BJ246*BJ211+BK246*BK211+BL246*BL211+BM246*BM211+BN246*BN211+BO246*BO211+BP246*BP211+BQ246*BQ211+BR246*BR211+BS246*BS211+BT246*BT211+BU246*BU211+BV246*BV211+BW246*BW211+BX246*BX211+BY246*BY211+BZ246*BZ211+CA246*CA211+CB246*CB211+CC246*CC211+CD246*CD211+CE246*CE211+CF246*CF211+CG246*CG211+CH246*CH211+CI246*CI211+CJ246*CJ211+CK246*CK211</f>
        <v>0</v>
      </c>
    </row>
    <row r="212" spans="2:102" ht="18" x14ac:dyDescent="0.25">
      <c r="B212" s="1974">
        <v>85</v>
      </c>
      <c r="C212" s="1975" t="s">
        <v>2974</v>
      </c>
      <c r="D212" s="915" t="s">
        <v>3774</v>
      </c>
      <c r="E212" s="2676">
        <f>0</f>
        <v>0</v>
      </c>
      <c r="F212" s="2676">
        <f>0</f>
        <v>0</v>
      </c>
      <c r="G212" s="2676">
        <f>0</f>
        <v>0</v>
      </c>
      <c r="H212" s="2676">
        <f>0</f>
        <v>0</v>
      </c>
      <c r="I212" s="2676">
        <f>0</f>
        <v>0</v>
      </c>
      <c r="J212" s="2693">
        <f>0</f>
        <v>0</v>
      </c>
      <c r="K212" s="2676">
        <f>0</f>
        <v>0</v>
      </c>
      <c r="L212" s="2676">
        <f>0</f>
        <v>0</v>
      </c>
      <c r="M212" s="2676">
        <f>0</f>
        <v>0</v>
      </c>
      <c r="N212" s="2676">
        <f>0</f>
        <v>0</v>
      </c>
      <c r="O212" s="2676">
        <f>0</f>
        <v>0</v>
      </c>
      <c r="P212" s="2676">
        <f>0</f>
        <v>0</v>
      </c>
      <c r="Q212" s="2676">
        <f>0</f>
        <v>0</v>
      </c>
      <c r="R212" s="2708">
        <f>0</f>
        <v>0</v>
      </c>
      <c r="S212" s="2676">
        <f>0</f>
        <v>0</v>
      </c>
      <c r="T212" s="2676">
        <f>0</f>
        <v>0</v>
      </c>
      <c r="U212" s="2676">
        <f>0</f>
        <v>0</v>
      </c>
      <c r="V212" s="2676">
        <f>0</f>
        <v>0</v>
      </c>
      <c r="W212" s="2676">
        <f>0</f>
        <v>0</v>
      </c>
      <c r="X212" s="2676">
        <f>0</f>
        <v>0</v>
      </c>
      <c r="Y212" s="2676">
        <f>0</f>
        <v>0</v>
      </c>
      <c r="Z212" s="2671">
        <f>0</f>
        <v>0</v>
      </c>
      <c r="AA212" s="2676">
        <f>0</f>
        <v>0</v>
      </c>
      <c r="AB212" s="2676">
        <f>0</f>
        <v>0</v>
      </c>
      <c r="AC212" s="2676">
        <f>0</f>
        <v>0</v>
      </c>
      <c r="AD212" s="2676">
        <f>0</f>
        <v>0</v>
      </c>
      <c r="AE212" s="2708">
        <f>0</f>
        <v>0</v>
      </c>
      <c r="AF212" s="2676">
        <f>0</f>
        <v>0</v>
      </c>
      <c r="AG212" s="2693">
        <f>0</f>
        <v>0</v>
      </c>
      <c r="AH212" s="2676">
        <f>0</f>
        <v>0</v>
      </c>
      <c r="AI212" s="2708">
        <f>(A_SFHAO_H*(A_MP/A_MAl))*X_HAO_H_P_old/(X_HAO_H_P_old+X_HAO_L_P_old)+(A_SFHAO_L*(A_MP/A_MAl))*X_HAO_L_P_old/(X_HAO_H_P_old+X_HAO_L_P_old)</f>
        <v>0.63137961973945111</v>
      </c>
      <c r="AJ212" s="2676">
        <f>0</f>
        <v>0</v>
      </c>
      <c r="AK212" s="2708">
        <f>0</f>
        <v>0</v>
      </c>
      <c r="AL212" s="2676">
        <f>0</f>
        <v>0</v>
      </c>
      <c r="AM212" s="2693">
        <f>0</f>
        <v>0</v>
      </c>
      <c r="AN212" s="2676">
        <f>0</f>
        <v>0</v>
      </c>
      <c r="AO212" s="2708">
        <f>0</f>
        <v>0</v>
      </c>
      <c r="AP212" s="2676">
        <f>0</f>
        <v>0</v>
      </c>
      <c r="AQ212" s="2676">
        <f>0</f>
        <v>0</v>
      </c>
      <c r="AR212" s="2676">
        <f>0</f>
        <v>0</v>
      </c>
      <c r="AS212" s="2676">
        <f>0</f>
        <v>0</v>
      </c>
      <c r="AT212" s="2676">
        <f>0</f>
        <v>0</v>
      </c>
      <c r="AU212" s="2676">
        <f>0</f>
        <v>0</v>
      </c>
      <c r="AV212" s="2708">
        <f>0</f>
        <v>0</v>
      </c>
      <c r="AW212" s="2676">
        <f>0</f>
        <v>0</v>
      </c>
      <c r="AX212" s="2676">
        <f>0</f>
        <v>0</v>
      </c>
      <c r="AY212" s="2676">
        <f>0</f>
        <v>0</v>
      </c>
      <c r="AZ212" s="2708">
        <f>0</f>
        <v>0</v>
      </c>
      <c r="BA212" s="2676">
        <f>0</f>
        <v>0</v>
      </c>
      <c r="BB212" s="2708">
        <f>0</f>
        <v>0</v>
      </c>
      <c r="BC212" s="2708">
        <f>0</f>
        <v>0</v>
      </c>
      <c r="BD212" s="2753">
        <f>0</f>
        <v>0</v>
      </c>
      <c r="BE212" s="2753">
        <f>0</f>
        <v>0</v>
      </c>
      <c r="BF212" s="2753">
        <f>0</f>
        <v>0</v>
      </c>
      <c r="BG212" s="2753">
        <f>0</f>
        <v>0</v>
      </c>
      <c r="BH212" s="2753">
        <f>0</f>
        <v>0</v>
      </c>
      <c r="BI212" s="2753">
        <f>1</f>
        <v>1</v>
      </c>
      <c r="BJ212" s="2753">
        <f>0</f>
        <v>0</v>
      </c>
      <c r="BK212" s="2753">
        <f>0</f>
        <v>0</v>
      </c>
      <c r="BL212" s="2752">
        <f>-X_HAO_H_P_old/(X_HAO_H_P_old+X_HAO_L_P_old)</f>
        <v>-0.5</v>
      </c>
      <c r="BM212" s="2752">
        <f>-X_HAO_L_P_old/(X_HAO_H_P_old+X_HAO_L_P_old)</f>
        <v>-0.5</v>
      </c>
      <c r="BN212" s="2708">
        <f>0</f>
        <v>0</v>
      </c>
      <c r="BO212" s="2708">
        <f>0</f>
        <v>0</v>
      </c>
      <c r="BP212" s="2708">
        <f>0</f>
        <v>0</v>
      </c>
      <c r="BQ212" s="2708">
        <f>0</f>
        <v>0</v>
      </c>
      <c r="BR212" s="2708">
        <f>0</f>
        <v>0</v>
      </c>
      <c r="BS212" s="2728">
        <f>0</f>
        <v>0</v>
      </c>
      <c r="BT212" s="2728">
        <f>0</f>
        <v>0</v>
      </c>
      <c r="BU212" s="2728">
        <f>0</f>
        <v>0</v>
      </c>
      <c r="BV212" s="2728">
        <f>0</f>
        <v>0</v>
      </c>
      <c r="BW212" s="2708">
        <f>0</f>
        <v>0</v>
      </c>
      <c r="BX212" s="2786">
        <f>0</f>
        <v>0</v>
      </c>
      <c r="BY212" s="2728">
        <f>0</f>
        <v>0</v>
      </c>
      <c r="BZ212" s="2708">
        <f>0</f>
        <v>0</v>
      </c>
      <c r="CA212" s="2708">
        <f>0</f>
        <v>0</v>
      </c>
      <c r="CB212" s="2708">
        <f>0</f>
        <v>0</v>
      </c>
      <c r="CC212" s="2708">
        <f>0</f>
        <v>0</v>
      </c>
      <c r="CD212" s="2708">
        <f>0</f>
        <v>0</v>
      </c>
      <c r="CE212" s="2708">
        <f>0</f>
        <v>0</v>
      </c>
      <c r="CF212" s="2708">
        <f>0</f>
        <v>0</v>
      </c>
      <c r="CG212" s="2708">
        <f>0</f>
        <v>0</v>
      </c>
      <c r="CH212" s="2708">
        <f>0</f>
        <v>0</v>
      </c>
      <c r="CI212" s="2708">
        <f>0</f>
        <v>0</v>
      </c>
      <c r="CJ212" s="2708">
        <f>0</f>
        <v>0</v>
      </c>
      <c r="CK212" s="2708">
        <f>0</f>
        <v>0</v>
      </c>
      <c r="CL212" s="2812">
        <f>q_HAO_DISS*(X_HAO_H_P_old+X_HAO_L_P_old)*L_oginhSPO4_KiP_HAO_DISS</f>
        <v>0</v>
      </c>
      <c r="CN212" s="2295">
        <f>E236*E212+F236*F212+G236*G212+H236*H212+I236*I212+J236*J212+K236*K212+L236*L212+M236*M212+N236*N212+O236*O212+P236*P212+Q236*Q212+R236*R212+S236*S212+T236*T212+U236*U212+V236*V212+W236*W212+X236*X212+Y236*Y212+Z236*Z212+AA236*AA212+AB236*AB212+AC236*AC212+AD236*AD212+AE236*AE212+AF236*AF212+AG236*AG212+AH236*AH212+AI236*AI212+AJ236*AJ212+AK236*AK212+AL236*AL212+AM236*AM212+AN236*AN212+AO236*AO212+AP236*AP212+AQ236*AQ212+AR236*AR212+AS236*AS212+AT236*AT212+AU236*AU212+AV236*AV212+AW236*AW212+AX236*AX212+AY236*AY212+AZ236*AZ212+BA236*BA212+BB236*BB212+BC236*BC212+BD236*BD212+BE236*BE212+BF236*BF212+BG236*BG212+BH236*BH212+BI236*BI212+BJ236*BJ212+BK236*BK212+BL236*BL212+BM236*BM212+BN236*BN212+BO236*BO212+BP236*BP212+BQ236*BQ212+BR236*BR212+BS236*BS212+BT236*BT212+BU236*BU212+BV236*BV212+BW236*BW212+BX236*BX212+BY236*BY212+BZ236*BZ212+CA236*CA212+CB236*CB212+CC236*CC212+CD236*CD212+CE236*CE212+CF236*CF212+CG236*CG212+CH236*CH212+CI236*CI212+CJ236*CJ212+CK236*CK212</f>
        <v>0</v>
      </c>
      <c r="CO212" s="2295">
        <f>E237*E212+F237*F212+G237*G212+H237*H212+I237*I212+J237*J212+K237*K212+L237*L212+M237*M212+N237*N212+O237*O212+P237*P212+Q237*Q212+R237*R212+S237*S212+T237*T212+U237*U212+V237*V212+W237*W212+X237*X212+Y237*Y212+Z237*Z212+AA237*AA212+AB237*AB212+AC237*AC212+AD237*AD212+AE237*AE212+AF237*AF212+AG237*AG212+AH237*AH212+AI237*AI212+AJ237*AJ212+AK237*AK212+AL237*AL212+AM237*AM212+AN237*AN212+AO237*AO212+AP237*AP212+AQ237*AQ212+AR237*AR212+AS237*AS212+AT237*AT212+AU237*AU212+AV237*AV212+AW237*AW212+AX237*AX212+AY237*AY212+AZ237*AZ212+BA237*BA212+BB237*BB212+BC237*BC212+BD237*BD212+BE237*BE212+BF237*BF212+BG237*BG212+BH237*BH212+BI237*BI212+BJ237*BJ212+BK237*BK212+BL237*BL212+BM237*BM212+BN237*BN212+BO237*BO212+BP237*BP212+BQ237*BQ212+BR237*BR212+BS237*BS212+BT237*BT212+BU237*BU212+BV237*BV212+BW237*BW212+BX237*BX212+BY237*BY212+BZ237*BZ212+CA237*CA212+CB237*CB212+CC237*CC212+CD237*CD212+CE237*CE212+CF237*CF212+CG237*CG212+CH237*CH212+CI237*CI212+CJ237*CJ212+CK237*CK212</f>
        <v>0</v>
      </c>
      <c r="CP212" s="2296">
        <f>E238*E212+F238*F212+G238*G212+H238*H212+I238*I212+J238*J212+K238*K212+L238*L212+M238*M212+N238*N212+O238*O212+P238*P212+Q238*Q212+R238*R212+S238*S212+T238*T212+U238*U212+V238*V212+W238*W212+X238*X212+Y238*Y212+Z238*Z212+AA238*AA212+AB238*AB212+AC238*AC212+AD238*AD212+AE238*AE212+AF238*AF212+AG238*AG212+AH238*AH212+AI238*AI212+AJ238*AJ212+AK238*AK212+AL238*AL212+AM238*AM212+AN238*AN212+AO238*AO212+AP238*AP212+AQ238*AQ212+AR238*AR212+AS238*AS212+AT238*AT212+AU238*AU212+AV238*AV212+AW238*AW212+AX238*AX212+AY238*AY212+AZ238*AZ212+BA238*BA212+BB238*BB212+BC238*BC212+BD238*BD212+BE238*BE212+BF238*BF212+BG238*BG212+BH238*BH212+BI238*BI212+BJ238*BJ212+BK238*BK212+BL238*BL212+BM238*BM212+BN238*BN212+BO238*BO212+BP238*BP212+BQ238*BQ212+BR238*BR212+BS238*BS212+BT238*BT212+BU238*BU212+BV238*BV212+BW238*BW212+BX238*BX212+BY238*BY212+BZ238*BZ212+CA238*CA212+CB238*CB212+CC238*CC212+CD238*CD212+CE238*CE212+CF238*CF212+CG238*CG212+CH238*CH212+CI238*CI212+CJ238*CJ212+CK238*CK212</f>
        <v>0</v>
      </c>
      <c r="CQ212" s="2297">
        <f>E239*E212+F239*F212+G239*G212+H239*H212+I239*I212+J239*J212+K239*K212+L239*L212+M239*M212+N239*N212+O239*O212+P239*P212+Q239*Q212+R239*R212+S239*S212+T239*T212+U239*U212+V239*V212+W239*W212+X239*X212+Y239*Y212+Z239*Z212+AA239*AA212+AB239*AB212+AC239*AC212+AD239*AD212+AE239*AE212+AF239*AF212+AG239*AG212+AH239*AH212+AI239*AI212+AJ239*AJ212+AK239*AK212+AL239*AL212+AM239*AM212+AN239*AN212+AO239*AO212+AP239*AP212+AQ239*AQ212+AR239*AR212+AS239*AS212+AT239*AT212+AU239*AU212+AV239*AV212+AW239*AW212+AX239*AX212+AY239*AY212+AZ239*AZ212+BA239*BA212+BB239*BB212+BC239*BC212+BD239*BD212+BE239*BE212+BF239*BF212+BG239*BG212+BH239*BH212+BI239*BI212+BJ239*BJ212+BK239*BK212+BL239*BL212+BM239*BM212+BN239*BN212+BO239*BO212+BP239*BP212+BQ239*BQ212+BR239*BR212+BS239*BS212+BT239*BT212+BU239*BU212+BV239*BV212+BW239*BW212+BX239*BX212+BY239*BY212+BZ239*BZ212+CA239*CA212+CB239*CB212+CC239*CC212+CD239*CD212+CE239*CE212+CF239*CF212+CG239*CG212+CH239*CH212+CI239*CI212+CJ239*CJ212+CK239*CK212</f>
        <v>6.9388939039072284E-18</v>
      </c>
      <c r="CR212" s="2297">
        <f>E240*E212+F240*F212+G240*G212+H240*H212+I240*I212+J240*J212+K240*K212+L240*L212+M240*M212+N240*N212+O240*O212+P240*P212+Q240*Q212+R240*R212+S240*S212+T240*T212+U240*U212+V240*V212+W240*W212+X240*X212+Y240*Y212+Z240*Z212+AA240*AA212+AB240*AB212+AC240*AC212+AD240*AD212+AE240*AE212+AF240*AF212+AG240*AG212+AH240*AH212+AI240*AI212+AJ240*AJ212+AK240*AK212+AL240*AL212+AM240*AM212+AN240*AN212+AO240*AO212+AP240*AP212+AQ240*AQ212+AR240*AR212+AS240*AS212+AT240*AT212+AU240*AU212+AV240*AV212+AW240*AW212+AX240*AX212+AY240*AY212+AZ240*AZ212+BA240*BA212+BB240*BB212+BC240*BC212+BD240*BD212+BE240*BE212+BF240*BF212+BG240*BG212+BH240*BH212+BI240*BI212+BJ240*BJ212+BK240*BK212+BL240*BL212+BM240*BM212+BN240*BN212+BO240*BO212+BP240*BP212+BQ240*BQ212+BR240*BR212+BS240*BS212+BT240*BT212+BU240*BU212+BV240*BV212+BW240*BW212+BX240*BX212+BY240*BY212+BZ240*BZ212+CA240*CA212+CB240*CB212+CC240*CC212+CD240*CD212+CE240*CE212+CF240*CF212+CG240*CG212+CH240*CH212+CI240*CI212+CJ240*CJ212+CK240*CK212</f>
        <v>0</v>
      </c>
      <c r="CS212" s="2297">
        <f>E241*E212+F241*F212+G241*G212+H241*H212+I241*I212+J241*J212+K241*K212+L241*L212+M241*M212+N241*N212+O241*O212+P241*P212+Q241*Q212+R241*R212+S241*S212+T241*T212+U241*U212+V241*V212+W241*W212+X241*X212+Y241*Y212+Z241*Z212+AA241*AA212+AB241*AB212+AC241*AC212+AD241*AD212+AE241*AE212+AF241*AF212+AG241*AG212+AH241*AH212+AI241*AI212+AJ241*AJ212+AK241*AK212+AL241*AL212+AM241*AM212+AN241*AN212+AO241*AO212+AP241*AP212+AQ241*AQ212+AR241*AR212+AS241*AS212+AT241*AT212+AU241*AU212+AV241*AV212+AW241*AW212+AX241*AX212+AY241*AY212+AZ241*AZ212+BA241*BA212+BB241*BB212+BC241*BC212+BD241*BD212+BE241*BE212+BF241*BF212+BG241*BG212+BH241*BH212+BI241*BI212+BJ241*BJ212+BK241*BK212+BL241*BL212+BM241*BM212+BN241*BN212+BO241*BO212+BP241*BP212+BQ241*BQ212+BR241*BR212+BS241*BS212+BT241*BT212+BU241*BU212+BV241*BV212+BW241*BW212+BX241*BX212+BY241*BY212+BZ241*BZ212+CA241*CA212+CB241*CB212+CC241*CC212+CD241*CD212+CE241*CE212+CF241*CF212+CG241*CG212+CH241*CH212+CI241*CI212+CJ241*CJ212+CK241*CK212</f>
        <v>0</v>
      </c>
      <c r="CT212" s="2297">
        <f>E242*E212+F242*F212+G242*G212+H242*H212+I242*I212+J242*J212+K242*K212+L242*L212+M242*M212+N242*N212+O242*O212+P242*P212+Q242*Q212+R242*R212+S242*S212+T242*T212+U242*U212+V242*V212+W242*W212+X242*X212+Y242*Y212+Z242*Z212+AA242*AA212+AB242*AB212+AC242*AC212+AD242*AD212+AE242*AE212+AF242*AF212+AG242*AG212+AH242*AH212+AI242*AI212+AJ242*AJ212+AK242*AK212+AL242*AL212+AM242*AM212+AN242*AN212+AO242*AO212+AP242*AP212+AQ242*AQ212+AR242*AR212+AS242*AS212+AT242*AT212+AU242*AU212+AV242*AV212+AW242*AW212+AX242*AX212+AY242*AY212+AZ242*AZ212+BA242*BA212+BB242*BB212+BC242*BC212+BD242*BD212+BE242*BE212+BF242*BF212+BG242*BG212+BH242*BH212+BI242*BI212+BJ242*BJ212+BK242*BK212+BL242*BL212+BM242*BM212+BN242*BN212+BO242*BO212+BP242*BP212+BQ242*BQ212+BR242*BR212+BS242*BS212+BT242*BT212+BU242*BU212+BV242*BV212+BW242*BW212+BX242*BX212+BY242*BY212+BZ242*BZ212+CA242*CA212+CB242*CB212+CC242*CC212+CD242*CD212+CE242*CE212+CF242*CF212+CG242*CG212+CH242*CH212+CI242*CI212+CJ242*CJ212+CK242*CK212</f>
        <v>0</v>
      </c>
      <c r="CU212" s="2297">
        <f>E243*E212+F243*F212+G243*G212+H243*H212+I243*I212+J243*J212+K243*K212+L243*L212+M243*M212+N243*N212+O243*O212+P243*P212+Q243*Q212+R243*R212+S243*S212+T243*T212+U243*U212+V243*V212+W243*W212+X243*X212+Y243*Y212+Z243*Z212+AA243*AA212+AB243*AB212+AC243*AC212+AD243*AD212+AE243*AE212+AF243*AF212+AG243*AG212+AH243*AH212+AI243*AI212+AJ243*AJ212+AK243*AK212+AL243*AL212+AM243*AM212+AN243*AN212+AO243*AO212+AP243*AP212+AQ243*AQ212+AR243*AR212+AS243*AS212+AT243*AT212+AU243*AU212+AV243*AV212+AW243*AW212+AX243*AX212+AY243*AY212+AZ243*AZ212+BA243*BA212+BB243*BB212+BC243*BC212+BD243*BD212+BE243*BE212+BF243*BF212+BG243*BG212+BH243*BH212+BI243*BI212+BJ243*BJ212+BK243*BK212+BL243*BL212+BM243*BM212+BN243*BN212+BO243*BO212+BP243*BP212+BQ243*BQ212+BR243*BR212+BS243*BS212+BT243*BT212+BU243*BU212+BV243*BV212+BW243*BW212+BX243*BX212+BY243*BY212+BZ243*BZ212+CA243*CA212+CB243*CB212+CC243*CC212+CD243*CD212+CE243*CE212+CF243*CF212+CG243*CG212+CH243*CH212+CI243*CI212+CJ243*CJ212+CK243*CK212</f>
        <v>0</v>
      </c>
      <c r="CV212" s="2297">
        <f>E244*E212+F244*F212+G244*G212+H244*H212+I244*I212+J244*J212+K244*K212+L244*L212+M244*M212+N244*N212+O244*O212+P244*P212+Q244*Q212+R244*R212+S244*S212+T244*T212+U244*U212+V244*V212+W244*W212+X244*X212+Y244*Y212+Z244*Z212+AA244*AA212+AB244*AB212+AC244*AC212+AD244*AD212+AE244*AE212+AF244*AF212+AG244*AG212+AH244*AH212+AI244*AI212+AJ244*AJ212+AK244*AK212+AL244*AL212+AM244*AM212+AN244*AN212+AO244*AO212+AP244*AP212+AQ244*AQ212+AR244*AR212+AS244*AS212+AT244*AT212+AU244*AU212+AV244*AV212+AW244*AW212+AX244*AX212+AY244*AY212+AZ244*AZ212+BA244*BA212+BB244*BB212+BC244*BC212+BD244*BD212+BE244*BE212+BF244*BF212+BG244*BG212+BH244*BH212+BI244*BI212+BJ244*BJ212+BK244*BK212+BL244*BL212+BM244*BM212+BN244*BN212+BO244*BO212+BP244*BP212+BQ244*BQ212+BR244*BR212+BS244*BS212+BT244*BT212+BU244*BU212+BV244*BV212+BW244*BW212+BX244*BX212+BY244*BY212+BZ244*BZ212+CA244*CA212+CB244*CB212+CC244*CC212+CD244*CD212+CE244*CE212+CF244*CF212+CG244*CG212+CH244*CH212+CI244*CI212+CJ244*CJ212+CK244*CK212</f>
        <v>0</v>
      </c>
      <c r="CW212" s="2297">
        <f>E245*E212+F245*F212+G245*G212+H245*H212+I245*I212+J245*J212+K245*K212+L245*L212+M245*M212+N245*N212+O245*O212+P245*P212+Q245*Q212+R245*R212+S245*S212+T245*T212+U245*U212+V245*V212+W245*W212+X245*X212+Y245*Y212+Z245*Z212+AA245*AA212+AB245*AB212+AC245*AC212+AD245*AD212+AE245*AE212+AF245*AF212+AG245*AG212+AH245*AH212+AI245*AI212+AJ245*AJ212+AK245*AK212+AL245*AL212+AM245*AM212+AN245*AN212+AO245*AO212+AP245*AP212+AQ245*AQ212+AR245*AR212+AS245*AS212+AT245*AT212+AU245*AU212+AV245*AV212+AW245*AW212+AX245*AX212+AY245*AY212+AZ245*AZ212+BA245*BA212+BB245*BB212+BC245*BC212+BD245*BD212+BE245*BE212+BF245*BF212+BG245*BG212+BH245*BH212+BI245*BI212+BJ245*BJ212+BK245*BK212+BL245*BL212+BM245*BM212+BN245*BN212+BO245*BO212+BP245*BP212+BQ245*BQ212+BR245*BR212+BS245*BS212+BT245*BT212+BU245*BU212+BV245*BV212+BW245*BW212+BX245*BX212+BY245*BY212+BZ245*BZ212+CA245*CA212+CB245*CB212+CC245*CC212+CD245*CD212+CE245*CE212+CF245*CF212+CG245*CG212+CH245*CH212+CI245*CI212+CJ245*CJ212+CK245*CK212</f>
        <v>0</v>
      </c>
      <c r="CX212" s="2297">
        <f>E246*E212+F246*F212+G246*G212+H246*H212+I246*I212+J246*J212+K246*K212+L246*L212+M246*M212+N246*N212+O246*O212+P246*P212+Q246*Q212+R246*R212+S246*S212+T246*T212+U246*U212+V246*V212+W246*W212+X246*X212+Y246*Y212+Z246*Z212+AA246*AA212+AB246*AB212+AC246*AC212+AD246*AD212+AE246*AE212+AF246*AF212+AG246*AG212+AH246*AH212+AI246*AI212+AJ246*AJ212+AK246*AK212+AL246*AL212+AM246*AM212+AN246*AN212+AO246*AO212+AP246*AP212+AQ246*AQ212+AR246*AR212+AS246*AS212+AT246*AT212+AU246*AU212+AV246*AV212+AW246*AW212+AX246*AX212+AY246*AY212+AZ246*AZ212+BA246*BA212+BB246*BB212+BC246*BC212+BD246*BD212+BE246*BE212+BF246*BF212+BG246*BG212+BH246*BH212+BI246*BI212+BJ246*BJ212+BK246*BK212+BL246*BL212+BM246*BM212+BN246*BN212+BO246*BO212+BP246*BP212+BQ246*BQ212+BR246*BR212+BS246*BS212+BT246*BT212+BU246*BU212+BV246*BV212+BW246*BW212+BX246*BX212+BY246*BY212+BZ246*BZ212+CA246*CA212+CB246*CB212+CC246*CC212+CD246*CD212+CE246*CE212+CF246*CF212+CG246*CG212+CH246*CH212+CI246*CI212+CJ246*CJ212+CK246*CK212</f>
        <v>0</v>
      </c>
    </row>
    <row r="213" spans="2:102" ht="18" x14ac:dyDescent="0.25">
      <c r="B213" s="1976">
        <v>86</v>
      </c>
      <c r="C213" s="1977" t="s">
        <v>3119</v>
      </c>
      <c r="D213" s="1203" t="s">
        <v>1126</v>
      </c>
      <c r="E213" s="2677">
        <f>0</f>
        <v>0</v>
      </c>
      <c r="F213" s="2677">
        <f>0</f>
        <v>0</v>
      </c>
      <c r="G213" s="2677">
        <f>0</f>
        <v>0</v>
      </c>
      <c r="H213" s="2677">
        <f>0</f>
        <v>0</v>
      </c>
      <c r="I213" s="2677">
        <f>0</f>
        <v>0</v>
      </c>
      <c r="J213" s="2696">
        <f>0</f>
        <v>0</v>
      </c>
      <c r="K213" s="2677">
        <f>0</f>
        <v>0</v>
      </c>
      <c r="L213" s="2677">
        <f>0</f>
        <v>0</v>
      </c>
      <c r="M213" s="2677">
        <f>0</f>
        <v>0</v>
      </c>
      <c r="N213" s="2677">
        <f>0</f>
        <v>0</v>
      </c>
      <c r="O213" s="2677">
        <f>0</f>
        <v>0</v>
      </c>
      <c r="P213" s="2677">
        <f>0</f>
        <v>0</v>
      </c>
      <c r="Q213" s="2677">
        <f>0</f>
        <v>0</v>
      </c>
      <c r="R213" s="2709">
        <f>0</f>
        <v>0</v>
      </c>
      <c r="S213" s="2677">
        <f>0</f>
        <v>0</v>
      </c>
      <c r="T213" s="2677">
        <f>0</f>
        <v>0</v>
      </c>
      <c r="U213" s="2677">
        <f>0</f>
        <v>0</v>
      </c>
      <c r="V213" s="2677">
        <f>0</f>
        <v>0</v>
      </c>
      <c r="W213" s="2677">
        <f>0</f>
        <v>0</v>
      </c>
      <c r="X213" s="2677">
        <f>0</f>
        <v>0</v>
      </c>
      <c r="Y213" s="2677">
        <f>0</f>
        <v>0</v>
      </c>
      <c r="Z213" s="2722">
        <f>0</f>
        <v>0</v>
      </c>
      <c r="AA213" s="2677">
        <f>0</f>
        <v>0</v>
      </c>
      <c r="AB213" s="2677">
        <f>0</f>
        <v>0</v>
      </c>
      <c r="AC213" s="2677">
        <f>0</f>
        <v>0</v>
      </c>
      <c r="AD213" s="2677">
        <f>0</f>
        <v>0</v>
      </c>
      <c r="AE213" s="2677">
        <f>0</f>
        <v>0</v>
      </c>
      <c r="AF213" s="2677">
        <f>0</f>
        <v>0</v>
      </c>
      <c r="AG213" s="2696">
        <f>0</f>
        <v>0</v>
      </c>
      <c r="AH213" s="2677">
        <f>0</f>
        <v>0</v>
      </c>
      <c r="AI213" s="2709">
        <f>0</f>
        <v>0</v>
      </c>
      <c r="AJ213" s="2677">
        <f>0</f>
        <v>0</v>
      </c>
      <c r="AK213" s="2677">
        <f>0</f>
        <v>0</v>
      </c>
      <c r="AL213" s="2677">
        <f>0</f>
        <v>0</v>
      </c>
      <c r="AM213" s="2696">
        <f>0</f>
        <v>0</v>
      </c>
      <c r="AN213" s="2677">
        <f>0</f>
        <v>0</v>
      </c>
      <c r="AO213" s="2677">
        <f>0</f>
        <v>0</v>
      </c>
      <c r="AP213" s="2677">
        <f>0</f>
        <v>0</v>
      </c>
      <c r="AQ213" s="2677">
        <f>0</f>
        <v>0</v>
      </c>
      <c r="AR213" s="2709">
        <f>-A_MC/M_MCaCO3</f>
        <v>-0.12000271763837225</v>
      </c>
      <c r="AS213" s="2677">
        <f>0</f>
        <v>0</v>
      </c>
      <c r="AT213" s="2677">
        <f>0</f>
        <v>0</v>
      </c>
      <c r="AU213" s="2677">
        <f>0</f>
        <v>0</v>
      </c>
      <c r="AV213" s="2709">
        <f>-A_MCa/M_MCaCO3</f>
        <v>-0.40043202457064814</v>
      </c>
      <c r="AW213" s="2677">
        <f>0</f>
        <v>0</v>
      </c>
      <c r="AX213" s="2677">
        <f>0</f>
        <v>0</v>
      </c>
      <c r="AY213" s="2709">
        <f>0</f>
        <v>0</v>
      </c>
      <c r="AZ213" s="2677">
        <f>0</f>
        <v>0</v>
      </c>
      <c r="BA213" s="2677">
        <f>0</f>
        <v>0</v>
      </c>
      <c r="BB213" s="2709">
        <f>0</f>
        <v>0</v>
      </c>
      <c r="BC213" s="2709">
        <f>0</f>
        <v>0</v>
      </c>
      <c r="BD213" s="2677">
        <f>0</f>
        <v>0</v>
      </c>
      <c r="BE213" s="2709">
        <f>0</f>
        <v>0</v>
      </c>
      <c r="BF213" s="2709">
        <f>0</f>
        <v>0</v>
      </c>
      <c r="BG213" s="2677">
        <f>0</f>
        <v>0</v>
      </c>
      <c r="BH213" s="2677">
        <f>0</f>
        <v>0</v>
      </c>
      <c r="BI213" s="2709">
        <f>0</f>
        <v>0</v>
      </c>
      <c r="BJ213" s="2709">
        <f>0</f>
        <v>0</v>
      </c>
      <c r="BK213" s="2677">
        <f>0</f>
        <v>0</v>
      </c>
      <c r="BL213" s="2709">
        <f>0</f>
        <v>0</v>
      </c>
      <c r="BM213" s="2709">
        <f>0</f>
        <v>0</v>
      </c>
      <c r="BN213" s="2709">
        <f>1</f>
        <v>1</v>
      </c>
      <c r="BO213" s="2709">
        <f>0</f>
        <v>0</v>
      </c>
      <c r="BP213" s="2710">
        <f>0</f>
        <v>0</v>
      </c>
      <c r="BQ213" s="2709">
        <f>0</f>
        <v>0</v>
      </c>
      <c r="BR213" s="2709">
        <f>0</f>
        <v>0</v>
      </c>
      <c r="BS213" s="2772">
        <f>0</f>
        <v>0</v>
      </c>
      <c r="BT213" s="2772">
        <f>0</f>
        <v>0</v>
      </c>
      <c r="BU213" s="2772">
        <f>0</f>
        <v>0</v>
      </c>
      <c r="BV213" s="2772">
        <f>0</f>
        <v>0</v>
      </c>
      <c r="BW213" s="2709">
        <f>0</f>
        <v>0</v>
      </c>
      <c r="BX213" s="2787">
        <f>0</f>
        <v>0</v>
      </c>
      <c r="BY213" s="2772">
        <f>0</f>
        <v>0</v>
      </c>
      <c r="BZ213" s="2709">
        <f>0</f>
        <v>0</v>
      </c>
      <c r="CA213" s="2709">
        <f>0</f>
        <v>0</v>
      </c>
      <c r="CB213" s="2709">
        <f>0</f>
        <v>0</v>
      </c>
      <c r="CC213" s="2709">
        <f>0</f>
        <v>0</v>
      </c>
      <c r="CD213" s="2709">
        <f>0</f>
        <v>0</v>
      </c>
      <c r="CE213" s="2709">
        <f>0</f>
        <v>0</v>
      </c>
      <c r="CF213" s="2709">
        <f>0</f>
        <v>0</v>
      </c>
      <c r="CG213" s="2709">
        <f>0</f>
        <v>0</v>
      </c>
      <c r="CH213" s="2709">
        <f>0</f>
        <v>0</v>
      </c>
      <c r="CI213" s="2709">
        <f>0</f>
        <v>0</v>
      </c>
      <c r="CJ213" s="2709">
        <f>0</f>
        <v>0</v>
      </c>
      <c r="CK213" s="2709">
        <f>0</f>
        <v>0</v>
      </c>
      <c r="CL213" s="2817">
        <f>q_CaCO3*P_recipDrivingForceCaCO3^2</f>
        <v>0</v>
      </c>
      <c r="CN213" s="2295">
        <f>E236*E213+F236*F213+G236*G213+H236*H213+I236*I213+J236*J213+K236*K213+L236*L213+M236*M213+N236*N213+O236*O213+P236*P213+Q236*Q213+R236*R213+S236*S213+T236*T213+U236*U213+V236*V213+W236*W213+X236*X213+Y236*Y213+Z236*Z213+AA236*AA213+AB236*AB213+AC236*AC213+AD236*AD213+AE236*AE213+AF236*AF213+AG236*AG213+AH236*AH213+AI236*AI213+AJ236*AJ213+AK236*AK213+AL236*AL213+AM236*AM213+AN236*AN213+AO236*AO213+AP236*AP213+AQ236*AQ213+AR236*AR213+AS236*AS213+AT236*AT213+AU236*AU213+AV236*AV213+AW236*AW213+AX236*AX213+AY236*AY213+AZ236*AZ213+BA236*BA213+BB236*BB213+BC236*BC213+BD236*BD213+BE236*BE213+BF236*BF213+BG236*BG213+BH236*BH213+BI236*BI213+BJ236*BJ213+BK236*BK213+BL236*BL213+BM236*BM213+BN236*BN213+BO236*BO213+BP236*BP213+BQ236*BQ213+BR236*BR213+BS236*BS213+BT236*BT213+BU236*BU213+BV236*BV213+BW236*BW213+BX236*BX213+BY236*BY213+BZ236*BZ213+CA236*CA213+CB236*CB213+CC236*CC213+CD236*CD213+CE236*CE213+CF236*CF213+CG236*CG213+CH236*CH213+CI236*CI213+CJ236*CJ213+CK236*CK213</f>
        <v>0</v>
      </c>
      <c r="CO213" s="2295">
        <f>E237*E213+F237*F213+G237*G213+H237*H213+I237*I213+J237*J213+K237*K213+L237*L213+M237*M213+N237*N213+O237*O213+P237*P213+Q237*Q213+R237*R213+S237*S213+T237*T213+U237*U213+V237*V213+W237*W213+X237*X213+Y237*Y213+Z237*Z213+AA237*AA213+AB237*AB213+AC237*AC213+AD237*AD213+AE237*AE213+AF237*AF213+AG237*AG213+AH237*AH213+AI237*AI213+AJ237*AJ213+AK237*AK213+AL237*AL213+AM237*AM213+AN237*AN213+AO237*AO213+AP237*AP213+AQ237*AQ213+AR237*AR213+AS237*AS213+AT237*AT213+AU237*AU213+AV237*AV213+AW237*AW213+AX237*AX213+AY237*AY213+AZ237*AZ213+BA237*BA213+BB237*BB213+BC237*BC213+BD237*BD213+BE237*BE213+BF237*BF213+BG237*BG213+BH237*BH213+BI237*BI213+BJ237*BJ213+BK237*BK213+BL237*BL213+BM237*BM213+BN237*BN213+BO237*BO213+BP237*BP213+BQ237*BQ213+BR237*BR213+BS237*BS213+BT237*BT213+BU237*BU213+BV237*BV213+BW237*BW213+BX237*BX213+BY237*BY213+BZ237*BZ213+CA237*CA213+CB237*CB213+CC237*CC213+CD237*CD213+CE237*CE213+CF237*CF213+CG237*CG213+CH237*CH213+CI237*CI213+CJ237*CJ213+CK237*CK213</f>
        <v>0</v>
      </c>
      <c r="CP213" s="2296">
        <f>E238*E213+F238*F213+G238*G213+H238*H213+I238*I213+J238*J213+K238*K213+L238*L213+M238*M213+N238*N213+O238*O213+P238*P213+Q238*Q213+R238*R213+S238*S213+T238*T213+U238*U213+V238*V213+W238*W213+X238*X213+Y238*Y213+Z238*Z213+AA238*AA213+AB238*AB213+AC238*AC213+AD238*AD213+AE238*AE213+AF238*AF213+AG238*AG213+AH238*AH213+AI238*AI213+AJ238*AJ213+AK238*AK213+AL238*AL213+AM238*AM213+AN238*AN213+AO238*AO213+AP238*AP213+AQ238*AQ213+AR238*AR213+AS238*AS213+AT238*AT213+AU238*AU213+AV238*AV213+AW238*AW213+AX238*AX213+AY238*AY213+AZ238*AZ213+BA238*BA213+BB238*BB213+BC238*BC213+BD238*BD213+BE238*BE213+BF238*BF213+BG238*BG213+BH238*BH213+BI238*BI213+BJ238*BJ213+BK238*BK213+BL238*BL213+BM238*BM213+BN238*BN213+BO238*BO213+BP238*BP213+BQ238*BQ213+BR238*BR213+BS238*BS213+BT238*BT213+BU238*BU213+BV238*BV213+BW238*BW213+BX238*BX213+BY238*BY213+BZ238*BZ213+CA238*CA213+CB238*CB213+CC238*CC213+CD238*CD213+CE238*CE213+CF238*CF213+CG238*CG213+CH238*CH213+CI238*CI213+CJ238*CJ213+CK238*CK213</f>
        <v>0</v>
      </c>
      <c r="CQ213" s="2297">
        <f>E239*E213+F239*F213+G239*G213+H239*H213+I239*I213+J239*J213+K239*K213+L239*L213+M239*M213+N239*N213+O239*O213+P239*P213+Q239*Q213+R239*R213+S239*S213+T239*T213+U239*U213+V239*V213+W239*W213+X239*X213+Y239*Y213+Z239*Z213+AA239*AA213+AB239*AB213+AC239*AC213+AD239*AD213+AE239*AE213+AF239*AF213+AG239*AG213+AH239*AH213+AI239*AI213+AJ239*AJ213+AK239*AK213+AL239*AL213+AM239*AM213+AN239*AN213+AO239*AO213+AP239*AP213+AQ239*AQ213+AR239*AR213+AS239*AS213+AT239*AT213+AU239*AU213+AV239*AV213+AW239*AW213+AX239*AX213+AY239*AY213+AZ239*AZ213+BA239*BA213+BB239*BB213+BC239*BC213+BD239*BD213+BE239*BE213+BF239*BF213+BG239*BG213+BH239*BH213+BI239*BI213+BJ239*BJ213+BK239*BK213+BL239*BL213+BM239*BM213+BN239*BN213+BO239*BO213+BP239*BP213+BQ239*BQ213+BR239*BR213+BS239*BS213+BT239*BT213+BU239*BU213+BV239*BV213+BW239*BW213+BX239*BX213+BY239*BY213+BZ239*BZ213+CA239*CA213+CB239*CB213+CC239*CC213+CD239*CD213+CE239*CE213+CF239*CF213+CG239*CG213+CH239*CH213+CI239*CI213+CJ239*CJ213+CK239*CK213</f>
        <v>0</v>
      </c>
      <c r="CR213" s="2297">
        <f>E240*E213+F240*F213+G240*G213+H240*H213+I240*I213+J240*J213+K240*K213+L240*L213+M240*M213+N240*N213+O240*O213+P240*P213+Q240*Q213+R240*R213+S240*S213+T240*T213+U240*U213+V240*V213+W240*W213+X240*X213+Y240*Y213+Z240*Z213+AA240*AA213+AB240*AB213+AC240*AC213+AD240*AD213+AE240*AE213+AF240*AF213+AG240*AG213+AH240*AH213+AI240*AI213+AJ240*AJ213+AK240*AK213+AL240*AL213+AM240*AM213+AN240*AN213+AO240*AO213+AP240*AP213+AQ240*AQ213+AR240*AR213+AS240*AS213+AT240*AT213+AU240*AU213+AV240*AV213+AW240*AW213+AX240*AX213+AY240*AY213+AZ240*AZ213+BA240*BA213+BB240*BB213+BC240*BC213+BD240*BD213+BE240*BE213+BF240*BF213+BG240*BG213+BH240*BH213+BI240*BI213+BJ240*BJ213+BK240*BK213+BL240*BL213+BM240*BM213+BN240*BN213+BO240*BO213+BP240*BP213+BQ240*BQ213+BR240*BR213+BS240*BS213+BT240*BT213+BU240*BU213+BV240*BV213+BW240*BW213+BX240*BX213+BY240*BY213+BZ240*BZ213+CA240*CA213+CB240*CB213+CC240*CC213+CD240*CD213+CE240*CE213+CF240*CF213+CG240*CG213+CH240*CH213+CI240*CI213+CJ240*CJ213+CK240*CK213</f>
        <v>0</v>
      </c>
      <c r="CS213" s="2297">
        <f>E241*E213+F241*F213+G241*G213+H241*H213+I241*I213+J241*J213+K241*K213+L241*L213+M241*M213+N241*N213+O241*O213+P241*P213+Q241*Q213+R241*R213+S241*S213+T241*T213+U241*U213+V241*V213+W241*W213+X241*X213+Y241*Y213+Z241*Z213+AA241*AA213+AB241*AB213+AC241*AC213+AD241*AD213+AE241*AE213+AF241*AF213+AG241*AG213+AH241*AH213+AI241*AI213+AJ241*AJ213+AK241*AK213+AL241*AL213+AM241*AM213+AN241*AN213+AO241*AO213+AP241*AP213+AQ241*AQ213+AR241*AR213+AS241*AS213+AT241*AT213+AU241*AU213+AV241*AV213+AW241*AW213+AX241*AX213+AY241*AY213+AZ241*AZ213+BA241*BA213+BB241*BB213+BC241*BC213+BD241*BD213+BE241*BE213+BF241*BF213+BG241*BG213+BH241*BH213+BI241*BI213+BJ241*BJ213+BK241*BK213+BL241*BL213+BM241*BM213+BN241*BN213+BO241*BO213+BP241*BP213+BQ241*BQ213+BR241*BR213+BS241*BS213+BT241*BT213+BU241*BU213+BV241*BV213+BW241*BW213+BX241*BX213+BY241*BY213+BZ241*BZ213+CA241*CA213+CB241*CB213+CC241*CC213+CD241*CD213+CE241*CE213+CF241*CF213+CG241*CG213+CH241*CH213+CI241*CI213+CJ241*CJ213+CK241*CK213</f>
        <v>0</v>
      </c>
      <c r="CT213" s="2297">
        <f>E242*E213+F242*F213+G242*G213+H242*H213+I242*I213+J242*J213+K242*K213+L242*L213+M242*M213+N242*N213+O242*O213+P242*P213+Q242*Q213+R242*R213+S242*S213+T242*T213+U242*U213+V242*V213+W242*W213+X242*X213+Y242*Y213+Z242*Z213+AA242*AA213+AB242*AB213+AC242*AC213+AD242*AD213+AE242*AE213+AF242*AF213+AG242*AG213+AH242*AH213+AI242*AI213+AJ242*AJ213+AK242*AK213+AL242*AL213+AM242*AM213+AN242*AN213+AO242*AO213+AP242*AP213+AQ242*AQ213+AR242*AR213+AS242*AS213+AT242*AT213+AU242*AU213+AV242*AV213+AW242*AW213+AX242*AX213+AY242*AY213+AZ242*AZ213+BA242*BA213+BB242*BB213+BC242*BC213+BD242*BD213+BE242*BE213+BF242*BF213+BG242*BG213+BH242*BH213+BI242*BI213+BJ242*BJ213+BK242*BK213+BL242*BL213+BM242*BM213+BN242*BN213+BO242*BO213+BP242*BP213+BQ242*BQ213+BR242*BR213+BS242*BS213+BT242*BT213+BU242*BU213+BV242*BV213+BW242*BW213+BX242*BX213+BY242*BY213+BZ242*BZ213+CA242*CA213+CB242*CB213+CC242*CC213+CD242*CD213+CE242*CE213+CF242*CF213+CG242*CG213+CH242*CH213+CI242*CI213+CJ242*CJ213+CK242*CK213</f>
        <v>0</v>
      </c>
      <c r="CU213" s="2297">
        <f>E243*E213+F243*F213+G243*G213+H243*H213+I243*I213+J243*J213+K243*K213+L243*L213+M243*M213+N243*N213+O243*O213+P243*P213+Q243*Q213+R243*R213+S243*S213+T243*T213+U243*U213+V243*V213+W243*W213+X243*X213+Y243*Y213+Z243*Z213+AA243*AA213+AB243*AB213+AC243*AC213+AD243*AD213+AE243*AE213+AF243*AF213+AG243*AG213+AH243*AH213+AI243*AI213+AJ243*AJ213+AK243*AK213+AL243*AL213+AM243*AM213+AN243*AN213+AO243*AO213+AP243*AP213+AQ243*AQ213+AR243*AR213+AS243*AS213+AT243*AT213+AU243*AU213+AV243*AV213+AW243*AW213+AX243*AX213+AY243*AY213+AZ243*AZ213+BA243*BA213+BB243*BB213+BC243*BC213+BD243*BD213+BE243*BE213+BF243*BF213+BG243*BG213+BH243*BH213+BI243*BI213+BJ243*BJ213+BK243*BK213+BL243*BL213+BM243*BM213+BN243*BN213+BO243*BO213+BP243*BP213+BQ243*BQ213+BR243*BR213+BS243*BS213+BT243*BT213+BU243*BU213+BV243*BV213+BW243*BW213+BX243*BX213+BY243*BY213+BZ243*BZ213+CA243*CA213+CB243*CB213+CC243*CC213+CD243*CD213+CE243*CE213+CF243*CF213+CG243*CG213+CH243*CH213+CI243*CI213+CJ243*CJ213+CK243*CK213</f>
        <v>0</v>
      </c>
      <c r="CV213" s="2297">
        <f>E244*E213+F244*F213+G244*G213+H244*H213+I244*I213+J244*J213+K244*K213+L244*L213+M244*M213+N244*N213+O244*O213+P244*P213+Q244*Q213+R244*R213+S244*S213+T244*T213+U244*U213+V244*V213+W244*W213+X244*X213+Y244*Y213+Z244*Z213+AA244*AA213+AB244*AB213+AC244*AC213+AD244*AD213+AE244*AE213+AF244*AF213+AG244*AG213+AH244*AH213+AI244*AI213+AJ244*AJ213+AK244*AK213+AL244*AL213+AM244*AM213+AN244*AN213+AO244*AO213+AP244*AP213+AQ244*AQ213+AR244*AR213+AS244*AS213+AT244*AT213+AU244*AU213+AV244*AV213+AW244*AW213+AX244*AX213+AY244*AY213+AZ244*AZ213+BA244*BA213+BB244*BB213+BC244*BC213+BD244*BD213+BE244*BE213+BF244*BF213+BG244*BG213+BH244*BH213+BI244*BI213+BJ244*BJ213+BK244*BK213+BL244*BL213+BM244*BM213+BN244*BN213+BO244*BO213+BP244*BP213+BQ244*BQ213+BR244*BR213+BS244*BS213+BT244*BT213+BU244*BU213+BV244*BV213+BW244*BW213+BX244*BX213+BY244*BY213+BZ244*BZ213+CA244*CA213+CB244*CB213+CC244*CC213+CD244*CD213+CE244*CE213+CF244*CF213+CG244*CG213+CH244*CH213+CI244*CI213+CJ244*CJ213+CK244*CK213</f>
        <v>0</v>
      </c>
      <c r="CW213" s="2297">
        <f>E245*E213+F245*F213+G245*G213+H245*H213+I245*I213+J245*J213+K245*K213+L245*L213+M245*M213+N245*N213+O245*O213+P245*P213+Q245*Q213+R245*R213+S245*S213+T245*T213+U245*U213+V245*V213+W245*W213+X245*X213+Y245*Y213+Z245*Z213+AA245*AA213+AB245*AB213+AC245*AC213+AD245*AD213+AE245*AE213+AF245*AF213+AG245*AG213+AH245*AH213+AI245*AI213+AJ245*AJ213+AK245*AK213+AL245*AL213+AM245*AM213+AN245*AN213+AO245*AO213+AP245*AP213+AQ245*AQ213+AR245*AR213+AS245*AS213+AT245*AT213+AU245*AU213+AV245*AV213+AW245*AW213+AX245*AX213+AY245*AY213+AZ245*AZ213+BA245*BA213+BB245*BB213+BC245*BC213+BD245*BD213+BE245*BE213+BF245*BF213+BG245*BG213+BH245*BH213+BI245*BI213+BJ245*BJ213+BK245*BK213+BL245*BL213+BM245*BM213+BN245*BN213+BO245*BO213+BP245*BP213+BQ245*BQ213+BR245*BR213+BS245*BS213+BT245*BT213+BU245*BU213+BV245*BV213+BW245*BW213+BX245*BX213+BY245*BY213+BZ245*BZ213+CA245*CA213+CB245*CB213+CC245*CC213+CD245*CD213+CE245*CE213+CF245*CF213+CG245*CG213+CH245*CH213+CI245*CI213+CJ245*CJ213+CK245*CK213</f>
        <v>0</v>
      </c>
      <c r="CX213" s="2297">
        <f>E246*E213+F246*F213+G246*G213+H246*H213+I246*I213+J246*J213+K246*K213+L246*L213+M246*M213+N246*N213+O246*O213+P246*P213+Q246*Q213+R246*R213+S246*S213+T246*T213+U246*U213+V246*V213+W246*W213+X246*X213+Y246*Y213+Z246*Z213+AA246*AA213+AB246*AB213+AC246*AC213+AD246*AD213+AE246*AE213+AF246*AF213+AG246*AG213+AH246*AH213+AI246*AI213+AJ246*AJ213+AK246*AK213+AL246*AL213+AM246*AM213+AN246*AN213+AO246*AO213+AP246*AP213+AQ246*AQ213+AR246*AR213+AS246*AS213+AT246*AT213+AU246*AU213+AV246*AV213+AW246*AW213+AX246*AX213+AY246*AY213+AZ246*AZ213+BA246*BA213+BB246*BB213+BC246*BC213+BD246*BD213+BE246*BE213+BF246*BF213+BG246*BG213+BH246*BH213+BI246*BI213+BJ246*BJ213+BK246*BK213+BL246*BL213+BM246*BM213+BN246*BN213+BO246*BO213+BP246*BP213+BQ246*BQ213+BR246*BR213+BS246*BS213+BT246*BT213+BU246*BU213+BV246*BV213+BW246*BW213+BX246*BX213+BY246*BY213+BZ246*BZ213+CA246*CA213+CB246*CB213+CC246*CC213+CD246*CD213+CE246*CE213+CF246*CF213+CG246*CG213+CH246*CH213+CI246*CI213+CJ246*CJ213+CK246*CK213</f>
        <v>0</v>
      </c>
    </row>
    <row r="214" spans="2:102" ht="18" x14ac:dyDescent="0.25">
      <c r="B214" s="1976">
        <v>87</v>
      </c>
      <c r="C214" s="1977" t="s">
        <v>3120</v>
      </c>
      <c r="D214" s="1203" t="s">
        <v>1125</v>
      </c>
      <c r="E214" s="2677">
        <f>0</f>
        <v>0</v>
      </c>
      <c r="F214" s="2677">
        <f>0</f>
        <v>0</v>
      </c>
      <c r="G214" s="2677">
        <f>0</f>
        <v>0</v>
      </c>
      <c r="H214" s="2677">
        <f>0</f>
        <v>0</v>
      </c>
      <c r="I214" s="2677">
        <f>0</f>
        <v>0</v>
      </c>
      <c r="J214" s="2696">
        <f>0</f>
        <v>0</v>
      </c>
      <c r="K214" s="2677">
        <f>0</f>
        <v>0</v>
      </c>
      <c r="L214" s="2677">
        <f>0</f>
        <v>0</v>
      </c>
      <c r="M214" s="2677">
        <f>0</f>
        <v>0</v>
      </c>
      <c r="N214" s="2677">
        <f>0</f>
        <v>0</v>
      </c>
      <c r="O214" s="2677">
        <f>0</f>
        <v>0</v>
      </c>
      <c r="P214" s="2677">
        <f>0</f>
        <v>0</v>
      </c>
      <c r="Q214" s="2677">
        <f>0</f>
        <v>0</v>
      </c>
      <c r="R214" s="2709">
        <f>0</f>
        <v>0</v>
      </c>
      <c r="S214" s="2677">
        <f>0</f>
        <v>0</v>
      </c>
      <c r="T214" s="2677">
        <f>0</f>
        <v>0</v>
      </c>
      <c r="U214" s="2677">
        <f>0</f>
        <v>0</v>
      </c>
      <c r="V214" s="2677">
        <f>0</f>
        <v>0</v>
      </c>
      <c r="W214" s="2677">
        <f>0</f>
        <v>0</v>
      </c>
      <c r="X214" s="2677">
        <f>0</f>
        <v>0</v>
      </c>
      <c r="Y214" s="2677">
        <f>0</f>
        <v>0</v>
      </c>
      <c r="Z214" s="2722">
        <f>0</f>
        <v>0</v>
      </c>
      <c r="AA214" s="2677">
        <f>0</f>
        <v>0</v>
      </c>
      <c r="AB214" s="2677">
        <f>0</f>
        <v>0</v>
      </c>
      <c r="AC214" s="2677">
        <f>0</f>
        <v>0</v>
      </c>
      <c r="AD214" s="2677">
        <f>0</f>
        <v>0</v>
      </c>
      <c r="AE214" s="2677">
        <f>0</f>
        <v>0</v>
      </c>
      <c r="AF214" s="2677">
        <f>0</f>
        <v>0</v>
      </c>
      <c r="AG214" s="2696">
        <f>0</f>
        <v>0</v>
      </c>
      <c r="AH214" s="2677">
        <f>0</f>
        <v>0</v>
      </c>
      <c r="AI214" s="2709">
        <f>-2*A_MP/M_MACP</f>
        <v>-0.16206538757887573</v>
      </c>
      <c r="AJ214" s="2677">
        <f>0</f>
        <v>0</v>
      </c>
      <c r="AK214" s="2677">
        <f>0</f>
        <v>0</v>
      </c>
      <c r="AL214" s="2677">
        <f>0</f>
        <v>0</v>
      </c>
      <c r="AM214" s="2696">
        <f>0</f>
        <v>0</v>
      </c>
      <c r="AN214" s="2677">
        <f>0</f>
        <v>0</v>
      </c>
      <c r="AO214" s="2677">
        <f>0</f>
        <v>0</v>
      </c>
      <c r="AP214" s="2677">
        <f>0</f>
        <v>0</v>
      </c>
      <c r="AQ214" s="2677">
        <f>0</f>
        <v>0</v>
      </c>
      <c r="AR214" s="2677">
        <f>0</f>
        <v>0</v>
      </c>
      <c r="AS214" s="2677">
        <f>0</f>
        <v>0</v>
      </c>
      <c r="AT214" s="2677">
        <f>0</f>
        <v>0</v>
      </c>
      <c r="AU214" s="2677">
        <f>0</f>
        <v>0</v>
      </c>
      <c r="AV214" s="2709">
        <f>-3*A_MCa/M_MACP</f>
        <v>-0.31455284127800509</v>
      </c>
      <c r="AW214" s="2677">
        <f>0</f>
        <v>0</v>
      </c>
      <c r="AX214" s="2677">
        <f>0</f>
        <v>0</v>
      </c>
      <c r="AY214" s="2709">
        <f>0</f>
        <v>0</v>
      </c>
      <c r="AZ214" s="2677">
        <f>0</f>
        <v>0</v>
      </c>
      <c r="BA214" s="2677">
        <f>0</f>
        <v>0</v>
      </c>
      <c r="BB214" s="2709">
        <f>0</f>
        <v>0</v>
      </c>
      <c r="BC214" s="2709">
        <f>0</f>
        <v>0</v>
      </c>
      <c r="BD214" s="2677">
        <f>0</f>
        <v>0</v>
      </c>
      <c r="BE214" s="2709">
        <f>0</f>
        <v>0</v>
      </c>
      <c r="BF214" s="2709">
        <f>0</f>
        <v>0</v>
      </c>
      <c r="BG214" s="2677">
        <f>0</f>
        <v>0</v>
      </c>
      <c r="BH214" s="2677">
        <f>0</f>
        <v>0</v>
      </c>
      <c r="BI214" s="2709">
        <f>0</f>
        <v>0</v>
      </c>
      <c r="BJ214" s="2709">
        <f>0</f>
        <v>0</v>
      </c>
      <c r="BK214" s="2677">
        <f>0</f>
        <v>0</v>
      </c>
      <c r="BL214" s="2709">
        <f>0</f>
        <v>0</v>
      </c>
      <c r="BM214" s="2709">
        <f>0</f>
        <v>0</v>
      </c>
      <c r="BN214" s="2709">
        <f>0</f>
        <v>0</v>
      </c>
      <c r="BO214" s="2709">
        <f>1</f>
        <v>1</v>
      </c>
      <c r="BP214" s="2710">
        <f>0</f>
        <v>0</v>
      </c>
      <c r="BQ214" s="2709">
        <f>0</f>
        <v>0</v>
      </c>
      <c r="BR214" s="2709">
        <f>0</f>
        <v>0</v>
      </c>
      <c r="BS214" s="2772">
        <f>0</f>
        <v>0</v>
      </c>
      <c r="BT214" s="2772">
        <f>0</f>
        <v>0</v>
      </c>
      <c r="BU214" s="2772">
        <f>0</f>
        <v>0</v>
      </c>
      <c r="BV214" s="2772">
        <f>0</f>
        <v>0</v>
      </c>
      <c r="BW214" s="2709">
        <f>0</f>
        <v>0</v>
      </c>
      <c r="BX214" s="2787">
        <f>0</f>
        <v>0</v>
      </c>
      <c r="BY214" s="2772">
        <f>0</f>
        <v>0</v>
      </c>
      <c r="BZ214" s="2709">
        <f>0</f>
        <v>0</v>
      </c>
      <c r="CA214" s="2709">
        <f>0</f>
        <v>0</v>
      </c>
      <c r="CB214" s="2709">
        <f>0</f>
        <v>0</v>
      </c>
      <c r="CC214" s="2709">
        <f>0</f>
        <v>0</v>
      </c>
      <c r="CD214" s="2709">
        <f>0</f>
        <v>0</v>
      </c>
      <c r="CE214" s="2709">
        <f>0</f>
        <v>0</v>
      </c>
      <c r="CF214" s="2709">
        <f>0</f>
        <v>0</v>
      </c>
      <c r="CG214" s="2709">
        <f>0</f>
        <v>0</v>
      </c>
      <c r="CH214" s="2709">
        <f>0</f>
        <v>0</v>
      </c>
      <c r="CI214" s="2709">
        <f>0</f>
        <v>0</v>
      </c>
      <c r="CJ214" s="2709">
        <f>0</f>
        <v>0</v>
      </c>
      <c r="CK214" s="2709">
        <f>0</f>
        <v>0</v>
      </c>
      <c r="CL214" s="2817">
        <f>q_ACP*P_recipDrivingForceACP^2</f>
        <v>0</v>
      </c>
      <c r="CN214" s="2295">
        <f>E236*E214+F236*F214+G236*G214+H236*H214+I236*I214+J236*J214+K236*K214+L236*L214+M236*M214+N236*N214+O236*O214+P236*P214+Q236*Q214+R236*R214+S236*S214+T236*T214+U236*U214+V236*V214+W236*W214+X236*X214+Y236*Y214+Z236*Z214+AA236*AA214+AB236*AB214+AC236*AC214+AD236*AD214+AE236*AE214+AF236*AF214+AG236*AG214+AH236*AH214+AI236*AI214+AJ236*AJ214+AK236*AK214+AL236*AL214+AM236*AM214+AN236*AN214+AO236*AO214+AP236*AP214+AQ236*AQ214+AR236*AR214+AS236*AS214+AT236*AT214+AU236*AU214+AV236*AV214+AW236*AW214+AX236*AX214+AY236*AY214+AZ236*AZ214+BA236*BA214+BB236*BB214+BC236*BC214+BD236*BD214+BE236*BE214+BF236*BF214+BG236*BG214+BH236*BH214+BI236*BI214+BJ236*BJ214+BK236*BK214+BL236*BL214+BM236*BM214+BN236*BN214+BO236*BO214+BP236*BP214+BQ236*BQ214+BR236*BR214+BS236*BS214+BT236*BT214+BU236*BU214+BV236*BV214+BW236*BW214+BX236*BX214+BY236*BY214+BZ236*BZ214+CA236*CA214+CB236*CB214+CC236*CC214+CD236*CD214+CE236*CE214+CF236*CF214+CG236*CG214+CH236*CH214+CI236*CI214+CJ236*CJ214+CK236*CK214</f>
        <v>0</v>
      </c>
      <c r="CO214" s="2295">
        <f>E237*E214+F237*F214+G237*G214+H237*H214+I237*I214+J237*J214+K237*K214+L237*L214+M237*M214+N237*N214+O237*O214+P237*P214+Q237*Q214+R237*R214+S237*S214+T237*T214+U237*U214+V237*V214+W237*W214+X237*X214+Y237*Y214+Z237*Z214+AA237*AA214+AB237*AB214+AC237*AC214+AD237*AD214+AE237*AE214+AF237*AF214+AG237*AG214+AH237*AH214+AI237*AI214+AJ237*AJ214+AK237*AK214+AL237*AL214+AM237*AM214+AN237*AN214+AO237*AO214+AP237*AP214+AQ237*AQ214+AR237*AR214+AS237*AS214+AT237*AT214+AU237*AU214+AV237*AV214+AW237*AW214+AX237*AX214+AY237*AY214+AZ237*AZ214+BA237*BA214+BB237*BB214+BC237*BC214+BD237*BD214+BE237*BE214+BF237*BF214+BG237*BG214+BH237*BH214+BI237*BI214+BJ237*BJ214+BK237*BK214+BL237*BL214+BM237*BM214+BN237*BN214+BO237*BO214+BP237*BP214+BQ237*BQ214+BR237*BR214+BS237*BS214+BT237*BT214+BU237*BU214+BV237*BV214+BW237*BW214+BX237*BX214+BY237*BY214+BZ237*BZ214+CA237*CA214+CB237*CB214+CC237*CC214+CD237*CD214+CE237*CE214+CF237*CF214+CG237*CG214+CH237*CH214+CI237*CI214+CJ237*CJ214+CK237*CK214</f>
        <v>0</v>
      </c>
      <c r="CP214" s="2296">
        <f>E238*E214+F238*F214+G238*G214+H238*H214+I238*I214+J238*J214+K238*K214+L238*L214+M238*M214+N238*N214+O238*O214+P238*P214+Q238*Q214+R238*R214+S238*S214+T238*T214+U238*U214+V238*V214+W238*W214+X238*X214+Y238*Y214+Z238*Z214+AA238*AA214+AB238*AB214+AC238*AC214+AD238*AD214+AE238*AE214+AF238*AF214+AG238*AG214+AH238*AH214+AI238*AI214+AJ238*AJ214+AK238*AK214+AL238*AL214+AM238*AM214+AN238*AN214+AO238*AO214+AP238*AP214+AQ238*AQ214+AR238*AR214+AS238*AS214+AT238*AT214+AU238*AU214+AV238*AV214+AW238*AW214+AX238*AX214+AY238*AY214+AZ238*AZ214+BA238*BA214+BB238*BB214+BC238*BC214+BD238*BD214+BE238*BE214+BF238*BF214+BG238*BG214+BH238*BH214+BI238*BI214+BJ238*BJ214+BK238*BK214+BL238*BL214+BM238*BM214+BN238*BN214+BO238*BO214+BP238*BP214+BQ238*BQ214+BR238*BR214+BS238*BS214+BT238*BT214+BU238*BU214+BV238*BV214+BW238*BW214+BX238*BX214+BY238*BY214+BZ238*BZ214+CA238*CA214+CB238*CB214+CC238*CC214+CD238*CD214+CE238*CE214+CF238*CF214+CG238*CG214+CH238*CH214+CI238*CI214+CJ238*CJ214+CK238*CK214</f>
        <v>0</v>
      </c>
      <c r="CQ214" s="2297">
        <f>E239*E214+F239*F214+G239*G214+H239*H214+I239*I214+J239*J214+K239*K214+L239*L214+M239*M214+N239*N214+O239*O214+P239*P214+Q239*Q214+R239*R214+S239*S214+T239*T214+U239*U214+V239*V214+W239*W214+X239*X214+Y239*Y214+Z239*Z214+AA239*AA214+AB239*AB214+AC239*AC214+AD239*AD214+AE239*AE214+AF239*AF214+AG239*AG214+AH239*AH214+AI239*AI214+AJ239*AJ214+AK239*AK214+AL239*AL214+AM239*AM214+AN239*AN214+AO239*AO214+AP239*AP214+AQ239*AQ214+AR239*AR214+AS239*AS214+AT239*AT214+AU239*AU214+AV239*AV214+AW239*AW214+AX239*AX214+AY239*AY214+AZ239*AZ214+BA239*BA214+BB239*BB214+BC239*BC214+BD239*BD214+BE239*BE214+BF239*BF214+BG239*BG214+BH239*BH214+BI239*BI214+BJ239*BJ214+BK239*BK214+BL239*BL214+BM239*BM214+BN239*BN214+BO239*BO214+BP239*BP214+BQ239*BQ214+BR239*BR214+BS239*BS214+BT239*BT214+BU239*BU214+BV239*BV214+BW239*BW214+BX239*BX214+BY239*BY214+BZ239*BZ214+CA239*CA214+CB239*CB214+CC239*CC214+CD239*CD214+CE239*CE214+CF239*CF214+CG239*CG214+CH239*CH214+CI239*CI214+CJ239*CJ214+CK239*CK214</f>
        <v>0</v>
      </c>
      <c r="CR214" s="2297">
        <f>E240*E214+F240*F214+G240*G214+H240*H214+I240*I214+J240*J214+K240*K214+L240*L214+M240*M214+N240*N214+O240*O214+P240*P214+Q240*Q214+R240*R214+S240*S214+T240*T214+U240*U214+V240*V214+W240*W214+X240*X214+Y240*Y214+Z240*Z214+AA240*AA214+AB240*AB214+AC240*AC214+AD240*AD214+AE240*AE214+AF240*AF214+AG240*AG214+AH240*AH214+AI240*AI214+AJ240*AJ214+AK240*AK214+AL240*AL214+AM240*AM214+AN240*AN214+AO240*AO214+AP240*AP214+AQ240*AQ214+AR240*AR214+AS240*AS214+AT240*AT214+AU240*AU214+AV240*AV214+AW240*AW214+AX240*AX214+AY240*AY214+AZ240*AZ214+BA240*BA214+BB240*BB214+BC240*BC214+BD240*BD214+BE240*BE214+BF240*BF214+BG240*BG214+BH240*BH214+BI240*BI214+BJ240*BJ214+BK240*BK214+BL240*BL214+BM240*BM214+BN240*BN214+BO240*BO214+BP240*BP214+BQ240*BQ214+BR240*BR214+BS240*BS214+BT240*BT214+BU240*BU214+BV240*BV214+BW240*BW214+BX240*BX214+BY240*BY214+BZ240*BZ214+CA240*CA214+CB240*CB214+CC240*CC214+CD240*CD214+CE240*CE214+CF240*CF214+CG240*CG214+CH240*CH214+CI240*CI214+CJ240*CJ214+CK240*CK214</f>
        <v>0</v>
      </c>
      <c r="CS214" s="2297">
        <f>E241*E214+F241*F214+G241*G214+H241*H214+I241*I214+J241*J214+K241*K214+L241*L214+M241*M214+N241*N214+O241*O214+P241*P214+Q241*Q214+R241*R214+S241*S214+T241*T214+U241*U214+V241*V214+W241*W214+X241*X214+Y241*Y214+Z241*Z214+AA241*AA214+AB241*AB214+AC241*AC214+AD241*AD214+AE241*AE214+AF241*AF214+AG241*AG214+AH241*AH214+AI241*AI214+AJ241*AJ214+AK241*AK214+AL241*AL214+AM241*AM214+AN241*AN214+AO241*AO214+AP241*AP214+AQ241*AQ214+AR241*AR214+AS241*AS214+AT241*AT214+AU241*AU214+AV241*AV214+AW241*AW214+AX241*AX214+AY241*AY214+AZ241*AZ214+BA241*BA214+BB241*BB214+BC241*BC214+BD241*BD214+BE241*BE214+BF241*BF214+BG241*BG214+BH241*BH214+BI241*BI214+BJ241*BJ214+BK241*BK214+BL241*BL214+BM241*BM214+BN241*BN214+BO241*BO214+BP241*BP214+BQ241*BQ214+BR241*BR214+BS241*BS214+BT241*BT214+BU241*BU214+BV241*BV214+BW241*BW214+BX241*BX214+BY241*BY214+BZ241*BZ214+CA241*CA214+CB241*CB214+CC241*CC214+CD241*CD214+CE241*CE214+CF241*CF214+CG241*CG214+CH241*CH214+CI241*CI214+CJ241*CJ214+CK241*CK214</f>
        <v>0</v>
      </c>
      <c r="CT214" s="2297">
        <f>E242*E214+F242*F214+G242*G214+H242*H214+I242*I214+J242*J214+K242*K214+L242*L214+M242*M214+N242*N214+O242*O214+P242*P214+Q242*Q214+R242*R214+S242*S214+T242*T214+U242*U214+V242*V214+W242*W214+X242*X214+Y242*Y214+Z242*Z214+AA242*AA214+AB242*AB214+AC242*AC214+AD242*AD214+AE242*AE214+AF242*AF214+AG242*AG214+AH242*AH214+AI242*AI214+AJ242*AJ214+AK242*AK214+AL242*AL214+AM242*AM214+AN242*AN214+AO242*AO214+AP242*AP214+AQ242*AQ214+AR242*AR214+AS242*AS214+AT242*AT214+AU242*AU214+AV242*AV214+AW242*AW214+AX242*AX214+AY242*AY214+AZ242*AZ214+BA242*BA214+BB242*BB214+BC242*BC214+BD242*BD214+BE242*BE214+BF242*BF214+BG242*BG214+BH242*BH214+BI242*BI214+BJ242*BJ214+BK242*BK214+BL242*BL214+BM242*BM214+BN242*BN214+BO242*BO214+BP242*BP214+BQ242*BQ214+BR242*BR214+BS242*BS214+BT242*BT214+BU242*BU214+BV242*BV214+BW242*BW214+BX242*BX214+BY242*BY214+BZ242*BZ214+CA242*CA214+CB242*CB214+CC242*CC214+CD242*CD214+CE242*CE214+CF242*CF214+CG242*CG214+CH242*CH214+CI242*CI214+CJ242*CJ214+CK242*CK214</f>
        <v>0</v>
      </c>
      <c r="CU214" s="2297">
        <f>E243*E214+F243*F214+G243*G214+H243*H214+I243*I214+J243*J214+K243*K214+L243*L214+M243*M214+N243*N214+O243*O214+P243*P214+Q243*Q214+R243*R214+S243*S214+T243*T214+U243*U214+V243*V214+W243*W214+X243*X214+Y243*Y214+Z243*Z214+AA243*AA214+AB243*AB214+AC243*AC214+AD243*AD214+AE243*AE214+AF243*AF214+AG243*AG214+AH243*AH214+AI243*AI214+AJ243*AJ214+AK243*AK214+AL243*AL214+AM243*AM214+AN243*AN214+AO243*AO214+AP243*AP214+AQ243*AQ214+AR243*AR214+AS243*AS214+AT243*AT214+AU243*AU214+AV243*AV214+AW243*AW214+AX243*AX214+AY243*AY214+AZ243*AZ214+BA243*BA214+BB243*BB214+BC243*BC214+BD243*BD214+BE243*BE214+BF243*BF214+BG243*BG214+BH243*BH214+BI243*BI214+BJ243*BJ214+BK243*BK214+BL243*BL214+BM243*BM214+BN243*BN214+BO243*BO214+BP243*BP214+BQ243*BQ214+BR243*BR214+BS243*BS214+BT243*BT214+BU243*BU214+BV243*BV214+BW243*BW214+BX243*BX214+BY243*BY214+BZ243*BZ214+CA243*CA214+CB243*CB214+CC243*CC214+CD243*CD214+CE243*CE214+CF243*CF214+CG243*CG214+CH243*CH214+CI243*CI214+CJ243*CJ214+CK243*CK214</f>
        <v>0</v>
      </c>
      <c r="CV214" s="2297">
        <f>E244*E214+F244*F214+G244*G214+H244*H214+I244*I214+J244*J214+K244*K214+L244*L214+M244*M214+N244*N214+O244*O214+P244*P214+Q244*Q214+R244*R214+S244*S214+T244*T214+U244*U214+V244*V214+W244*W214+X244*X214+Y244*Y214+Z244*Z214+AA244*AA214+AB244*AB214+AC244*AC214+AD244*AD214+AE244*AE214+AF244*AF214+AG244*AG214+AH244*AH214+AI244*AI214+AJ244*AJ214+AK244*AK214+AL244*AL214+AM244*AM214+AN244*AN214+AO244*AO214+AP244*AP214+AQ244*AQ214+AR244*AR214+AS244*AS214+AT244*AT214+AU244*AU214+AV244*AV214+AW244*AW214+AX244*AX214+AY244*AY214+AZ244*AZ214+BA244*BA214+BB244*BB214+BC244*BC214+BD244*BD214+BE244*BE214+BF244*BF214+BG244*BG214+BH244*BH214+BI244*BI214+BJ244*BJ214+BK244*BK214+BL244*BL214+BM244*BM214+BN244*BN214+BO244*BO214+BP244*BP214+BQ244*BQ214+BR244*BR214+BS244*BS214+BT244*BT214+BU244*BU214+BV244*BV214+BW244*BW214+BX244*BX214+BY244*BY214+BZ244*BZ214+CA244*CA214+CB244*CB214+CC244*CC214+CD244*CD214+CE244*CE214+CF244*CF214+CG244*CG214+CH244*CH214+CI244*CI214+CJ244*CJ214+CK244*CK214</f>
        <v>0</v>
      </c>
      <c r="CW214" s="2297">
        <f>E245*E214+F245*F214+G245*G214+H245*H214+I245*I214+J245*J214+K245*K214+L245*L214+M245*M214+N245*N214+O245*O214+P245*P214+Q245*Q214+R245*R214+S245*S214+T245*T214+U245*U214+V245*V214+W245*W214+X245*X214+Y245*Y214+Z245*Z214+AA245*AA214+AB245*AB214+AC245*AC214+AD245*AD214+AE245*AE214+AF245*AF214+AG245*AG214+AH245*AH214+AI245*AI214+AJ245*AJ214+AK245*AK214+AL245*AL214+AM245*AM214+AN245*AN214+AO245*AO214+AP245*AP214+AQ245*AQ214+AR245*AR214+AS245*AS214+AT245*AT214+AU245*AU214+AV245*AV214+AW245*AW214+AX245*AX214+AY245*AY214+AZ245*AZ214+BA245*BA214+BB245*BB214+BC245*BC214+BD245*BD214+BE245*BE214+BF245*BF214+BG245*BG214+BH245*BH214+BI245*BI214+BJ245*BJ214+BK245*BK214+BL245*BL214+BM245*BM214+BN245*BN214+BO245*BO214+BP245*BP214+BQ245*BQ214+BR245*BR214+BS245*BS214+BT245*BT214+BU245*BU214+BV245*BV214+BW245*BW214+BX245*BX214+BY245*BY214+BZ245*BZ214+CA245*CA214+CB245*CB214+CC245*CC214+CD245*CD214+CE245*CE214+CF245*CF214+CG245*CG214+CH245*CH214+CI245*CI214+CJ245*CJ214+CK245*CK214</f>
        <v>0</v>
      </c>
      <c r="CX214" s="2297">
        <f>E246*E214+F246*F214+G246*G214+H246*H214+I246*I214+J246*J214+K246*K214+L246*L214+M246*M214+N246*N214+O246*O214+P246*P214+Q246*Q214+R246*R214+S246*S214+T246*T214+U246*U214+V246*V214+W246*W214+X246*X214+Y246*Y214+Z246*Z214+AA246*AA214+AB246*AB214+AC246*AC214+AD246*AD214+AE246*AE214+AF246*AF214+AG246*AG214+AH246*AH214+AI246*AI214+AJ246*AJ214+AK246*AK214+AL246*AL214+AM246*AM214+AN246*AN214+AO246*AO214+AP246*AP214+AQ246*AQ214+AR246*AR214+AS246*AS214+AT246*AT214+AU246*AU214+AV246*AV214+AW246*AW214+AX246*AX214+AY246*AY214+AZ246*AZ214+BA246*BA214+BB246*BB214+BC246*BC214+BD246*BD214+BE246*BE214+BF246*BF214+BG246*BG214+BH246*BH214+BI246*BI214+BJ246*BJ214+BK246*BK214+BL246*BL214+BM246*BM214+BN246*BN214+BO246*BO214+BP246*BP214+BQ246*BQ214+BR246*BR214+BS246*BS214+BT246*BT214+BU246*BU214+BV246*BV214+BW246*BW214+BX246*BX214+BY246*BY214+BZ246*BZ214+CA246*CA214+CB246*CB214+CC246*CC214+CD246*CD214+CE246*CE214+CF246*CF214+CG246*CG214+CH246*CH214+CI246*CI214+CJ246*CJ214+CK246*CK214</f>
        <v>0</v>
      </c>
    </row>
    <row r="215" spans="2:102" ht="18" x14ac:dyDescent="0.25">
      <c r="B215" s="1976">
        <v>88</v>
      </c>
      <c r="C215" s="1977" t="s">
        <v>3121</v>
      </c>
      <c r="D215" s="1204" t="s">
        <v>3779</v>
      </c>
      <c r="E215" s="2678">
        <f>0</f>
        <v>0</v>
      </c>
      <c r="F215" s="2678">
        <f>0</f>
        <v>0</v>
      </c>
      <c r="G215" s="2678">
        <f>0</f>
        <v>0</v>
      </c>
      <c r="H215" s="2678">
        <f>0</f>
        <v>0</v>
      </c>
      <c r="I215" s="2678">
        <f>0</f>
        <v>0</v>
      </c>
      <c r="J215" s="2696">
        <f>0</f>
        <v>0</v>
      </c>
      <c r="K215" s="2678">
        <f>0</f>
        <v>0</v>
      </c>
      <c r="L215" s="2678">
        <f>0</f>
        <v>0</v>
      </c>
      <c r="M215" s="2678">
        <f>0</f>
        <v>0</v>
      </c>
      <c r="N215" s="2678">
        <f>0</f>
        <v>0</v>
      </c>
      <c r="O215" s="2678">
        <f>0</f>
        <v>0</v>
      </c>
      <c r="P215" s="2678">
        <f>0</f>
        <v>0</v>
      </c>
      <c r="Q215" s="2678">
        <f>0</f>
        <v>0</v>
      </c>
      <c r="R215" s="2710">
        <f>0</f>
        <v>0</v>
      </c>
      <c r="S215" s="2678">
        <f>0</f>
        <v>0</v>
      </c>
      <c r="T215" s="2678">
        <f>0</f>
        <v>0</v>
      </c>
      <c r="U215" s="2678">
        <f>0</f>
        <v>0</v>
      </c>
      <c r="V215" s="2678">
        <f>0</f>
        <v>0</v>
      </c>
      <c r="W215" s="2678">
        <f>0</f>
        <v>0</v>
      </c>
      <c r="X215" s="2678">
        <f>0</f>
        <v>0</v>
      </c>
      <c r="Y215" s="2678">
        <f>0</f>
        <v>0</v>
      </c>
      <c r="Z215" s="2722">
        <f>0</f>
        <v>0</v>
      </c>
      <c r="AA215" s="2678">
        <f>0</f>
        <v>0</v>
      </c>
      <c r="AB215" s="2678">
        <f>0</f>
        <v>0</v>
      </c>
      <c r="AC215" s="2678">
        <f>0</f>
        <v>0</v>
      </c>
      <c r="AD215" s="2678">
        <f>0</f>
        <v>0</v>
      </c>
      <c r="AE215" s="2710">
        <f>0</f>
        <v>0</v>
      </c>
      <c r="AF215" s="2678">
        <f>0</f>
        <v>0</v>
      </c>
      <c r="AG215" s="2696">
        <f>0</f>
        <v>0</v>
      </c>
      <c r="AH215" s="2678">
        <f>0</f>
        <v>0</v>
      </c>
      <c r="AI215" s="2710">
        <f>-A_MP/M_MBSH</f>
        <v>-0.17998807007087103</v>
      </c>
      <c r="AJ215" s="2678">
        <f>0</f>
        <v>0</v>
      </c>
      <c r="AK215" s="2678">
        <f>0</f>
        <v>0</v>
      </c>
      <c r="AL215" s="2678">
        <f>0</f>
        <v>0</v>
      </c>
      <c r="AM215" s="2696">
        <f>0</f>
        <v>0</v>
      </c>
      <c r="AN215" s="2678">
        <f>0</f>
        <v>0</v>
      </c>
      <c r="AO215" s="2678">
        <f>0</f>
        <v>0</v>
      </c>
      <c r="AP215" s="2678">
        <f>0</f>
        <v>0</v>
      </c>
      <c r="AQ215" s="2678">
        <f>0</f>
        <v>0</v>
      </c>
      <c r="AR215" s="2678">
        <f>0</f>
        <v>0</v>
      </c>
      <c r="AS215" s="2710">
        <f>0</f>
        <v>0</v>
      </c>
      <c r="AT215" s="2678">
        <f>0</f>
        <v>0</v>
      </c>
      <c r="AU215" s="2678">
        <f>0</f>
        <v>0</v>
      </c>
      <c r="AV215" s="2710">
        <f>-A_MCa/M_MBSH</f>
        <v>-0.2328926601076691</v>
      </c>
      <c r="AW215" s="2678">
        <f>0</f>
        <v>0</v>
      </c>
      <c r="AX215" s="2678">
        <f>0</f>
        <v>0</v>
      </c>
      <c r="AY215" s="2710">
        <f>0</f>
        <v>0</v>
      </c>
      <c r="AZ215" s="2710">
        <f>0</f>
        <v>0</v>
      </c>
      <c r="BA215" s="2678">
        <f>0</f>
        <v>0</v>
      </c>
      <c r="BB215" s="2710">
        <f>0</f>
        <v>0</v>
      </c>
      <c r="BC215" s="2710">
        <f>0</f>
        <v>0</v>
      </c>
      <c r="BD215" s="2678">
        <f>0</f>
        <v>0</v>
      </c>
      <c r="BE215" s="2678">
        <f>0</f>
        <v>0</v>
      </c>
      <c r="BF215" s="2710">
        <f>0</f>
        <v>0</v>
      </c>
      <c r="BG215" s="2710">
        <f>0</f>
        <v>0</v>
      </c>
      <c r="BH215" s="2678">
        <f>0</f>
        <v>0</v>
      </c>
      <c r="BI215" s="2710">
        <f>0</f>
        <v>0</v>
      </c>
      <c r="BJ215" s="2710">
        <f>0</f>
        <v>0</v>
      </c>
      <c r="BK215" s="2710">
        <f>0</f>
        <v>0</v>
      </c>
      <c r="BL215" s="2710">
        <f>0</f>
        <v>0</v>
      </c>
      <c r="BM215" s="2710">
        <f>0</f>
        <v>0</v>
      </c>
      <c r="BN215" s="2710">
        <f>0</f>
        <v>0</v>
      </c>
      <c r="BO215" s="2710">
        <f>0</f>
        <v>0</v>
      </c>
      <c r="BP215" s="2710">
        <f>1</f>
        <v>1</v>
      </c>
      <c r="BQ215" s="2710">
        <f>0</f>
        <v>0</v>
      </c>
      <c r="BR215" s="2710">
        <f>0</f>
        <v>0</v>
      </c>
      <c r="BS215" s="2772">
        <f>0</f>
        <v>0</v>
      </c>
      <c r="BT215" s="2772">
        <f>0</f>
        <v>0</v>
      </c>
      <c r="BU215" s="2772">
        <f>0</f>
        <v>0</v>
      </c>
      <c r="BV215" s="2772">
        <f>0</f>
        <v>0</v>
      </c>
      <c r="BW215" s="2710">
        <f>0</f>
        <v>0</v>
      </c>
      <c r="BX215" s="2787">
        <f>0</f>
        <v>0</v>
      </c>
      <c r="BY215" s="2772">
        <f>0</f>
        <v>0</v>
      </c>
      <c r="BZ215" s="2710">
        <f>0</f>
        <v>0</v>
      </c>
      <c r="CA215" s="2710">
        <f>0</f>
        <v>0</v>
      </c>
      <c r="CB215" s="2710">
        <f>0</f>
        <v>0</v>
      </c>
      <c r="CC215" s="2710">
        <f>0</f>
        <v>0</v>
      </c>
      <c r="CD215" s="2710">
        <f>0</f>
        <v>0</v>
      </c>
      <c r="CE215" s="2710">
        <f>0</f>
        <v>0</v>
      </c>
      <c r="CF215" s="2710">
        <f>0</f>
        <v>0</v>
      </c>
      <c r="CG215" s="2710">
        <f>0</f>
        <v>0</v>
      </c>
      <c r="CH215" s="2710">
        <f>0</f>
        <v>0</v>
      </c>
      <c r="CI215" s="2710">
        <f>0</f>
        <v>0</v>
      </c>
      <c r="CJ215" s="2710">
        <f>0</f>
        <v>0</v>
      </c>
      <c r="CK215" s="2710">
        <f>0</f>
        <v>0</v>
      </c>
      <c r="CL215" s="2818">
        <f>q_BSH*P_recipDrivingForceBSH^2</f>
        <v>0</v>
      </c>
      <c r="CN215" s="2295">
        <f>E236*E215+F236*F215+G236*G215+H236*H215+I236*I215+J236*J215+K236*K215+L236*L215+M236*M215+N236*N215+O236*O215+P236*P215+Q236*Q215+R236*R215+S236*S215+T236*T215+U236*U215+V236*V215+W236*W215+X236*X215+Y236*Y215+Z236*Z215+AA236*AA215+AB236*AB215+AC236*AC215+AD236*AD215+AE236*AE215+AF236*AF215+AG236*AG215+AH236*AH215+AI236*AI215+AJ236*AJ215+AK236*AK215+AL236*AL215+AM236*AM215+AN236*AN215+AO236*AO215+AP236*AP215+AQ236*AQ215+AR236*AR215+AS236*AS215+AT236*AT215+AU236*AU215+AV236*AV215+AW236*AW215+AX236*AX215+AY236*AY215+AZ236*AZ215+BA236*BA215+BB236*BB215+BC236*BC215+BD236*BD215+BE236*BE215+BF236*BF215+BG236*BG215+BH236*BH215+BI236*BI215+BJ236*BJ215+BK236*BK215+BL236*BL215+BM236*BM215+BN236*BN215+BO236*BO215+BP236*BP215+BQ236*BQ215+BR236*BR215+BS236*BS215+BT236*BT215+BU236*BU215+BV236*BV215+BW236*BW215+BX236*BX215+BY236*BY215+BZ236*BZ215+CA236*CA215+CB236*CB215+CC236*CC215+CD236*CD215+CE236*CE215+CF236*CF215+CG236*CG215+CH236*CH215+CI236*CI215+CJ236*CJ215+CK236*CK215</f>
        <v>0</v>
      </c>
      <c r="CO215" s="2295">
        <f>E237*E215+F237*F215+G237*G215+H237*H215+I237*I215+J237*J215+K237*K215+L237*L215+M237*M215+N237*N215+O237*O215+P237*P215+Q237*Q215+R237*R215+S237*S215+T237*T215+U237*U215+V237*V215+W237*W215+X237*X215+Y237*Y215+Z237*Z215+AA237*AA215+AB237*AB215+AC237*AC215+AD237*AD215+AE237*AE215+AF237*AF215+AG237*AG215+AH237*AH215+AI237*AI215+AJ237*AJ215+AK237*AK215+AL237*AL215+AM237*AM215+AN237*AN215+AO237*AO215+AP237*AP215+AQ237*AQ215+AR237*AR215+AS237*AS215+AT237*AT215+AU237*AU215+AV237*AV215+AW237*AW215+AX237*AX215+AY237*AY215+AZ237*AZ215+BA237*BA215+BB237*BB215+BC237*BC215+BD237*BD215+BE237*BE215+BF237*BF215+BG237*BG215+BH237*BH215+BI237*BI215+BJ237*BJ215+BK237*BK215+BL237*BL215+BM237*BM215+BN237*BN215+BO237*BO215+BP237*BP215+BQ237*BQ215+BR237*BR215+BS237*BS215+BT237*BT215+BU237*BU215+BV237*BV215+BW237*BW215+BX237*BX215+BY237*BY215+BZ237*BZ215+CA237*CA215+CB237*CB215+CC237*CC215+CD237*CD215+CE237*CE215+CF237*CF215+CG237*CG215+CH237*CH215+CI237*CI215+CJ237*CJ215+CK237*CK215</f>
        <v>0</v>
      </c>
      <c r="CP215" s="2296">
        <f>E238*E215+F238*F215+G238*G215+H238*H215+I238*I215+J238*J215+K238*K215+L238*L215+M238*M215+N238*N215+O238*O215+P238*P215+Q238*Q215+R238*R215+S238*S215+T238*T215+U238*U215+V238*V215+W238*W215+X238*X215+Y238*Y215+Z238*Z215+AA238*AA215+AB238*AB215+AC238*AC215+AD238*AD215+AE238*AE215+AF238*AF215+AG238*AG215+AH238*AH215+AI238*AI215+AJ238*AJ215+AK238*AK215+AL238*AL215+AM238*AM215+AN238*AN215+AO238*AO215+AP238*AP215+AQ238*AQ215+AR238*AR215+AS238*AS215+AT238*AT215+AU238*AU215+AV238*AV215+AW238*AW215+AX238*AX215+AY238*AY215+AZ238*AZ215+BA238*BA215+BB238*BB215+BC238*BC215+BD238*BD215+BE238*BE215+BF238*BF215+BG238*BG215+BH238*BH215+BI238*BI215+BJ238*BJ215+BK238*BK215+BL238*BL215+BM238*BM215+BN238*BN215+BO238*BO215+BP238*BP215+BQ238*BQ215+BR238*BR215+BS238*BS215+BT238*BT215+BU238*BU215+BV238*BV215+BW238*BW215+BX238*BX215+BY238*BY215+BZ238*BZ215+CA238*CA215+CB238*CB215+CC238*CC215+CD238*CD215+CE238*CE215+CF238*CF215+CG238*CG215+CH238*CH215+CI238*CI215+CJ238*CJ215+CK238*CK215</f>
        <v>0</v>
      </c>
      <c r="CQ215" s="2297">
        <f>E239*E215+F239*F215+G239*G215+H239*H215+I239*I215+J239*J215+K239*K215+L239*L215+M239*M215+N239*N215+O239*O215+P239*P215+Q239*Q215+R239*R215+S239*S215+T239*T215+U239*U215+V239*V215+W239*W215+X239*X215+Y239*Y215+Z239*Z215+AA239*AA215+AB239*AB215+AC239*AC215+AD239*AD215+AE239*AE215+AF239*AF215+AG239*AG215+AH239*AH215+AI239*AI215+AJ239*AJ215+AK239*AK215+AL239*AL215+AM239*AM215+AN239*AN215+AO239*AO215+AP239*AP215+AQ239*AQ215+AR239*AR215+AS239*AS215+AT239*AT215+AU239*AU215+AV239*AV215+AW239*AW215+AX239*AX215+AY239*AY215+AZ239*AZ215+BA239*BA215+BB239*BB215+BC239*BC215+BD239*BD215+BE239*BE215+BF239*BF215+BG239*BG215+BH239*BH215+BI239*BI215+BJ239*BJ215+BK239*BK215+BL239*BL215+BM239*BM215+BN239*BN215+BO239*BO215+BP239*BP215+BQ239*BQ215+BR239*BR215+BS239*BS215+BT239*BT215+BU239*BU215+BV239*BV215+BW239*BW215+BX239*BX215+BY239*BY215+BZ239*BZ215+CA239*CA215+CB239*CB215+CC239*CC215+CD239*CD215+CE239*CE215+CF239*CF215+CG239*CG215+CH239*CH215+CI239*CI215+CJ239*CJ215+CK239*CK215</f>
        <v>0</v>
      </c>
      <c r="CR215" s="2297">
        <f>E240*E215+F240*F215+G240*G215+H240*H215+I240*I215+J240*J215+K240*K215+L240*L215+M240*M215+N240*N215+O240*O215+P240*P215+Q240*Q215+R240*R215+S240*S215+T240*T215+U240*U215+V240*V215+W240*W215+X240*X215+Y240*Y215+Z240*Z215+AA240*AA215+AB240*AB215+AC240*AC215+AD240*AD215+AE240*AE215+AF240*AF215+AG240*AG215+AH240*AH215+AI240*AI215+AJ240*AJ215+AK240*AK215+AL240*AL215+AM240*AM215+AN240*AN215+AO240*AO215+AP240*AP215+AQ240*AQ215+AR240*AR215+AS240*AS215+AT240*AT215+AU240*AU215+AV240*AV215+AW240*AW215+AX240*AX215+AY240*AY215+AZ240*AZ215+BA240*BA215+BB240*BB215+BC240*BC215+BD240*BD215+BE240*BE215+BF240*BF215+BG240*BG215+BH240*BH215+BI240*BI215+BJ240*BJ215+BK240*BK215+BL240*BL215+BM240*BM215+BN240*BN215+BO240*BO215+BP240*BP215+BQ240*BQ215+BR240*BR215+BS240*BS215+BT240*BT215+BU240*BU215+BV240*BV215+BW240*BW215+BX240*BX215+BY240*BY215+BZ240*BZ215+CA240*CA215+CB240*CB215+CC240*CC215+CD240*CD215+CE240*CE215+CF240*CF215+CG240*CG215+CH240*CH215+CI240*CI215+CJ240*CJ215+CK240*CK215</f>
        <v>0</v>
      </c>
      <c r="CS215" s="2297">
        <f>E241*E215+F241*F215+G241*G215+H241*H215+I241*I215+J241*J215+K241*K215+L241*L215+M241*M215+N241*N215+O241*O215+P241*P215+Q241*Q215+R241*R215+S241*S215+T241*T215+U241*U215+V241*V215+W241*W215+X241*X215+Y241*Y215+Z241*Z215+AA241*AA215+AB241*AB215+AC241*AC215+AD241*AD215+AE241*AE215+AF241*AF215+AG241*AG215+AH241*AH215+AI241*AI215+AJ241*AJ215+AK241*AK215+AL241*AL215+AM241*AM215+AN241*AN215+AO241*AO215+AP241*AP215+AQ241*AQ215+AR241*AR215+AS241*AS215+AT241*AT215+AU241*AU215+AV241*AV215+AW241*AW215+AX241*AX215+AY241*AY215+AZ241*AZ215+BA241*BA215+BB241*BB215+BC241*BC215+BD241*BD215+BE241*BE215+BF241*BF215+BG241*BG215+BH241*BH215+BI241*BI215+BJ241*BJ215+BK241*BK215+BL241*BL215+BM241*BM215+BN241*BN215+BO241*BO215+BP241*BP215+BQ241*BQ215+BR241*BR215+BS241*BS215+BT241*BT215+BU241*BU215+BV241*BV215+BW241*BW215+BX241*BX215+BY241*BY215+BZ241*BZ215+CA241*CA215+CB241*CB215+CC241*CC215+CD241*CD215+CE241*CE215+CF241*CF215+CG241*CG215+CH241*CH215+CI241*CI215+CJ241*CJ215+CK241*CK215</f>
        <v>0</v>
      </c>
      <c r="CT215" s="2297">
        <f>E242*E215+F242*F215+G242*G215+H242*H215+I242*I215+J242*J215+K242*K215+L242*L215+M242*M215+N242*N215+O242*O215+P242*P215+Q242*Q215+R242*R215+S242*S215+T242*T215+U242*U215+V242*V215+W242*W215+X242*X215+Y242*Y215+Z242*Z215+AA242*AA215+AB242*AB215+AC242*AC215+AD242*AD215+AE242*AE215+AF242*AF215+AG242*AG215+AH242*AH215+AI242*AI215+AJ242*AJ215+AK242*AK215+AL242*AL215+AM242*AM215+AN242*AN215+AO242*AO215+AP242*AP215+AQ242*AQ215+AR242*AR215+AS242*AS215+AT242*AT215+AU242*AU215+AV242*AV215+AW242*AW215+AX242*AX215+AY242*AY215+AZ242*AZ215+BA242*BA215+BB242*BB215+BC242*BC215+BD242*BD215+BE242*BE215+BF242*BF215+BG242*BG215+BH242*BH215+BI242*BI215+BJ242*BJ215+BK242*BK215+BL242*BL215+BM242*BM215+BN242*BN215+BO242*BO215+BP242*BP215+BQ242*BQ215+BR242*BR215+BS242*BS215+BT242*BT215+BU242*BU215+BV242*BV215+BW242*BW215+BX242*BX215+BY242*BY215+BZ242*BZ215+CA242*CA215+CB242*CB215+CC242*CC215+CD242*CD215+CE242*CE215+CF242*CF215+CG242*CG215+CH242*CH215+CI242*CI215+CJ242*CJ215+CK242*CK215</f>
        <v>0</v>
      </c>
      <c r="CU215" s="2297">
        <f>E243*E215+F243*F215+G243*G215+H243*H215+I243*I215+J243*J215+K243*K215+L243*L215+M243*M215+N243*N215+O243*O215+P243*P215+Q243*Q215+R243*R215+S243*S215+T243*T215+U243*U215+V243*V215+W243*W215+X243*X215+Y243*Y215+Z243*Z215+AA243*AA215+AB243*AB215+AC243*AC215+AD243*AD215+AE243*AE215+AF243*AF215+AG243*AG215+AH243*AH215+AI243*AI215+AJ243*AJ215+AK243*AK215+AL243*AL215+AM243*AM215+AN243*AN215+AO243*AO215+AP243*AP215+AQ243*AQ215+AR243*AR215+AS243*AS215+AT243*AT215+AU243*AU215+AV243*AV215+AW243*AW215+AX243*AX215+AY243*AY215+AZ243*AZ215+BA243*BA215+BB243*BB215+BC243*BC215+BD243*BD215+BE243*BE215+BF243*BF215+BG243*BG215+BH243*BH215+BI243*BI215+BJ243*BJ215+BK243*BK215+BL243*BL215+BM243*BM215+BN243*BN215+BO243*BO215+BP243*BP215+BQ243*BQ215+BR243*BR215+BS243*BS215+BT243*BT215+BU243*BU215+BV243*BV215+BW243*BW215+BX243*BX215+BY243*BY215+BZ243*BZ215+CA243*CA215+CB243*CB215+CC243*CC215+CD243*CD215+CE243*CE215+CF243*CF215+CG243*CG215+CH243*CH215+CI243*CI215+CJ243*CJ215+CK243*CK215</f>
        <v>0</v>
      </c>
      <c r="CV215" s="2297">
        <f>E244*E215+F244*F215+G244*G215+H244*H215+I244*I215+J244*J215+K244*K215+L244*L215+M244*M215+N244*N215+O244*O215+P244*P215+Q244*Q215+R244*R215+S244*S215+T244*T215+U244*U215+V244*V215+W244*W215+X244*X215+Y244*Y215+Z244*Z215+AA244*AA215+AB244*AB215+AC244*AC215+AD244*AD215+AE244*AE215+AF244*AF215+AG244*AG215+AH244*AH215+AI244*AI215+AJ244*AJ215+AK244*AK215+AL244*AL215+AM244*AM215+AN244*AN215+AO244*AO215+AP244*AP215+AQ244*AQ215+AR244*AR215+AS244*AS215+AT244*AT215+AU244*AU215+AV244*AV215+AW244*AW215+AX244*AX215+AY244*AY215+AZ244*AZ215+BA244*BA215+BB244*BB215+BC244*BC215+BD244*BD215+BE244*BE215+BF244*BF215+BG244*BG215+BH244*BH215+BI244*BI215+BJ244*BJ215+BK244*BK215+BL244*BL215+BM244*BM215+BN244*BN215+BO244*BO215+BP244*BP215+BQ244*BQ215+BR244*BR215+BS244*BS215+BT244*BT215+BU244*BU215+BV244*BV215+BW244*BW215+BX244*BX215+BY244*BY215+BZ244*BZ215+CA244*CA215+CB244*CB215+CC244*CC215+CD244*CD215+CE244*CE215+CF244*CF215+CG244*CG215+CH244*CH215+CI244*CI215+CJ244*CJ215+CK244*CK215</f>
        <v>0</v>
      </c>
      <c r="CW215" s="2297">
        <f>E245*E215+F245*F215+G245*G215+H245*H215+I245*I215+J245*J215+K245*K215+L245*L215+M245*M215+N245*N215+O245*O215+P245*P215+Q245*Q215+R245*R215+S245*S215+T245*T215+U245*U215+V245*V215+W245*W215+X245*X215+Y245*Y215+Z245*Z215+AA245*AA215+AB245*AB215+AC245*AC215+AD245*AD215+AE245*AE215+AF245*AF215+AG245*AG215+AH245*AH215+AI245*AI215+AJ245*AJ215+AK245*AK215+AL245*AL215+AM245*AM215+AN245*AN215+AO245*AO215+AP245*AP215+AQ245*AQ215+AR245*AR215+AS245*AS215+AT245*AT215+AU245*AU215+AV245*AV215+AW245*AW215+AX245*AX215+AY245*AY215+AZ245*AZ215+BA245*BA215+BB245*BB215+BC245*BC215+BD245*BD215+BE245*BE215+BF245*BF215+BG245*BG215+BH245*BH215+BI245*BI215+BJ245*BJ215+BK245*BK215+BL245*BL215+BM245*BM215+BN245*BN215+BO245*BO215+BP245*BP215+BQ245*BQ215+BR245*BR215+BS245*BS215+BT245*BT215+BU245*BU215+BV245*BV215+BW245*BW215+BX245*BX215+BY245*BY215+BZ245*BZ215+CA245*CA215+CB245*CB215+CC245*CC215+CD245*CD215+CE245*CE215+CF245*CF215+CG245*CG215+CH245*CH215+CI245*CI215+CJ245*CJ215+CK245*CK215</f>
        <v>0</v>
      </c>
      <c r="CX215" s="2297">
        <f>E246*E215+F246*F215+G246*G215+H246*H215+I246*I215+J246*J215+K246*K215+L246*L215+M246*M215+N246*N215+O246*O215+P246*P215+Q246*Q215+R246*R215+S246*S215+T246*T215+U246*U215+V246*V215+W246*W215+X246*X215+Y246*Y215+Z246*Z215+AA246*AA215+AB246*AB215+AC246*AC215+AD246*AD215+AE246*AE215+AF246*AF215+AG246*AG215+AH246*AH215+AI246*AI215+AJ246*AJ215+AK246*AK215+AL246*AL215+AM246*AM215+AN246*AN215+AO246*AO215+AP246*AP215+AQ246*AQ215+AR246*AR215+AS246*AS215+AT246*AT215+AU246*AU215+AV246*AV215+AW246*AW215+AX246*AX215+AY246*AY215+AZ246*AZ215+BA246*BA215+BB246*BB215+BC246*BC215+BD246*BD215+BE246*BE215+BF246*BF215+BG246*BG215+BH246*BH215+BI246*BI215+BJ246*BJ215+BK246*BK215+BL246*BL215+BM246*BM215+BN246*BN215+BO246*BO215+BP246*BP215+BQ246*BQ215+BR246*BR215+BS246*BS215+BT246*BT215+BU246*BU215+BV246*BV215+BW246*BW215+BX246*BX215+BY246*BY215+BZ246*BZ215+CA246*CA215+CB246*CB215+CC246*CC215+CD246*CD215+CE246*CE215+CF246*CF215+CG246*CG215+CH246*CH215+CI246*CI215+CJ246*CJ215+CK246*CK215</f>
        <v>0</v>
      </c>
    </row>
    <row r="216" spans="2:102" ht="18" x14ac:dyDescent="0.25">
      <c r="B216" s="1976">
        <v>89</v>
      </c>
      <c r="C216" s="1977" t="s">
        <v>3122</v>
      </c>
      <c r="D216" s="1203" t="s">
        <v>287</v>
      </c>
      <c r="E216" s="2677">
        <f>0</f>
        <v>0</v>
      </c>
      <c r="F216" s="2677">
        <f>0</f>
        <v>0</v>
      </c>
      <c r="G216" s="2677">
        <f>0</f>
        <v>0</v>
      </c>
      <c r="H216" s="2677">
        <f>0</f>
        <v>0</v>
      </c>
      <c r="I216" s="2677">
        <f>0</f>
        <v>0</v>
      </c>
      <c r="J216" s="2696">
        <f>0</f>
        <v>0</v>
      </c>
      <c r="K216" s="2677">
        <f>0</f>
        <v>0</v>
      </c>
      <c r="L216" s="2677">
        <f>0</f>
        <v>0</v>
      </c>
      <c r="M216" s="2677">
        <f>0</f>
        <v>0</v>
      </c>
      <c r="N216" s="2677">
        <f>0</f>
        <v>0</v>
      </c>
      <c r="O216" s="2677">
        <f>0</f>
        <v>0</v>
      </c>
      <c r="P216" s="2677">
        <f>0</f>
        <v>0</v>
      </c>
      <c r="Q216" s="2677">
        <f>0</f>
        <v>0</v>
      </c>
      <c r="R216" s="2709">
        <f>0</f>
        <v>0</v>
      </c>
      <c r="S216" s="2677">
        <f>0</f>
        <v>0</v>
      </c>
      <c r="T216" s="2677">
        <f>0</f>
        <v>0</v>
      </c>
      <c r="U216" s="2677">
        <f>0</f>
        <v>0</v>
      </c>
      <c r="V216" s="2677">
        <f>0</f>
        <v>0</v>
      </c>
      <c r="W216" s="2677">
        <f>0</f>
        <v>0</v>
      </c>
      <c r="X216" s="2677">
        <f>0</f>
        <v>0</v>
      </c>
      <c r="Y216" s="2677">
        <f>0</f>
        <v>0</v>
      </c>
      <c r="Z216" s="2722">
        <f>0</f>
        <v>0</v>
      </c>
      <c r="AA216" s="2709">
        <f>-A_MN/M_MSTR</f>
        <v>-5.7075504823359977E-2</v>
      </c>
      <c r="AB216" s="2677">
        <f>0</f>
        <v>0</v>
      </c>
      <c r="AC216" s="2677">
        <f>0</f>
        <v>0</v>
      </c>
      <c r="AD216" s="2677">
        <f>0</f>
        <v>0</v>
      </c>
      <c r="AE216" s="2677">
        <f>0</f>
        <v>0</v>
      </c>
      <c r="AF216" s="2677">
        <f>0</f>
        <v>0</v>
      </c>
      <c r="AG216" s="2696">
        <f>0</f>
        <v>0</v>
      </c>
      <c r="AH216" s="2677">
        <f>0</f>
        <v>0</v>
      </c>
      <c r="AI216" s="2709">
        <f>-A_MP/M_MSTR</f>
        <v>-0.12621410566683836</v>
      </c>
      <c r="AJ216" s="2677">
        <f>0</f>
        <v>0</v>
      </c>
      <c r="AK216" s="2677">
        <f>0</f>
        <v>0</v>
      </c>
      <c r="AL216" s="2677">
        <f>0</f>
        <v>0</v>
      </c>
      <c r="AM216" s="2696">
        <f>0</f>
        <v>0</v>
      </c>
      <c r="AN216" s="2677">
        <f>0</f>
        <v>0</v>
      </c>
      <c r="AO216" s="2677">
        <f>0</f>
        <v>0</v>
      </c>
      <c r="AP216" s="2677">
        <f>0</f>
        <v>0</v>
      </c>
      <c r="AQ216" s="2677">
        <f>0</f>
        <v>0</v>
      </c>
      <c r="AR216" s="2677">
        <f>0</f>
        <v>0</v>
      </c>
      <c r="AS216" s="2677">
        <f>0</f>
        <v>0</v>
      </c>
      <c r="AT216" s="2677">
        <f>0</f>
        <v>0</v>
      </c>
      <c r="AU216" s="2677">
        <f>0</f>
        <v>0</v>
      </c>
      <c r="AV216" s="2677">
        <f>0</f>
        <v>0</v>
      </c>
      <c r="AW216" s="2709">
        <f>-A_MMg/M_MSTR</f>
        <v>-9.9039755597804202E-2</v>
      </c>
      <c r="AX216" s="2677">
        <f>0</f>
        <v>0</v>
      </c>
      <c r="AY216" s="2709">
        <f>0</f>
        <v>0</v>
      </c>
      <c r="AZ216" s="2677">
        <f>0</f>
        <v>0</v>
      </c>
      <c r="BA216" s="2677">
        <f>0</f>
        <v>0</v>
      </c>
      <c r="BB216" s="2709">
        <f>0</f>
        <v>0</v>
      </c>
      <c r="BC216" s="2709">
        <f>0</f>
        <v>0</v>
      </c>
      <c r="BD216" s="2677">
        <f>0</f>
        <v>0</v>
      </c>
      <c r="BE216" s="2709">
        <f>0</f>
        <v>0</v>
      </c>
      <c r="BF216" s="2709">
        <f>0</f>
        <v>0</v>
      </c>
      <c r="BG216" s="2677">
        <f>0</f>
        <v>0</v>
      </c>
      <c r="BH216" s="2677">
        <f>0</f>
        <v>0</v>
      </c>
      <c r="BI216" s="2709">
        <f>0</f>
        <v>0</v>
      </c>
      <c r="BJ216" s="2709">
        <f>0</f>
        <v>0</v>
      </c>
      <c r="BK216" s="2677">
        <f>0</f>
        <v>0</v>
      </c>
      <c r="BL216" s="2709">
        <f>0</f>
        <v>0</v>
      </c>
      <c r="BM216" s="2709">
        <f>0</f>
        <v>0</v>
      </c>
      <c r="BN216" s="2709">
        <f>0</f>
        <v>0</v>
      </c>
      <c r="BO216" s="2709">
        <f>0</f>
        <v>0</v>
      </c>
      <c r="BP216" s="2710">
        <f>0</f>
        <v>0</v>
      </c>
      <c r="BQ216" s="2709">
        <f>1</f>
        <v>1</v>
      </c>
      <c r="BR216" s="2709">
        <f>0</f>
        <v>0</v>
      </c>
      <c r="BS216" s="2772">
        <f>0</f>
        <v>0</v>
      </c>
      <c r="BT216" s="2772">
        <f>0</f>
        <v>0</v>
      </c>
      <c r="BU216" s="2772">
        <f>0</f>
        <v>0</v>
      </c>
      <c r="BV216" s="2772">
        <f>0</f>
        <v>0</v>
      </c>
      <c r="BW216" s="2709">
        <f>0</f>
        <v>0</v>
      </c>
      <c r="BX216" s="2787">
        <f>0</f>
        <v>0</v>
      </c>
      <c r="BY216" s="2772">
        <f>0</f>
        <v>0</v>
      </c>
      <c r="BZ216" s="2709">
        <f>0</f>
        <v>0</v>
      </c>
      <c r="CA216" s="2709">
        <f>0</f>
        <v>0</v>
      </c>
      <c r="CB216" s="2709">
        <f>0</f>
        <v>0</v>
      </c>
      <c r="CC216" s="2709">
        <f>0</f>
        <v>0</v>
      </c>
      <c r="CD216" s="2709">
        <f>0</f>
        <v>0</v>
      </c>
      <c r="CE216" s="2709">
        <f>0</f>
        <v>0</v>
      </c>
      <c r="CF216" s="2709">
        <f>0</f>
        <v>0</v>
      </c>
      <c r="CG216" s="2709">
        <f>0</f>
        <v>0</v>
      </c>
      <c r="CH216" s="2709">
        <f>0</f>
        <v>0</v>
      </c>
      <c r="CI216" s="2709">
        <f>0</f>
        <v>0</v>
      </c>
      <c r="CJ216" s="2709">
        <f>0</f>
        <v>0</v>
      </c>
      <c r="CK216" s="2709">
        <f>0</f>
        <v>0</v>
      </c>
      <c r="CL216" s="2817">
        <f>q_STR*P_recipDrivingForceSTR^3</f>
        <v>0</v>
      </c>
      <c r="CN216" s="2295">
        <f>E236*E216+F236*F216+G236*G216+H236*H216+I236*I216+J236*J216+K236*K216+L236*L216+M236*M216+N236*N216+O236*O216+P236*P216+Q236*Q216+R236*R216+S236*S216+T236*T216+U236*U216+V236*V216+W236*W216+X236*X216+Y236*Y216+Z236*Z216+AA236*AA216+AB236*AB216+AC236*AC216+AD236*AD216+AE236*AE216+AF236*AF216+AG236*AG216+AH236*AH216+AI236*AI216+AJ236*AJ216+AK236*AK216+AL236*AL216+AM236*AM216+AN236*AN216+AO236*AO216+AP236*AP216+AQ236*AQ216+AR236*AR216+AS236*AS216+AT236*AT216+AU236*AU216+AV236*AV216+AW236*AW216+AX236*AX216+AY236*AY216+AZ236*AZ216+BA236*BA216+BB236*BB216+BC236*BC216+BD236*BD216+BE236*BE216+BF236*BF216+BG236*BG216+BH236*BH216+BI236*BI216+BJ236*BJ216+BK236*BK216+BL236*BL216+BM236*BM216+BN236*BN216+BO236*BO216+BP236*BP216+BQ236*BQ216+BR236*BR216+BS236*BS216+BT236*BT216+BU236*BU216+BV236*BV216+BW236*BW216+BX236*BX216+BY236*BY216+BZ236*BZ216+CA236*CA216+CB236*CB216+CC236*CC216+CD236*CD216+CE236*CE216+CF236*CF216+CG236*CG216+CH236*CH216+CI236*CI216+CJ236*CJ216+CK236*CK216</f>
        <v>0</v>
      </c>
      <c r="CO216" s="2295">
        <f>E237*E216+F237*F216+G237*G216+H237*H216+I237*I216+J237*J216+K237*K216+L237*L216+M237*M216+N237*N216+O237*O216+P237*P216+Q237*Q216+R237*R216+S237*S216+T237*T216+U237*U216+V237*V216+W237*W216+X237*X216+Y237*Y216+Z237*Z216+AA237*AA216+AB237*AB216+AC237*AC216+AD237*AD216+AE237*AE216+AF237*AF216+AG237*AG216+AH237*AH216+AI237*AI216+AJ237*AJ216+AK237*AK216+AL237*AL216+AM237*AM216+AN237*AN216+AO237*AO216+AP237*AP216+AQ237*AQ216+AR237*AR216+AS237*AS216+AT237*AT216+AU237*AU216+AV237*AV216+AW237*AW216+AX237*AX216+AY237*AY216+AZ237*AZ216+BA237*BA216+BB237*BB216+BC237*BC216+BD237*BD216+BE237*BE216+BF237*BF216+BG237*BG216+BH237*BH216+BI237*BI216+BJ237*BJ216+BK237*BK216+BL237*BL216+BM237*BM216+BN237*BN216+BO237*BO216+BP237*BP216+BQ237*BQ216+BR237*BR216+BS237*BS216+BT237*BT216+BU237*BU216+BV237*BV216+BW237*BW216+BX237*BX216+BY237*BY216+BZ237*BZ216+CA237*CA216+CB237*CB216+CC237*CC216+CD237*CD216+CE237*CE216+CF237*CF216+CG237*CG216+CH237*CH216+CI237*CI216+CJ237*CJ216+CK237*CK216</f>
        <v>0</v>
      </c>
      <c r="CP216" s="2296">
        <f>E238*E216+F238*F216+G238*G216+H238*H216+I238*I216+J238*J216+K238*K216+L238*L216+M238*M216+N238*N216+O238*O216+P238*P216+Q238*Q216+R238*R216+S238*S216+T238*T216+U238*U216+V238*V216+W238*W216+X238*X216+Y238*Y216+Z238*Z216+AA238*AA216+AB238*AB216+AC238*AC216+AD238*AD216+AE238*AE216+AF238*AF216+AG238*AG216+AH238*AH216+AI238*AI216+AJ238*AJ216+AK238*AK216+AL238*AL216+AM238*AM216+AN238*AN216+AO238*AO216+AP238*AP216+AQ238*AQ216+AR238*AR216+AS238*AS216+AT238*AT216+AU238*AU216+AV238*AV216+AW238*AW216+AX238*AX216+AY238*AY216+AZ238*AZ216+BA238*BA216+BB238*BB216+BC238*BC216+BD238*BD216+BE238*BE216+BF238*BF216+BG238*BG216+BH238*BH216+BI238*BI216+BJ238*BJ216+BK238*BK216+BL238*BL216+BM238*BM216+BN238*BN216+BO238*BO216+BP238*BP216+BQ238*BQ216+BR238*BR216+BS238*BS216+BT238*BT216+BU238*BU216+BV238*BV216+BW238*BW216+BX238*BX216+BY238*BY216+BZ238*BZ216+CA238*CA216+CB238*CB216+CC238*CC216+CD238*CD216+CE238*CE216+CF238*CF216+CG238*CG216+CH238*CH216+CI238*CI216+CJ238*CJ216+CK238*CK216</f>
        <v>0</v>
      </c>
      <c r="CQ216" s="2297">
        <f>E239*E216+F239*F216+G239*G216+H239*H216+I239*I216+J239*J216+K239*K216+L239*L216+M239*M216+N239*N216+O239*O216+P239*P216+Q239*Q216+R239*R216+S239*S216+T239*T216+U239*U216+V239*V216+W239*W216+X239*X216+Y239*Y216+Z239*Z216+AA239*AA216+AB239*AB216+AC239*AC216+AD239*AD216+AE239*AE216+AF239*AF216+AG239*AG216+AH239*AH216+AI239*AI216+AJ239*AJ216+AK239*AK216+AL239*AL216+AM239*AM216+AN239*AN216+AO239*AO216+AP239*AP216+AQ239*AQ216+AR239*AR216+AS239*AS216+AT239*AT216+AU239*AU216+AV239*AV216+AW239*AW216+AX239*AX216+AY239*AY216+AZ239*AZ216+BA239*BA216+BB239*BB216+BC239*BC216+BD239*BD216+BE239*BE216+BF239*BF216+BG239*BG216+BH239*BH216+BI239*BI216+BJ239*BJ216+BK239*BK216+BL239*BL216+BM239*BM216+BN239*BN216+BO239*BO216+BP239*BP216+BQ239*BQ216+BR239*BR216+BS239*BS216+BT239*BT216+BU239*BU216+BV239*BV216+BW239*BW216+BX239*BX216+BY239*BY216+BZ239*BZ216+CA239*CA216+CB239*CB216+CC239*CC216+CD239*CD216+CE239*CE216+CF239*CF216+CG239*CG216+CH239*CH216+CI239*CI216+CJ239*CJ216+CK239*CK216</f>
        <v>0</v>
      </c>
      <c r="CR216" s="2297">
        <f>E240*E216+F240*F216+G240*G216+H240*H216+I240*I216+J240*J216+K240*K216+L240*L216+M240*M216+N240*N216+O240*O216+P240*P216+Q240*Q216+R240*R216+S240*S216+T240*T216+U240*U216+V240*V216+W240*W216+X240*X216+Y240*Y216+Z240*Z216+AA240*AA216+AB240*AB216+AC240*AC216+AD240*AD216+AE240*AE216+AF240*AF216+AG240*AG216+AH240*AH216+AI240*AI216+AJ240*AJ216+AK240*AK216+AL240*AL216+AM240*AM216+AN240*AN216+AO240*AO216+AP240*AP216+AQ240*AQ216+AR240*AR216+AS240*AS216+AT240*AT216+AU240*AU216+AV240*AV216+AW240*AW216+AX240*AX216+AY240*AY216+AZ240*AZ216+BA240*BA216+BB240*BB216+BC240*BC216+BD240*BD216+BE240*BE216+BF240*BF216+BG240*BG216+BH240*BH216+BI240*BI216+BJ240*BJ216+BK240*BK216+BL240*BL216+BM240*BM216+BN240*BN216+BO240*BO216+BP240*BP216+BQ240*BQ216+BR240*BR216+BS240*BS216+BT240*BT216+BU240*BU216+BV240*BV216+BW240*BW216+BX240*BX216+BY240*BY216+BZ240*BZ216+CA240*CA216+CB240*CB216+CC240*CC216+CD240*CD216+CE240*CE216+CF240*CF216+CG240*CG216+CH240*CH216+CI240*CI216+CJ240*CJ216+CK240*CK216</f>
        <v>0</v>
      </c>
      <c r="CS216" s="2297">
        <f>E241*E216+F241*F216+G241*G216+H241*H216+I241*I216+J241*J216+K241*K216+L241*L216+M241*M216+N241*N216+O241*O216+P241*P216+Q241*Q216+R241*R216+S241*S216+T241*T216+U241*U216+V241*V216+W241*W216+X241*X216+Y241*Y216+Z241*Z216+AA241*AA216+AB241*AB216+AC241*AC216+AD241*AD216+AE241*AE216+AF241*AF216+AG241*AG216+AH241*AH216+AI241*AI216+AJ241*AJ216+AK241*AK216+AL241*AL216+AM241*AM216+AN241*AN216+AO241*AO216+AP241*AP216+AQ241*AQ216+AR241*AR216+AS241*AS216+AT241*AT216+AU241*AU216+AV241*AV216+AW241*AW216+AX241*AX216+AY241*AY216+AZ241*AZ216+BA241*BA216+BB241*BB216+BC241*BC216+BD241*BD216+BE241*BE216+BF241*BF216+BG241*BG216+BH241*BH216+BI241*BI216+BJ241*BJ216+BK241*BK216+BL241*BL216+BM241*BM216+BN241*BN216+BO241*BO216+BP241*BP216+BQ241*BQ216+BR241*BR216+BS241*BS216+BT241*BT216+BU241*BU216+BV241*BV216+BW241*BW216+BX241*BX216+BY241*BY216+BZ241*BZ216+CA241*CA216+CB241*CB216+CC241*CC216+CD241*CD216+CE241*CE216+CF241*CF216+CG241*CG216+CH241*CH216+CI241*CI216+CJ241*CJ216+CK241*CK216</f>
        <v>0</v>
      </c>
      <c r="CT216" s="2297">
        <f>E242*E216+F242*F216+G242*G216+H242*H216+I242*I216+J242*J216+K242*K216+L242*L216+M242*M216+N242*N216+O242*O216+P242*P216+Q242*Q216+R242*R216+S242*S216+T242*T216+U242*U216+V242*V216+W242*W216+X242*X216+Y242*Y216+Z242*Z216+AA242*AA216+AB242*AB216+AC242*AC216+AD242*AD216+AE242*AE216+AF242*AF216+AG242*AG216+AH242*AH216+AI242*AI216+AJ242*AJ216+AK242*AK216+AL242*AL216+AM242*AM216+AN242*AN216+AO242*AO216+AP242*AP216+AQ242*AQ216+AR242*AR216+AS242*AS216+AT242*AT216+AU242*AU216+AV242*AV216+AW242*AW216+AX242*AX216+AY242*AY216+AZ242*AZ216+BA242*BA216+BB242*BB216+BC242*BC216+BD242*BD216+BE242*BE216+BF242*BF216+BG242*BG216+BH242*BH216+BI242*BI216+BJ242*BJ216+BK242*BK216+BL242*BL216+BM242*BM216+BN242*BN216+BO242*BO216+BP242*BP216+BQ242*BQ216+BR242*BR216+BS242*BS216+BT242*BT216+BU242*BU216+BV242*BV216+BW242*BW216+BX242*BX216+BY242*BY216+BZ242*BZ216+CA242*CA216+CB242*CB216+CC242*CC216+CD242*CD216+CE242*CE216+CF242*CF216+CG242*CG216+CH242*CH216+CI242*CI216+CJ242*CJ216+CK242*CK216</f>
        <v>0</v>
      </c>
      <c r="CU216" s="2297">
        <f>E243*E216+F243*F216+G243*G216+H243*H216+I243*I216+J243*J216+K243*K216+L243*L216+M243*M216+N243*N216+O243*O216+P243*P216+Q243*Q216+R243*R216+S243*S216+T243*T216+U243*U216+V243*V216+W243*W216+X243*X216+Y243*Y216+Z243*Z216+AA243*AA216+AB243*AB216+AC243*AC216+AD243*AD216+AE243*AE216+AF243*AF216+AG243*AG216+AH243*AH216+AI243*AI216+AJ243*AJ216+AK243*AK216+AL243*AL216+AM243*AM216+AN243*AN216+AO243*AO216+AP243*AP216+AQ243*AQ216+AR243*AR216+AS243*AS216+AT243*AT216+AU243*AU216+AV243*AV216+AW243*AW216+AX243*AX216+AY243*AY216+AZ243*AZ216+BA243*BA216+BB243*BB216+BC243*BC216+BD243*BD216+BE243*BE216+BF243*BF216+BG243*BG216+BH243*BH216+BI243*BI216+BJ243*BJ216+BK243*BK216+BL243*BL216+BM243*BM216+BN243*BN216+BO243*BO216+BP243*BP216+BQ243*BQ216+BR243*BR216+BS243*BS216+BT243*BT216+BU243*BU216+BV243*BV216+BW243*BW216+BX243*BX216+BY243*BY216+BZ243*BZ216+CA243*CA216+CB243*CB216+CC243*CC216+CD243*CD216+CE243*CE216+CF243*CF216+CG243*CG216+CH243*CH216+CI243*CI216+CJ243*CJ216+CK243*CK216</f>
        <v>0</v>
      </c>
      <c r="CV216" s="2297">
        <f>E244*E216+F244*F216+G244*G216+H244*H216+I244*I216+J244*J216+K244*K216+L244*L216+M244*M216+N244*N216+O244*O216+P244*P216+Q244*Q216+R244*R216+S244*S216+T244*T216+U244*U216+V244*V216+W244*W216+X244*X216+Y244*Y216+Z244*Z216+AA244*AA216+AB244*AB216+AC244*AC216+AD244*AD216+AE244*AE216+AF244*AF216+AG244*AG216+AH244*AH216+AI244*AI216+AJ244*AJ216+AK244*AK216+AL244*AL216+AM244*AM216+AN244*AN216+AO244*AO216+AP244*AP216+AQ244*AQ216+AR244*AR216+AS244*AS216+AT244*AT216+AU244*AU216+AV244*AV216+AW244*AW216+AX244*AX216+AY244*AY216+AZ244*AZ216+BA244*BA216+BB244*BB216+BC244*BC216+BD244*BD216+BE244*BE216+BF244*BF216+BG244*BG216+BH244*BH216+BI244*BI216+BJ244*BJ216+BK244*BK216+BL244*BL216+BM244*BM216+BN244*BN216+BO244*BO216+BP244*BP216+BQ244*BQ216+BR244*BR216+BS244*BS216+BT244*BT216+BU244*BU216+BV244*BV216+BW244*BW216+BX244*BX216+BY244*BY216+BZ244*BZ216+CA244*CA216+CB244*CB216+CC244*CC216+CD244*CD216+CE244*CE216+CF244*CF216+CG244*CG216+CH244*CH216+CI244*CI216+CJ244*CJ216+CK244*CK216</f>
        <v>0</v>
      </c>
      <c r="CW216" s="2297">
        <f>E245*E216+F245*F216+G245*G216+H245*H216+I245*I216+J245*J216+K245*K216+L245*L216+M245*M216+N245*N216+O245*O216+P245*P216+Q245*Q216+R245*R216+S245*S216+T245*T216+U245*U216+V245*V216+W245*W216+X245*X216+Y245*Y216+Z245*Z216+AA245*AA216+AB245*AB216+AC245*AC216+AD245*AD216+AE245*AE216+AF245*AF216+AG245*AG216+AH245*AH216+AI245*AI216+AJ245*AJ216+AK245*AK216+AL245*AL216+AM245*AM216+AN245*AN216+AO245*AO216+AP245*AP216+AQ245*AQ216+AR245*AR216+AS245*AS216+AT245*AT216+AU245*AU216+AV245*AV216+AW245*AW216+AX245*AX216+AY245*AY216+AZ245*AZ216+BA245*BA216+BB245*BB216+BC245*BC216+BD245*BD216+BE245*BE216+BF245*BF216+BG245*BG216+BH245*BH216+BI245*BI216+BJ245*BJ216+BK245*BK216+BL245*BL216+BM245*BM216+BN245*BN216+BO245*BO216+BP245*BP216+BQ245*BQ216+BR245*BR216+BS245*BS216+BT245*BT216+BU245*BU216+BV245*BV216+BW245*BW216+BX245*BX216+BY245*BY216+BZ245*BZ216+CA245*CA216+CB245*CB216+CC245*CC216+CD245*CD216+CE245*CE216+CF245*CF216+CG245*CG216+CH245*CH216+CI245*CI216+CJ245*CJ216+CK245*CK216</f>
        <v>0</v>
      </c>
      <c r="CX216" s="2297">
        <f>E246*E216+F246*F216+G246*G216+H246*H216+I246*I216+J246*J216+K246*K216+L246*L216+M246*M216+N246*N216+O246*O216+P246*P216+Q246*Q216+R246*R216+S246*S216+T246*T216+U246*U216+V246*V216+W246*W216+X246*X216+Y246*Y216+Z246*Z216+AA246*AA216+AB246*AB216+AC246*AC216+AD246*AD216+AE246*AE216+AF246*AF216+AG246*AG216+AH246*AH216+AI246*AI216+AJ246*AJ216+AK246*AK216+AL246*AL216+AM246*AM216+AN246*AN216+AO246*AO216+AP246*AP216+AQ246*AQ216+AR246*AR216+AS246*AS216+AT246*AT216+AU246*AU216+AV246*AV216+AW246*AW216+AX246*AX216+AY246*AY216+AZ246*AZ216+BA246*BA216+BB246*BB216+BC246*BC216+BD246*BD216+BE246*BE216+BF246*BF216+BG246*BG216+BH246*BH216+BI246*BI216+BJ246*BJ216+BK246*BK216+BL246*BL216+BM246*BM216+BN246*BN216+BO246*BO216+BP246*BP216+BQ246*BQ216+BR246*BR216+BS246*BS216+BT246*BT216+BU246*BU216+BV246*BV216+BW246*BW216+BX246*BX216+BY246*BY216+BZ246*BZ216+CA246*CA216+CB246*CB216+CC246*CC216+CD246*CD216+CE246*CE216+CF246*CF216+CG246*CG216+CH246*CH216+CI246*CI216+CJ246*CJ216+CK246*CK216</f>
        <v>0</v>
      </c>
    </row>
    <row r="217" spans="2:102" ht="18" x14ac:dyDescent="0.25">
      <c r="B217" s="1976">
        <v>90</v>
      </c>
      <c r="C217" s="1977" t="s">
        <v>3123</v>
      </c>
      <c r="D217" s="1203" t="s">
        <v>1123</v>
      </c>
      <c r="E217" s="2677">
        <f>0</f>
        <v>0</v>
      </c>
      <c r="F217" s="2677">
        <f>0</f>
        <v>0</v>
      </c>
      <c r="G217" s="2677">
        <f>0</f>
        <v>0</v>
      </c>
      <c r="H217" s="2677">
        <f>0</f>
        <v>0</v>
      </c>
      <c r="I217" s="2677">
        <f>0</f>
        <v>0</v>
      </c>
      <c r="J217" s="2696">
        <f>0</f>
        <v>0</v>
      </c>
      <c r="K217" s="2677">
        <f>0</f>
        <v>0</v>
      </c>
      <c r="L217" s="2677">
        <f>0</f>
        <v>0</v>
      </c>
      <c r="M217" s="2677">
        <f>0</f>
        <v>0</v>
      </c>
      <c r="N217" s="2677">
        <f>0</f>
        <v>0</v>
      </c>
      <c r="O217" s="2677">
        <f>0</f>
        <v>0</v>
      </c>
      <c r="P217" s="2677">
        <f>0</f>
        <v>0</v>
      </c>
      <c r="Q217" s="2677">
        <f>0</f>
        <v>0</v>
      </c>
      <c r="R217" s="2709">
        <f>0</f>
        <v>0</v>
      </c>
      <c r="S217" s="2677">
        <f>0</f>
        <v>0</v>
      </c>
      <c r="T217" s="2677">
        <f>0</f>
        <v>0</v>
      </c>
      <c r="U217" s="2677">
        <f>0</f>
        <v>0</v>
      </c>
      <c r="V217" s="2677">
        <f>0</f>
        <v>0</v>
      </c>
      <c r="W217" s="2677">
        <f>0</f>
        <v>0</v>
      </c>
      <c r="X217" s="2677">
        <f>0</f>
        <v>0</v>
      </c>
      <c r="Y217" s="2677">
        <f>0</f>
        <v>0</v>
      </c>
      <c r="Z217" s="2722">
        <f>0</f>
        <v>0</v>
      </c>
      <c r="AA217" s="2709">
        <f>0</f>
        <v>0</v>
      </c>
      <c r="AB217" s="2677">
        <f>0</f>
        <v>0</v>
      </c>
      <c r="AC217" s="2677">
        <f>0</f>
        <v>0</v>
      </c>
      <c r="AD217" s="2677">
        <f>0</f>
        <v>0</v>
      </c>
      <c r="AE217" s="2677">
        <f>0</f>
        <v>0</v>
      </c>
      <c r="AF217" s="2677">
        <f>0</f>
        <v>0</v>
      </c>
      <c r="AG217" s="2696">
        <f>0</f>
        <v>0</v>
      </c>
      <c r="AH217" s="2677">
        <f>0</f>
        <v>0</v>
      </c>
      <c r="AI217" s="2709">
        <f>-2*A_MP/M_MVivi</f>
        <v>-0.1234998580474381</v>
      </c>
      <c r="AJ217" s="2677">
        <f>0</f>
        <v>0</v>
      </c>
      <c r="AK217" s="2677">
        <f>0</f>
        <v>0</v>
      </c>
      <c r="AL217" s="2677">
        <f>0</f>
        <v>0</v>
      </c>
      <c r="AM217" s="2696">
        <f>0</f>
        <v>0</v>
      </c>
      <c r="AN217" s="2677">
        <f>0</f>
        <v>0</v>
      </c>
      <c r="AO217" s="2677">
        <f>0</f>
        <v>0</v>
      </c>
      <c r="AP217" s="2677">
        <f>0</f>
        <v>0</v>
      </c>
      <c r="AQ217" s="2677">
        <f>0</f>
        <v>0</v>
      </c>
      <c r="AR217" s="2677">
        <f>0</f>
        <v>0</v>
      </c>
      <c r="AS217" s="2677">
        <f>0</f>
        <v>0</v>
      </c>
      <c r="AT217" s="2677">
        <f>0</f>
        <v>0</v>
      </c>
      <c r="AU217" s="2677">
        <f>0</f>
        <v>0</v>
      </c>
      <c r="AV217" s="2677">
        <f>0</f>
        <v>0</v>
      </c>
      <c r="AW217" s="2709">
        <f>0</f>
        <v>0</v>
      </c>
      <c r="AX217" s="2677">
        <f>0</f>
        <v>0</v>
      </c>
      <c r="AY217" s="2709">
        <f>-3*A_MFe/M_MVivi</f>
        <v>-0.33400121987727954</v>
      </c>
      <c r="AZ217" s="2677">
        <f>0</f>
        <v>0</v>
      </c>
      <c r="BA217" s="2677">
        <f>0</f>
        <v>0</v>
      </c>
      <c r="BB217" s="2709">
        <f>0</f>
        <v>0</v>
      </c>
      <c r="BC217" s="2709">
        <f>0</f>
        <v>0</v>
      </c>
      <c r="BD217" s="2677">
        <f>0</f>
        <v>0</v>
      </c>
      <c r="BE217" s="2709">
        <f>0</f>
        <v>0</v>
      </c>
      <c r="BF217" s="2709">
        <f>0</f>
        <v>0</v>
      </c>
      <c r="BG217" s="2677">
        <f>0</f>
        <v>0</v>
      </c>
      <c r="BH217" s="2677">
        <f>0</f>
        <v>0</v>
      </c>
      <c r="BI217" s="2709">
        <f>0</f>
        <v>0</v>
      </c>
      <c r="BJ217" s="2709">
        <f>0</f>
        <v>0</v>
      </c>
      <c r="BK217" s="2677">
        <f>0</f>
        <v>0</v>
      </c>
      <c r="BL217" s="2709">
        <f>0</f>
        <v>0</v>
      </c>
      <c r="BM217" s="2709">
        <f>0</f>
        <v>0</v>
      </c>
      <c r="BN217" s="2709">
        <f>0</f>
        <v>0</v>
      </c>
      <c r="BO217" s="2709">
        <f>0</f>
        <v>0</v>
      </c>
      <c r="BP217" s="2710">
        <f>0</f>
        <v>0</v>
      </c>
      <c r="BQ217" s="2709">
        <f>0</f>
        <v>0</v>
      </c>
      <c r="BR217" s="2709">
        <f>1</f>
        <v>1</v>
      </c>
      <c r="BS217" s="2772">
        <f>0</f>
        <v>0</v>
      </c>
      <c r="BT217" s="2772">
        <f>0</f>
        <v>0</v>
      </c>
      <c r="BU217" s="2772">
        <f>0</f>
        <v>0</v>
      </c>
      <c r="BV217" s="2772">
        <f>0</f>
        <v>0</v>
      </c>
      <c r="BW217" s="2709">
        <f>0</f>
        <v>0</v>
      </c>
      <c r="BX217" s="2787">
        <f>0</f>
        <v>0</v>
      </c>
      <c r="BY217" s="2772">
        <f>0</f>
        <v>0</v>
      </c>
      <c r="BZ217" s="2709">
        <f>0</f>
        <v>0</v>
      </c>
      <c r="CA217" s="2709">
        <f>0</f>
        <v>0</v>
      </c>
      <c r="CB217" s="2709">
        <f>0</f>
        <v>0</v>
      </c>
      <c r="CC217" s="2709">
        <f>0</f>
        <v>0</v>
      </c>
      <c r="CD217" s="2709">
        <f>0</f>
        <v>0</v>
      </c>
      <c r="CE217" s="2709">
        <f>0</f>
        <v>0</v>
      </c>
      <c r="CF217" s="2709">
        <f>0</f>
        <v>0</v>
      </c>
      <c r="CG217" s="2709">
        <f>0</f>
        <v>0</v>
      </c>
      <c r="CH217" s="2709">
        <f>0</f>
        <v>0</v>
      </c>
      <c r="CI217" s="2709">
        <f>0</f>
        <v>0</v>
      </c>
      <c r="CJ217" s="2709">
        <f>0</f>
        <v>0</v>
      </c>
      <c r="CK217" s="2709">
        <f>0</f>
        <v>0</v>
      </c>
      <c r="CL217" s="2817">
        <f>q_Vivi*P_recipDrivingForceVivi^2</f>
        <v>0</v>
      </c>
      <c r="CN217" s="2295">
        <f>E236*E217+F236*F217+G236*G217+H236*H217+I236*I217+J236*J217+K236*K217+L236*L217+M236*M217+N236*N217+O236*O217+P236*P217+Q236*Q217+R236*R217+S236*S217+T236*T217+U236*U217+V236*V217+W236*W217+X236*X217+Y236*Y217+Z236*Z217+AA236*AA217+AB236*AB217+AC236*AC217+AD236*AD217+AE236*AE217+AF236*AF217+AG236*AG217+AH236*AH217+AI236*AI217+AJ236*AJ217+AK236*AK217+AL236*AL217+AM236*AM217+AN236*AN217+AO236*AO217+AP236*AP217+AQ236*AQ217+AR236*AR217+AS236*AS217+AT236*AT217+AU236*AU217+AV236*AV217+AW236*AW217+AX236*AX217+AY236*AY217+AZ236*AZ217+BA236*BA217+BB236*BB217+BC236*BC217+BD236*BD217+BE236*BE217+BF236*BF217+BG236*BG217+BH236*BH217+BI236*BI217+BJ236*BJ217+BK236*BK217+BL236*BL217+BM236*BM217+BN236*BN217+BO236*BO217+BP236*BP217+BQ236*BQ217+BR236*BR217+BS236*BS217+BT236*BT217+BU236*BU217+BV236*BV217+BW236*BW217+BX236*BX217+BY236*BY217+BZ236*BZ217+CA236*CA217+CB236*CB217+CC236*CC217+CD236*CD217+CE236*CE217+CF236*CF217+CG236*CG217+CH236*CH217+CI236*CI217+CJ236*CJ217+CK236*CK217</f>
        <v>0</v>
      </c>
      <c r="CO217" s="2295">
        <f>E237*E217+F237*F217+G237*G217+H237*H217+I237*I217+J237*J217+K237*K217+L237*L217+M237*M217+N237*N217+O237*O217+P237*P217+Q237*Q217+R237*R217+S237*S217+T237*T217+U237*U217+V237*V217+W237*W217+X237*X217+Y237*Y217+Z237*Z217+AA237*AA217+AB237*AB217+AC237*AC217+AD237*AD217+AE237*AE217+AF237*AF217+AG237*AG217+AH237*AH217+AI237*AI217+AJ237*AJ217+AK237*AK217+AL237*AL217+AM237*AM217+AN237*AN217+AO237*AO217+AP237*AP217+AQ237*AQ217+AR237*AR217+AS237*AS217+AT237*AT217+AU237*AU217+AV237*AV217+AW237*AW217+AX237*AX217+AY237*AY217+AZ237*AZ217+BA237*BA217+BB237*BB217+BC237*BC217+BD237*BD217+BE237*BE217+BF237*BF217+BG237*BG217+BH237*BH217+BI237*BI217+BJ237*BJ217+BK237*BK217+BL237*BL217+BM237*BM217+BN237*BN217+BO237*BO217+BP237*BP217+BQ237*BQ217+BR237*BR217+BS237*BS217+BT237*BT217+BU237*BU217+BV237*BV217+BW237*BW217+BX237*BX217+BY237*BY217+BZ237*BZ217+CA237*CA217+CB237*CB217+CC237*CC217+CD237*CD217+CE237*CE217+CF237*CF217+CG237*CG217+CH237*CH217+CI237*CI217+CJ237*CJ217+CK237*CK217</f>
        <v>0</v>
      </c>
      <c r="CP217" s="2296">
        <f>E238*E217+F238*F217+G238*G217+H238*H217+I238*I217+J238*J217+K238*K217+L238*L217+M238*M217+N238*N217+O238*O217+P238*P217+Q238*Q217+R238*R217+S238*S217+T238*T217+U238*U217+V238*V217+W238*W217+X238*X217+Y238*Y217+Z238*Z217+AA238*AA217+AB238*AB217+AC238*AC217+AD238*AD217+AE238*AE217+AF238*AF217+AG238*AG217+AH238*AH217+AI238*AI217+AJ238*AJ217+AK238*AK217+AL238*AL217+AM238*AM217+AN238*AN217+AO238*AO217+AP238*AP217+AQ238*AQ217+AR238*AR217+AS238*AS217+AT238*AT217+AU238*AU217+AV238*AV217+AW238*AW217+AX238*AX217+AY238*AY217+AZ238*AZ217+BA238*BA217+BB238*BB217+BC238*BC217+BD238*BD217+BE238*BE217+BF238*BF217+BG238*BG217+BH238*BH217+BI238*BI217+BJ238*BJ217+BK238*BK217+BL238*BL217+BM238*BM217+BN238*BN217+BO238*BO217+BP238*BP217+BQ238*BQ217+BR238*BR217+BS238*BS217+BT238*BT217+BU238*BU217+BV238*BV217+BW238*BW217+BX238*BX217+BY238*BY217+BZ238*BZ217+CA238*CA217+CB238*CB217+CC238*CC217+CD238*CD217+CE238*CE217+CF238*CF217+CG238*CG217+CH238*CH217+CI238*CI217+CJ238*CJ217+CK238*CK217</f>
        <v>0</v>
      </c>
      <c r="CQ217" s="2297">
        <f>E239*E217+F239*F217+G239*G217+H239*H217+I239*I217+J239*J217+K239*K217+L239*L217+M239*M217+N239*N217+O239*O217+P239*P217+Q239*Q217+R239*R217+S239*S217+T239*T217+U239*U217+V239*V217+W239*W217+X239*X217+Y239*Y217+Z239*Z217+AA239*AA217+AB239*AB217+AC239*AC217+AD239*AD217+AE239*AE217+AF239*AF217+AG239*AG217+AH239*AH217+AI239*AI217+AJ239*AJ217+AK239*AK217+AL239*AL217+AM239*AM217+AN239*AN217+AO239*AO217+AP239*AP217+AQ239*AQ217+AR239*AR217+AS239*AS217+AT239*AT217+AU239*AU217+AV239*AV217+AW239*AW217+AX239*AX217+AY239*AY217+AZ239*AZ217+BA239*BA217+BB239*BB217+BC239*BC217+BD239*BD217+BE239*BE217+BF239*BF217+BG239*BG217+BH239*BH217+BI239*BI217+BJ239*BJ217+BK239*BK217+BL239*BL217+BM239*BM217+BN239*BN217+BO239*BO217+BP239*BP217+BQ239*BQ217+BR239*BR217+BS239*BS217+BT239*BT217+BU239*BU217+BV239*BV217+BW239*BW217+BX239*BX217+BY239*BY217+BZ239*BZ217+CA239*CA217+CB239*CB217+CC239*CC217+CD239*CD217+CE239*CE217+CF239*CF217+CG239*CG217+CH239*CH217+CI239*CI217+CJ239*CJ217+CK239*CK217</f>
        <v>0</v>
      </c>
      <c r="CR217" s="2297">
        <f>E240*E217+F240*F217+G240*G217+H240*H217+I240*I217+J240*J217+K240*K217+L240*L217+M240*M217+N240*N217+O240*O217+P240*P217+Q240*Q217+R240*R217+S240*S217+T240*T217+U240*U217+V240*V217+W240*W217+X240*X217+Y240*Y217+Z240*Z217+AA240*AA217+AB240*AB217+AC240*AC217+AD240*AD217+AE240*AE217+AF240*AF217+AG240*AG217+AH240*AH217+AI240*AI217+AJ240*AJ217+AK240*AK217+AL240*AL217+AM240*AM217+AN240*AN217+AO240*AO217+AP240*AP217+AQ240*AQ217+AR240*AR217+AS240*AS217+AT240*AT217+AU240*AU217+AV240*AV217+AW240*AW217+AX240*AX217+AY240*AY217+AZ240*AZ217+BA240*BA217+BB240*BB217+BC240*BC217+BD240*BD217+BE240*BE217+BF240*BF217+BG240*BG217+BH240*BH217+BI240*BI217+BJ240*BJ217+BK240*BK217+BL240*BL217+BM240*BM217+BN240*BN217+BO240*BO217+BP240*BP217+BQ240*BQ217+BR240*BR217+BS240*BS217+BT240*BT217+BU240*BU217+BV240*BV217+BW240*BW217+BX240*BX217+BY240*BY217+BZ240*BZ217+CA240*CA217+CB240*CB217+CC240*CC217+CD240*CD217+CE240*CE217+CF240*CF217+CG240*CG217+CH240*CH217+CI240*CI217+CJ240*CJ217+CK240*CK217</f>
        <v>0</v>
      </c>
      <c r="CS217" s="2297">
        <f>E241*E217+F241*F217+G241*G217+H241*H217+I241*I217+J241*J217+K241*K217+L241*L217+M241*M217+N241*N217+O241*O217+P241*P217+Q241*Q217+R241*R217+S241*S217+T241*T217+U241*U217+V241*V217+W241*W217+X241*X217+Y241*Y217+Z241*Z217+AA241*AA217+AB241*AB217+AC241*AC217+AD241*AD217+AE241*AE217+AF241*AF217+AG241*AG217+AH241*AH217+AI241*AI217+AJ241*AJ217+AK241*AK217+AL241*AL217+AM241*AM217+AN241*AN217+AO241*AO217+AP241*AP217+AQ241*AQ217+AR241*AR217+AS241*AS217+AT241*AT217+AU241*AU217+AV241*AV217+AW241*AW217+AX241*AX217+AY241*AY217+AZ241*AZ217+BA241*BA217+BB241*BB217+BC241*BC217+BD241*BD217+BE241*BE217+BF241*BF217+BG241*BG217+BH241*BH217+BI241*BI217+BJ241*BJ217+BK241*BK217+BL241*BL217+BM241*BM217+BN241*BN217+BO241*BO217+BP241*BP217+BQ241*BQ217+BR241*BR217+BS241*BS217+BT241*BT217+BU241*BU217+BV241*BV217+BW241*BW217+BX241*BX217+BY241*BY217+BZ241*BZ217+CA241*CA217+CB241*CB217+CC241*CC217+CD241*CD217+CE241*CE217+CF241*CF217+CG241*CG217+CH241*CH217+CI241*CI217+CJ241*CJ217+CK241*CK217</f>
        <v>0</v>
      </c>
      <c r="CT217" s="2297">
        <f>E242*E217+F242*F217+G242*G217+H242*H217+I242*I217+J242*J217+K242*K217+L242*L217+M242*M217+N242*N217+O242*O217+P242*P217+Q242*Q217+R242*R217+S242*S217+T242*T217+U242*U217+V242*V217+W242*W217+X242*X217+Y242*Y217+Z242*Z217+AA242*AA217+AB242*AB217+AC242*AC217+AD242*AD217+AE242*AE217+AF242*AF217+AG242*AG217+AH242*AH217+AI242*AI217+AJ242*AJ217+AK242*AK217+AL242*AL217+AM242*AM217+AN242*AN217+AO242*AO217+AP242*AP217+AQ242*AQ217+AR242*AR217+AS242*AS217+AT242*AT217+AU242*AU217+AV242*AV217+AW242*AW217+AX242*AX217+AY242*AY217+AZ242*AZ217+BA242*BA217+BB242*BB217+BC242*BC217+BD242*BD217+BE242*BE217+BF242*BF217+BG242*BG217+BH242*BH217+BI242*BI217+BJ242*BJ217+BK242*BK217+BL242*BL217+BM242*BM217+BN242*BN217+BO242*BO217+BP242*BP217+BQ242*BQ217+BR242*BR217+BS242*BS217+BT242*BT217+BU242*BU217+BV242*BV217+BW242*BW217+BX242*BX217+BY242*BY217+BZ242*BZ217+CA242*CA217+CB242*CB217+CC242*CC217+CD242*CD217+CE242*CE217+CF242*CF217+CG242*CG217+CH242*CH217+CI242*CI217+CJ242*CJ217+CK242*CK217</f>
        <v>0</v>
      </c>
      <c r="CU217" s="2297">
        <f>E243*E217+F243*F217+G243*G217+H243*H217+I243*I217+J243*J217+K243*K217+L243*L217+M243*M217+N243*N217+O243*O217+P243*P217+Q243*Q217+R243*R217+S243*S217+T243*T217+U243*U217+V243*V217+W243*W217+X243*X217+Y243*Y217+Z243*Z217+AA243*AA217+AB243*AB217+AC243*AC217+AD243*AD217+AE243*AE217+AF243*AF217+AG243*AG217+AH243*AH217+AI243*AI217+AJ243*AJ217+AK243*AK217+AL243*AL217+AM243*AM217+AN243*AN217+AO243*AO217+AP243*AP217+AQ243*AQ217+AR243*AR217+AS243*AS217+AT243*AT217+AU243*AU217+AV243*AV217+AW243*AW217+AX243*AX217+AY243*AY217+AZ243*AZ217+BA243*BA217+BB243*BB217+BC243*BC217+BD243*BD217+BE243*BE217+BF243*BF217+BG243*BG217+BH243*BH217+BI243*BI217+BJ243*BJ217+BK243*BK217+BL243*BL217+BM243*BM217+BN243*BN217+BO243*BO217+BP243*BP217+BQ243*BQ217+BR243*BR217+BS243*BS217+BT243*BT217+BU243*BU217+BV243*BV217+BW243*BW217+BX243*BX217+BY243*BY217+BZ243*BZ217+CA243*CA217+CB243*CB217+CC243*CC217+CD243*CD217+CE243*CE217+CF243*CF217+CG243*CG217+CH243*CH217+CI243*CI217+CJ243*CJ217+CK243*CK217</f>
        <v>0</v>
      </c>
      <c r="CV217" s="2297">
        <f>E244*E217+F244*F217+G244*G217+H244*H217+I244*I217+J244*J217+K244*K217+L244*L217+M244*M217+N244*N217+O244*O217+P244*P217+Q244*Q217+R244*R217+S244*S217+T244*T217+U244*U217+V244*V217+W244*W217+X244*X217+Y244*Y217+Z244*Z217+AA244*AA217+AB244*AB217+AC244*AC217+AD244*AD217+AE244*AE217+AF244*AF217+AG244*AG217+AH244*AH217+AI244*AI217+AJ244*AJ217+AK244*AK217+AL244*AL217+AM244*AM217+AN244*AN217+AO244*AO217+AP244*AP217+AQ244*AQ217+AR244*AR217+AS244*AS217+AT244*AT217+AU244*AU217+AV244*AV217+AW244*AW217+AX244*AX217+AY244*AY217+AZ244*AZ217+BA244*BA217+BB244*BB217+BC244*BC217+BD244*BD217+BE244*BE217+BF244*BF217+BG244*BG217+BH244*BH217+BI244*BI217+BJ244*BJ217+BK244*BK217+BL244*BL217+BM244*BM217+BN244*BN217+BO244*BO217+BP244*BP217+BQ244*BQ217+BR244*BR217+BS244*BS217+BT244*BT217+BU244*BU217+BV244*BV217+BW244*BW217+BX244*BX217+BY244*BY217+BZ244*BZ217+CA244*CA217+CB244*CB217+CC244*CC217+CD244*CD217+CE244*CE217+CF244*CF217+CG244*CG217+CH244*CH217+CI244*CI217+CJ244*CJ217+CK244*CK217</f>
        <v>0</v>
      </c>
      <c r="CW217" s="2297">
        <f>E245*E217+F245*F217+G245*G217+H245*H217+I245*I217+J245*J217+K245*K217+L245*L217+M245*M217+N245*N217+O245*O217+P245*P217+Q245*Q217+R245*R217+S245*S217+T245*T217+U245*U217+V245*V217+W245*W217+X245*X217+Y245*Y217+Z245*Z217+AA245*AA217+AB245*AB217+AC245*AC217+AD245*AD217+AE245*AE217+AF245*AF217+AG245*AG217+AH245*AH217+AI245*AI217+AJ245*AJ217+AK245*AK217+AL245*AL217+AM245*AM217+AN245*AN217+AO245*AO217+AP245*AP217+AQ245*AQ217+AR245*AR217+AS245*AS217+AT245*AT217+AU245*AU217+AV245*AV217+AW245*AW217+AX245*AX217+AY245*AY217+AZ245*AZ217+BA245*BA217+BB245*BB217+BC245*BC217+BD245*BD217+BE245*BE217+BF245*BF217+BG245*BG217+BH245*BH217+BI245*BI217+BJ245*BJ217+BK245*BK217+BL245*BL217+BM245*BM217+BN245*BN217+BO245*BO217+BP245*BP217+BQ245*BQ217+BR245*BR217+BS245*BS217+BT245*BT217+BU245*BU217+BV245*BV217+BW245*BW217+BX245*BX217+BY245*BY217+BZ245*BZ217+CA245*CA217+CB245*CB217+CC245*CC217+CD245*CD217+CE245*CE217+CF245*CF217+CG245*CG217+CH245*CH217+CI245*CI217+CJ245*CJ217+CK245*CK217</f>
        <v>0</v>
      </c>
      <c r="CX217" s="2297">
        <f>E246*E217+F246*F217+G246*G217+H246*H217+I246*I217+J246*J217+K246*K217+L246*L217+M246*M217+N246*N217+O246*O217+P246*P217+Q246*Q217+R246*R217+S246*S217+T246*T217+U246*U217+V246*V217+W246*W217+X246*X217+Y246*Y217+Z246*Z217+AA246*AA217+AB246*AB217+AC246*AC217+AD246*AD217+AE246*AE217+AF246*AF217+AG246*AG217+AH246*AH217+AI246*AI217+AJ246*AJ217+AK246*AK217+AL246*AL217+AM246*AM217+AN246*AN217+AO246*AO217+AP246*AP217+AQ246*AQ217+AR246*AR217+AS246*AS217+AT246*AT217+AU246*AU217+AV246*AV217+AW246*AW217+AX246*AX217+AY246*AY217+AZ246*AZ217+BA246*BA217+BB246*BB217+BC246*BC217+BD246*BD217+BE246*BE217+BF246*BF217+BG246*BG217+BH246*BH217+BI246*BI217+BJ246*BJ217+BK246*BK217+BL246*BL217+BM246*BM217+BN246*BN217+BO246*BO217+BP246*BP217+BQ246*BQ217+BR246*BR217+BS246*BS217+BT246*BT217+BU246*BU217+BV246*BV217+BW246*BW217+BX246*BX217+BY246*BY217+BZ246*BZ217+CA246*CA217+CB246*CB217+CC246*CC217+CD246*CD217+CE246*CE217+CF246*CF217+CG246*CG217+CH246*CH217+CI246*CI217+CJ246*CJ217+CK246*CK217</f>
        <v>0</v>
      </c>
    </row>
    <row r="218" spans="2:102" ht="18" x14ac:dyDescent="0.25">
      <c r="B218" s="2331">
        <v>91</v>
      </c>
      <c r="C218" s="2332" t="s">
        <v>3124</v>
      </c>
      <c r="D218" s="2333" t="s">
        <v>4775</v>
      </c>
      <c r="E218" s="2679">
        <f>0</f>
        <v>0</v>
      </c>
      <c r="F218" s="2679">
        <f>0</f>
        <v>0</v>
      </c>
      <c r="G218" s="2679">
        <f>0</f>
        <v>0</v>
      </c>
      <c r="H218" s="2679">
        <f>0</f>
        <v>0</v>
      </c>
      <c r="I218" s="2679">
        <f>0</f>
        <v>0</v>
      </c>
      <c r="J218" s="2697">
        <f>0</f>
        <v>0</v>
      </c>
      <c r="K218" s="2702">
        <f>0</f>
        <v>0</v>
      </c>
      <c r="L218" s="2679">
        <f>0</f>
        <v>0</v>
      </c>
      <c r="M218" s="2679">
        <f>0</f>
        <v>0</v>
      </c>
      <c r="N218" s="2679">
        <f>0</f>
        <v>0</v>
      </c>
      <c r="O218" s="2679">
        <f>0</f>
        <v>0</v>
      </c>
      <c r="P218" s="2679">
        <f>0</f>
        <v>0</v>
      </c>
      <c r="Q218" s="2679">
        <f>0</f>
        <v>0</v>
      </c>
      <c r="R218" s="2679">
        <f>0</f>
        <v>0</v>
      </c>
      <c r="S218" s="2679">
        <f>0</f>
        <v>0</v>
      </c>
      <c r="T218" s="2679">
        <f>0</f>
        <v>0</v>
      </c>
      <c r="U218" s="2679">
        <f>0</f>
        <v>0</v>
      </c>
      <c r="V218" s="2679">
        <f>0</f>
        <v>0</v>
      </c>
      <c r="W218" s="2679">
        <f>0</f>
        <v>0</v>
      </c>
      <c r="X218" s="2679">
        <f>0</f>
        <v>0</v>
      </c>
      <c r="Y218" s="2679">
        <f>0</f>
        <v>0</v>
      </c>
      <c r="Z218" s="2679">
        <f>0</f>
        <v>0</v>
      </c>
      <c r="AA218" s="2679">
        <f>0</f>
        <v>0</v>
      </c>
      <c r="AB218" s="2702">
        <f>0</f>
        <v>0</v>
      </c>
      <c r="AC218" s="2702">
        <f>0</f>
        <v>0</v>
      </c>
      <c r="AD218" s="2702">
        <f>0</f>
        <v>0</v>
      </c>
      <c r="AE218" s="2702">
        <f>0</f>
        <v>0</v>
      </c>
      <c r="AF218" s="2702">
        <f>0</f>
        <v>0</v>
      </c>
      <c r="AG218" s="2730">
        <f>0</f>
        <v>0</v>
      </c>
      <c r="AH218" s="2702">
        <f>0</f>
        <v>0</v>
      </c>
      <c r="AI218" s="2702">
        <f>0</f>
        <v>0</v>
      </c>
      <c r="AJ218" s="2702">
        <f>0</f>
        <v>0</v>
      </c>
      <c r="AK218" s="2702">
        <f>0</f>
        <v>0</v>
      </c>
      <c r="AL218" s="2702">
        <f>0</f>
        <v>0</v>
      </c>
      <c r="AM218" s="2730">
        <f>0</f>
        <v>0</v>
      </c>
      <c r="AN218" s="2702">
        <f>0</f>
        <v>0</v>
      </c>
      <c r="AO218" s="2679">
        <f>0</f>
        <v>0</v>
      </c>
      <c r="AP218" s="2702">
        <f>0</f>
        <v>0</v>
      </c>
      <c r="AQ218" s="2702">
        <f>0</f>
        <v>0</v>
      </c>
      <c r="AR218" s="2702">
        <f>0</f>
        <v>0</v>
      </c>
      <c r="AS218" s="2679">
        <f>0</f>
        <v>0</v>
      </c>
      <c r="AT218" s="2702">
        <f>0</f>
        <v>0</v>
      </c>
      <c r="AU218" s="2702">
        <f>0</f>
        <v>0</v>
      </c>
      <c r="AV218" s="2702">
        <f>0</f>
        <v>0</v>
      </c>
      <c r="AW218" s="2702">
        <f>0</f>
        <v>0</v>
      </c>
      <c r="AX218" s="2702">
        <f>0</f>
        <v>0</v>
      </c>
      <c r="AY218" s="2702">
        <f>0</f>
        <v>0</v>
      </c>
      <c r="AZ218" s="2702">
        <f>0</f>
        <v>0</v>
      </c>
      <c r="BA218" s="2702">
        <f>0</f>
        <v>0</v>
      </c>
      <c r="BB218" s="2702">
        <f>0</f>
        <v>0</v>
      </c>
      <c r="BC218" s="2702">
        <f>0</f>
        <v>0</v>
      </c>
      <c r="BD218" s="2702">
        <f>0</f>
        <v>0</v>
      </c>
      <c r="BE218" s="2702">
        <f>0</f>
        <v>0</v>
      </c>
      <c r="BF218" s="2702">
        <f>0</f>
        <v>0</v>
      </c>
      <c r="BG218" s="2702">
        <f>0</f>
        <v>0</v>
      </c>
      <c r="BH218" s="2702">
        <f>0</f>
        <v>0</v>
      </c>
      <c r="BI218" s="2702">
        <f>0</f>
        <v>0</v>
      </c>
      <c r="BJ218" s="2702">
        <f>0</f>
        <v>0</v>
      </c>
      <c r="BK218" s="2702">
        <f>0</f>
        <v>0</v>
      </c>
      <c r="BL218" s="2702">
        <f>0</f>
        <v>0</v>
      </c>
      <c r="BM218" s="2702">
        <f>0</f>
        <v>0</v>
      </c>
      <c r="BN218" s="2702">
        <f>0</f>
        <v>0</v>
      </c>
      <c r="BO218" s="2702">
        <f>0</f>
        <v>0</v>
      </c>
      <c r="BP218" s="2702">
        <f>0</f>
        <v>0</v>
      </c>
      <c r="BQ218" s="2702">
        <f>0</f>
        <v>0</v>
      </c>
      <c r="BR218" s="2702">
        <f>0</f>
        <v>0</v>
      </c>
      <c r="BS218" s="2702">
        <f>-1</f>
        <v>-1</v>
      </c>
      <c r="BT218" s="2702">
        <f>1</f>
        <v>1</v>
      </c>
      <c r="BU218" s="2702">
        <f>0</f>
        <v>0</v>
      </c>
      <c r="BV218" s="2702">
        <f>0</f>
        <v>0</v>
      </c>
      <c r="BW218" s="2702">
        <f>0</f>
        <v>0</v>
      </c>
      <c r="BX218" s="2702">
        <f>0</f>
        <v>0</v>
      </c>
      <c r="BY218" s="2702">
        <f>0</f>
        <v>0</v>
      </c>
      <c r="BZ218" s="2702">
        <f>0</f>
        <v>0</v>
      </c>
      <c r="CA218" s="2702">
        <f>0</f>
        <v>0</v>
      </c>
      <c r="CB218" s="2702">
        <f>0</f>
        <v>0</v>
      </c>
      <c r="CC218" s="2702">
        <f>0</f>
        <v>0</v>
      </c>
      <c r="CD218" s="2702">
        <f>0</f>
        <v>0</v>
      </c>
      <c r="CE218" s="2702">
        <f>0</f>
        <v>0</v>
      </c>
      <c r="CF218" s="2702">
        <f>0</f>
        <v>0</v>
      </c>
      <c r="CG218" s="2702">
        <f>0</f>
        <v>0</v>
      </c>
      <c r="CH218" s="2702">
        <f>0</f>
        <v>0</v>
      </c>
      <c r="CI218" s="2702">
        <f>0</f>
        <v>0</v>
      </c>
      <c r="CJ218" s="2702">
        <f>0</f>
        <v>0</v>
      </c>
      <c r="CK218" s="2792">
        <f>0</f>
        <v>0</v>
      </c>
      <c r="CL218" s="2819">
        <f>q_PFOA_SORP*(S_PFOA-(X_PFOA/X_VSS)*(c_g_kg*c_mg_g)/K_OC_PFOA_EQ)</f>
        <v>2.9848363665980245E-6</v>
      </c>
      <c r="CN218" s="2295">
        <f>E236*E218+F236*F218+G236*G218+H236*H218+I236*I218+J236*J218+K236*K218+L236*L218+M236*M218+N236*N218+O236*O218+P236*P218+Q236*Q218+R236*R218+S236*S218+T236*T218+U236*U218+V236*V218+W236*W218+X236*X218+Y236*Y218+Z236*Z218+AA236*AA218+AB236*AB218+AC236*AC218+AD236*AD218+AE236*AE218+AF236*AF218+AG236*AG218+AH236*AH218+AI236*AI218+AJ236*AJ218+AK236*AK218+AL236*AL218+AM236*AM218+AN236*AN218+AO236*AO218+AP236*AP218+AQ236*AQ218+AR236*AR218+AS236*AS218+AT236*AT218+AU236*AU218+AV236*AV218+AW236*AW218+AX236*AX218+AY236*AY218+AZ236*AZ218+BA236*BA218+BB236*BB218+BC236*BC218+BD236*BD218+BE236*BE218+BF236*BF218+BG236*BG218+BH236*BH218+BI236*BI218+BJ236*BJ218+BK236*BK218+BL236*BL218+BM236*BM218+BN236*BN218+BO236*BO218+BP236*BP218+BQ236*BQ218+BR236*BR218+BS236*BS218+BT236*BT218+BU236*BU218+BV236*BV218+BW236*BW218+BX236*BX218+BY236*BY218+BZ236*BZ218+CA236*CA218+CB236*CB218+CC236*CC218+CD236*CD218+CE236*CE218+CF236*CF218+CG236*CG218+CH236*CH218+CI236*CI218+CJ236*CJ218+CK236*CK218</f>
        <v>0</v>
      </c>
      <c r="CO218" s="2295">
        <f>E237*E218+F237*F218+G237*G218+H237*H218+I237*I218+J237*J218+K237*K218+L237*L218+M237*M218+N237*N218+O237*O218+P237*P218+Q237*Q218+R237*R218+S237*S218+T237*T218+U237*U218+V237*V218+W237*W218+X237*X218+Y237*Y218+Z237*Z218+AA237*AA218+AB237*AB218+AC237*AC218+AD237*AD218+AE237*AE218+AF237*AF218+AG237*AG218+AH237*AH218+AI237*AI218+AJ237*AJ218+AK237*AK218+AL237*AL218+AM237*AM218+AN237*AN218+AO237*AO218+AP237*AP218+AQ237*AQ218+AR237*AR218+AS237*AS218+AT237*AT218+AU237*AU218+AV237*AV218+AW237*AW218+AX237*AX218+AY237*AY218+AZ237*AZ218+BA237*BA218+BB237*BB218+BC237*BC218+BD237*BD218+BE237*BE218+BF237*BF218+BG237*BG218+BH237*BH218+BI237*BI218+BJ237*BJ218+BK237*BK218+BL237*BL218+BM237*BM218+BN237*BN218+BO237*BO218+BP237*BP218+BQ237*BQ218+BR237*BR218+BS237*BS218+BT237*BT218+BU237*BU218+BV237*BV218+BW237*BW218+BX237*BX218+BY237*BY218+BZ237*BZ218+CA237*CA218+CB237*CB218+CC237*CC218+CD237*CD218+CE237*CE218+CF237*CF218+CG237*CG218+CH237*CH218+CI237*CI218+CJ237*CJ218+CK237*CK218</f>
        <v>0</v>
      </c>
      <c r="CP218" s="2296">
        <f>E238*E218+F238*F218+G238*G218+H238*H218+I238*I218+J238*J218+K238*K218+L238*L218+M238*M218+N238*N218+O238*O218+P238*P218+Q238*Q218+R238*R218+S238*S218+T238*T218+U238*U218+V238*V218+W238*W218+X238*X218+Y238*Y218+Z238*Z218+AA238*AA218+AB238*AB218+AC238*AC218+AD238*AD218+AE238*AE218+AF238*AF218+AG238*AG218+AH238*AH218+AI238*AI218+AJ238*AJ218+AK238*AK218+AL238*AL218+AM238*AM218+AN238*AN218+AO238*AO218+AP238*AP218+AQ238*AQ218+AR238*AR218+AS238*AS218+AT238*AT218+AU238*AU218+AV238*AV218+AW238*AW218+AX238*AX218+AY238*AY218+AZ238*AZ218+BA238*BA218+BB238*BB218+BC238*BC218+BD238*BD218+BE238*BE218+BF238*BF218+BG238*BG218+BH238*BH218+BI238*BI218+BJ238*BJ218+BK238*BK218+BL238*BL218+BM238*BM218+BN238*BN218+BO238*BO218+BP238*BP218+BQ238*BQ218+BR238*BR218+BS238*BS218+BT238*BT218+BU238*BU218+BV238*BV218+BW238*BW218+BX238*BX218+BY238*BY218+BZ238*BZ218+CA238*CA218+CB238*CB218+CC238*CC218+CD238*CD218+CE238*CE218+CF238*CF218+CG238*CG218+CH238*CH218+CI238*CI218+CJ238*CJ218+CK238*CK218</f>
        <v>0</v>
      </c>
      <c r="CQ218" s="2297">
        <f>E239*E218+F239*F218+G239*G218+H239*H218+I239*I218+J239*J218+K239*K218+L239*L218+M239*M218+N239*N218+O239*O218+P239*P218+Q239*Q218+R239*R218+S239*S218+T239*T218+U239*U218+V239*V218+W239*W218+X239*X218+Y239*Y218+Z239*Z218+AA239*AA218+AB239*AB218+AC239*AC218+AD239*AD218+AE239*AE218+AF239*AF218+AG239*AG218+AH239*AH218+AI239*AI218+AJ239*AJ218+AK239*AK218+AL239*AL218+AM239*AM218+AN239*AN218+AO239*AO218+AP239*AP218+AQ239*AQ218+AR239*AR218+AS239*AS218+AT239*AT218+AU239*AU218+AV239*AV218+AW239*AW218+AX239*AX218+AY239*AY218+AZ239*AZ218+BA239*BA218+BB239*BB218+BC239*BC218+BD239*BD218+BE239*BE218+BF239*BF218+BG239*BG218+BH239*BH218+BI239*BI218+BJ239*BJ218+BK239*BK218+BL239*BL218+BM239*BM218+BN239*BN218+BO239*BO218+BP239*BP218+BQ239*BQ218+BR239*BR218+BS239*BS218+BT239*BT218+BU239*BU218+BV239*BV218+BW239*BW218+BX239*BX218+BY239*BY218+BZ239*BZ218+CA239*CA218+CB239*CB218+CC239*CC218+CD239*CD218+CE239*CE218+CF239*CF218+CG239*CG218+CH239*CH218+CI239*CI218+CJ239*CJ218+CK239*CK218</f>
        <v>0</v>
      </c>
      <c r="CR218" s="2297">
        <f>E240*E218+F240*F218+G240*G218+H240*H218+I240*I218+J240*J218+K240*K218+L240*L218+M240*M218+N240*N218+O240*O218+P240*P218+Q240*Q218+R240*R218+S240*S218+T240*T218+U240*U218+V240*V218+W240*W218+X240*X218+Y240*Y218+Z240*Z218+AA240*AA218+AB240*AB218+AC240*AC218+AD240*AD218+AE240*AE218+AF240*AF218+AG240*AG218+AH240*AH218+AI240*AI218+AJ240*AJ218+AK240*AK218+AL240*AL218+AM240*AM218+AN240*AN218+AO240*AO218+AP240*AP218+AQ240*AQ218+AR240*AR218+AS240*AS218+AT240*AT218+AU240*AU218+AV240*AV218+AW240*AW218+AX240*AX218+AY240*AY218+AZ240*AZ218+BA240*BA218+BB240*BB218+BC240*BC218+BD240*BD218+BE240*BE218+BF240*BF218+BG240*BG218+BH240*BH218+BI240*BI218+BJ240*BJ218+BK240*BK218+BL240*BL218+BM240*BM218+BN240*BN218+BO240*BO218+BP240*BP218+BQ240*BQ218+BR240*BR218+BS240*BS218+BT240*BT218+BU240*BU218+BV240*BV218+BW240*BW218+BX240*BX218+BY240*BY218+BZ240*BZ218+CA240*CA218+CB240*CB218+CC240*CC218+CD240*CD218+CE240*CE218+CF240*CF218+CG240*CG218+CH240*CH218+CI240*CI218+CJ240*CJ218+CK240*CK218</f>
        <v>0</v>
      </c>
      <c r="CS218" s="2297">
        <f>E241*E218+F241*F218+G241*G218+H241*H218+I241*I218+J241*J218+K241*K218+L241*L218+M241*M218+N241*N218+O241*O218+P241*P218+Q241*Q218+R241*R218+S241*S218+T241*T218+U241*U218+V241*V218+W241*W218+X241*X218+Y241*Y218+Z241*Z218+AA241*AA218+AB241*AB218+AC241*AC218+AD241*AD218+AE241*AE218+AF241*AF218+AG241*AG218+AH241*AH218+AI241*AI218+AJ241*AJ218+AK241*AK218+AL241*AL218+AM241*AM218+AN241*AN218+AO241*AO218+AP241*AP218+AQ241*AQ218+AR241*AR218+AS241*AS218+AT241*AT218+AU241*AU218+AV241*AV218+AW241*AW218+AX241*AX218+AY241*AY218+AZ241*AZ218+BA241*BA218+BB241*BB218+BC241*BC218+BD241*BD218+BE241*BE218+BF241*BF218+BG241*BG218+BH241*BH218+BI241*BI218+BJ241*BJ218+BK241*BK218+BL241*BL218+BM241*BM218+BN241*BN218+BO241*BO218+BP241*BP218+BQ241*BQ218+BR241*BR218+BS241*BS218+BT241*BT218+BU241*BU218+BV241*BV218+BW241*BW218+BX241*BX218+BY241*BY218+BZ241*BZ218+CA241*CA218+CB241*CB218+CC241*CC218+CD241*CD218+CE241*CE218+CF241*CF218+CG241*CG218+CH241*CH218+CI241*CI218+CJ241*CJ218+CK241*CK218</f>
        <v>0</v>
      </c>
      <c r="CT218" s="2297">
        <f>E242*E218+F242*F218+G242*G218+H242*H218+I242*I218+J242*J218+K242*K218+L242*L218+M242*M218+N242*N218+O242*O218+P242*P218+Q242*Q218+R242*R218+S242*S218+T242*T218+U242*U218+V242*V218+W242*W218+X242*X218+Y242*Y218+Z242*Z218+AA242*AA218+AB242*AB218+AC242*AC218+AD242*AD218+AE242*AE218+AF242*AF218+AG242*AG218+AH242*AH218+AI242*AI218+AJ242*AJ218+AK242*AK218+AL242*AL218+AM242*AM218+AN242*AN218+AO242*AO218+AP242*AP218+AQ242*AQ218+AR242*AR218+AS242*AS218+AT242*AT218+AU242*AU218+AV242*AV218+AW242*AW218+AX242*AX218+AY242*AY218+AZ242*AZ218+BA242*BA218+BB242*BB218+BC242*BC218+BD242*BD218+BE242*BE218+BF242*BF218+BG242*BG218+BH242*BH218+BI242*BI218+BJ242*BJ218+BK242*BK218+BL242*BL218+BM242*BM218+BN242*BN218+BO242*BO218+BP242*BP218+BQ242*BQ218+BR242*BR218+BS242*BS218+BT242*BT218+BU242*BU218+BV242*BV218+BW242*BW218+BX242*BX218+BY242*BY218+BZ242*BZ218+CA242*CA218+CB242*CB218+CC242*CC218+CD242*CD218+CE242*CE218+CF242*CF218+CG242*CG218+CH242*CH218+CI242*CI218+CJ242*CJ218+CK242*CK218</f>
        <v>0</v>
      </c>
      <c r="CU218" s="2297">
        <f>E243*E218+F243*F218+G243*G218+H243*H218+I243*I218+J243*J218+K243*K218+L243*L218+M243*M218+N243*N218+O243*O218+P243*P218+Q243*Q218+R243*R218+S243*S218+T243*T218+U243*U218+V243*V218+W243*W218+X243*X218+Y243*Y218+Z243*Z218+AA243*AA218+AB243*AB218+AC243*AC218+AD243*AD218+AE243*AE218+AF243*AF218+AG243*AG218+AH243*AH218+AI243*AI218+AJ243*AJ218+AK243*AK218+AL243*AL218+AM243*AM218+AN243*AN218+AO243*AO218+AP243*AP218+AQ243*AQ218+AR243*AR218+AS243*AS218+AT243*AT218+AU243*AU218+AV243*AV218+AW243*AW218+AX243*AX218+AY243*AY218+AZ243*AZ218+BA243*BA218+BB243*BB218+BC243*BC218+BD243*BD218+BE243*BE218+BF243*BF218+BG243*BG218+BH243*BH218+BI243*BI218+BJ243*BJ218+BK243*BK218+BL243*BL218+BM243*BM218+BN243*BN218+BO243*BO218+BP243*BP218+BQ243*BQ218+BR243*BR218+BS243*BS218+BT243*BT218+BU243*BU218+BV243*BV218+BW243*BW218+BX243*BX218+BY243*BY218+BZ243*BZ218+CA243*CA218+CB243*CB218+CC243*CC218+CD243*CD218+CE243*CE218+CF243*CF218+CG243*CG218+CH243*CH218+CI243*CI218+CJ243*CJ218+CK243*CK218</f>
        <v>0</v>
      </c>
      <c r="CV218" s="2297">
        <f>E244*E218+F244*F218+G244*G218+H244*H218+I244*I218+J244*J218+K244*K218+L244*L218+M244*M218+N244*N218+O244*O218+P244*P218+Q244*Q218+R244*R218+S244*S218+T244*T218+U244*U218+V244*V218+W244*W218+X244*X218+Y244*Y218+Z244*Z218+AA244*AA218+AB244*AB218+AC244*AC218+AD244*AD218+AE244*AE218+AF244*AF218+AG244*AG218+AH244*AH218+AI244*AI218+AJ244*AJ218+AK244*AK218+AL244*AL218+AM244*AM218+AN244*AN218+AO244*AO218+AP244*AP218+AQ244*AQ218+AR244*AR218+AS244*AS218+AT244*AT218+AU244*AU218+AV244*AV218+AW244*AW218+AX244*AX218+AY244*AY218+AZ244*AZ218+BA244*BA218+BB244*BB218+BC244*BC218+BD244*BD218+BE244*BE218+BF244*BF218+BG244*BG218+BH244*BH218+BI244*BI218+BJ244*BJ218+BK244*BK218+BL244*BL218+BM244*BM218+BN244*BN218+BO244*BO218+BP244*BP218+BQ244*BQ218+BR244*BR218+BS244*BS218+BT244*BT218+BU244*BU218+BV244*BV218+BW244*BW218+BX244*BX218+BY244*BY218+BZ244*BZ218+CA244*CA218+CB244*CB218+CC244*CC218+CD244*CD218+CE244*CE218+CF244*CF218+CG244*CG218+CH244*CH218+CI244*CI218+CJ244*CJ218+CK244*CK218</f>
        <v>0</v>
      </c>
      <c r="CW218" s="2297">
        <f>E245*E218+F245*F218+G245*G218+H245*H218+I245*I218+J245*J218+K245*K218+L245*L218+M245*M218+N245*N218+O245*O218+P245*P218+Q245*Q218+R245*R218+S245*S218+T245*T218+U245*U218+V245*V218+W245*W218+X245*X218+Y245*Y218+Z245*Z218+AA245*AA218+AB245*AB218+AC245*AC218+AD245*AD218+AE245*AE218+AF245*AF218+AG245*AG218+AH245*AH218+AI245*AI218+AJ245*AJ218+AK245*AK218+AL245*AL218+AM245*AM218+AN245*AN218+AO245*AO218+AP245*AP218+AQ245*AQ218+AR245*AR218+AS245*AS218+AT245*AT218+AU245*AU218+AV245*AV218+AW245*AW218+AX245*AX218+AY245*AY218+AZ245*AZ218+BA245*BA218+BB245*BB218+BC245*BC218+BD245*BD218+BE245*BE218+BF245*BF218+BG245*BG218+BH245*BH218+BI245*BI218+BJ245*BJ218+BK245*BK218+BL245*BL218+BM245*BM218+BN245*BN218+BO245*BO218+BP245*BP218+BQ245*BQ218+BR245*BR218+BS245*BS218+BT245*BT218+BU245*BU218+BV245*BV218+BW245*BW218+BX245*BX218+BY245*BY218+BZ245*BZ218+CA245*CA218+CB245*CB218+CC245*CC218+CD245*CD218+CE245*CE218+CF245*CF218+CG245*CG218+CH245*CH218+CI245*CI218+CJ245*CJ218+CK245*CK218</f>
        <v>0</v>
      </c>
      <c r="CX218" s="2297">
        <f>E246*E218+F246*F218+G246*G218+H246*H218+I246*I218+J246*J218+K246*K218+L246*L218+M246*M218+N246*N218+O246*O218+P246*P218+Q246*Q218+R246*R218+S246*S218+T246*T218+U246*U218+V246*V218+W246*W218+X246*X218+Y246*Y218+Z246*Z218+AA246*AA218+AB246*AB218+AC246*AC218+AD246*AD218+AE246*AE218+AF246*AF218+AG246*AG218+AH246*AH218+AI246*AI218+AJ246*AJ218+AK246*AK218+AL246*AL218+AM246*AM218+AN246*AN218+AO246*AO218+AP246*AP218+AQ246*AQ218+AR246*AR218+AS246*AS218+AT246*AT218+AU246*AU218+AV246*AV218+AW246*AW218+AX246*AX218+AY246*AY218+AZ246*AZ218+BA246*BA218+BB246*BB218+BC246*BC218+BD246*BD218+BE246*BE218+BF246*BF218+BG246*BG218+BH246*BH218+BI246*BI218+BJ246*BJ218+BK246*BK218+BL246*BL218+BM246*BM218+BN246*BN218+BO246*BO218+BP246*BP218+BQ246*BQ218+BR246*BR218+BS246*BS218+BT246*BT218+BU246*BU218+BV246*BV218+BW246*BW218+BX246*BX218+BY246*BY218+BZ246*BZ218+CA246*CA218+CB246*CB218+CC246*CC218+CD246*CD218+CE246*CE218+CF246*CF218+CG246*CG218+CH246*CH218+CI246*CI218+CJ246*CJ218+CK246*CK218</f>
        <v>0</v>
      </c>
    </row>
    <row r="219" spans="2:102" ht="18" x14ac:dyDescent="0.25">
      <c r="B219" s="2331">
        <v>92</v>
      </c>
      <c r="C219" s="2332" t="s">
        <v>3326</v>
      </c>
      <c r="D219" s="2333" t="s">
        <v>4777</v>
      </c>
      <c r="E219" s="2679">
        <f>0</f>
        <v>0</v>
      </c>
      <c r="F219" s="2679">
        <f>0</f>
        <v>0</v>
      </c>
      <c r="G219" s="2679">
        <f>0</f>
        <v>0</v>
      </c>
      <c r="H219" s="2679">
        <f>0</f>
        <v>0</v>
      </c>
      <c r="I219" s="2679">
        <f>0</f>
        <v>0</v>
      </c>
      <c r="J219" s="2697">
        <f>0</f>
        <v>0</v>
      </c>
      <c r="K219" s="2702">
        <f>0</f>
        <v>0</v>
      </c>
      <c r="L219" s="2679">
        <f>0</f>
        <v>0</v>
      </c>
      <c r="M219" s="2679">
        <f>0</f>
        <v>0</v>
      </c>
      <c r="N219" s="2679">
        <f>0</f>
        <v>0</v>
      </c>
      <c r="O219" s="2679">
        <f>0</f>
        <v>0</v>
      </c>
      <c r="P219" s="2679">
        <f>0</f>
        <v>0</v>
      </c>
      <c r="Q219" s="2679">
        <f>0</f>
        <v>0</v>
      </c>
      <c r="R219" s="2679">
        <f>0</f>
        <v>0</v>
      </c>
      <c r="S219" s="2679">
        <f>0</f>
        <v>0</v>
      </c>
      <c r="T219" s="2679">
        <f>0</f>
        <v>0</v>
      </c>
      <c r="U219" s="2679">
        <f>0</f>
        <v>0</v>
      </c>
      <c r="V219" s="2679">
        <f>0</f>
        <v>0</v>
      </c>
      <c r="W219" s="2679">
        <f>0</f>
        <v>0</v>
      </c>
      <c r="X219" s="2679">
        <f>0</f>
        <v>0</v>
      </c>
      <c r="Y219" s="2679">
        <f>0</f>
        <v>0</v>
      </c>
      <c r="Z219" s="2679">
        <f>0</f>
        <v>0</v>
      </c>
      <c r="AA219" s="2679">
        <f>0</f>
        <v>0</v>
      </c>
      <c r="AB219" s="2702">
        <f>0</f>
        <v>0</v>
      </c>
      <c r="AC219" s="2702">
        <f>0</f>
        <v>0</v>
      </c>
      <c r="AD219" s="2702">
        <f>0</f>
        <v>0</v>
      </c>
      <c r="AE219" s="2702">
        <f>0</f>
        <v>0</v>
      </c>
      <c r="AF219" s="2702">
        <f>0</f>
        <v>0</v>
      </c>
      <c r="AG219" s="2730">
        <f>0</f>
        <v>0</v>
      </c>
      <c r="AH219" s="2702">
        <f>0</f>
        <v>0</v>
      </c>
      <c r="AI219" s="2702">
        <f>0</f>
        <v>0</v>
      </c>
      <c r="AJ219" s="2702">
        <f>0</f>
        <v>0</v>
      </c>
      <c r="AK219" s="2702">
        <f>0</f>
        <v>0</v>
      </c>
      <c r="AL219" s="2702">
        <f>0</f>
        <v>0</v>
      </c>
      <c r="AM219" s="2730">
        <f>0</f>
        <v>0</v>
      </c>
      <c r="AN219" s="2702">
        <f>0</f>
        <v>0</v>
      </c>
      <c r="AO219" s="2679">
        <f>0</f>
        <v>0</v>
      </c>
      <c r="AP219" s="2702">
        <f>0</f>
        <v>0</v>
      </c>
      <c r="AQ219" s="2702">
        <f>0</f>
        <v>0</v>
      </c>
      <c r="AR219" s="2702">
        <f>0</f>
        <v>0</v>
      </c>
      <c r="AS219" s="2679">
        <f>0</f>
        <v>0</v>
      </c>
      <c r="AT219" s="2702">
        <f>0</f>
        <v>0</v>
      </c>
      <c r="AU219" s="2702">
        <f>0</f>
        <v>0</v>
      </c>
      <c r="AV219" s="2702">
        <f>0</f>
        <v>0</v>
      </c>
      <c r="AW219" s="2702">
        <f>0</f>
        <v>0</v>
      </c>
      <c r="AX219" s="2702">
        <f>0</f>
        <v>0</v>
      </c>
      <c r="AY219" s="2702">
        <f>0</f>
        <v>0</v>
      </c>
      <c r="AZ219" s="2702">
        <f>0</f>
        <v>0</v>
      </c>
      <c r="BA219" s="2702">
        <f>0</f>
        <v>0</v>
      </c>
      <c r="BB219" s="2702">
        <f>0</f>
        <v>0</v>
      </c>
      <c r="BC219" s="2702">
        <f>0</f>
        <v>0</v>
      </c>
      <c r="BD219" s="2702">
        <f>0</f>
        <v>0</v>
      </c>
      <c r="BE219" s="2702">
        <f>0</f>
        <v>0</v>
      </c>
      <c r="BF219" s="2702">
        <f>0</f>
        <v>0</v>
      </c>
      <c r="BG219" s="2702">
        <f>0</f>
        <v>0</v>
      </c>
      <c r="BH219" s="2702">
        <f>0</f>
        <v>0</v>
      </c>
      <c r="BI219" s="2702">
        <f>0</f>
        <v>0</v>
      </c>
      <c r="BJ219" s="2702">
        <f>0</f>
        <v>0</v>
      </c>
      <c r="BK219" s="2702">
        <f>0</f>
        <v>0</v>
      </c>
      <c r="BL219" s="2702">
        <f>0</f>
        <v>0</v>
      </c>
      <c r="BM219" s="2702">
        <f>0</f>
        <v>0</v>
      </c>
      <c r="BN219" s="2702">
        <f>0</f>
        <v>0</v>
      </c>
      <c r="BO219" s="2702">
        <f>0</f>
        <v>0</v>
      </c>
      <c r="BP219" s="2702">
        <f>0</f>
        <v>0</v>
      </c>
      <c r="BQ219" s="2702">
        <f>0</f>
        <v>0</v>
      </c>
      <c r="BR219" s="2702">
        <f>0</f>
        <v>0</v>
      </c>
      <c r="BS219" s="2702">
        <f>0</f>
        <v>0</v>
      </c>
      <c r="BT219" s="2702">
        <f>0</f>
        <v>0</v>
      </c>
      <c r="BU219" s="2702">
        <f>-1</f>
        <v>-1</v>
      </c>
      <c r="BV219" s="2702">
        <f>1</f>
        <v>1</v>
      </c>
      <c r="BW219" s="2702">
        <f>0</f>
        <v>0</v>
      </c>
      <c r="BX219" s="2702">
        <f>0</f>
        <v>0</v>
      </c>
      <c r="BY219" s="2702">
        <f>0</f>
        <v>0</v>
      </c>
      <c r="BZ219" s="2702">
        <f>0</f>
        <v>0</v>
      </c>
      <c r="CA219" s="2702">
        <f>0</f>
        <v>0</v>
      </c>
      <c r="CB219" s="2702">
        <f>0</f>
        <v>0</v>
      </c>
      <c r="CC219" s="2702">
        <f>0</f>
        <v>0</v>
      </c>
      <c r="CD219" s="2702">
        <f>0</f>
        <v>0</v>
      </c>
      <c r="CE219" s="2702">
        <f>0</f>
        <v>0</v>
      </c>
      <c r="CF219" s="2702">
        <f>0</f>
        <v>0</v>
      </c>
      <c r="CG219" s="2702">
        <f>0</f>
        <v>0</v>
      </c>
      <c r="CH219" s="2702">
        <f>0</f>
        <v>0</v>
      </c>
      <c r="CI219" s="2702">
        <f>0</f>
        <v>0</v>
      </c>
      <c r="CJ219" s="2702">
        <f>0</f>
        <v>0</v>
      </c>
      <c r="CK219" s="2792">
        <f>0</f>
        <v>0</v>
      </c>
      <c r="CL219" s="2819">
        <f>q_PFOS_SORP*(S_PFOS-(X_PFOS/X_VSS)*(c_g_kg*c_mg_g)/K_OC_PFOS_EQ)</f>
        <v>3.2662090916495059E-6</v>
      </c>
      <c r="CN219" s="2295">
        <f>E236*E219+F236*F219+G236*G219+H236*H219+I236*I219+J236*J219+K236*K219+L236*L219+M236*M219+N236*N219+O236*O219+P236*P219+Q236*Q219+R236*R219+S236*S219+T236*T219+U236*U219+V236*V219+W236*W219+X236*X219+Y236*Y219+Z236*Z219+AA236*AA219+AB236*AB219+AC236*AC219+AD236*AD219+AE236*AE219+AF236*AF219+AG236*AG219+AH236*AH219+AI236*AI219+AJ236*AJ219+AK236*AK219+AL236*AL219+AM236*AM219+AN236*AN219+AO236*AO219+AP236*AP219+AQ236*AQ219+AR236*AR219+AS236*AS219+AT236*AT219+AU236*AU219+AV236*AV219+AW236*AW219+AX236*AX219+AY236*AY219+AZ236*AZ219+BA236*BA219+BB236*BB219+BC236*BC219+BD236*BD219+BE236*BE219+BF236*BF219+BG236*BG219+BH236*BH219+BI236*BI219+BJ236*BJ219+BK236*BK219+BL236*BL219+BM236*BM219+BN236*BN219+BO236*BO219+BP236*BP219+BQ236*BQ219+BR236*BR219+BS236*BS219+BT236*BT219+BU236*BU219+BV236*BV219+BW236*BW219+BX236*BX219+BY236*BY219+BZ236*BZ219+CA236*CA219+CB236*CB219+CC236*CC219+CD236*CD219+CE236*CE219+CF236*CF219+CG236*CG219+CH236*CH219+CI236*CI219+CJ236*CJ219+CK236*CK219</f>
        <v>0</v>
      </c>
      <c r="CO219" s="2295">
        <f>E237*E219+F237*F219+G237*G219+H237*H219+I237*I219+J237*J219+K237*K219+L237*L219+M237*M219+N237*N219+O237*O219+P237*P219+Q237*Q219+R237*R219+S237*S219+T237*T219+U237*U219+V237*V219+W237*W219+X237*X219+Y237*Y219+Z237*Z219+AA237*AA219+AB237*AB219+AC237*AC219+AD237*AD219+AE237*AE219+AF237*AF219+AG237*AG219+AH237*AH219+AI237*AI219+AJ237*AJ219+AK237*AK219+AL237*AL219+AM237*AM219+AN237*AN219+AO237*AO219+AP237*AP219+AQ237*AQ219+AR237*AR219+AS237*AS219+AT237*AT219+AU237*AU219+AV237*AV219+AW237*AW219+AX237*AX219+AY237*AY219+AZ237*AZ219+BA237*BA219+BB237*BB219+BC237*BC219+BD237*BD219+BE237*BE219+BF237*BF219+BG237*BG219+BH237*BH219+BI237*BI219+BJ237*BJ219+BK237*BK219+BL237*BL219+BM237*BM219+BN237*BN219+BO237*BO219+BP237*BP219+BQ237*BQ219+BR237*BR219+BS237*BS219+BT237*BT219+BU237*BU219+BV237*BV219+BW237*BW219+BX237*BX219+BY237*BY219+BZ237*BZ219+CA237*CA219+CB237*CB219+CC237*CC219+CD237*CD219+CE237*CE219+CF237*CF219+CG237*CG219+CH237*CH219+CI237*CI219+CJ237*CJ219+CK237*CK219</f>
        <v>0</v>
      </c>
      <c r="CP219" s="2296">
        <f>E238*E219+F238*F219+G238*G219+H238*H219+I238*I219+J238*J219+K238*K219+L238*L219+M238*M219+N238*N219+O238*O219+P238*P219+Q238*Q219+R238*R219+S238*S219+T238*T219+U238*U219+V238*V219+W238*W219+X238*X219+Y238*Y219+Z238*Z219+AA238*AA219+AB238*AB219+AC238*AC219+AD238*AD219+AE238*AE219+AF238*AF219+AG238*AG219+AH238*AH219+AI238*AI219+AJ238*AJ219+AK238*AK219+AL238*AL219+AM238*AM219+AN238*AN219+AO238*AO219+AP238*AP219+AQ238*AQ219+AR238*AR219+AS238*AS219+AT238*AT219+AU238*AU219+AV238*AV219+AW238*AW219+AX238*AX219+AY238*AY219+AZ238*AZ219+BA238*BA219+BB238*BB219+BC238*BC219+BD238*BD219+BE238*BE219+BF238*BF219+BG238*BG219+BH238*BH219+BI238*BI219+BJ238*BJ219+BK238*BK219+BL238*BL219+BM238*BM219+BN238*BN219+BO238*BO219+BP238*BP219+BQ238*BQ219+BR238*BR219+BS238*BS219+BT238*BT219+BU238*BU219+BV238*BV219+BW238*BW219+BX238*BX219+BY238*BY219+BZ238*BZ219+CA238*CA219+CB238*CB219+CC238*CC219+CD238*CD219+CE238*CE219+CF238*CF219+CG238*CG219+CH238*CH219+CI238*CI219+CJ238*CJ219+CK238*CK219</f>
        <v>0</v>
      </c>
      <c r="CQ219" s="2297">
        <f>E239*E219+F239*F219+G239*G219+H239*H219+I239*I219+J239*J219+K239*K219+L239*L219+M239*M219+N239*N219+O239*O219+P239*P219+Q239*Q219+R239*R219+S239*S219+T239*T219+U239*U219+V239*V219+W239*W219+X239*X219+Y239*Y219+Z239*Z219+AA239*AA219+AB239*AB219+AC239*AC219+AD239*AD219+AE239*AE219+AF239*AF219+AG239*AG219+AH239*AH219+AI239*AI219+AJ239*AJ219+AK239*AK219+AL239*AL219+AM239*AM219+AN239*AN219+AO239*AO219+AP239*AP219+AQ239*AQ219+AR239*AR219+AS239*AS219+AT239*AT219+AU239*AU219+AV239*AV219+AW239*AW219+AX239*AX219+AY239*AY219+AZ239*AZ219+BA239*BA219+BB239*BB219+BC239*BC219+BD239*BD219+BE239*BE219+BF239*BF219+BG239*BG219+BH239*BH219+BI239*BI219+BJ239*BJ219+BK239*BK219+BL239*BL219+BM239*BM219+BN239*BN219+BO239*BO219+BP239*BP219+BQ239*BQ219+BR239*BR219+BS239*BS219+BT239*BT219+BU239*BU219+BV239*BV219+BW239*BW219+BX239*BX219+BY239*BY219+BZ239*BZ219+CA239*CA219+CB239*CB219+CC239*CC219+CD239*CD219+CE239*CE219+CF239*CF219+CG239*CG219+CH239*CH219+CI239*CI219+CJ239*CJ219+CK239*CK219</f>
        <v>0</v>
      </c>
      <c r="CR219" s="2297">
        <f>E240*E219+F240*F219+G240*G219+H240*H219+I240*I219+J240*J219+K240*K219+L240*L219+M240*M219+N240*N219+O240*O219+P240*P219+Q240*Q219+R240*R219+S240*S219+T240*T219+U240*U219+V240*V219+W240*W219+X240*X219+Y240*Y219+Z240*Z219+AA240*AA219+AB240*AB219+AC240*AC219+AD240*AD219+AE240*AE219+AF240*AF219+AG240*AG219+AH240*AH219+AI240*AI219+AJ240*AJ219+AK240*AK219+AL240*AL219+AM240*AM219+AN240*AN219+AO240*AO219+AP240*AP219+AQ240*AQ219+AR240*AR219+AS240*AS219+AT240*AT219+AU240*AU219+AV240*AV219+AW240*AW219+AX240*AX219+AY240*AY219+AZ240*AZ219+BA240*BA219+BB240*BB219+BC240*BC219+BD240*BD219+BE240*BE219+BF240*BF219+BG240*BG219+BH240*BH219+BI240*BI219+BJ240*BJ219+BK240*BK219+BL240*BL219+BM240*BM219+BN240*BN219+BO240*BO219+BP240*BP219+BQ240*BQ219+BR240*BR219+BS240*BS219+BT240*BT219+BU240*BU219+BV240*BV219+BW240*BW219+BX240*BX219+BY240*BY219+BZ240*BZ219+CA240*CA219+CB240*CB219+CC240*CC219+CD240*CD219+CE240*CE219+CF240*CF219+CG240*CG219+CH240*CH219+CI240*CI219+CJ240*CJ219+CK240*CK219</f>
        <v>0</v>
      </c>
      <c r="CS219" s="2297">
        <f>E241*E219+F241*F219+G241*G219+H241*H219+I241*I219+J241*J219+K241*K219+L241*L219+M241*M219+N241*N219+O241*O219+P241*P219+Q241*Q219+R241*R219+S241*S219+T241*T219+U241*U219+V241*V219+W241*W219+X241*X219+Y241*Y219+Z241*Z219+AA241*AA219+AB241*AB219+AC241*AC219+AD241*AD219+AE241*AE219+AF241*AF219+AG241*AG219+AH241*AH219+AI241*AI219+AJ241*AJ219+AK241*AK219+AL241*AL219+AM241*AM219+AN241*AN219+AO241*AO219+AP241*AP219+AQ241*AQ219+AR241*AR219+AS241*AS219+AT241*AT219+AU241*AU219+AV241*AV219+AW241*AW219+AX241*AX219+AY241*AY219+AZ241*AZ219+BA241*BA219+BB241*BB219+BC241*BC219+BD241*BD219+BE241*BE219+BF241*BF219+BG241*BG219+BH241*BH219+BI241*BI219+BJ241*BJ219+BK241*BK219+BL241*BL219+BM241*BM219+BN241*BN219+BO241*BO219+BP241*BP219+BQ241*BQ219+BR241*BR219+BS241*BS219+BT241*BT219+BU241*BU219+BV241*BV219+BW241*BW219+BX241*BX219+BY241*BY219+BZ241*BZ219+CA241*CA219+CB241*CB219+CC241*CC219+CD241*CD219+CE241*CE219+CF241*CF219+CG241*CG219+CH241*CH219+CI241*CI219+CJ241*CJ219+CK241*CK219</f>
        <v>0</v>
      </c>
      <c r="CT219" s="2297">
        <f>E242*E219+F242*F219+G242*G219+H242*H219+I242*I219+J242*J219+K242*K219+L242*L219+M242*M219+N242*N219+O242*O219+P242*P219+Q242*Q219+R242*R219+S242*S219+T242*T219+U242*U219+V242*V219+W242*W219+X242*X219+Y242*Y219+Z242*Z219+AA242*AA219+AB242*AB219+AC242*AC219+AD242*AD219+AE242*AE219+AF242*AF219+AG242*AG219+AH242*AH219+AI242*AI219+AJ242*AJ219+AK242*AK219+AL242*AL219+AM242*AM219+AN242*AN219+AO242*AO219+AP242*AP219+AQ242*AQ219+AR242*AR219+AS242*AS219+AT242*AT219+AU242*AU219+AV242*AV219+AW242*AW219+AX242*AX219+AY242*AY219+AZ242*AZ219+BA242*BA219+BB242*BB219+BC242*BC219+BD242*BD219+BE242*BE219+BF242*BF219+BG242*BG219+BH242*BH219+BI242*BI219+BJ242*BJ219+BK242*BK219+BL242*BL219+BM242*BM219+BN242*BN219+BO242*BO219+BP242*BP219+BQ242*BQ219+BR242*BR219+BS242*BS219+BT242*BT219+BU242*BU219+BV242*BV219+BW242*BW219+BX242*BX219+BY242*BY219+BZ242*BZ219+CA242*CA219+CB242*CB219+CC242*CC219+CD242*CD219+CE242*CE219+CF242*CF219+CG242*CG219+CH242*CH219+CI242*CI219+CJ242*CJ219+CK242*CK219</f>
        <v>0</v>
      </c>
      <c r="CU219" s="2297">
        <f>E243*E219+F243*F219+G243*G219+H243*H219+I243*I219+J243*J219+K243*K219+L243*L219+M243*M219+N243*N219+O243*O219+P243*P219+Q243*Q219+R243*R219+S243*S219+T243*T219+U243*U219+V243*V219+W243*W219+X243*X219+Y243*Y219+Z243*Z219+AA243*AA219+AB243*AB219+AC243*AC219+AD243*AD219+AE243*AE219+AF243*AF219+AG243*AG219+AH243*AH219+AI243*AI219+AJ243*AJ219+AK243*AK219+AL243*AL219+AM243*AM219+AN243*AN219+AO243*AO219+AP243*AP219+AQ243*AQ219+AR243*AR219+AS243*AS219+AT243*AT219+AU243*AU219+AV243*AV219+AW243*AW219+AX243*AX219+AY243*AY219+AZ243*AZ219+BA243*BA219+BB243*BB219+BC243*BC219+BD243*BD219+BE243*BE219+BF243*BF219+BG243*BG219+BH243*BH219+BI243*BI219+BJ243*BJ219+BK243*BK219+BL243*BL219+BM243*BM219+BN243*BN219+BO243*BO219+BP243*BP219+BQ243*BQ219+BR243*BR219+BS243*BS219+BT243*BT219+BU243*BU219+BV243*BV219+BW243*BW219+BX243*BX219+BY243*BY219+BZ243*BZ219+CA243*CA219+CB243*CB219+CC243*CC219+CD243*CD219+CE243*CE219+CF243*CF219+CG243*CG219+CH243*CH219+CI243*CI219+CJ243*CJ219+CK243*CK219</f>
        <v>0</v>
      </c>
      <c r="CV219" s="2297">
        <f>E244*E219+F244*F219+G244*G219+H244*H219+I244*I219+J244*J219+K244*K219+L244*L219+M244*M219+N244*N219+O244*O219+P244*P219+Q244*Q219+R244*R219+S244*S219+T244*T219+U244*U219+V244*V219+W244*W219+X244*X219+Y244*Y219+Z244*Z219+AA244*AA219+AB244*AB219+AC244*AC219+AD244*AD219+AE244*AE219+AF244*AF219+AG244*AG219+AH244*AH219+AI244*AI219+AJ244*AJ219+AK244*AK219+AL244*AL219+AM244*AM219+AN244*AN219+AO244*AO219+AP244*AP219+AQ244*AQ219+AR244*AR219+AS244*AS219+AT244*AT219+AU244*AU219+AV244*AV219+AW244*AW219+AX244*AX219+AY244*AY219+AZ244*AZ219+BA244*BA219+BB244*BB219+BC244*BC219+BD244*BD219+BE244*BE219+BF244*BF219+BG244*BG219+BH244*BH219+BI244*BI219+BJ244*BJ219+BK244*BK219+BL244*BL219+BM244*BM219+BN244*BN219+BO244*BO219+BP244*BP219+BQ244*BQ219+BR244*BR219+BS244*BS219+BT244*BT219+BU244*BU219+BV244*BV219+BW244*BW219+BX244*BX219+BY244*BY219+BZ244*BZ219+CA244*CA219+CB244*CB219+CC244*CC219+CD244*CD219+CE244*CE219+CF244*CF219+CG244*CG219+CH244*CH219+CI244*CI219+CJ244*CJ219+CK244*CK219</f>
        <v>0</v>
      </c>
      <c r="CW219" s="2297">
        <f>E245*E219+F245*F219+G245*G219+H245*H219+I245*I219+J245*J219+K245*K219+L245*L219+M245*M219+N245*N219+O245*O219+P245*P219+Q245*Q219+R245*R219+S245*S219+T245*T219+U245*U219+V245*V219+W245*W219+X245*X219+Y245*Y219+Z245*Z219+AA245*AA219+AB245*AB219+AC245*AC219+AD245*AD219+AE245*AE219+AF245*AF219+AG245*AG219+AH245*AH219+AI245*AI219+AJ245*AJ219+AK245*AK219+AL245*AL219+AM245*AM219+AN245*AN219+AO245*AO219+AP245*AP219+AQ245*AQ219+AR245*AR219+AS245*AS219+AT245*AT219+AU245*AU219+AV245*AV219+AW245*AW219+AX245*AX219+AY245*AY219+AZ245*AZ219+BA245*BA219+BB245*BB219+BC245*BC219+BD245*BD219+BE245*BE219+BF245*BF219+BG245*BG219+BH245*BH219+BI245*BI219+BJ245*BJ219+BK245*BK219+BL245*BL219+BM245*BM219+BN245*BN219+BO245*BO219+BP245*BP219+BQ245*BQ219+BR245*BR219+BS245*BS219+BT245*BT219+BU245*BU219+BV245*BV219+BW245*BW219+BX245*BX219+BY245*BY219+BZ245*BZ219+CA245*CA219+CB245*CB219+CC245*CC219+CD245*CD219+CE245*CE219+CF245*CF219+CG245*CG219+CH245*CH219+CI245*CI219+CJ245*CJ219+CK245*CK219</f>
        <v>0</v>
      </c>
      <c r="CX219" s="2297">
        <f>E246*E219+F246*F219+G246*G219+H246*H219+I246*I219+J246*J219+K246*K219+L246*L219+M246*M219+N246*N219+O246*O219+P246*P219+Q246*Q219+R246*R219+S246*S219+T246*T219+U246*U219+V246*V219+W246*W219+X246*X219+Y246*Y219+Z246*Z219+AA246*AA219+AB246*AB219+AC246*AC219+AD246*AD219+AE246*AE219+AF246*AF219+AG246*AG219+AH246*AH219+AI246*AI219+AJ246*AJ219+AK246*AK219+AL246*AL219+AM246*AM219+AN246*AN219+AO246*AO219+AP246*AP219+AQ246*AQ219+AR246*AR219+AS246*AS219+AT246*AT219+AU246*AU219+AV246*AV219+AW246*AW219+AX246*AX219+AY246*AY219+AZ246*AZ219+BA246*BA219+BB246*BB219+BC246*BC219+BD246*BD219+BE246*BE219+BF246*BF219+BG246*BG219+BH246*BH219+BI246*BI219+BJ246*BJ219+BK246*BK219+BL246*BL219+BM246*BM219+BN246*BN219+BO246*BO219+BP246*BP219+BQ246*BQ219+BR246*BR219+BS246*BS219+BT246*BT219+BU246*BU219+BV246*BV219+BW246*BW219+BX246*BX219+BY246*BY219+BZ246*BZ219+CA246*CA219+CB246*CB219+CC246*CC219+CD246*CD219+CE246*CE219+CF246*CF219+CG246*CG219+CH246*CH219+CI246*CI219+CJ246*CJ219+CK246*CK219</f>
        <v>0</v>
      </c>
    </row>
    <row r="220" spans="2:102" ht="18" x14ac:dyDescent="0.25">
      <c r="B220" s="1978">
        <v>93</v>
      </c>
      <c r="C220" s="1979" t="s">
        <v>3327</v>
      </c>
      <c r="D220" s="1113" t="s">
        <v>4076</v>
      </c>
      <c r="E220" s="2680">
        <f>0</f>
        <v>0</v>
      </c>
      <c r="F220" s="2680">
        <f>0</f>
        <v>0</v>
      </c>
      <c r="G220" s="2680">
        <f>0</f>
        <v>0</v>
      </c>
      <c r="H220" s="2680">
        <f>0</f>
        <v>0</v>
      </c>
      <c r="I220" s="2680">
        <f>0</f>
        <v>0</v>
      </c>
      <c r="J220" s="2698">
        <f>0</f>
        <v>0</v>
      </c>
      <c r="K220" s="2680">
        <f>0</f>
        <v>0</v>
      </c>
      <c r="L220" s="2680">
        <f>0</f>
        <v>0</v>
      </c>
      <c r="M220" s="2680">
        <f>0</f>
        <v>0</v>
      </c>
      <c r="N220" s="2680">
        <f>0</f>
        <v>0</v>
      </c>
      <c r="O220" s="2680">
        <f>0</f>
        <v>0</v>
      </c>
      <c r="P220" s="2680">
        <f>0</f>
        <v>0</v>
      </c>
      <c r="Q220" s="2680">
        <f>0</f>
        <v>0</v>
      </c>
      <c r="R220" s="2680">
        <f>0</f>
        <v>0</v>
      </c>
      <c r="S220" s="2680">
        <f>0</f>
        <v>0</v>
      </c>
      <c r="T220" s="2680">
        <f>0</f>
        <v>0</v>
      </c>
      <c r="U220" s="2680">
        <f>0</f>
        <v>0</v>
      </c>
      <c r="V220" s="2680">
        <f>0</f>
        <v>0</v>
      </c>
      <c r="W220" s="2680">
        <f>0</f>
        <v>0</v>
      </c>
      <c r="X220" s="2680">
        <f>0</f>
        <v>0</v>
      </c>
      <c r="Y220" s="2680">
        <f>0</f>
        <v>0</v>
      </c>
      <c r="Z220" s="2723">
        <f>0</f>
        <v>0</v>
      </c>
      <c r="AA220" s="2680">
        <f>0</f>
        <v>0</v>
      </c>
      <c r="AB220" s="2680">
        <f>0</f>
        <v>0</v>
      </c>
      <c r="AC220" s="2680">
        <f>0</f>
        <v>0</v>
      </c>
      <c r="AD220" s="2680">
        <f>0</f>
        <v>0</v>
      </c>
      <c r="AE220" s="2680">
        <f>0</f>
        <v>0</v>
      </c>
      <c r="AF220" s="2680">
        <f>0</f>
        <v>0</v>
      </c>
      <c r="AG220" s="2698">
        <f>0</f>
        <v>0</v>
      </c>
      <c r="AH220" s="2680">
        <f>0</f>
        <v>0</v>
      </c>
      <c r="AI220" s="2680">
        <f>0</f>
        <v>0</v>
      </c>
      <c r="AJ220" s="2680">
        <f>0</f>
        <v>0</v>
      </c>
      <c r="AK220" s="2680">
        <f>0</f>
        <v>0</v>
      </c>
      <c r="AL220" s="2680">
        <f>0</f>
        <v>0</v>
      </c>
      <c r="AM220" s="2698">
        <f>0</f>
        <v>0</v>
      </c>
      <c r="AN220" s="2680">
        <f>0</f>
        <v>0</v>
      </c>
      <c r="AO220" s="2680">
        <f>0</f>
        <v>0</v>
      </c>
      <c r="AP220" s="2680">
        <f>0</f>
        <v>0</v>
      </c>
      <c r="AQ220" s="2680">
        <f>0</f>
        <v>0</v>
      </c>
      <c r="AR220" s="2680">
        <f>0</f>
        <v>0</v>
      </c>
      <c r="AS220" s="2680">
        <f>0</f>
        <v>0</v>
      </c>
      <c r="AT220" s="2680">
        <f>0</f>
        <v>0</v>
      </c>
      <c r="AU220" s="2680">
        <f>0</f>
        <v>0</v>
      </c>
      <c r="AV220" s="2680">
        <f>0</f>
        <v>0</v>
      </c>
      <c r="AW220" s="2680">
        <f>0</f>
        <v>0</v>
      </c>
      <c r="AX220" s="2680">
        <f>0</f>
        <v>0</v>
      </c>
      <c r="AY220" s="2680">
        <f>0</f>
        <v>0</v>
      </c>
      <c r="AZ220" s="2680">
        <f>0</f>
        <v>0</v>
      </c>
      <c r="BA220" s="2680">
        <f>0</f>
        <v>0</v>
      </c>
      <c r="BB220" s="2680">
        <f>0</f>
        <v>0</v>
      </c>
      <c r="BC220" s="2680">
        <f>0</f>
        <v>0</v>
      </c>
      <c r="BD220" s="2680">
        <f>0</f>
        <v>0</v>
      </c>
      <c r="BE220" s="2680">
        <f>0</f>
        <v>0</v>
      </c>
      <c r="BF220" s="2680">
        <f>0</f>
        <v>0</v>
      </c>
      <c r="BG220" s="2680">
        <f>0</f>
        <v>0</v>
      </c>
      <c r="BH220" s="2680">
        <f>0</f>
        <v>0</v>
      </c>
      <c r="BI220" s="2680">
        <f>0</f>
        <v>0</v>
      </c>
      <c r="BJ220" s="2680">
        <f>0</f>
        <v>0</v>
      </c>
      <c r="BK220" s="2680">
        <f>0</f>
        <v>0</v>
      </c>
      <c r="BL220" s="2680">
        <f>0</f>
        <v>0</v>
      </c>
      <c r="BM220" s="2680">
        <f>0</f>
        <v>0</v>
      </c>
      <c r="BN220" s="2680">
        <f>0</f>
        <v>0</v>
      </c>
      <c r="BO220" s="2680">
        <f>0</f>
        <v>0</v>
      </c>
      <c r="BP220" s="2680">
        <f>0</f>
        <v>0</v>
      </c>
      <c r="BQ220" s="2680">
        <f>0</f>
        <v>0</v>
      </c>
      <c r="BR220" s="2680">
        <f>0</f>
        <v>0</v>
      </c>
      <c r="BS220" s="2723">
        <f>0</f>
        <v>0</v>
      </c>
      <c r="BT220" s="2723">
        <f>0</f>
        <v>0</v>
      </c>
      <c r="BU220" s="2723">
        <f>0</f>
        <v>0</v>
      </c>
      <c r="BV220" s="2723">
        <f>0</f>
        <v>0</v>
      </c>
      <c r="BW220" s="2680">
        <f>0</f>
        <v>0</v>
      </c>
      <c r="BX220" s="2788">
        <f>1</f>
        <v>1</v>
      </c>
      <c r="BY220" s="2789">
        <f>0</f>
        <v>0</v>
      </c>
      <c r="BZ220" s="2680">
        <f>0</f>
        <v>0</v>
      </c>
      <c r="CA220" s="2680">
        <f>0</f>
        <v>0</v>
      </c>
      <c r="CB220" s="2680">
        <f>0</f>
        <v>0</v>
      </c>
      <c r="CC220" s="2680">
        <f>0</f>
        <v>0</v>
      </c>
      <c r="CD220" s="2680">
        <f>0</f>
        <v>0</v>
      </c>
      <c r="CE220" s="2680">
        <f>0</f>
        <v>0</v>
      </c>
      <c r="CF220" s="2680">
        <f>0</f>
        <v>0</v>
      </c>
      <c r="CG220" s="2680">
        <f>0</f>
        <v>0</v>
      </c>
      <c r="CH220" s="2680">
        <f>0</f>
        <v>0</v>
      </c>
      <c r="CI220" s="2680">
        <f>0</f>
        <v>0</v>
      </c>
      <c r="CJ220" s="2680">
        <f>0</f>
        <v>0</v>
      </c>
      <c r="CK220" s="2680">
        <f>0</f>
        <v>0</v>
      </c>
      <c r="CL220" s="2798">
        <f>q_ALPHA_O2*X_VSS*d_ampALPHA*(S_ALPHA_sat-S_ALPHA)</f>
        <v>1.3343658666002751</v>
      </c>
      <c r="CN220" s="2295">
        <f>E236*E220+F236*F220+G236*G220+H236*H220+I236*I220+J236*J220+K236*K220+L236*L220+M236*M220+N236*N220+O236*O220+P236*P220+Q236*Q220+R236*R220+S236*S220+T236*T220+U236*U220+V236*V220+W236*W220+X236*X220+Y236*Y220+Z236*Z220+AA236*AA220+AB236*AB220+AC236*AC220+AD236*AD220+AE236*AE220+AF236*AF220+AG236*AG220+AH236*AH220+AI236*AI220+AJ236*AJ220+AK236*AK220+AL236*AL220+AM236*AM220+AN236*AN220+AO236*AO220+AP236*AP220+AQ236*AQ220+AR236*AR220+AS236*AS220+AT236*AT220+AU236*AU220+AV236*AV220+AW236*AW220+AX236*AX220+AY236*AY220+AZ236*AZ220+BA236*BA220+BB236*BB220+BC236*BC220+BD236*BD220+BE236*BE220+BF236*BF220+BG236*BG220+BH236*BH220+BI236*BI220+BJ236*BJ220+BK236*BK220+BL236*BL220+BM236*BM220+BN236*BN220+BO236*BO220+BP236*BP220+BQ236*BQ220+BR236*BR220+BS236*BS220+BT236*BT220+BU236*BU220+BV236*BV220+BW236*BW220+BX236*BX220+BY236*BY220+BZ236*BZ220+CA236*CA220+CB236*CB220+CC236*CC220+CD236*CD220+CE236*CE220+CF236*CF220+CG236*CG220+CH236*CH220+CI236*CI220+CJ236*CJ220+CK236*CK220</f>
        <v>0</v>
      </c>
      <c r="CO220" s="2295">
        <f>E237*E220+F237*F220+G237*G220+H237*H220+I237*I220+J237*J220+K237*K220+L237*L220+M237*M220+N237*N220+O237*O220+P237*P220+Q237*Q220+R237*R220+S237*S220+T237*T220+U237*U220+V237*V220+W237*W220+X237*X220+Y237*Y220+Z237*Z220+AA237*AA220+AB237*AB220+AC237*AC220+AD237*AD220+AE237*AE220+AF237*AF220+AG237*AG220+AH237*AH220+AI237*AI220+AJ237*AJ220+AK237*AK220+AL237*AL220+AM237*AM220+AN237*AN220+AO237*AO220+AP237*AP220+AQ237*AQ220+AR237*AR220+AS237*AS220+AT237*AT220+AU237*AU220+AV237*AV220+AW237*AW220+AX237*AX220+AY237*AY220+AZ237*AZ220+BA237*BA220+BB237*BB220+BC237*BC220+BD237*BD220+BE237*BE220+BF237*BF220+BG237*BG220+BH237*BH220+BI237*BI220+BJ237*BJ220+BK237*BK220+BL237*BL220+BM237*BM220+BN237*BN220+BO237*BO220+BP237*BP220+BQ237*BQ220+BR237*BR220+BS237*BS220+BT237*BT220+BU237*BU220+BV237*BV220+BW237*BW220+BX237*BX220+BY237*BY220+BZ237*BZ220+CA237*CA220+CB237*CB220+CC237*CC220+CD237*CD220+CE237*CE220+CF237*CF220+CG237*CG220+CH237*CH220+CI237*CI220+CJ237*CJ220+CK237*CK220</f>
        <v>0</v>
      </c>
      <c r="CP220" s="2296">
        <f>E238*E220+F238*F220+G238*G220+H238*H220+I238*I220+J238*J220+K238*K220+L238*L220+M238*M220+N238*N220+O238*O220+P238*P220+Q238*Q220+R238*R220+S238*S220+T238*T220+U238*U220+V238*V220+W238*W220+X238*X220+Y238*Y220+Z238*Z220+AA238*AA220+AB238*AB220+AC238*AC220+AD238*AD220+AE238*AE220+AF238*AF220+AG238*AG220+AH238*AH220+AI238*AI220+AJ238*AJ220+AK238*AK220+AL238*AL220+AM238*AM220+AN238*AN220+AO238*AO220+AP238*AP220+AQ238*AQ220+AR238*AR220+AS238*AS220+AT238*AT220+AU238*AU220+AV238*AV220+AW238*AW220+AX238*AX220+AY238*AY220+AZ238*AZ220+BA238*BA220+BB238*BB220+BC238*BC220+BD238*BD220+BE238*BE220+BF238*BF220+BG238*BG220+BH238*BH220+BI238*BI220+BJ238*BJ220+BK238*BK220+BL238*BL220+BM238*BM220+BN238*BN220+BO238*BO220+BP238*BP220+BQ238*BQ220+BR238*BR220+BS238*BS220+BT238*BT220+BU238*BU220+BV238*BV220+BW238*BW220+BX238*BX220+BY238*BY220+BZ238*BZ220+CA238*CA220+CB238*CB220+CC238*CC220+CD238*CD220+CE238*CE220+CF238*CF220+CG238*CG220+CH238*CH220+CI238*CI220+CJ238*CJ220+CK238*CK220</f>
        <v>0</v>
      </c>
      <c r="CQ220" s="2297">
        <f>E239*E220+F239*F220+G239*G220+H239*H220+I239*I220+J239*J220+K239*K220+L239*L220+M239*M220+N239*N220+O239*O220+P239*P220+Q239*Q220+R239*R220+S239*S220+T239*T220+U239*U220+V239*V220+W239*W220+X239*X220+Y239*Y220+Z239*Z220+AA239*AA220+AB239*AB220+AC239*AC220+AD239*AD220+AE239*AE220+AF239*AF220+AG239*AG220+AH239*AH220+AI239*AI220+AJ239*AJ220+AK239*AK220+AL239*AL220+AM239*AM220+AN239*AN220+AO239*AO220+AP239*AP220+AQ239*AQ220+AR239*AR220+AS239*AS220+AT239*AT220+AU239*AU220+AV239*AV220+AW239*AW220+AX239*AX220+AY239*AY220+AZ239*AZ220+BA239*BA220+BB239*BB220+BC239*BC220+BD239*BD220+BE239*BE220+BF239*BF220+BG239*BG220+BH239*BH220+BI239*BI220+BJ239*BJ220+BK239*BK220+BL239*BL220+BM239*BM220+BN239*BN220+BO239*BO220+BP239*BP220+BQ239*BQ220+BR239*BR220+BS239*BS220+BT239*BT220+BU239*BU220+BV239*BV220+BW239*BW220+BX239*BX220+BY239*BY220+BZ239*BZ220+CA239*CA220+CB239*CB220+CC239*CC220+CD239*CD220+CE239*CE220+CF239*CF220+CG239*CG220+CH239*CH220+CI239*CI220+CJ239*CJ220+CK239*CK220</f>
        <v>0</v>
      </c>
      <c r="CR220" s="2297">
        <f>E240*E220+F240*F220+G240*G220+H240*H220+I240*I220+J240*J220+K240*K220+L240*L220+M240*M220+N240*N220+O240*O220+P240*P220+Q240*Q220+R240*R220+S240*S220+T240*T220+U240*U220+V240*V220+W240*W220+X240*X220+Y240*Y220+Z240*Z220+AA240*AA220+AB240*AB220+AC240*AC220+AD240*AD220+AE240*AE220+AF240*AF220+AG240*AG220+AH240*AH220+AI240*AI220+AJ240*AJ220+AK240*AK220+AL240*AL220+AM240*AM220+AN240*AN220+AO240*AO220+AP240*AP220+AQ240*AQ220+AR240*AR220+AS240*AS220+AT240*AT220+AU240*AU220+AV240*AV220+AW240*AW220+AX240*AX220+AY240*AY220+AZ240*AZ220+BA240*BA220+BB240*BB220+BC240*BC220+BD240*BD220+BE240*BE220+BF240*BF220+BG240*BG220+BH240*BH220+BI240*BI220+BJ240*BJ220+BK240*BK220+BL240*BL220+BM240*BM220+BN240*BN220+BO240*BO220+BP240*BP220+BQ240*BQ220+BR240*BR220+BS240*BS220+BT240*BT220+BU240*BU220+BV240*BV220+BW240*BW220+BX240*BX220+BY240*BY220+BZ240*BZ220+CA240*CA220+CB240*CB220+CC240*CC220+CD240*CD220+CE240*CE220+CF240*CF220+CG240*CG220+CH240*CH220+CI240*CI220+CJ240*CJ220+CK240*CK220</f>
        <v>0</v>
      </c>
      <c r="CS220" s="2297">
        <f>E241*E220+F241*F220+G241*G220+H241*H220+I241*I220+J241*J220+K241*K220+L241*L220+M241*M220+N241*N220+O241*O220+P241*P220+Q241*Q220+R241*R220+S241*S220+T241*T220+U241*U220+V241*V220+W241*W220+X241*X220+Y241*Y220+Z241*Z220+AA241*AA220+AB241*AB220+AC241*AC220+AD241*AD220+AE241*AE220+AF241*AF220+AG241*AG220+AH241*AH220+AI241*AI220+AJ241*AJ220+AK241*AK220+AL241*AL220+AM241*AM220+AN241*AN220+AO241*AO220+AP241*AP220+AQ241*AQ220+AR241*AR220+AS241*AS220+AT241*AT220+AU241*AU220+AV241*AV220+AW241*AW220+AX241*AX220+AY241*AY220+AZ241*AZ220+BA241*BA220+BB241*BB220+BC241*BC220+BD241*BD220+BE241*BE220+BF241*BF220+BG241*BG220+BH241*BH220+BI241*BI220+BJ241*BJ220+BK241*BK220+BL241*BL220+BM241*BM220+BN241*BN220+BO241*BO220+BP241*BP220+BQ241*BQ220+BR241*BR220+BS241*BS220+BT241*BT220+BU241*BU220+BV241*BV220+BW241*BW220+BX241*BX220+BY241*BY220+BZ241*BZ220+CA241*CA220+CB241*CB220+CC241*CC220+CD241*CD220+CE241*CE220+CF241*CF220+CG241*CG220+CH241*CH220+CI241*CI220+CJ241*CJ220+CK241*CK220</f>
        <v>0</v>
      </c>
      <c r="CT220" s="2297">
        <f>E242*E220+F242*F220+G242*G220+H242*H220+I242*I220+J242*J220+K242*K220+L242*L220+M242*M220+N242*N220+O242*O220+P242*P220+Q242*Q220+R242*R220+S242*S220+T242*T220+U242*U220+V242*V220+W242*W220+X242*X220+Y242*Y220+Z242*Z220+AA242*AA220+AB242*AB220+AC242*AC220+AD242*AD220+AE242*AE220+AF242*AF220+AG242*AG220+AH242*AH220+AI242*AI220+AJ242*AJ220+AK242*AK220+AL242*AL220+AM242*AM220+AN242*AN220+AO242*AO220+AP242*AP220+AQ242*AQ220+AR242*AR220+AS242*AS220+AT242*AT220+AU242*AU220+AV242*AV220+AW242*AW220+AX242*AX220+AY242*AY220+AZ242*AZ220+BA242*BA220+BB242*BB220+BC242*BC220+BD242*BD220+BE242*BE220+BF242*BF220+BG242*BG220+BH242*BH220+BI242*BI220+BJ242*BJ220+BK242*BK220+BL242*BL220+BM242*BM220+BN242*BN220+BO242*BO220+BP242*BP220+BQ242*BQ220+BR242*BR220+BS242*BS220+BT242*BT220+BU242*BU220+BV242*BV220+BW242*BW220+BX242*BX220+BY242*BY220+BZ242*BZ220+CA242*CA220+CB242*CB220+CC242*CC220+CD242*CD220+CE242*CE220+CF242*CF220+CG242*CG220+CH242*CH220+CI242*CI220+CJ242*CJ220+CK242*CK220</f>
        <v>0</v>
      </c>
      <c r="CU220" s="2297">
        <f>E243*E220+F243*F220+G243*G220+H243*H220+I243*I220+J243*J220+K243*K220+L243*L220+M243*M220+N243*N220+O243*O220+P243*P220+Q243*Q220+R243*R220+S243*S220+T243*T220+U243*U220+V243*V220+W243*W220+X243*X220+Y243*Y220+Z243*Z220+AA243*AA220+AB243*AB220+AC243*AC220+AD243*AD220+AE243*AE220+AF243*AF220+AG243*AG220+AH243*AH220+AI243*AI220+AJ243*AJ220+AK243*AK220+AL243*AL220+AM243*AM220+AN243*AN220+AO243*AO220+AP243*AP220+AQ243*AQ220+AR243*AR220+AS243*AS220+AT243*AT220+AU243*AU220+AV243*AV220+AW243*AW220+AX243*AX220+AY243*AY220+AZ243*AZ220+BA243*BA220+BB243*BB220+BC243*BC220+BD243*BD220+BE243*BE220+BF243*BF220+BG243*BG220+BH243*BH220+BI243*BI220+BJ243*BJ220+BK243*BK220+BL243*BL220+BM243*BM220+BN243*BN220+BO243*BO220+BP243*BP220+BQ243*BQ220+BR243*BR220+BS243*BS220+BT243*BT220+BU243*BU220+BV243*BV220+BW243*BW220+BX243*BX220+BY243*BY220+BZ243*BZ220+CA243*CA220+CB243*CB220+CC243*CC220+CD243*CD220+CE243*CE220+CF243*CF220+CG243*CG220+CH243*CH220+CI243*CI220+CJ243*CJ220+CK243*CK220</f>
        <v>0</v>
      </c>
      <c r="CV220" s="2297">
        <f>E244*E220+F244*F220+G244*G220+H244*H220+I244*I220+J244*J220+K244*K220+L244*L220+M244*M220+N244*N220+O244*O220+P244*P220+Q244*Q220+R244*R220+S244*S220+T244*T220+U244*U220+V244*V220+W244*W220+X244*X220+Y244*Y220+Z244*Z220+AA244*AA220+AB244*AB220+AC244*AC220+AD244*AD220+AE244*AE220+AF244*AF220+AG244*AG220+AH244*AH220+AI244*AI220+AJ244*AJ220+AK244*AK220+AL244*AL220+AM244*AM220+AN244*AN220+AO244*AO220+AP244*AP220+AQ244*AQ220+AR244*AR220+AS244*AS220+AT244*AT220+AU244*AU220+AV244*AV220+AW244*AW220+AX244*AX220+AY244*AY220+AZ244*AZ220+BA244*BA220+BB244*BB220+BC244*BC220+BD244*BD220+BE244*BE220+BF244*BF220+BG244*BG220+BH244*BH220+BI244*BI220+BJ244*BJ220+BK244*BK220+BL244*BL220+BM244*BM220+BN244*BN220+BO244*BO220+BP244*BP220+BQ244*BQ220+BR244*BR220+BS244*BS220+BT244*BT220+BU244*BU220+BV244*BV220+BW244*BW220+BX244*BX220+BY244*BY220+BZ244*BZ220+CA244*CA220+CB244*CB220+CC244*CC220+CD244*CD220+CE244*CE220+CF244*CF220+CG244*CG220+CH244*CH220+CI244*CI220+CJ244*CJ220+CK244*CK220</f>
        <v>0</v>
      </c>
      <c r="CW220" s="2297">
        <f>E245*E220+F245*F220+G245*G220+H245*H220+I245*I220+J245*J220+K245*K220+L245*L220+M245*M220+N245*N220+O245*O220+P245*P220+Q245*Q220+R245*R220+S245*S220+T245*T220+U245*U220+V245*V220+W245*W220+X245*X220+Y245*Y220+Z245*Z220+AA245*AA220+AB245*AB220+AC245*AC220+AD245*AD220+AE245*AE220+AF245*AF220+AG245*AG220+AH245*AH220+AI245*AI220+AJ245*AJ220+AK245*AK220+AL245*AL220+AM245*AM220+AN245*AN220+AO245*AO220+AP245*AP220+AQ245*AQ220+AR245*AR220+AS245*AS220+AT245*AT220+AU245*AU220+AV245*AV220+AW245*AW220+AX245*AX220+AY245*AY220+AZ245*AZ220+BA245*BA220+BB245*BB220+BC245*BC220+BD245*BD220+BE245*BE220+BF245*BF220+BG245*BG220+BH245*BH220+BI245*BI220+BJ245*BJ220+BK245*BK220+BL245*BL220+BM245*BM220+BN245*BN220+BO245*BO220+BP245*BP220+BQ245*BQ220+BR245*BR220+BS245*BS220+BT245*BT220+BU245*BU220+BV245*BV220+BW245*BW220+BX245*BX220+BY245*BY220+BZ245*BZ220+CA245*CA220+CB245*CB220+CC245*CC220+CD245*CD220+CE245*CE220+CF245*CF220+CG245*CG220+CH245*CH220+CI245*CI220+CJ245*CJ220+CK245*CK220</f>
        <v>0</v>
      </c>
      <c r="CX220" s="2297">
        <f>E246*E220+F246*F220+G246*G220+H246*H220+I246*I220+J246*J220+K246*K220+L246*L220+M246*M220+N246*N220+O246*O220+P246*P220+Q246*Q220+R246*R220+S246*S220+T246*T220+U246*U220+V246*V220+W246*W220+X246*X220+Y246*Y220+Z246*Z220+AA246*AA220+AB246*AB220+AC246*AC220+AD246*AD220+AE246*AE220+AF246*AF220+AG246*AG220+AH246*AH220+AI246*AI220+AJ246*AJ220+AK246*AK220+AL246*AL220+AM246*AM220+AN246*AN220+AO246*AO220+AP246*AP220+AQ246*AQ220+AR246*AR220+AS246*AS220+AT246*AT220+AU246*AU220+AV246*AV220+AW246*AW220+AX246*AX220+AY246*AY220+AZ246*AZ220+BA246*BA220+BB246*BB220+BC246*BC220+BD246*BD220+BE246*BE220+BF246*BF220+BG246*BG220+BH246*BH220+BI246*BI220+BJ246*BJ220+BK246*BK220+BL246*BL220+BM246*BM220+BN246*BN220+BO246*BO220+BP246*BP220+BQ246*BQ220+BR246*BR220+BS246*BS220+BT246*BT220+BU246*BU220+BV246*BV220+BW246*BW220+BX246*BX220+BY246*BY220+BZ246*BZ220+CA246*CA220+CB246*CB220+CC246*CC220+CD246*CD220+CE246*CE220+CF246*CF220+CG246*CG220+CH246*CH220+CI246*CI220+CJ246*CJ220+CK246*CK220</f>
        <v>0</v>
      </c>
    </row>
    <row r="221" spans="2:102" ht="18" x14ac:dyDescent="0.25">
      <c r="B221" s="1980">
        <v>94</v>
      </c>
      <c r="C221" s="1981" t="s">
        <v>3348</v>
      </c>
      <c r="D221" s="633" t="s">
        <v>3113</v>
      </c>
      <c r="E221" s="2681">
        <f>0</f>
        <v>0</v>
      </c>
      <c r="F221" s="2681">
        <f>0</f>
        <v>0</v>
      </c>
      <c r="G221" s="2681">
        <f>0</f>
        <v>0</v>
      </c>
      <c r="H221" s="2681">
        <f>0</f>
        <v>0</v>
      </c>
      <c r="I221" s="2681">
        <f>0</f>
        <v>0</v>
      </c>
      <c r="J221" s="2699">
        <f>0</f>
        <v>0</v>
      </c>
      <c r="K221" s="2681">
        <f>0</f>
        <v>0</v>
      </c>
      <c r="L221" s="2681">
        <f>0</f>
        <v>0</v>
      </c>
      <c r="M221" s="2681">
        <f>0</f>
        <v>0</v>
      </c>
      <c r="N221" s="2681">
        <f>0</f>
        <v>0</v>
      </c>
      <c r="O221" s="2681">
        <f>0</f>
        <v>0</v>
      </c>
      <c r="P221" s="2681">
        <f>0</f>
        <v>0</v>
      </c>
      <c r="Q221" s="2681">
        <f>0</f>
        <v>0</v>
      </c>
      <c r="R221" s="2711">
        <f>0</f>
        <v>0</v>
      </c>
      <c r="S221" s="2681">
        <f>0</f>
        <v>0</v>
      </c>
      <c r="T221" s="2681">
        <f>0</f>
        <v>0</v>
      </c>
      <c r="U221" s="2681">
        <f>0</f>
        <v>0</v>
      </c>
      <c r="V221" s="2681">
        <f>0</f>
        <v>0</v>
      </c>
      <c r="W221" s="2681">
        <f>0</f>
        <v>0</v>
      </c>
      <c r="X221" s="2681">
        <f>0</f>
        <v>0</v>
      </c>
      <c r="Y221" s="2681">
        <f>0</f>
        <v>0</v>
      </c>
      <c r="Z221" s="2724">
        <f>0</f>
        <v>0</v>
      </c>
      <c r="AA221" s="2681">
        <f>0</f>
        <v>0</v>
      </c>
      <c r="AB221" s="2681">
        <f>0</f>
        <v>0</v>
      </c>
      <c r="AC221" s="2681">
        <f>0</f>
        <v>0</v>
      </c>
      <c r="AD221" s="2681">
        <f>0</f>
        <v>0</v>
      </c>
      <c r="AE221" s="2681">
        <f>0</f>
        <v>0</v>
      </c>
      <c r="AF221" s="2681">
        <f>0</f>
        <v>0</v>
      </c>
      <c r="AG221" s="2699">
        <f>0</f>
        <v>0</v>
      </c>
      <c r="AH221" s="2681">
        <f>0</f>
        <v>0</v>
      </c>
      <c r="AI221" s="2681">
        <f>0</f>
        <v>0</v>
      </c>
      <c r="AJ221" s="2681">
        <f>0</f>
        <v>0</v>
      </c>
      <c r="AK221" s="2681">
        <f>0</f>
        <v>0</v>
      </c>
      <c r="AL221" s="2681">
        <f>0</f>
        <v>0</v>
      </c>
      <c r="AM221" s="2699">
        <f>0</f>
        <v>0</v>
      </c>
      <c r="AN221" s="2681">
        <f>0</f>
        <v>0</v>
      </c>
      <c r="AO221" s="2681">
        <f>0</f>
        <v>0</v>
      </c>
      <c r="AP221" s="2681">
        <f>0</f>
        <v>0</v>
      </c>
      <c r="AQ221" s="2681">
        <f>0</f>
        <v>0</v>
      </c>
      <c r="AR221" s="2681">
        <f>1</f>
        <v>1</v>
      </c>
      <c r="AS221" s="2681">
        <f>0</f>
        <v>0</v>
      </c>
      <c r="AT221" s="2681">
        <f>0</f>
        <v>0</v>
      </c>
      <c r="AU221" s="2681">
        <f>0</f>
        <v>0</v>
      </c>
      <c r="AV221" s="2681">
        <f>0</f>
        <v>0</v>
      </c>
      <c r="AW221" s="2681">
        <f>0</f>
        <v>0</v>
      </c>
      <c r="AX221" s="2681">
        <f>0</f>
        <v>0</v>
      </c>
      <c r="AY221" s="2711">
        <f>0</f>
        <v>0</v>
      </c>
      <c r="AZ221" s="2711">
        <f>0</f>
        <v>0</v>
      </c>
      <c r="BA221" s="2711">
        <f>0</f>
        <v>0</v>
      </c>
      <c r="BB221" s="2711">
        <f>0</f>
        <v>0</v>
      </c>
      <c r="BC221" s="2711">
        <f>0</f>
        <v>0</v>
      </c>
      <c r="BD221" s="2711">
        <f>0</f>
        <v>0</v>
      </c>
      <c r="BE221" s="2711">
        <f>0</f>
        <v>0</v>
      </c>
      <c r="BF221" s="2711">
        <f>0</f>
        <v>0</v>
      </c>
      <c r="BG221" s="2711">
        <f>0</f>
        <v>0</v>
      </c>
      <c r="BH221" s="2711">
        <f>0</f>
        <v>0</v>
      </c>
      <c r="BI221" s="2711">
        <f>0</f>
        <v>0</v>
      </c>
      <c r="BJ221" s="2711">
        <f>0</f>
        <v>0</v>
      </c>
      <c r="BK221" s="2711">
        <f>0</f>
        <v>0</v>
      </c>
      <c r="BL221" s="2711">
        <f>0</f>
        <v>0</v>
      </c>
      <c r="BM221" s="2711">
        <f>0</f>
        <v>0</v>
      </c>
      <c r="BN221" s="2711">
        <f>0</f>
        <v>0</v>
      </c>
      <c r="BO221" s="2711">
        <f>0</f>
        <v>0</v>
      </c>
      <c r="BP221" s="2764">
        <f>0</f>
        <v>0</v>
      </c>
      <c r="BQ221" s="2711">
        <f>0</f>
        <v>0</v>
      </c>
      <c r="BR221" s="2711">
        <f>0</f>
        <v>0</v>
      </c>
      <c r="BS221" s="2773">
        <f>0</f>
        <v>0</v>
      </c>
      <c r="BT221" s="2773">
        <f>0</f>
        <v>0</v>
      </c>
      <c r="BU221" s="2773">
        <f>0</f>
        <v>0</v>
      </c>
      <c r="BV221" s="2773">
        <f>0</f>
        <v>0</v>
      </c>
      <c r="BW221" s="2711">
        <f>0</f>
        <v>0</v>
      </c>
      <c r="BX221" s="2712">
        <f>0</f>
        <v>0</v>
      </c>
      <c r="BY221" s="2773">
        <f>0</f>
        <v>0</v>
      </c>
      <c r="BZ221" s="2681">
        <f>-1</f>
        <v>-1</v>
      </c>
      <c r="CA221" s="2681">
        <f>0</f>
        <v>0</v>
      </c>
      <c r="CB221" s="2681">
        <f>0</f>
        <v>0</v>
      </c>
      <c r="CC221" s="2681">
        <f>0</f>
        <v>0</v>
      </c>
      <c r="CD221" s="2681">
        <f>0</f>
        <v>0</v>
      </c>
      <c r="CE221" s="2681">
        <f>0</f>
        <v>0</v>
      </c>
      <c r="CF221" s="2711">
        <f>0</f>
        <v>0</v>
      </c>
      <c r="CG221" s="2711">
        <f>0</f>
        <v>0</v>
      </c>
      <c r="CH221" s="2711">
        <f>0</f>
        <v>0</v>
      </c>
      <c r="CI221" s="2711">
        <f>0</f>
        <v>0</v>
      </c>
      <c r="CJ221" s="2711">
        <f>0</f>
        <v>0</v>
      </c>
      <c r="CK221" s="2711">
        <f>0</f>
        <v>0</v>
      </c>
      <c r="CL221" s="2820">
        <f>k_transfer_GCO2_bub</f>
        <v>2861.6873452767227</v>
      </c>
      <c r="CN221" s="2295">
        <f>E236*E221+F236*F221+G236*G221+H236*H221+I236*I221+J236*J221+K236*K221+L236*L221+M236*M221+N236*N221+O236*O221+P236*P221+Q236*Q221+R236*R221+S236*S221+T236*T221+U236*U221+V236*V221+W236*W221+X236*X221+Y236*Y221+Z236*Z221+AA236*AA221+AB236*AB221+AC236*AC221+AD236*AD221+AE236*AE221+AF236*AF221+AG236*AG221+AH236*AH221+AI236*AI221+AJ236*AJ221+AK236*AK221+AL236*AL221+AM236*AM221+AN236*AN221+AO236*AO221+AP236*AP221+AQ236*AQ221+AR236*AR221+AS236*AS221+AT236*AT221+AU236*AU221+AV236*AV221+AW236*AW221+AX236*AX221+AY236*AY221+AZ236*AZ221+BA236*BA221+BB236*BB221+BC236*BC221+BD236*BD221+BE236*BE221+BF236*BF221+BG236*BG221+BH236*BH221+BI236*BI221+BJ236*BJ221+BK236*BK221+BL236*BL221+BM236*BM221+BN236*BN221+BO236*BO221+BP236*BP221+BQ236*BQ221+BR236*BR221+BS236*BS221+BT236*BT221+BU236*BU221+BV236*BV221+BW236*BW221+BX236*BX221+BY236*BY221+BZ236*BZ221+CA236*CA221+CB236*CB221+CC236*CC221+CD236*CD221+CE236*CE221+CF236*CF221+CG236*CG221+CH236*CH221+CI236*CI221+CJ236*CJ221+CK236*CK221</f>
        <v>0</v>
      </c>
      <c r="CO221" s="2295">
        <f>E237*E221+F237*F221+G237*G221+H237*H221+I237*I221+J237*J221+K237*K221+L237*L221+M237*M221+N237*N221+O237*O221+P237*P221+Q237*Q221+R237*R221+S237*S221+T237*T221+U237*U221+V237*V221+W237*W221+X237*X221+Y237*Y221+Z237*Z221+AA237*AA221+AB237*AB221+AC237*AC221+AD237*AD221+AE237*AE221+AF237*AF221+AG237*AG221+AH237*AH221+AI237*AI221+AJ237*AJ221+AK237*AK221+AL237*AL221+AM237*AM221+AN237*AN221+AO237*AO221+AP237*AP221+AQ237*AQ221+AR237*AR221+AS237*AS221+AT237*AT221+AU237*AU221+AV237*AV221+AW237*AW221+AX237*AX221+AY237*AY221+AZ237*AZ221+BA237*BA221+BB237*BB221+BC237*BC221+BD237*BD221+BE237*BE221+BF237*BF221+BG237*BG221+BH237*BH221+BI237*BI221+BJ237*BJ221+BK237*BK221+BL237*BL221+BM237*BM221+BN237*BN221+BO237*BO221+BP237*BP221+BQ237*BQ221+BR237*BR221+BS237*BS221+BT237*BT221+BU237*BU221+BV237*BV221+BW237*BW221+BX237*BX221+BY237*BY221+BZ237*BZ221+CA237*CA221+CB237*CB221+CC237*CC221+CD237*CD221+CE237*CE221+CF237*CF221+CG237*CG221+CH237*CH221+CI237*CI221+CJ237*CJ221+CK237*CK221</f>
        <v>0</v>
      </c>
      <c r="CP221" s="2296">
        <f>E238*E221+F238*F221+G238*G221+H238*H221+I238*I221+J238*J221+K238*K221+L238*L221+M238*M221+N238*N221+O238*O221+P238*P221+Q238*Q221+R238*R221+S238*S221+T238*T221+U238*U221+V238*V221+W238*W221+X238*X221+Y238*Y221+Z238*Z221+AA238*AA221+AB238*AB221+AC238*AC221+AD238*AD221+AE238*AE221+AF238*AF221+AG238*AG221+AH238*AH221+AI238*AI221+AJ238*AJ221+AK238*AK221+AL238*AL221+AM238*AM221+AN238*AN221+AO238*AO221+AP238*AP221+AQ238*AQ221+AR238*AR221+AS238*AS221+AT238*AT221+AU238*AU221+AV238*AV221+AW238*AW221+AX238*AX221+AY238*AY221+AZ238*AZ221+BA238*BA221+BB238*BB221+BC238*BC221+BD238*BD221+BE238*BE221+BF238*BF221+BG238*BG221+BH238*BH221+BI238*BI221+BJ238*BJ221+BK238*BK221+BL238*BL221+BM238*BM221+BN238*BN221+BO238*BO221+BP238*BP221+BQ238*BQ221+BR238*BR221+BS238*BS221+BT238*BT221+BU238*BU221+BV238*BV221+BW238*BW221+BX238*BX221+BY238*BY221+BZ238*BZ221+CA238*CA221+CB238*CB221+CC238*CC221+CD238*CD221+CE238*CE221+CF238*CF221+CG238*CG221+CH238*CH221+CI238*CI221+CJ238*CJ221+CK238*CK221</f>
        <v>0</v>
      </c>
      <c r="CQ221" s="2297">
        <f>E239*E221+F239*F221+G239*G221+H239*H221+I239*I221+J239*J221+K239*K221+L239*L221+M239*M221+N239*N221+O239*O221+P239*P221+Q239*Q221+R239*R221+S239*S221+T239*T221+U239*U221+V239*V221+W239*W221+X239*X221+Y239*Y221+Z239*Z221+AA239*AA221+AB239*AB221+AC239*AC221+AD239*AD221+AE239*AE221+AF239*AF221+AG239*AG221+AH239*AH221+AI239*AI221+AJ239*AJ221+AK239*AK221+AL239*AL221+AM239*AM221+AN239*AN221+AO239*AO221+AP239*AP221+AQ239*AQ221+AR239*AR221+AS239*AS221+AT239*AT221+AU239*AU221+AV239*AV221+AW239*AW221+AX239*AX221+AY239*AY221+AZ239*AZ221+BA239*BA221+BB239*BB221+BC239*BC221+BD239*BD221+BE239*BE221+BF239*BF221+BG239*BG221+BH239*BH221+BI239*BI221+BJ239*BJ221+BK239*BK221+BL239*BL221+BM239*BM221+BN239*BN221+BO239*BO221+BP239*BP221+BQ239*BQ221+BR239*BR221+BS239*BS221+BT239*BT221+BU239*BU221+BV239*BV221+BW239*BW221+BX239*BX221+BY239*BY221+BZ239*BZ221+CA239*CA221+CB239*CB221+CC239*CC221+CD239*CD221+CE239*CE221+CF239*CF221+CG239*CG221+CH239*CH221+CI239*CI221+CJ239*CJ221+CK239*CK221</f>
        <v>0</v>
      </c>
      <c r="CR221" s="2297">
        <f>E240*E221+F240*F221+G240*G221+H240*H221+I240*I221+J240*J221+K240*K221+L240*L221+M240*M221+N240*N221+O240*O221+P240*P221+Q240*Q221+R240*R221+S240*S221+T240*T221+U240*U221+V240*V221+W240*W221+X240*X221+Y240*Y221+Z240*Z221+AA240*AA221+AB240*AB221+AC240*AC221+AD240*AD221+AE240*AE221+AF240*AF221+AG240*AG221+AH240*AH221+AI240*AI221+AJ240*AJ221+AK240*AK221+AL240*AL221+AM240*AM221+AN240*AN221+AO240*AO221+AP240*AP221+AQ240*AQ221+AR240*AR221+AS240*AS221+AT240*AT221+AU240*AU221+AV240*AV221+AW240*AW221+AX240*AX221+AY240*AY221+AZ240*AZ221+BA240*BA221+BB240*BB221+BC240*BC221+BD240*BD221+BE240*BE221+BF240*BF221+BG240*BG221+BH240*BH221+BI240*BI221+BJ240*BJ221+BK240*BK221+BL240*BL221+BM240*BM221+BN240*BN221+BO240*BO221+BP240*BP221+BQ240*BQ221+BR240*BR221+BS240*BS221+BT240*BT221+BU240*BU221+BV240*BV221+BW240*BW221+BX240*BX221+BY240*BY221+BZ240*BZ221+CA240*CA221+CB240*CB221+CC240*CC221+CD240*CD221+CE240*CE221+CF240*CF221+CG240*CG221+CH240*CH221+CI240*CI221+CJ240*CJ221+CK240*CK221</f>
        <v>0</v>
      </c>
      <c r="CS221" s="2297">
        <f>E241*E221+F241*F221+G241*G221+H241*H221+I241*I221+J241*J221+K241*K221+L241*L221+M241*M221+N241*N221+O241*O221+P241*P221+Q241*Q221+R241*R221+S241*S221+T241*T221+U241*U221+V241*V221+W241*W221+X241*X221+Y241*Y221+Z241*Z221+AA241*AA221+AB241*AB221+AC241*AC221+AD241*AD221+AE241*AE221+AF241*AF221+AG241*AG221+AH241*AH221+AI241*AI221+AJ241*AJ221+AK241*AK221+AL241*AL221+AM241*AM221+AN241*AN221+AO241*AO221+AP241*AP221+AQ241*AQ221+AR241*AR221+AS241*AS221+AT241*AT221+AU241*AU221+AV241*AV221+AW241*AW221+AX241*AX221+AY241*AY221+AZ241*AZ221+BA241*BA221+BB241*BB221+BC241*BC221+BD241*BD221+BE241*BE221+BF241*BF221+BG241*BG221+BH241*BH221+BI241*BI221+BJ241*BJ221+BK241*BK221+BL241*BL221+BM241*BM221+BN241*BN221+BO241*BO221+BP241*BP221+BQ241*BQ221+BR241*BR221+BS241*BS221+BT241*BT221+BU241*BU221+BV241*BV221+BW241*BW221+BX241*BX221+BY241*BY221+BZ241*BZ221+CA241*CA221+CB241*CB221+CC241*CC221+CD241*CD221+CE241*CE221+CF241*CF221+CG241*CG221+CH241*CH221+CI241*CI221+CJ241*CJ221+CK241*CK221</f>
        <v>0</v>
      </c>
      <c r="CT221" s="2297">
        <f>E242*E221+F242*F221+G242*G221+H242*H221+I242*I221+J242*J221+K242*K221+L242*L221+M242*M221+N242*N221+O242*O221+P242*P221+Q242*Q221+R242*R221+S242*S221+T242*T221+U242*U221+V242*V221+W242*W221+X242*X221+Y242*Y221+Z242*Z221+AA242*AA221+AB242*AB221+AC242*AC221+AD242*AD221+AE242*AE221+AF242*AF221+AG242*AG221+AH242*AH221+AI242*AI221+AJ242*AJ221+AK242*AK221+AL242*AL221+AM242*AM221+AN242*AN221+AO242*AO221+AP242*AP221+AQ242*AQ221+AR242*AR221+AS242*AS221+AT242*AT221+AU242*AU221+AV242*AV221+AW242*AW221+AX242*AX221+AY242*AY221+AZ242*AZ221+BA242*BA221+BB242*BB221+BC242*BC221+BD242*BD221+BE242*BE221+BF242*BF221+BG242*BG221+BH242*BH221+BI242*BI221+BJ242*BJ221+BK242*BK221+BL242*BL221+BM242*BM221+BN242*BN221+BO242*BO221+BP242*BP221+BQ242*BQ221+BR242*BR221+BS242*BS221+BT242*BT221+BU242*BU221+BV242*BV221+BW242*BW221+BX242*BX221+BY242*BY221+BZ242*BZ221+CA242*CA221+CB242*CB221+CC242*CC221+CD242*CD221+CE242*CE221+CF242*CF221+CG242*CG221+CH242*CH221+CI242*CI221+CJ242*CJ221+CK242*CK221</f>
        <v>0</v>
      </c>
      <c r="CU221" s="2297">
        <f>E243*E221+F243*F221+G243*G221+H243*H221+I243*I221+J243*J221+K243*K221+L243*L221+M243*M221+N243*N221+O243*O221+P243*P221+Q243*Q221+R243*R221+S243*S221+T243*T221+U243*U221+V243*V221+W243*W221+X243*X221+Y243*Y221+Z243*Z221+AA243*AA221+AB243*AB221+AC243*AC221+AD243*AD221+AE243*AE221+AF243*AF221+AG243*AG221+AH243*AH221+AI243*AI221+AJ243*AJ221+AK243*AK221+AL243*AL221+AM243*AM221+AN243*AN221+AO243*AO221+AP243*AP221+AQ243*AQ221+AR243*AR221+AS243*AS221+AT243*AT221+AU243*AU221+AV243*AV221+AW243*AW221+AX243*AX221+AY243*AY221+AZ243*AZ221+BA243*BA221+BB243*BB221+BC243*BC221+BD243*BD221+BE243*BE221+BF243*BF221+BG243*BG221+BH243*BH221+BI243*BI221+BJ243*BJ221+BK243*BK221+BL243*BL221+BM243*BM221+BN243*BN221+BO243*BO221+BP243*BP221+BQ243*BQ221+BR243*BR221+BS243*BS221+BT243*BT221+BU243*BU221+BV243*BV221+BW243*BW221+BX243*BX221+BY243*BY221+BZ243*BZ221+CA243*CA221+CB243*CB221+CC243*CC221+CD243*CD221+CE243*CE221+CF243*CF221+CG243*CG221+CH243*CH221+CI243*CI221+CJ243*CJ221+CK243*CK221</f>
        <v>0</v>
      </c>
      <c r="CV221" s="2297">
        <f>E244*E221+F244*F221+G244*G221+H244*H221+I244*I221+J244*J221+K244*K221+L244*L221+M244*M221+N244*N221+O244*O221+P244*P221+Q244*Q221+R244*R221+S244*S221+T244*T221+U244*U221+V244*V221+W244*W221+X244*X221+Y244*Y221+Z244*Z221+AA244*AA221+AB244*AB221+AC244*AC221+AD244*AD221+AE244*AE221+AF244*AF221+AG244*AG221+AH244*AH221+AI244*AI221+AJ244*AJ221+AK244*AK221+AL244*AL221+AM244*AM221+AN244*AN221+AO244*AO221+AP244*AP221+AQ244*AQ221+AR244*AR221+AS244*AS221+AT244*AT221+AU244*AU221+AV244*AV221+AW244*AW221+AX244*AX221+AY244*AY221+AZ244*AZ221+BA244*BA221+BB244*BB221+BC244*BC221+BD244*BD221+BE244*BE221+BF244*BF221+BG244*BG221+BH244*BH221+BI244*BI221+BJ244*BJ221+BK244*BK221+BL244*BL221+BM244*BM221+BN244*BN221+BO244*BO221+BP244*BP221+BQ244*BQ221+BR244*BR221+BS244*BS221+BT244*BT221+BU244*BU221+BV244*BV221+BW244*BW221+BX244*BX221+BY244*BY221+BZ244*BZ221+CA244*CA221+CB244*CB221+CC244*CC221+CD244*CD221+CE244*CE221+CF244*CF221+CG244*CG221+CH244*CH221+CI244*CI221+CJ244*CJ221+CK244*CK221</f>
        <v>0</v>
      </c>
      <c r="CW221" s="2297">
        <f>E245*E221+F245*F221+G245*G221+H245*H221+I245*I221+J245*J221+K245*K221+L245*L221+M245*M221+N245*N221+O245*O221+P245*P221+Q245*Q221+R245*R221+S245*S221+T245*T221+U245*U221+V245*V221+W245*W221+X245*X221+Y245*Y221+Z245*Z221+AA245*AA221+AB245*AB221+AC245*AC221+AD245*AD221+AE245*AE221+AF245*AF221+AG245*AG221+AH245*AH221+AI245*AI221+AJ245*AJ221+AK245*AK221+AL245*AL221+AM245*AM221+AN245*AN221+AO245*AO221+AP245*AP221+AQ245*AQ221+AR245*AR221+AS245*AS221+AT245*AT221+AU245*AU221+AV245*AV221+AW245*AW221+AX245*AX221+AY245*AY221+AZ245*AZ221+BA245*BA221+BB245*BB221+BC245*BC221+BD245*BD221+BE245*BE221+BF245*BF221+BG245*BG221+BH245*BH221+BI245*BI221+BJ245*BJ221+BK245*BK221+BL245*BL221+BM245*BM221+BN245*BN221+BO245*BO221+BP245*BP221+BQ245*BQ221+BR245*BR221+BS245*BS221+BT245*BT221+BU245*BU221+BV245*BV221+BW245*BW221+BX245*BX221+BY245*BY221+BZ245*BZ221+CA245*CA221+CB245*CB221+CC245*CC221+CD245*CD221+CE245*CE221+CF245*CF221+CG245*CG221+CH245*CH221+CI245*CI221+CJ245*CJ221+CK245*CK221</f>
        <v>0</v>
      </c>
      <c r="CX221" s="2297">
        <f>E246*E221+F246*F221+G246*G221+H246*H221+I246*I221+J246*J221+K246*K221+L246*L221+M246*M221+N246*N221+O246*O221+P246*P221+Q246*Q221+R246*R221+S246*S221+T246*T221+U246*U221+V246*V221+W246*W221+X246*X221+Y246*Y221+Z246*Z221+AA246*AA221+AB246*AB221+AC246*AC221+AD246*AD221+AE246*AE221+AF246*AF221+AG246*AG221+AH246*AH221+AI246*AI221+AJ246*AJ221+AK246*AK221+AL246*AL221+AM246*AM221+AN246*AN221+AO246*AO221+AP246*AP221+AQ246*AQ221+AR246*AR221+AS246*AS221+AT246*AT221+AU246*AU221+AV246*AV221+AW246*AW221+AX246*AX221+AY246*AY221+AZ246*AZ221+BA246*BA221+BB246*BB221+BC246*BC221+BD246*BD221+BE246*BE221+BF246*BF221+BG246*BG221+BH246*BH221+BI246*BI221+BJ246*BJ221+BK246*BK221+BL246*BL221+BM246*BM221+BN246*BN221+BO246*BO221+BP246*BP221+BQ246*BQ221+BR246*BR221+BS246*BS221+BT246*BT221+BU246*BU221+BV246*BV221+BW246*BW221+BX246*BX221+BY246*BY221+BZ246*BZ221+CA246*CA221+CB246*CB221+CC246*CC221+CD246*CD221+CE246*CE221+CF246*CF221+CG246*CG221+CH246*CH221+CI246*CI221+CJ246*CJ221+CK246*CK221</f>
        <v>0</v>
      </c>
    </row>
    <row r="222" spans="2:102" ht="18" x14ac:dyDescent="0.25">
      <c r="B222" s="1980">
        <v>95</v>
      </c>
      <c r="C222" s="1981" t="s">
        <v>3852</v>
      </c>
      <c r="D222" s="633" t="s">
        <v>3114</v>
      </c>
      <c r="E222" s="2681">
        <f>0</f>
        <v>0</v>
      </c>
      <c r="F222" s="2681">
        <f>0</f>
        <v>0</v>
      </c>
      <c r="G222" s="2681">
        <f>0</f>
        <v>0</v>
      </c>
      <c r="H222" s="2681">
        <f>0</f>
        <v>0</v>
      </c>
      <c r="I222" s="2681">
        <f>0</f>
        <v>0</v>
      </c>
      <c r="J222" s="2699">
        <f>0</f>
        <v>0</v>
      </c>
      <c r="K222" s="2681">
        <f>0</f>
        <v>0</v>
      </c>
      <c r="L222" s="2681">
        <f>0</f>
        <v>0</v>
      </c>
      <c r="M222" s="2681">
        <f>0</f>
        <v>0</v>
      </c>
      <c r="N222" s="2681">
        <f>0</f>
        <v>0</v>
      </c>
      <c r="O222" s="2681">
        <f>0</f>
        <v>0</v>
      </c>
      <c r="P222" s="2681">
        <f>0</f>
        <v>0</v>
      </c>
      <c r="Q222" s="2681">
        <f>0</f>
        <v>0</v>
      </c>
      <c r="R222" s="2711">
        <f>0</f>
        <v>0</v>
      </c>
      <c r="S222" s="2681">
        <f>0</f>
        <v>0</v>
      </c>
      <c r="T222" s="2681">
        <f>0</f>
        <v>0</v>
      </c>
      <c r="U222" s="2681">
        <f>0</f>
        <v>0</v>
      </c>
      <c r="V222" s="2681">
        <f>0</f>
        <v>0</v>
      </c>
      <c r="W222" s="2681">
        <f>0</f>
        <v>0</v>
      </c>
      <c r="X222" s="2681">
        <f>0</f>
        <v>0</v>
      </c>
      <c r="Y222" s="2681">
        <f>0</f>
        <v>0</v>
      </c>
      <c r="Z222" s="2724">
        <f>0</f>
        <v>0</v>
      </c>
      <c r="AA222" s="2681">
        <f>0</f>
        <v>0</v>
      </c>
      <c r="AB222" s="2681">
        <f>0</f>
        <v>0</v>
      </c>
      <c r="AC222" s="2681">
        <f>0</f>
        <v>0</v>
      </c>
      <c r="AD222" s="2681">
        <f>0</f>
        <v>0</v>
      </c>
      <c r="AE222" s="2681">
        <f>0</f>
        <v>0</v>
      </c>
      <c r="AF222" s="2681">
        <f>0</f>
        <v>0</v>
      </c>
      <c r="AG222" s="2699">
        <f>0</f>
        <v>0</v>
      </c>
      <c r="AH222" s="2681">
        <f>0</f>
        <v>0</v>
      </c>
      <c r="AI222" s="2681">
        <f>0</f>
        <v>0</v>
      </c>
      <c r="AJ222" s="2681">
        <f>0</f>
        <v>0</v>
      </c>
      <c r="AK222" s="2681">
        <f>0</f>
        <v>0</v>
      </c>
      <c r="AL222" s="2681">
        <f>0</f>
        <v>0</v>
      </c>
      <c r="AM222" s="2699">
        <f>0</f>
        <v>0</v>
      </c>
      <c r="AN222" s="2681">
        <f>0</f>
        <v>0</v>
      </c>
      <c r="AO222" s="2681">
        <f>0</f>
        <v>0</v>
      </c>
      <c r="AP222" s="2681">
        <f>1</f>
        <v>1</v>
      </c>
      <c r="AQ222" s="2681">
        <f>0</f>
        <v>0</v>
      </c>
      <c r="AR222" s="2681">
        <f>0</f>
        <v>0</v>
      </c>
      <c r="AS222" s="2681">
        <f>0</f>
        <v>0</v>
      </c>
      <c r="AT222" s="2681">
        <f>0</f>
        <v>0</v>
      </c>
      <c r="AU222" s="2681">
        <f>0</f>
        <v>0</v>
      </c>
      <c r="AV222" s="2681">
        <f>0</f>
        <v>0</v>
      </c>
      <c r="AW222" s="2681">
        <f>0</f>
        <v>0</v>
      </c>
      <c r="AX222" s="2681">
        <f>0</f>
        <v>0</v>
      </c>
      <c r="AY222" s="2711">
        <f>0</f>
        <v>0</v>
      </c>
      <c r="AZ222" s="2711">
        <f>0</f>
        <v>0</v>
      </c>
      <c r="BA222" s="2711">
        <f>0</f>
        <v>0</v>
      </c>
      <c r="BB222" s="2711">
        <f>0</f>
        <v>0</v>
      </c>
      <c r="BC222" s="2711">
        <f>0</f>
        <v>0</v>
      </c>
      <c r="BD222" s="2711">
        <f>0</f>
        <v>0</v>
      </c>
      <c r="BE222" s="2711">
        <f>0</f>
        <v>0</v>
      </c>
      <c r="BF222" s="2711">
        <f>0</f>
        <v>0</v>
      </c>
      <c r="BG222" s="2711">
        <f>0</f>
        <v>0</v>
      </c>
      <c r="BH222" s="2711">
        <f>0</f>
        <v>0</v>
      </c>
      <c r="BI222" s="2711">
        <f>0</f>
        <v>0</v>
      </c>
      <c r="BJ222" s="2711">
        <f>0</f>
        <v>0</v>
      </c>
      <c r="BK222" s="2711">
        <f>0</f>
        <v>0</v>
      </c>
      <c r="BL222" s="2711">
        <f>0</f>
        <v>0</v>
      </c>
      <c r="BM222" s="2711">
        <f>0</f>
        <v>0</v>
      </c>
      <c r="BN222" s="2711">
        <f>0</f>
        <v>0</v>
      </c>
      <c r="BO222" s="2711">
        <f>0</f>
        <v>0</v>
      </c>
      <c r="BP222" s="2764">
        <f>0</f>
        <v>0</v>
      </c>
      <c r="BQ222" s="2711">
        <f>0</f>
        <v>0</v>
      </c>
      <c r="BR222" s="2711">
        <f>0</f>
        <v>0</v>
      </c>
      <c r="BS222" s="2773">
        <f>0</f>
        <v>0</v>
      </c>
      <c r="BT222" s="2773">
        <f>0</f>
        <v>0</v>
      </c>
      <c r="BU222" s="2773">
        <f>0</f>
        <v>0</v>
      </c>
      <c r="BV222" s="2773">
        <f>0</f>
        <v>0</v>
      </c>
      <c r="BW222" s="2711">
        <f>0</f>
        <v>0</v>
      </c>
      <c r="BX222" s="2712">
        <f>0</f>
        <v>0</v>
      </c>
      <c r="BY222" s="2773">
        <f>0</f>
        <v>0</v>
      </c>
      <c r="BZ222" s="2681">
        <f>0</f>
        <v>0</v>
      </c>
      <c r="CA222" s="2681">
        <f>-1</f>
        <v>-1</v>
      </c>
      <c r="CB222" s="2681">
        <f>0</f>
        <v>0</v>
      </c>
      <c r="CC222" s="2681">
        <f>0</f>
        <v>0</v>
      </c>
      <c r="CD222" s="2681">
        <f>0</f>
        <v>0</v>
      </c>
      <c r="CE222" s="2681">
        <f>0</f>
        <v>0</v>
      </c>
      <c r="CF222" s="2711">
        <f>0</f>
        <v>0</v>
      </c>
      <c r="CG222" s="2711">
        <f>0</f>
        <v>0</v>
      </c>
      <c r="CH222" s="2711">
        <f>0</f>
        <v>0</v>
      </c>
      <c r="CI222" s="2711">
        <f>0</f>
        <v>0</v>
      </c>
      <c r="CJ222" s="2711">
        <f>0</f>
        <v>0</v>
      </c>
      <c r="CK222" s="2711">
        <f>0</f>
        <v>0</v>
      </c>
      <c r="CL222" s="2820">
        <f>k_LaGCH4_bub*(S_GCH4_bub_sat-S_CH4)</f>
        <v>-0.84435000000000004</v>
      </c>
      <c r="CN222" s="2295">
        <f>E236*E222+F236*F222+G236*G222+H236*H222+I236*I222+J236*J222+K236*K222+L236*L222+M236*M222+N236*N222+O236*O222+P236*P222+Q236*Q222+R236*R222+S236*S222+T236*T222+U236*U222+V236*V222+W236*W222+X236*X222+Y236*Y222+Z236*Z222+AA236*AA222+AB236*AB222+AC236*AC222+AD236*AD222+AE236*AE222+AF236*AF222+AG236*AG222+AH236*AH222+AI236*AI222+AJ236*AJ222+AK236*AK222+AL236*AL222+AM236*AM222+AN236*AN222+AO236*AO222+AP236*AP222+AQ236*AQ222+AR236*AR222+AS236*AS222+AT236*AT222+AU236*AU222+AV236*AV222+AW236*AW222+AX236*AX222+AY236*AY222+AZ236*AZ222+BA236*BA222+BB236*BB222+BC236*BC222+BD236*BD222+BE236*BE222+BF236*BF222+BG236*BG222+BH236*BH222+BI236*BI222+BJ236*BJ222+BK236*BK222+BL236*BL222+BM236*BM222+BN236*BN222+BO236*BO222+BP236*BP222+BQ236*BQ222+BR236*BR222+BS236*BS222+BT236*BT222+BU236*BU222+BV236*BV222+BW236*BW222+BX236*BX222+BY236*BY222+BZ236*BZ222+CA236*CA222+CB236*CB222+CC236*CC222+CD236*CD222+CE236*CE222+CF236*CF222+CG236*CG222+CH236*CH222+CI236*CI222+CJ236*CJ222+CK236*CK222</f>
        <v>0</v>
      </c>
      <c r="CO222" s="2295">
        <f>E237*E222+F237*F222+G237*G222+H237*H222+I237*I222+J237*J222+K237*K222+L237*L222+M237*M222+N237*N222+O237*O222+P237*P222+Q237*Q222+R237*R222+S237*S222+T237*T222+U237*U222+V237*V222+W237*W222+X237*X222+Y237*Y222+Z237*Z222+AA237*AA222+AB237*AB222+AC237*AC222+AD237*AD222+AE237*AE222+AF237*AF222+AG237*AG222+AH237*AH222+AI237*AI222+AJ237*AJ222+AK237*AK222+AL237*AL222+AM237*AM222+AN237*AN222+AO237*AO222+AP237*AP222+AQ237*AQ222+AR237*AR222+AS237*AS222+AT237*AT222+AU237*AU222+AV237*AV222+AW237*AW222+AX237*AX222+AY237*AY222+AZ237*AZ222+BA237*BA222+BB237*BB222+BC237*BC222+BD237*BD222+BE237*BE222+BF237*BF222+BG237*BG222+BH237*BH222+BI237*BI222+BJ237*BJ222+BK237*BK222+BL237*BL222+BM237*BM222+BN237*BN222+BO237*BO222+BP237*BP222+BQ237*BQ222+BR237*BR222+BS237*BS222+BT237*BT222+BU237*BU222+BV237*BV222+BW237*BW222+BX237*BX222+BY237*BY222+BZ237*BZ222+CA237*CA222+CB237*CB222+CC237*CC222+CD237*CD222+CE237*CE222+CF237*CF222+CG237*CG222+CH237*CH222+CI237*CI222+CJ237*CJ222+CK237*CK222</f>
        <v>0</v>
      </c>
      <c r="CP222" s="2296">
        <f>E238*E222+F238*F222+G238*G222+H238*H222+I238*I222+J238*J222+K238*K222+L238*L222+M238*M222+N238*N222+O238*O222+P238*P222+Q238*Q222+R238*R222+S238*S222+T238*T222+U238*U222+V238*V222+W238*W222+X238*X222+Y238*Y222+Z238*Z222+AA238*AA222+AB238*AB222+AC238*AC222+AD238*AD222+AE238*AE222+AF238*AF222+AG238*AG222+AH238*AH222+AI238*AI222+AJ238*AJ222+AK238*AK222+AL238*AL222+AM238*AM222+AN238*AN222+AO238*AO222+AP238*AP222+AQ238*AQ222+AR238*AR222+AS238*AS222+AT238*AT222+AU238*AU222+AV238*AV222+AW238*AW222+AX238*AX222+AY238*AY222+AZ238*AZ222+BA238*BA222+BB238*BB222+BC238*BC222+BD238*BD222+BE238*BE222+BF238*BF222+BG238*BG222+BH238*BH222+BI238*BI222+BJ238*BJ222+BK238*BK222+BL238*BL222+BM238*BM222+BN238*BN222+BO238*BO222+BP238*BP222+BQ238*BQ222+BR238*BR222+BS238*BS222+BT238*BT222+BU238*BU222+BV238*BV222+BW238*BW222+BX238*BX222+BY238*BY222+BZ238*BZ222+CA238*CA222+CB238*CB222+CC238*CC222+CD238*CD222+CE238*CE222+CF238*CF222+CG238*CG222+CH238*CH222+CI238*CI222+CJ238*CJ222+CK238*CK222</f>
        <v>0</v>
      </c>
      <c r="CQ222" s="2297">
        <f>E239*E222+F239*F222+G239*G222+H239*H222+I239*I222+J239*J222+K239*K222+L239*L222+M239*M222+N239*N222+O239*O222+P239*P222+Q239*Q222+R239*R222+S239*S222+T239*T222+U239*U222+V239*V222+W239*W222+X239*X222+Y239*Y222+Z239*Z222+AA239*AA222+AB239*AB222+AC239*AC222+AD239*AD222+AE239*AE222+AF239*AF222+AG239*AG222+AH239*AH222+AI239*AI222+AJ239*AJ222+AK239*AK222+AL239*AL222+AM239*AM222+AN239*AN222+AO239*AO222+AP239*AP222+AQ239*AQ222+AR239*AR222+AS239*AS222+AT239*AT222+AU239*AU222+AV239*AV222+AW239*AW222+AX239*AX222+AY239*AY222+AZ239*AZ222+BA239*BA222+BB239*BB222+BC239*BC222+BD239*BD222+BE239*BE222+BF239*BF222+BG239*BG222+BH239*BH222+BI239*BI222+BJ239*BJ222+BK239*BK222+BL239*BL222+BM239*BM222+BN239*BN222+BO239*BO222+BP239*BP222+BQ239*BQ222+BR239*BR222+BS239*BS222+BT239*BT222+BU239*BU222+BV239*BV222+BW239*BW222+BX239*BX222+BY239*BY222+BZ239*BZ222+CA239*CA222+CB239*CB222+CC239*CC222+CD239*CD222+CE239*CE222+CF239*CF222+CG239*CG222+CH239*CH222+CI239*CI222+CJ239*CJ222+CK239*CK222</f>
        <v>0</v>
      </c>
      <c r="CR222" s="2297">
        <f>E240*E222+F240*F222+G240*G222+H240*H222+I240*I222+J240*J222+K240*K222+L240*L222+M240*M222+N240*N222+O240*O222+P240*P222+Q240*Q222+R240*R222+S240*S222+T240*T222+U240*U222+V240*V222+W240*W222+X240*X222+Y240*Y222+Z240*Z222+AA240*AA222+AB240*AB222+AC240*AC222+AD240*AD222+AE240*AE222+AF240*AF222+AG240*AG222+AH240*AH222+AI240*AI222+AJ240*AJ222+AK240*AK222+AL240*AL222+AM240*AM222+AN240*AN222+AO240*AO222+AP240*AP222+AQ240*AQ222+AR240*AR222+AS240*AS222+AT240*AT222+AU240*AU222+AV240*AV222+AW240*AW222+AX240*AX222+AY240*AY222+AZ240*AZ222+BA240*BA222+BB240*BB222+BC240*BC222+BD240*BD222+BE240*BE222+BF240*BF222+BG240*BG222+BH240*BH222+BI240*BI222+BJ240*BJ222+BK240*BK222+BL240*BL222+BM240*BM222+BN240*BN222+BO240*BO222+BP240*BP222+BQ240*BQ222+BR240*BR222+BS240*BS222+BT240*BT222+BU240*BU222+BV240*BV222+BW240*BW222+BX240*BX222+BY240*BY222+BZ240*BZ222+CA240*CA222+CB240*CB222+CC240*CC222+CD240*CD222+CE240*CE222+CF240*CF222+CG240*CG222+CH240*CH222+CI240*CI222+CJ240*CJ222+CK240*CK222</f>
        <v>0</v>
      </c>
      <c r="CS222" s="2297">
        <f>E241*E222+F241*F222+G241*G222+H241*H222+I241*I222+J241*J222+K241*K222+L241*L222+M241*M222+N241*N222+O241*O222+P241*P222+Q241*Q222+R241*R222+S241*S222+T241*T222+U241*U222+V241*V222+W241*W222+X241*X222+Y241*Y222+Z241*Z222+AA241*AA222+AB241*AB222+AC241*AC222+AD241*AD222+AE241*AE222+AF241*AF222+AG241*AG222+AH241*AH222+AI241*AI222+AJ241*AJ222+AK241*AK222+AL241*AL222+AM241*AM222+AN241*AN222+AO241*AO222+AP241*AP222+AQ241*AQ222+AR241*AR222+AS241*AS222+AT241*AT222+AU241*AU222+AV241*AV222+AW241*AW222+AX241*AX222+AY241*AY222+AZ241*AZ222+BA241*BA222+BB241*BB222+BC241*BC222+BD241*BD222+BE241*BE222+BF241*BF222+BG241*BG222+BH241*BH222+BI241*BI222+BJ241*BJ222+BK241*BK222+BL241*BL222+BM241*BM222+BN241*BN222+BO241*BO222+BP241*BP222+BQ241*BQ222+BR241*BR222+BS241*BS222+BT241*BT222+BU241*BU222+BV241*BV222+BW241*BW222+BX241*BX222+BY241*BY222+BZ241*BZ222+CA241*CA222+CB241*CB222+CC241*CC222+CD241*CD222+CE241*CE222+CF241*CF222+CG241*CG222+CH241*CH222+CI241*CI222+CJ241*CJ222+CK241*CK222</f>
        <v>0</v>
      </c>
      <c r="CT222" s="2297">
        <f>E242*E222+F242*F222+G242*G222+H242*H222+I242*I222+J242*J222+K242*K222+L242*L222+M242*M222+N242*N222+O242*O222+P242*P222+Q242*Q222+R242*R222+S242*S222+T242*T222+U242*U222+V242*V222+W242*W222+X242*X222+Y242*Y222+Z242*Z222+AA242*AA222+AB242*AB222+AC242*AC222+AD242*AD222+AE242*AE222+AF242*AF222+AG242*AG222+AH242*AH222+AI242*AI222+AJ242*AJ222+AK242*AK222+AL242*AL222+AM242*AM222+AN242*AN222+AO242*AO222+AP242*AP222+AQ242*AQ222+AR242*AR222+AS242*AS222+AT242*AT222+AU242*AU222+AV242*AV222+AW242*AW222+AX242*AX222+AY242*AY222+AZ242*AZ222+BA242*BA222+BB242*BB222+BC242*BC222+BD242*BD222+BE242*BE222+BF242*BF222+BG242*BG222+BH242*BH222+BI242*BI222+BJ242*BJ222+BK242*BK222+BL242*BL222+BM242*BM222+BN242*BN222+BO242*BO222+BP242*BP222+BQ242*BQ222+BR242*BR222+BS242*BS222+BT242*BT222+BU242*BU222+BV242*BV222+BW242*BW222+BX242*BX222+BY242*BY222+BZ242*BZ222+CA242*CA222+CB242*CB222+CC242*CC222+CD242*CD222+CE242*CE222+CF242*CF222+CG242*CG222+CH242*CH222+CI242*CI222+CJ242*CJ222+CK242*CK222</f>
        <v>0</v>
      </c>
      <c r="CU222" s="2297">
        <f>E243*E222+F243*F222+G243*G222+H243*H222+I243*I222+J243*J222+K243*K222+L243*L222+M243*M222+N243*N222+O243*O222+P243*P222+Q243*Q222+R243*R222+S243*S222+T243*T222+U243*U222+V243*V222+W243*W222+X243*X222+Y243*Y222+Z243*Z222+AA243*AA222+AB243*AB222+AC243*AC222+AD243*AD222+AE243*AE222+AF243*AF222+AG243*AG222+AH243*AH222+AI243*AI222+AJ243*AJ222+AK243*AK222+AL243*AL222+AM243*AM222+AN243*AN222+AO243*AO222+AP243*AP222+AQ243*AQ222+AR243*AR222+AS243*AS222+AT243*AT222+AU243*AU222+AV243*AV222+AW243*AW222+AX243*AX222+AY243*AY222+AZ243*AZ222+BA243*BA222+BB243*BB222+BC243*BC222+BD243*BD222+BE243*BE222+BF243*BF222+BG243*BG222+BH243*BH222+BI243*BI222+BJ243*BJ222+BK243*BK222+BL243*BL222+BM243*BM222+BN243*BN222+BO243*BO222+BP243*BP222+BQ243*BQ222+BR243*BR222+BS243*BS222+BT243*BT222+BU243*BU222+BV243*BV222+BW243*BW222+BX243*BX222+BY243*BY222+BZ243*BZ222+CA243*CA222+CB243*CB222+CC243*CC222+CD243*CD222+CE243*CE222+CF243*CF222+CG243*CG222+CH243*CH222+CI243*CI222+CJ243*CJ222+CK243*CK222</f>
        <v>0</v>
      </c>
      <c r="CV222" s="2297">
        <f>E244*E222+F244*F222+G244*G222+H244*H222+I244*I222+J244*J222+K244*K222+L244*L222+M244*M222+N244*N222+O244*O222+P244*P222+Q244*Q222+R244*R222+S244*S222+T244*T222+U244*U222+V244*V222+W244*W222+X244*X222+Y244*Y222+Z244*Z222+AA244*AA222+AB244*AB222+AC244*AC222+AD244*AD222+AE244*AE222+AF244*AF222+AG244*AG222+AH244*AH222+AI244*AI222+AJ244*AJ222+AK244*AK222+AL244*AL222+AM244*AM222+AN244*AN222+AO244*AO222+AP244*AP222+AQ244*AQ222+AR244*AR222+AS244*AS222+AT244*AT222+AU244*AU222+AV244*AV222+AW244*AW222+AX244*AX222+AY244*AY222+AZ244*AZ222+BA244*BA222+BB244*BB222+BC244*BC222+BD244*BD222+BE244*BE222+BF244*BF222+BG244*BG222+BH244*BH222+BI244*BI222+BJ244*BJ222+BK244*BK222+BL244*BL222+BM244*BM222+BN244*BN222+BO244*BO222+BP244*BP222+BQ244*BQ222+BR244*BR222+BS244*BS222+BT244*BT222+BU244*BU222+BV244*BV222+BW244*BW222+BX244*BX222+BY244*BY222+BZ244*BZ222+CA244*CA222+CB244*CB222+CC244*CC222+CD244*CD222+CE244*CE222+CF244*CF222+CG244*CG222+CH244*CH222+CI244*CI222+CJ244*CJ222+CK244*CK222</f>
        <v>0</v>
      </c>
      <c r="CW222" s="2297">
        <f>E245*E222+F245*F222+G245*G222+H245*H222+I245*I222+J245*J222+K245*K222+L245*L222+M245*M222+N245*N222+O245*O222+P245*P222+Q245*Q222+R245*R222+S245*S222+T245*T222+U245*U222+V245*V222+W245*W222+X245*X222+Y245*Y222+Z245*Z222+AA245*AA222+AB245*AB222+AC245*AC222+AD245*AD222+AE245*AE222+AF245*AF222+AG245*AG222+AH245*AH222+AI245*AI222+AJ245*AJ222+AK245*AK222+AL245*AL222+AM245*AM222+AN245*AN222+AO245*AO222+AP245*AP222+AQ245*AQ222+AR245*AR222+AS245*AS222+AT245*AT222+AU245*AU222+AV245*AV222+AW245*AW222+AX245*AX222+AY245*AY222+AZ245*AZ222+BA245*BA222+BB245*BB222+BC245*BC222+BD245*BD222+BE245*BE222+BF245*BF222+BG245*BG222+BH245*BH222+BI245*BI222+BJ245*BJ222+BK245*BK222+BL245*BL222+BM245*BM222+BN245*BN222+BO245*BO222+BP245*BP222+BQ245*BQ222+BR245*BR222+BS245*BS222+BT245*BT222+BU245*BU222+BV245*BV222+BW245*BW222+BX245*BX222+BY245*BY222+BZ245*BZ222+CA245*CA222+CB245*CB222+CC245*CC222+CD245*CD222+CE245*CE222+CF245*CF222+CG245*CG222+CH245*CH222+CI245*CI222+CJ245*CJ222+CK245*CK222</f>
        <v>0</v>
      </c>
      <c r="CX222" s="2297">
        <f>E246*E222+F246*F222+G246*G222+H246*H222+I246*I222+J246*J222+K246*K222+L246*L222+M246*M222+N246*N222+O246*O222+P246*P222+Q246*Q222+R246*R222+S246*S222+T246*T222+U246*U222+V246*V222+W246*W222+X246*X222+Y246*Y222+Z246*Z222+AA246*AA222+AB246*AB222+AC246*AC222+AD246*AD222+AE246*AE222+AF246*AF222+AG246*AG222+AH246*AH222+AI246*AI222+AJ246*AJ222+AK246*AK222+AL246*AL222+AM246*AM222+AN246*AN222+AO246*AO222+AP246*AP222+AQ246*AQ222+AR246*AR222+AS246*AS222+AT246*AT222+AU246*AU222+AV246*AV222+AW246*AW222+AX246*AX222+AY246*AY222+AZ246*AZ222+BA246*BA222+BB246*BB222+BC246*BC222+BD246*BD222+BE246*BE222+BF246*BF222+BG246*BG222+BH246*BH222+BI246*BI222+BJ246*BJ222+BK246*BK222+BL246*BL222+BM246*BM222+BN246*BN222+BO246*BO222+BP246*BP222+BQ246*BQ222+BR246*BR222+BS246*BS222+BT246*BT222+BU246*BU222+BV246*BV222+BW246*BW222+BX246*BX222+BY246*BY222+BZ246*BZ222+CA246*CA222+CB246*CB222+CC246*CC222+CD246*CD222+CE246*CE222+CF246*CF222+CG246*CG222+CH246*CH222+CI246*CI222+CJ246*CJ222+CK246*CK222</f>
        <v>0</v>
      </c>
    </row>
    <row r="223" spans="2:102" ht="18" x14ac:dyDescent="0.25">
      <c r="B223" s="1980">
        <v>96</v>
      </c>
      <c r="C223" s="1981" t="s">
        <v>3853</v>
      </c>
      <c r="D223" s="633" t="s">
        <v>3115</v>
      </c>
      <c r="E223" s="2681">
        <f>0</f>
        <v>0</v>
      </c>
      <c r="F223" s="2681">
        <f>0</f>
        <v>0</v>
      </c>
      <c r="G223" s="2681">
        <f>0</f>
        <v>0</v>
      </c>
      <c r="H223" s="2681">
        <f>0</f>
        <v>0</v>
      </c>
      <c r="I223" s="2681">
        <f>0</f>
        <v>0</v>
      </c>
      <c r="J223" s="2699">
        <f>0</f>
        <v>0</v>
      </c>
      <c r="K223" s="2681">
        <f>0</f>
        <v>0</v>
      </c>
      <c r="L223" s="2681">
        <f>0</f>
        <v>0</v>
      </c>
      <c r="M223" s="2681">
        <f>0</f>
        <v>0</v>
      </c>
      <c r="N223" s="2681">
        <f>0</f>
        <v>0</v>
      </c>
      <c r="O223" s="2681">
        <f>0</f>
        <v>0</v>
      </c>
      <c r="P223" s="2681">
        <f>0</f>
        <v>0</v>
      </c>
      <c r="Q223" s="2681">
        <f>0</f>
        <v>0</v>
      </c>
      <c r="R223" s="2711">
        <f>0</f>
        <v>0</v>
      </c>
      <c r="S223" s="2681">
        <f>0</f>
        <v>0</v>
      </c>
      <c r="T223" s="2681">
        <f>0</f>
        <v>0</v>
      </c>
      <c r="U223" s="2681">
        <f>0</f>
        <v>0</v>
      </c>
      <c r="V223" s="2681">
        <f>0</f>
        <v>0</v>
      </c>
      <c r="W223" s="2681">
        <f>0</f>
        <v>0</v>
      </c>
      <c r="X223" s="2681">
        <f>0</f>
        <v>0</v>
      </c>
      <c r="Y223" s="2681">
        <f>0</f>
        <v>0</v>
      </c>
      <c r="Z223" s="2724">
        <f>0</f>
        <v>0</v>
      </c>
      <c r="AA223" s="2681">
        <f>0</f>
        <v>0</v>
      </c>
      <c r="AB223" s="2681">
        <f>0</f>
        <v>0</v>
      </c>
      <c r="AC223" s="2681">
        <f>0</f>
        <v>0</v>
      </c>
      <c r="AD223" s="2681">
        <f>0</f>
        <v>0</v>
      </c>
      <c r="AE223" s="2681">
        <f>0</f>
        <v>0</v>
      </c>
      <c r="AF223" s="2681">
        <f>0</f>
        <v>0</v>
      </c>
      <c r="AG223" s="2699">
        <f>0</f>
        <v>0</v>
      </c>
      <c r="AH223" s="2681">
        <f>0</f>
        <v>0</v>
      </c>
      <c r="AI223" s="2681">
        <f>0</f>
        <v>0</v>
      </c>
      <c r="AJ223" s="2681">
        <f>0</f>
        <v>0</v>
      </c>
      <c r="AK223" s="2681">
        <f>0</f>
        <v>0</v>
      </c>
      <c r="AL223" s="2681">
        <f>0</f>
        <v>0</v>
      </c>
      <c r="AM223" s="2699">
        <f>0</f>
        <v>0</v>
      </c>
      <c r="AN223" s="2681">
        <f>0</f>
        <v>0</v>
      </c>
      <c r="AO223" s="2681">
        <f>0</f>
        <v>0</v>
      </c>
      <c r="AP223" s="2681">
        <f>0</f>
        <v>0</v>
      </c>
      <c r="AQ223" s="2681">
        <f>1</f>
        <v>1</v>
      </c>
      <c r="AR223" s="2681">
        <f>0</f>
        <v>0</v>
      </c>
      <c r="AS223" s="2681">
        <f>0</f>
        <v>0</v>
      </c>
      <c r="AT223" s="2681">
        <f>0</f>
        <v>0</v>
      </c>
      <c r="AU223" s="2681">
        <f>0</f>
        <v>0</v>
      </c>
      <c r="AV223" s="2681">
        <f>0</f>
        <v>0</v>
      </c>
      <c r="AW223" s="2681">
        <f>0</f>
        <v>0</v>
      </c>
      <c r="AX223" s="2681">
        <f>0</f>
        <v>0</v>
      </c>
      <c r="AY223" s="2711">
        <f>0</f>
        <v>0</v>
      </c>
      <c r="AZ223" s="2711">
        <f>0</f>
        <v>0</v>
      </c>
      <c r="BA223" s="2711">
        <f>0</f>
        <v>0</v>
      </c>
      <c r="BB223" s="2711">
        <f>0</f>
        <v>0</v>
      </c>
      <c r="BC223" s="2711">
        <f>0</f>
        <v>0</v>
      </c>
      <c r="BD223" s="2711">
        <f>0</f>
        <v>0</v>
      </c>
      <c r="BE223" s="2711">
        <f>0</f>
        <v>0</v>
      </c>
      <c r="BF223" s="2711">
        <f>0</f>
        <v>0</v>
      </c>
      <c r="BG223" s="2711">
        <f>0</f>
        <v>0</v>
      </c>
      <c r="BH223" s="2711">
        <f>0</f>
        <v>0</v>
      </c>
      <c r="BI223" s="2711">
        <f>0</f>
        <v>0</v>
      </c>
      <c r="BJ223" s="2711">
        <f>0</f>
        <v>0</v>
      </c>
      <c r="BK223" s="2711">
        <f>0</f>
        <v>0</v>
      </c>
      <c r="BL223" s="2711">
        <f>0</f>
        <v>0</v>
      </c>
      <c r="BM223" s="2711">
        <f>0</f>
        <v>0</v>
      </c>
      <c r="BN223" s="2711">
        <f>0</f>
        <v>0</v>
      </c>
      <c r="BO223" s="2711">
        <f>0</f>
        <v>0</v>
      </c>
      <c r="BP223" s="2764">
        <f>0</f>
        <v>0</v>
      </c>
      <c r="BQ223" s="2711">
        <f>0</f>
        <v>0</v>
      </c>
      <c r="BR223" s="2711">
        <f>0</f>
        <v>0</v>
      </c>
      <c r="BS223" s="2773">
        <f>0</f>
        <v>0</v>
      </c>
      <c r="BT223" s="2773">
        <f>0</f>
        <v>0</v>
      </c>
      <c r="BU223" s="2773">
        <f>0</f>
        <v>0</v>
      </c>
      <c r="BV223" s="2773">
        <f>0</f>
        <v>0</v>
      </c>
      <c r="BW223" s="2711">
        <f>0</f>
        <v>0</v>
      </c>
      <c r="BX223" s="2712">
        <f>0</f>
        <v>0</v>
      </c>
      <c r="BY223" s="2773">
        <f>0</f>
        <v>0</v>
      </c>
      <c r="BZ223" s="2681">
        <f>0</f>
        <v>0</v>
      </c>
      <c r="CA223" s="2681">
        <f>0</f>
        <v>0</v>
      </c>
      <c r="CB223" s="2681">
        <f>-1</f>
        <v>-1</v>
      </c>
      <c r="CC223" s="2681">
        <f>0</f>
        <v>0</v>
      </c>
      <c r="CD223" s="2681">
        <f>0</f>
        <v>0</v>
      </c>
      <c r="CE223" s="2681">
        <f>0</f>
        <v>0</v>
      </c>
      <c r="CF223" s="2711">
        <f>0</f>
        <v>0</v>
      </c>
      <c r="CG223" s="2711">
        <f>0</f>
        <v>0</v>
      </c>
      <c r="CH223" s="2711">
        <f>0</f>
        <v>0</v>
      </c>
      <c r="CI223" s="2711">
        <f>0</f>
        <v>0</v>
      </c>
      <c r="CJ223" s="2711">
        <f>0</f>
        <v>0</v>
      </c>
      <c r="CK223" s="2711">
        <f>0</f>
        <v>0</v>
      </c>
      <c r="CL223" s="2820">
        <f>k_LaGH2_bub*(S_GH2_bub_sat-S_H2)</f>
        <v>-1.4673500000000002</v>
      </c>
      <c r="CN223" s="2295">
        <f>E236*E223+F236*F223+G236*G223+H236*H223+I236*I223+J236*J223+K236*K223+L236*L223+M236*M223+N236*N223+O236*O223+P236*P223+Q236*Q223+R236*R223+S236*S223+T236*T223+U236*U223+V236*V223+W236*W223+X236*X223+Y236*Y223+Z236*Z223+AA236*AA223+AB236*AB223+AC236*AC223+AD236*AD223+AE236*AE223+AF236*AF223+AG236*AG223+AH236*AH223+AI236*AI223+AJ236*AJ223+AK236*AK223+AL236*AL223+AM236*AM223+AN236*AN223+AO236*AO223+AP236*AP223+AQ236*AQ223+AR236*AR223+AS236*AS223+AT236*AT223+AU236*AU223+AV236*AV223+AW236*AW223+AX236*AX223+AY236*AY223+AZ236*AZ223+BA236*BA223+BB236*BB223+BC236*BC223+BD236*BD223+BE236*BE223+BF236*BF223+BG236*BG223+BH236*BH223+BI236*BI223+BJ236*BJ223+BK236*BK223+BL236*BL223+BM236*BM223+BN236*BN223+BO236*BO223+BP236*BP223+BQ236*BQ223+BR236*BR223+BS236*BS223+BT236*BT223+BU236*BU223+BV236*BV223+BW236*BW223+BX236*BX223+BY236*BY223+BZ236*BZ223+CA236*CA223+CB236*CB223+CC236*CC223+CD236*CD223+CE236*CE223+CF236*CF223+CG236*CG223+CH236*CH223+CI236*CI223+CJ236*CJ223+CK236*CK223</f>
        <v>0</v>
      </c>
      <c r="CO223" s="2295">
        <f>E237*E223+F237*F223+G237*G223+H237*H223+I237*I223+J237*J223+K237*K223+L237*L223+M237*M223+N237*N223+O237*O223+P237*P223+Q237*Q223+R237*R223+S237*S223+T237*T223+U237*U223+V237*V223+W237*W223+X237*X223+Y237*Y223+Z237*Z223+AA237*AA223+AB237*AB223+AC237*AC223+AD237*AD223+AE237*AE223+AF237*AF223+AG237*AG223+AH237*AH223+AI237*AI223+AJ237*AJ223+AK237*AK223+AL237*AL223+AM237*AM223+AN237*AN223+AO237*AO223+AP237*AP223+AQ237*AQ223+AR237*AR223+AS237*AS223+AT237*AT223+AU237*AU223+AV237*AV223+AW237*AW223+AX237*AX223+AY237*AY223+AZ237*AZ223+BA237*BA223+BB237*BB223+BC237*BC223+BD237*BD223+BE237*BE223+BF237*BF223+BG237*BG223+BH237*BH223+BI237*BI223+BJ237*BJ223+BK237*BK223+BL237*BL223+BM237*BM223+BN237*BN223+BO237*BO223+BP237*BP223+BQ237*BQ223+BR237*BR223+BS237*BS223+BT237*BT223+BU237*BU223+BV237*BV223+BW237*BW223+BX237*BX223+BY237*BY223+BZ237*BZ223+CA237*CA223+CB237*CB223+CC237*CC223+CD237*CD223+CE237*CE223+CF237*CF223+CG237*CG223+CH237*CH223+CI237*CI223+CJ237*CJ223+CK237*CK223</f>
        <v>0</v>
      </c>
      <c r="CP223" s="2296">
        <f>E238*E223+F238*F223+G238*G223+H238*H223+I238*I223+J238*J223+K238*K223+L238*L223+M238*M223+N238*N223+O238*O223+P238*P223+Q238*Q223+R238*R223+S238*S223+T238*T223+U238*U223+V238*V223+W238*W223+X238*X223+Y238*Y223+Z238*Z223+AA238*AA223+AB238*AB223+AC238*AC223+AD238*AD223+AE238*AE223+AF238*AF223+AG238*AG223+AH238*AH223+AI238*AI223+AJ238*AJ223+AK238*AK223+AL238*AL223+AM238*AM223+AN238*AN223+AO238*AO223+AP238*AP223+AQ238*AQ223+AR238*AR223+AS238*AS223+AT238*AT223+AU238*AU223+AV238*AV223+AW238*AW223+AX238*AX223+AY238*AY223+AZ238*AZ223+BA238*BA223+BB238*BB223+BC238*BC223+BD238*BD223+BE238*BE223+BF238*BF223+BG238*BG223+BH238*BH223+BI238*BI223+BJ238*BJ223+BK238*BK223+BL238*BL223+BM238*BM223+BN238*BN223+BO238*BO223+BP238*BP223+BQ238*BQ223+BR238*BR223+BS238*BS223+BT238*BT223+BU238*BU223+BV238*BV223+BW238*BW223+BX238*BX223+BY238*BY223+BZ238*BZ223+CA238*CA223+CB238*CB223+CC238*CC223+CD238*CD223+CE238*CE223+CF238*CF223+CG238*CG223+CH238*CH223+CI238*CI223+CJ238*CJ223+CK238*CK223</f>
        <v>0</v>
      </c>
      <c r="CQ223" s="2297">
        <f>E239*E223+F239*F223+G239*G223+H239*H223+I239*I223+J239*J223+K239*K223+L239*L223+M239*M223+N239*N223+O239*O223+P239*P223+Q239*Q223+R239*R223+S239*S223+T239*T223+U239*U223+V239*V223+W239*W223+X239*X223+Y239*Y223+Z239*Z223+AA239*AA223+AB239*AB223+AC239*AC223+AD239*AD223+AE239*AE223+AF239*AF223+AG239*AG223+AH239*AH223+AI239*AI223+AJ239*AJ223+AK239*AK223+AL239*AL223+AM239*AM223+AN239*AN223+AO239*AO223+AP239*AP223+AQ239*AQ223+AR239*AR223+AS239*AS223+AT239*AT223+AU239*AU223+AV239*AV223+AW239*AW223+AX239*AX223+AY239*AY223+AZ239*AZ223+BA239*BA223+BB239*BB223+BC239*BC223+BD239*BD223+BE239*BE223+BF239*BF223+BG239*BG223+BH239*BH223+BI239*BI223+BJ239*BJ223+BK239*BK223+BL239*BL223+BM239*BM223+BN239*BN223+BO239*BO223+BP239*BP223+BQ239*BQ223+BR239*BR223+BS239*BS223+BT239*BT223+BU239*BU223+BV239*BV223+BW239*BW223+BX239*BX223+BY239*BY223+BZ239*BZ223+CA239*CA223+CB239*CB223+CC239*CC223+CD239*CD223+CE239*CE223+CF239*CF223+CG239*CG223+CH239*CH223+CI239*CI223+CJ239*CJ223+CK239*CK223</f>
        <v>0</v>
      </c>
      <c r="CR223" s="2297">
        <f>E240*E223+F240*F223+G240*G223+H240*H223+I240*I223+J240*J223+K240*K223+L240*L223+M240*M223+N240*N223+O240*O223+P240*P223+Q240*Q223+R240*R223+S240*S223+T240*T223+U240*U223+V240*V223+W240*W223+X240*X223+Y240*Y223+Z240*Z223+AA240*AA223+AB240*AB223+AC240*AC223+AD240*AD223+AE240*AE223+AF240*AF223+AG240*AG223+AH240*AH223+AI240*AI223+AJ240*AJ223+AK240*AK223+AL240*AL223+AM240*AM223+AN240*AN223+AO240*AO223+AP240*AP223+AQ240*AQ223+AR240*AR223+AS240*AS223+AT240*AT223+AU240*AU223+AV240*AV223+AW240*AW223+AX240*AX223+AY240*AY223+AZ240*AZ223+BA240*BA223+BB240*BB223+BC240*BC223+BD240*BD223+BE240*BE223+BF240*BF223+BG240*BG223+BH240*BH223+BI240*BI223+BJ240*BJ223+BK240*BK223+BL240*BL223+BM240*BM223+BN240*BN223+BO240*BO223+BP240*BP223+BQ240*BQ223+BR240*BR223+BS240*BS223+BT240*BT223+BU240*BU223+BV240*BV223+BW240*BW223+BX240*BX223+BY240*BY223+BZ240*BZ223+CA240*CA223+CB240*CB223+CC240*CC223+CD240*CD223+CE240*CE223+CF240*CF223+CG240*CG223+CH240*CH223+CI240*CI223+CJ240*CJ223+CK240*CK223</f>
        <v>0</v>
      </c>
      <c r="CS223" s="2297">
        <f>E241*E223+F241*F223+G241*G223+H241*H223+I241*I223+J241*J223+K241*K223+L241*L223+M241*M223+N241*N223+O241*O223+P241*P223+Q241*Q223+R241*R223+S241*S223+T241*T223+U241*U223+V241*V223+W241*W223+X241*X223+Y241*Y223+Z241*Z223+AA241*AA223+AB241*AB223+AC241*AC223+AD241*AD223+AE241*AE223+AF241*AF223+AG241*AG223+AH241*AH223+AI241*AI223+AJ241*AJ223+AK241*AK223+AL241*AL223+AM241*AM223+AN241*AN223+AO241*AO223+AP241*AP223+AQ241*AQ223+AR241*AR223+AS241*AS223+AT241*AT223+AU241*AU223+AV241*AV223+AW241*AW223+AX241*AX223+AY241*AY223+AZ241*AZ223+BA241*BA223+BB241*BB223+BC241*BC223+BD241*BD223+BE241*BE223+BF241*BF223+BG241*BG223+BH241*BH223+BI241*BI223+BJ241*BJ223+BK241*BK223+BL241*BL223+BM241*BM223+BN241*BN223+BO241*BO223+BP241*BP223+BQ241*BQ223+BR241*BR223+BS241*BS223+BT241*BT223+BU241*BU223+BV241*BV223+BW241*BW223+BX241*BX223+BY241*BY223+BZ241*BZ223+CA241*CA223+CB241*CB223+CC241*CC223+CD241*CD223+CE241*CE223+CF241*CF223+CG241*CG223+CH241*CH223+CI241*CI223+CJ241*CJ223+CK241*CK223</f>
        <v>0</v>
      </c>
      <c r="CT223" s="2297">
        <f>E242*E223+F242*F223+G242*G223+H242*H223+I242*I223+J242*J223+K242*K223+L242*L223+M242*M223+N242*N223+O242*O223+P242*P223+Q242*Q223+R242*R223+S242*S223+T242*T223+U242*U223+V242*V223+W242*W223+X242*X223+Y242*Y223+Z242*Z223+AA242*AA223+AB242*AB223+AC242*AC223+AD242*AD223+AE242*AE223+AF242*AF223+AG242*AG223+AH242*AH223+AI242*AI223+AJ242*AJ223+AK242*AK223+AL242*AL223+AM242*AM223+AN242*AN223+AO242*AO223+AP242*AP223+AQ242*AQ223+AR242*AR223+AS242*AS223+AT242*AT223+AU242*AU223+AV242*AV223+AW242*AW223+AX242*AX223+AY242*AY223+AZ242*AZ223+BA242*BA223+BB242*BB223+BC242*BC223+BD242*BD223+BE242*BE223+BF242*BF223+BG242*BG223+BH242*BH223+BI242*BI223+BJ242*BJ223+BK242*BK223+BL242*BL223+BM242*BM223+BN242*BN223+BO242*BO223+BP242*BP223+BQ242*BQ223+BR242*BR223+BS242*BS223+BT242*BT223+BU242*BU223+BV242*BV223+BW242*BW223+BX242*BX223+BY242*BY223+BZ242*BZ223+CA242*CA223+CB242*CB223+CC242*CC223+CD242*CD223+CE242*CE223+CF242*CF223+CG242*CG223+CH242*CH223+CI242*CI223+CJ242*CJ223+CK242*CK223</f>
        <v>0</v>
      </c>
      <c r="CU223" s="2297">
        <f>E243*E223+F243*F223+G243*G223+H243*H223+I243*I223+J243*J223+K243*K223+L243*L223+M243*M223+N243*N223+O243*O223+P243*P223+Q243*Q223+R243*R223+S243*S223+T243*T223+U243*U223+V243*V223+W243*W223+X243*X223+Y243*Y223+Z243*Z223+AA243*AA223+AB243*AB223+AC243*AC223+AD243*AD223+AE243*AE223+AF243*AF223+AG243*AG223+AH243*AH223+AI243*AI223+AJ243*AJ223+AK243*AK223+AL243*AL223+AM243*AM223+AN243*AN223+AO243*AO223+AP243*AP223+AQ243*AQ223+AR243*AR223+AS243*AS223+AT243*AT223+AU243*AU223+AV243*AV223+AW243*AW223+AX243*AX223+AY243*AY223+AZ243*AZ223+BA243*BA223+BB243*BB223+BC243*BC223+BD243*BD223+BE243*BE223+BF243*BF223+BG243*BG223+BH243*BH223+BI243*BI223+BJ243*BJ223+BK243*BK223+BL243*BL223+BM243*BM223+BN243*BN223+BO243*BO223+BP243*BP223+BQ243*BQ223+BR243*BR223+BS243*BS223+BT243*BT223+BU243*BU223+BV243*BV223+BW243*BW223+BX243*BX223+BY243*BY223+BZ243*BZ223+CA243*CA223+CB243*CB223+CC243*CC223+CD243*CD223+CE243*CE223+CF243*CF223+CG243*CG223+CH243*CH223+CI243*CI223+CJ243*CJ223+CK243*CK223</f>
        <v>0</v>
      </c>
      <c r="CV223" s="2297">
        <f>E244*E223+F244*F223+G244*G223+H244*H223+I244*I223+J244*J223+K244*K223+L244*L223+M244*M223+N244*N223+O244*O223+P244*P223+Q244*Q223+R244*R223+S244*S223+T244*T223+U244*U223+V244*V223+W244*W223+X244*X223+Y244*Y223+Z244*Z223+AA244*AA223+AB244*AB223+AC244*AC223+AD244*AD223+AE244*AE223+AF244*AF223+AG244*AG223+AH244*AH223+AI244*AI223+AJ244*AJ223+AK244*AK223+AL244*AL223+AM244*AM223+AN244*AN223+AO244*AO223+AP244*AP223+AQ244*AQ223+AR244*AR223+AS244*AS223+AT244*AT223+AU244*AU223+AV244*AV223+AW244*AW223+AX244*AX223+AY244*AY223+AZ244*AZ223+BA244*BA223+BB244*BB223+BC244*BC223+BD244*BD223+BE244*BE223+BF244*BF223+BG244*BG223+BH244*BH223+BI244*BI223+BJ244*BJ223+BK244*BK223+BL244*BL223+BM244*BM223+BN244*BN223+BO244*BO223+BP244*BP223+BQ244*BQ223+BR244*BR223+BS244*BS223+BT244*BT223+BU244*BU223+BV244*BV223+BW244*BW223+BX244*BX223+BY244*BY223+BZ244*BZ223+CA244*CA223+CB244*CB223+CC244*CC223+CD244*CD223+CE244*CE223+CF244*CF223+CG244*CG223+CH244*CH223+CI244*CI223+CJ244*CJ223+CK244*CK223</f>
        <v>0</v>
      </c>
      <c r="CW223" s="2297">
        <f>E245*E223+F245*F223+G245*G223+H245*H223+I245*I223+J245*J223+K245*K223+L245*L223+M245*M223+N245*N223+O245*O223+P245*P223+Q245*Q223+R245*R223+S245*S223+T245*T223+U245*U223+V245*V223+W245*W223+X245*X223+Y245*Y223+Z245*Z223+AA245*AA223+AB245*AB223+AC245*AC223+AD245*AD223+AE245*AE223+AF245*AF223+AG245*AG223+AH245*AH223+AI245*AI223+AJ245*AJ223+AK245*AK223+AL245*AL223+AM245*AM223+AN245*AN223+AO245*AO223+AP245*AP223+AQ245*AQ223+AR245*AR223+AS245*AS223+AT245*AT223+AU245*AU223+AV245*AV223+AW245*AW223+AX245*AX223+AY245*AY223+AZ245*AZ223+BA245*BA223+BB245*BB223+BC245*BC223+BD245*BD223+BE245*BE223+BF245*BF223+BG245*BG223+BH245*BH223+BI245*BI223+BJ245*BJ223+BK245*BK223+BL245*BL223+BM245*BM223+BN245*BN223+BO245*BO223+BP245*BP223+BQ245*BQ223+BR245*BR223+BS245*BS223+BT245*BT223+BU245*BU223+BV245*BV223+BW245*BW223+BX245*BX223+BY245*BY223+BZ245*BZ223+CA245*CA223+CB245*CB223+CC245*CC223+CD245*CD223+CE245*CE223+CF245*CF223+CG245*CG223+CH245*CH223+CI245*CI223+CJ245*CJ223+CK245*CK223</f>
        <v>0</v>
      </c>
      <c r="CX223" s="2297">
        <f>E246*E223+F246*F223+G246*G223+H246*H223+I246*I223+J246*J223+K246*K223+L246*L223+M246*M223+N246*N223+O246*O223+P246*P223+Q246*Q223+R246*R223+S246*S223+T246*T223+U246*U223+V246*V223+W246*W223+X246*X223+Y246*Y223+Z246*Z223+AA246*AA223+AB246*AB223+AC246*AC223+AD246*AD223+AE246*AE223+AF246*AF223+AG246*AG223+AH246*AH223+AI246*AI223+AJ246*AJ223+AK246*AK223+AL246*AL223+AM246*AM223+AN246*AN223+AO246*AO223+AP246*AP223+AQ246*AQ223+AR246*AR223+AS246*AS223+AT246*AT223+AU246*AU223+AV246*AV223+AW246*AW223+AX246*AX223+AY246*AY223+AZ246*AZ223+BA246*BA223+BB246*BB223+BC246*BC223+BD246*BD223+BE246*BE223+BF246*BF223+BG246*BG223+BH246*BH223+BI246*BI223+BJ246*BJ223+BK246*BK223+BL246*BL223+BM246*BM223+BN246*BN223+BO246*BO223+BP246*BP223+BQ246*BQ223+BR246*BR223+BS246*BS223+BT246*BT223+BU246*BU223+BV246*BV223+BW246*BW223+BX246*BX223+BY246*BY223+BZ246*BZ223+CA246*CA223+CB246*CB223+CC246*CC223+CD246*CD223+CE246*CE223+CF246*CF223+CG246*CG223+CH246*CH223+CI246*CI223+CJ246*CJ223+CK246*CK223</f>
        <v>0</v>
      </c>
    </row>
    <row r="224" spans="2:102" ht="18" x14ac:dyDescent="0.25">
      <c r="B224" s="1980">
        <v>97</v>
      </c>
      <c r="C224" s="1981" t="s">
        <v>4512</v>
      </c>
      <c r="D224" s="633" t="s">
        <v>3116</v>
      </c>
      <c r="E224" s="2681">
        <f>0</f>
        <v>0</v>
      </c>
      <c r="F224" s="2681">
        <f>0</f>
        <v>0</v>
      </c>
      <c r="G224" s="2681">
        <f>0</f>
        <v>0</v>
      </c>
      <c r="H224" s="2681">
        <f>0</f>
        <v>0</v>
      </c>
      <c r="I224" s="2681">
        <f>0</f>
        <v>0</v>
      </c>
      <c r="J224" s="2699">
        <f>0</f>
        <v>0</v>
      </c>
      <c r="K224" s="2681">
        <f>0</f>
        <v>0</v>
      </c>
      <c r="L224" s="2681">
        <f>0</f>
        <v>0</v>
      </c>
      <c r="M224" s="2681">
        <f>0</f>
        <v>0</v>
      </c>
      <c r="N224" s="2681">
        <f>0</f>
        <v>0</v>
      </c>
      <c r="O224" s="2681">
        <f>0</f>
        <v>0</v>
      </c>
      <c r="P224" s="2681">
        <f>0</f>
        <v>0</v>
      </c>
      <c r="Q224" s="2681">
        <f>0</f>
        <v>0</v>
      </c>
      <c r="R224" s="2711">
        <f>0</f>
        <v>0</v>
      </c>
      <c r="S224" s="2681">
        <f>0</f>
        <v>0</v>
      </c>
      <c r="T224" s="2681">
        <f>0</f>
        <v>0</v>
      </c>
      <c r="U224" s="2681">
        <f>0</f>
        <v>0</v>
      </c>
      <c r="V224" s="2681">
        <f>0</f>
        <v>0</v>
      </c>
      <c r="W224" s="2681">
        <f>0</f>
        <v>0</v>
      </c>
      <c r="X224" s="2681">
        <f>0</f>
        <v>0</v>
      </c>
      <c r="Y224" s="2681">
        <f>0</f>
        <v>0</v>
      </c>
      <c r="Z224" s="2724">
        <f>0</f>
        <v>0</v>
      </c>
      <c r="AA224" s="2681">
        <f>0</f>
        <v>0</v>
      </c>
      <c r="AB224" s="2681">
        <f>0</f>
        <v>0</v>
      </c>
      <c r="AC224" s="2681">
        <f>0</f>
        <v>0</v>
      </c>
      <c r="AD224" s="2681">
        <f>0</f>
        <v>0</v>
      </c>
      <c r="AE224" s="2681">
        <f>0</f>
        <v>0</v>
      </c>
      <c r="AF224" s="2681">
        <f>0</f>
        <v>0</v>
      </c>
      <c r="AG224" s="2699">
        <f>0</f>
        <v>0</v>
      </c>
      <c r="AH224" s="2681">
        <f>0</f>
        <v>0</v>
      </c>
      <c r="AI224" s="2681">
        <f>0</f>
        <v>0</v>
      </c>
      <c r="AJ224" s="2681">
        <f>0</f>
        <v>0</v>
      </c>
      <c r="AK224" s="2681">
        <f>0</f>
        <v>0</v>
      </c>
      <c r="AL224" s="2681">
        <f>0</f>
        <v>0</v>
      </c>
      <c r="AM224" s="2699">
        <f>0</f>
        <v>0</v>
      </c>
      <c r="AN224" s="2681">
        <f>0</f>
        <v>0</v>
      </c>
      <c r="AO224" s="2681">
        <f>1</f>
        <v>1</v>
      </c>
      <c r="AP224" s="2681">
        <f>0</f>
        <v>0</v>
      </c>
      <c r="AQ224" s="2681">
        <f>0</f>
        <v>0</v>
      </c>
      <c r="AR224" s="2681">
        <f>0</f>
        <v>0</v>
      </c>
      <c r="AS224" s="2681">
        <f>0</f>
        <v>0</v>
      </c>
      <c r="AT224" s="2681">
        <f>0</f>
        <v>0</v>
      </c>
      <c r="AU224" s="2681">
        <f>0</f>
        <v>0</v>
      </c>
      <c r="AV224" s="2681">
        <f>0</f>
        <v>0</v>
      </c>
      <c r="AW224" s="2681">
        <f>0</f>
        <v>0</v>
      </c>
      <c r="AX224" s="2681">
        <f>0</f>
        <v>0</v>
      </c>
      <c r="AY224" s="2711">
        <f>0</f>
        <v>0</v>
      </c>
      <c r="AZ224" s="2711">
        <f>0</f>
        <v>0</v>
      </c>
      <c r="BA224" s="2711">
        <f>0</f>
        <v>0</v>
      </c>
      <c r="BB224" s="2711">
        <f>0</f>
        <v>0</v>
      </c>
      <c r="BC224" s="2711">
        <f>0</f>
        <v>0</v>
      </c>
      <c r="BD224" s="2711">
        <f>0</f>
        <v>0</v>
      </c>
      <c r="BE224" s="2711">
        <f>0</f>
        <v>0</v>
      </c>
      <c r="BF224" s="2711">
        <f>0</f>
        <v>0</v>
      </c>
      <c r="BG224" s="2711">
        <f>0</f>
        <v>0</v>
      </c>
      <c r="BH224" s="2711">
        <f>0</f>
        <v>0</v>
      </c>
      <c r="BI224" s="2711">
        <f>0</f>
        <v>0</v>
      </c>
      <c r="BJ224" s="2711">
        <f>0</f>
        <v>0</v>
      </c>
      <c r="BK224" s="2711">
        <f>0</f>
        <v>0</v>
      </c>
      <c r="BL224" s="2711">
        <f>0</f>
        <v>0</v>
      </c>
      <c r="BM224" s="2711">
        <f>0</f>
        <v>0</v>
      </c>
      <c r="BN224" s="2711">
        <f>0</f>
        <v>0</v>
      </c>
      <c r="BO224" s="2711">
        <f>0</f>
        <v>0</v>
      </c>
      <c r="BP224" s="2764">
        <f>0</f>
        <v>0</v>
      </c>
      <c r="BQ224" s="2711">
        <f>0</f>
        <v>0</v>
      </c>
      <c r="BR224" s="2711">
        <f>0</f>
        <v>0</v>
      </c>
      <c r="BS224" s="2773">
        <f>0</f>
        <v>0</v>
      </c>
      <c r="BT224" s="2773">
        <f>0</f>
        <v>0</v>
      </c>
      <c r="BU224" s="2773">
        <f>0</f>
        <v>0</v>
      </c>
      <c r="BV224" s="2773">
        <f>0</f>
        <v>0</v>
      </c>
      <c r="BW224" s="2711">
        <f>0</f>
        <v>0</v>
      </c>
      <c r="BX224" s="2712">
        <f>0</f>
        <v>0</v>
      </c>
      <c r="BY224" s="2773">
        <f>0</f>
        <v>0</v>
      </c>
      <c r="BZ224" s="2681">
        <f>0</f>
        <v>0</v>
      </c>
      <c r="CA224" s="2681">
        <f>0</f>
        <v>0</v>
      </c>
      <c r="CB224" s="2681">
        <f>0</f>
        <v>0</v>
      </c>
      <c r="CC224" s="2681">
        <f>-1</f>
        <v>-1</v>
      </c>
      <c r="CD224" s="2681">
        <f>0</f>
        <v>0</v>
      </c>
      <c r="CE224" s="2681">
        <f>0</f>
        <v>0</v>
      </c>
      <c r="CF224" s="2711">
        <f>0</f>
        <v>0</v>
      </c>
      <c r="CG224" s="2711">
        <f>0</f>
        <v>0</v>
      </c>
      <c r="CH224" s="2711">
        <f>0</f>
        <v>0</v>
      </c>
      <c r="CI224" s="2711">
        <f>0</f>
        <v>0</v>
      </c>
      <c r="CJ224" s="2711">
        <f>0</f>
        <v>0</v>
      </c>
      <c r="CK224" s="2711">
        <f>0</f>
        <v>0</v>
      </c>
      <c r="CL224" s="2820">
        <f>k_LaGO2_bub*(S_GO2_bub_sat-S_O2)</f>
        <v>800</v>
      </c>
      <c r="CN224" s="2295">
        <f>E236*E224+F236*F224+G236*G224+H236*H224+I236*I224+J236*J224+K236*K224+L236*L224+M236*M224+N236*N224+O236*O224+P236*P224+Q236*Q224+R236*R224+S236*S224+T236*T224+U236*U224+V236*V224+W236*W224+X236*X224+Y236*Y224+Z236*Z224+AA236*AA224+AB236*AB224+AC236*AC224+AD236*AD224+AE236*AE224+AF236*AF224+AG236*AG224+AH236*AH224+AI236*AI224+AJ236*AJ224+AK236*AK224+AL236*AL224+AM236*AM224+AN236*AN224+AO236*AO224+AP236*AP224+AQ236*AQ224+AR236*AR224+AS236*AS224+AT236*AT224+AU236*AU224+AV236*AV224+AW236*AW224+AX236*AX224+AY236*AY224+AZ236*AZ224+BA236*BA224+BB236*BB224+BC236*BC224+BD236*BD224+BE236*BE224+BF236*BF224+BG236*BG224+BH236*BH224+BI236*BI224+BJ236*BJ224+BK236*BK224+BL236*BL224+BM236*BM224+BN236*BN224+BO236*BO224+BP236*BP224+BQ236*BQ224+BR236*BR224+BS236*BS224+BT236*BT224+BU236*BU224+BV236*BV224+BW236*BW224+BX236*BX224+BY236*BY224+BZ236*BZ224+CA236*CA224+CB236*CB224+CC236*CC224+CD236*CD224+CE236*CE224+CF236*CF224+CG236*CG224+CH236*CH224+CI236*CI224+CJ236*CJ224+CK236*CK224</f>
        <v>0</v>
      </c>
      <c r="CO224" s="2295">
        <f>E237*E224+F237*F224+G237*G224+H237*H224+I237*I224+J237*J224+K237*K224+L237*L224+M237*M224+N237*N224+O237*O224+P237*P224+Q237*Q224+R237*R224+S237*S224+T237*T224+U237*U224+V237*V224+W237*W224+X237*X224+Y237*Y224+Z237*Z224+AA237*AA224+AB237*AB224+AC237*AC224+AD237*AD224+AE237*AE224+AF237*AF224+AG237*AG224+AH237*AH224+AI237*AI224+AJ237*AJ224+AK237*AK224+AL237*AL224+AM237*AM224+AN237*AN224+AO237*AO224+AP237*AP224+AQ237*AQ224+AR237*AR224+AS237*AS224+AT237*AT224+AU237*AU224+AV237*AV224+AW237*AW224+AX237*AX224+AY237*AY224+AZ237*AZ224+BA237*BA224+BB237*BB224+BC237*BC224+BD237*BD224+BE237*BE224+BF237*BF224+BG237*BG224+BH237*BH224+BI237*BI224+BJ237*BJ224+BK237*BK224+BL237*BL224+BM237*BM224+BN237*BN224+BO237*BO224+BP237*BP224+BQ237*BQ224+BR237*BR224+BS237*BS224+BT237*BT224+BU237*BU224+BV237*BV224+BW237*BW224+BX237*BX224+BY237*BY224+BZ237*BZ224+CA237*CA224+CB237*CB224+CC237*CC224+CD237*CD224+CE237*CE224+CF237*CF224+CG237*CG224+CH237*CH224+CI237*CI224+CJ237*CJ224+CK237*CK224</f>
        <v>0</v>
      </c>
      <c r="CP224" s="2296">
        <f>E238*E224+F238*F224+G238*G224+H238*H224+I238*I224+J238*J224+K238*K224+L238*L224+M238*M224+N238*N224+O238*O224+P238*P224+Q238*Q224+R238*R224+S238*S224+T238*T224+U238*U224+V238*V224+W238*W224+X238*X224+Y238*Y224+Z238*Z224+AA238*AA224+AB238*AB224+AC238*AC224+AD238*AD224+AE238*AE224+AF238*AF224+AG238*AG224+AH238*AH224+AI238*AI224+AJ238*AJ224+AK238*AK224+AL238*AL224+AM238*AM224+AN238*AN224+AO238*AO224+AP238*AP224+AQ238*AQ224+AR238*AR224+AS238*AS224+AT238*AT224+AU238*AU224+AV238*AV224+AW238*AW224+AX238*AX224+AY238*AY224+AZ238*AZ224+BA238*BA224+BB238*BB224+BC238*BC224+BD238*BD224+BE238*BE224+BF238*BF224+BG238*BG224+BH238*BH224+BI238*BI224+BJ238*BJ224+BK238*BK224+BL238*BL224+BM238*BM224+BN238*BN224+BO238*BO224+BP238*BP224+BQ238*BQ224+BR238*BR224+BS238*BS224+BT238*BT224+BU238*BU224+BV238*BV224+BW238*BW224+BX238*BX224+BY238*BY224+BZ238*BZ224+CA238*CA224+CB238*CB224+CC238*CC224+CD238*CD224+CE238*CE224+CF238*CF224+CG238*CG224+CH238*CH224+CI238*CI224+CJ238*CJ224+CK238*CK224</f>
        <v>0</v>
      </c>
      <c r="CQ224" s="2297">
        <f>E239*E224+F239*F224+G239*G224+H239*H224+I239*I224+J239*J224+K239*K224+L239*L224+M239*M224+N239*N224+O239*O224+P239*P224+Q239*Q224+R239*R224+S239*S224+T239*T224+U239*U224+V239*V224+W239*W224+X239*X224+Y239*Y224+Z239*Z224+AA239*AA224+AB239*AB224+AC239*AC224+AD239*AD224+AE239*AE224+AF239*AF224+AG239*AG224+AH239*AH224+AI239*AI224+AJ239*AJ224+AK239*AK224+AL239*AL224+AM239*AM224+AN239*AN224+AO239*AO224+AP239*AP224+AQ239*AQ224+AR239*AR224+AS239*AS224+AT239*AT224+AU239*AU224+AV239*AV224+AW239*AW224+AX239*AX224+AY239*AY224+AZ239*AZ224+BA239*BA224+BB239*BB224+BC239*BC224+BD239*BD224+BE239*BE224+BF239*BF224+BG239*BG224+BH239*BH224+BI239*BI224+BJ239*BJ224+BK239*BK224+BL239*BL224+BM239*BM224+BN239*BN224+BO239*BO224+BP239*BP224+BQ239*BQ224+BR239*BR224+BS239*BS224+BT239*BT224+BU239*BU224+BV239*BV224+BW239*BW224+BX239*BX224+BY239*BY224+BZ239*BZ224+CA239*CA224+CB239*CB224+CC239*CC224+CD239*CD224+CE239*CE224+CF239*CF224+CG239*CG224+CH239*CH224+CI239*CI224+CJ239*CJ224+CK239*CK224</f>
        <v>0</v>
      </c>
      <c r="CR224" s="2297">
        <f>E240*E224+F240*F224+G240*G224+H240*H224+I240*I224+J240*J224+K240*K224+L240*L224+M240*M224+N240*N224+O240*O224+P240*P224+Q240*Q224+R240*R224+S240*S224+T240*T224+U240*U224+V240*V224+W240*W224+X240*X224+Y240*Y224+Z240*Z224+AA240*AA224+AB240*AB224+AC240*AC224+AD240*AD224+AE240*AE224+AF240*AF224+AG240*AG224+AH240*AH224+AI240*AI224+AJ240*AJ224+AK240*AK224+AL240*AL224+AM240*AM224+AN240*AN224+AO240*AO224+AP240*AP224+AQ240*AQ224+AR240*AR224+AS240*AS224+AT240*AT224+AU240*AU224+AV240*AV224+AW240*AW224+AX240*AX224+AY240*AY224+AZ240*AZ224+BA240*BA224+BB240*BB224+BC240*BC224+BD240*BD224+BE240*BE224+BF240*BF224+BG240*BG224+BH240*BH224+BI240*BI224+BJ240*BJ224+BK240*BK224+BL240*BL224+BM240*BM224+BN240*BN224+BO240*BO224+BP240*BP224+BQ240*BQ224+BR240*BR224+BS240*BS224+BT240*BT224+BU240*BU224+BV240*BV224+BW240*BW224+BX240*BX224+BY240*BY224+BZ240*BZ224+CA240*CA224+CB240*CB224+CC240*CC224+CD240*CD224+CE240*CE224+CF240*CF224+CG240*CG224+CH240*CH224+CI240*CI224+CJ240*CJ224+CK240*CK224</f>
        <v>0</v>
      </c>
      <c r="CS224" s="2297">
        <f>E241*E224+F241*F224+G241*G224+H241*H224+I241*I224+J241*J224+K241*K224+L241*L224+M241*M224+N241*N224+O241*O224+P241*P224+Q241*Q224+R241*R224+S241*S224+T241*T224+U241*U224+V241*V224+W241*W224+X241*X224+Y241*Y224+Z241*Z224+AA241*AA224+AB241*AB224+AC241*AC224+AD241*AD224+AE241*AE224+AF241*AF224+AG241*AG224+AH241*AH224+AI241*AI224+AJ241*AJ224+AK241*AK224+AL241*AL224+AM241*AM224+AN241*AN224+AO241*AO224+AP241*AP224+AQ241*AQ224+AR241*AR224+AS241*AS224+AT241*AT224+AU241*AU224+AV241*AV224+AW241*AW224+AX241*AX224+AY241*AY224+AZ241*AZ224+BA241*BA224+BB241*BB224+BC241*BC224+BD241*BD224+BE241*BE224+BF241*BF224+BG241*BG224+BH241*BH224+BI241*BI224+BJ241*BJ224+BK241*BK224+BL241*BL224+BM241*BM224+BN241*BN224+BO241*BO224+BP241*BP224+BQ241*BQ224+BR241*BR224+BS241*BS224+BT241*BT224+BU241*BU224+BV241*BV224+BW241*BW224+BX241*BX224+BY241*BY224+BZ241*BZ224+CA241*CA224+CB241*CB224+CC241*CC224+CD241*CD224+CE241*CE224+CF241*CF224+CG241*CG224+CH241*CH224+CI241*CI224+CJ241*CJ224+CK241*CK224</f>
        <v>0</v>
      </c>
      <c r="CT224" s="2297">
        <f>E242*E224+F242*F224+G242*G224+H242*H224+I242*I224+J242*J224+K242*K224+L242*L224+M242*M224+N242*N224+O242*O224+P242*P224+Q242*Q224+R242*R224+S242*S224+T242*T224+U242*U224+V242*V224+W242*W224+X242*X224+Y242*Y224+Z242*Z224+AA242*AA224+AB242*AB224+AC242*AC224+AD242*AD224+AE242*AE224+AF242*AF224+AG242*AG224+AH242*AH224+AI242*AI224+AJ242*AJ224+AK242*AK224+AL242*AL224+AM242*AM224+AN242*AN224+AO242*AO224+AP242*AP224+AQ242*AQ224+AR242*AR224+AS242*AS224+AT242*AT224+AU242*AU224+AV242*AV224+AW242*AW224+AX242*AX224+AY242*AY224+AZ242*AZ224+BA242*BA224+BB242*BB224+BC242*BC224+BD242*BD224+BE242*BE224+BF242*BF224+BG242*BG224+BH242*BH224+BI242*BI224+BJ242*BJ224+BK242*BK224+BL242*BL224+BM242*BM224+BN242*BN224+BO242*BO224+BP242*BP224+BQ242*BQ224+BR242*BR224+BS242*BS224+BT242*BT224+BU242*BU224+BV242*BV224+BW242*BW224+BX242*BX224+BY242*BY224+BZ242*BZ224+CA242*CA224+CB242*CB224+CC242*CC224+CD242*CD224+CE242*CE224+CF242*CF224+CG242*CG224+CH242*CH224+CI242*CI224+CJ242*CJ224+CK242*CK224</f>
        <v>0</v>
      </c>
      <c r="CU224" s="2297">
        <f>E243*E224+F243*F224+G243*G224+H243*H224+I243*I224+J243*J224+K243*K224+L243*L224+M243*M224+N243*N224+O243*O224+P243*P224+Q243*Q224+R243*R224+S243*S224+T243*T224+U243*U224+V243*V224+W243*W224+X243*X224+Y243*Y224+Z243*Z224+AA243*AA224+AB243*AB224+AC243*AC224+AD243*AD224+AE243*AE224+AF243*AF224+AG243*AG224+AH243*AH224+AI243*AI224+AJ243*AJ224+AK243*AK224+AL243*AL224+AM243*AM224+AN243*AN224+AO243*AO224+AP243*AP224+AQ243*AQ224+AR243*AR224+AS243*AS224+AT243*AT224+AU243*AU224+AV243*AV224+AW243*AW224+AX243*AX224+AY243*AY224+AZ243*AZ224+BA243*BA224+BB243*BB224+BC243*BC224+BD243*BD224+BE243*BE224+BF243*BF224+BG243*BG224+BH243*BH224+BI243*BI224+BJ243*BJ224+BK243*BK224+BL243*BL224+BM243*BM224+BN243*BN224+BO243*BO224+BP243*BP224+BQ243*BQ224+BR243*BR224+BS243*BS224+BT243*BT224+BU243*BU224+BV243*BV224+BW243*BW224+BX243*BX224+BY243*BY224+BZ243*BZ224+CA243*CA224+CB243*CB224+CC243*CC224+CD243*CD224+CE243*CE224+CF243*CF224+CG243*CG224+CH243*CH224+CI243*CI224+CJ243*CJ224+CK243*CK224</f>
        <v>0</v>
      </c>
      <c r="CV224" s="2297">
        <f>E244*E224+F244*F224+G244*G224+H244*H224+I244*I224+J244*J224+K244*K224+L244*L224+M244*M224+N244*N224+O244*O224+P244*P224+Q244*Q224+R244*R224+S244*S224+T244*T224+U244*U224+V244*V224+W244*W224+X244*X224+Y244*Y224+Z244*Z224+AA244*AA224+AB244*AB224+AC244*AC224+AD244*AD224+AE244*AE224+AF244*AF224+AG244*AG224+AH244*AH224+AI244*AI224+AJ244*AJ224+AK244*AK224+AL244*AL224+AM244*AM224+AN244*AN224+AO244*AO224+AP244*AP224+AQ244*AQ224+AR244*AR224+AS244*AS224+AT244*AT224+AU244*AU224+AV244*AV224+AW244*AW224+AX244*AX224+AY244*AY224+AZ244*AZ224+BA244*BA224+BB244*BB224+BC244*BC224+BD244*BD224+BE244*BE224+BF244*BF224+BG244*BG224+BH244*BH224+BI244*BI224+BJ244*BJ224+BK244*BK224+BL244*BL224+BM244*BM224+BN244*BN224+BO244*BO224+BP244*BP224+BQ244*BQ224+BR244*BR224+BS244*BS224+BT244*BT224+BU244*BU224+BV244*BV224+BW244*BW224+BX244*BX224+BY244*BY224+BZ244*BZ224+CA244*CA224+CB244*CB224+CC244*CC224+CD244*CD224+CE244*CE224+CF244*CF224+CG244*CG224+CH244*CH224+CI244*CI224+CJ244*CJ224+CK244*CK224</f>
        <v>0</v>
      </c>
      <c r="CW224" s="2297">
        <f>E245*E224+F245*F224+G245*G224+H245*H224+I245*I224+J245*J224+K245*K224+L245*L224+M245*M224+N245*N224+O245*O224+P245*P224+Q245*Q224+R245*R224+S245*S224+T245*T224+U245*U224+V245*V224+W245*W224+X245*X224+Y245*Y224+Z245*Z224+AA245*AA224+AB245*AB224+AC245*AC224+AD245*AD224+AE245*AE224+AF245*AF224+AG245*AG224+AH245*AH224+AI245*AI224+AJ245*AJ224+AK245*AK224+AL245*AL224+AM245*AM224+AN245*AN224+AO245*AO224+AP245*AP224+AQ245*AQ224+AR245*AR224+AS245*AS224+AT245*AT224+AU245*AU224+AV245*AV224+AW245*AW224+AX245*AX224+AY245*AY224+AZ245*AZ224+BA245*BA224+BB245*BB224+BC245*BC224+BD245*BD224+BE245*BE224+BF245*BF224+BG245*BG224+BH245*BH224+BI245*BI224+BJ245*BJ224+BK245*BK224+BL245*BL224+BM245*BM224+BN245*BN224+BO245*BO224+BP245*BP224+BQ245*BQ224+BR245*BR224+BS245*BS224+BT245*BT224+BU245*BU224+BV245*BV224+BW245*BW224+BX245*BX224+BY245*BY224+BZ245*BZ224+CA245*CA224+CB245*CB224+CC245*CC224+CD245*CD224+CE245*CE224+CF245*CF224+CG245*CG224+CH245*CH224+CI245*CI224+CJ245*CJ224+CK245*CK224</f>
        <v>0</v>
      </c>
      <c r="CX224" s="2297">
        <f>E246*E224+F246*F224+G246*G224+H246*H224+I246*I224+J246*J224+K246*K224+L246*L224+M246*M224+N246*N224+O246*O224+P246*P224+Q246*Q224+R246*R224+S246*S224+T246*T224+U246*U224+V246*V224+W246*W224+X246*X224+Y246*Y224+Z246*Z224+AA246*AA224+AB246*AB224+AC246*AC224+AD246*AD224+AE246*AE224+AF246*AF224+AG246*AG224+AH246*AH224+AI246*AI224+AJ246*AJ224+AK246*AK224+AL246*AL224+AM246*AM224+AN246*AN224+AO246*AO224+AP246*AP224+AQ246*AQ224+AR246*AR224+AS246*AS224+AT246*AT224+AU246*AU224+AV246*AV224+AW246*AW224+AX246*AX224+AY246*AY224+AZ246*AZ224+BA246*BA224+BB246*BB224+BC246*BC224+BD246*BD224+BE246*BE224+BF246*BF224+BG246*BG224+BH246*BH224+BI246*BI224+BJ246*BJ224+BK246*BK224+BL246*BL224+BM246*BM224+BN246*BN224+BO246*BO224+BP246*BP224+BQ246*BQ224+BR246*BR224+BS246*BS224+BT246*BT224+BU246*BU224+BV246*BV224+BW246*BW224+BX246*BX224+BY246*BY224+BZ246*BZ224+CA246*CA224+CB246*CB224+CC246*CC224+CD246*CD224+CE246*CE224+CF246*CF224+CG246*CG224+CH246*CH224+CI246*CI224+CJ246*CJ224+CK246*CK224</f>
        <v>0</v>
      </c>
    </row>
    <row r="225" spans="2:102" ht="18" x14ac:dyDescent="0.25">
      <c r="B225" s="1980">
        <v>98</v>
      </c>
      <c r="C225" s="1981" t="s">
        <v>4556</v>
      </c>
      <c r="D225" s="633" t="s">
        <v>3117</v>
      </c>
      <c r="E225" s="2681">
        <f>0</f>
        <v>0</v>
      </c>
      <c r="F225" s="2681">
        <f>0</f>
        <v>0</v>
      </c>
      <c r="G225" s="2681">
        <f>0</f>
        <v>0</v>
      </c>
      <c r="H225" s="2681">
        <f>0</f>
        <v>0</v>
      </c>
      <c r="I225" s="2681">
        <f>0</f>
        <v>0</v>
      </c>
      <c r="J225" s="2699">
        <f>0</f>
        <v>0</v>
      </c>
      <c r="K225" s="2681">
        <f>0</f>
        <v>0</v>
      </c>
      <c r="L225" s="2681">
        <f>0</f>
        <v>0</v>
      </c>
      <c r="M225" s="2681">
        <f>0</f>
        <v>0</v>
      </c>
      <c r="N225" s="2681">
        <f>0</f>
        <v>0</v>
      </c>
      <c r="O225" s="2681">
        <f>0</f>
        <v>0</v>
      </c>
      <c r="P225" s="2681">
        <f>0</f>
        <v>0</v>
      </c>
      <c r="Q225" s="2681">
        <f>0</f>
        <v>0</v>
      </c>
      <c r="R225" s="2711">
        <f>0</f>
        <v>0</v>
      </c>
      <c r="S225" s="2681">
        <f>0</f>
        <v>0</v>
      </c>
      <c r="T225" s="2681">
        <f>0</f>
        <v>0</v>
      </c>
      <c r="U225" s="2681">
        <f>0</f>
        <v>0</v>
      </c>
      <c r="V225" s="2681">
        <f>0</f>
        <v>0</v>
      </c>
      <c r="W225" s="2681">
        <f>0</f>
        <v>0</v>
      </c>
      <c r="X225" s="2681">
        <f>0</f>
        <v>0</v>
      </c>
      <c r="Y225" s="2681">
        <f>0</f>
        <v>0</v>
      </c>
      <c r="Z225" s="2724">
        <f>0</f>
        <v>0</v>
      </c>
      <c r="AA225" s="2681">
        <f>1</f>
        <v>1</v>
      </c>
      <c r="AB225" s="2681">
        <f>0</f>
        <v>0</v>
      </c>
      <c r="AC225" s="2681">
        <f>0</f>
        <v>0</v>
      </c>
      <c r="AD225" s="2681">
        <f>0</f>
        <v>0</v>
      </c>
      <c r="AE225" s="2681">
        <f>0</f>
        <v>0</v>
      </c>
      <c r="AF225" s="2681">
        <f>0</f>
        <v>0</v>
      </c>
      <c r="AG225" s="2699">
        <f>0</f>
        <v>0</v>
      </c>
      <c r="AH225" s="2681">
        <f>0</f>
        <v>0</v>
      </c>
      <c r="AI225" s="2681">
        <f>0</f>
        <v>0</v>
      </c>
      <c r="AJ225" s="2681">
        <f>0</f>
        <v>0</v>
      </c>
      <c r="AK225" s="2681">
        <f>0</f>
        <v>0</v>
      </c>
      <c r="AL225" s="2681">
        <f>0</f>
        <v>0</v>
      </c>
      <c r="AM225" s="2699">
        <f>0</f>
        <v>0</v>
      </c>
      <c r="AN225" s="2681">
        <f>0</f>
        <v>0</v>
      </c>
      <c r="AO225" s="2681">
        <f>0</f>
        <v>0</v>
      </c>
      <c r="AP225" s="2681">
        <f>0</f>
        <v>0</v>
      </c>
      <c r="AQ225" s="2681">
        <f>0</f>
        <v>0</v>
      </c>
      <c r="AR225" s="2681">
        <f>0</f>
        <v>0</v>
      </c>
      <c r="AS225" s="2681">
        <f>0</f>
        <v>0</v>
      </c>
      <c r="AT225" s="2681">
        <f>0</f>
        <v>0</v>
      </c>
      <c r="AU225" s="2681">
        <f>0</f>
        <v>0</v>
      </c>
      <c r="AV225" s="2681">
        <f>0</f>
        <v>0</v>
      </c>
      <c r="AW225" s="2681">
        <f>0</f>
        <v>0</v>
      </c>
      <c r="AX225" s="2681">
        <f>0</f>
        <v>0</v>
      </c>
      <c r="AY225" s="2711">
        <f>0</f>
        <v>0</v>
      </c>
      <c r="AZ225" s="2711">
        <f>0</f>
        <v>0</v>
      </c>
      <c r="BA225" s="2711">
        <f>0</f>
        <v>0</v>
      </c>
      <c r="BB225" s="2711">
        <f>0</f>
        <v>0</v>
      </c>
      <c r="BC225" s="2711">
        <f>0</f>
        <v>0</v>
      </c>
      <c r="BD225" s="2711">
        <f>0</f>
        <v>0</v>
      </c>
      <c r="BE225" s="2711">
        <f>0</f>
        <v>0</v>
      </c>
      <c r="BF225" s="2711">
        <f>0</f>
        <v>0</v>
      </c>
      <c r="BG225" s="2711">
        <f>0</f>
        <v>0</v>
      </c>
      <c r="BH225" s="2711">
        <f>0</f>
        <v>0</v>
      </c>
      <c r="BI225" s="2711">
        <f>0</f>
        <v>0</v>
      </c>
      <c r="BJ225" s="2711">
        <f>0</f>
        <v>0</v>
      </c>
      <c r="BK225" s="2711">
        <f>0</f>
        <v>0</v>
      </c>
      <c r="BL225" s="2711">
        <f>0</f>
        <v>0</v>
      </c>
      <c r="BM225" s="2711">
        <f>0</f>
        <v>0</v>
      </c>
      <c r="BN225" s="2711">
        <f>0</f>
        <v>0</v>
      </c>
      <c r="BO225" s="2711">
        <f>0</f>
        <v>0</v>
      </c>
      <c r="BP225" s="2764">
        <f>0</f>
        <v>0</v>
      </c>
      <c r="BQ225" s="2711">
        <f>0</f>
        <v>0</v>
      </c>
      <c r="BR225" s="2711">
        <f>0</f>
        <v>0</v>
      </c>
      <c r="BS225" s="2773">
        <f>0</f>
        <v>0</v>
      </c>
      <c r="BT225" s="2773">
        <f>0</f>
        <v>0</v>
      </c>
      <c r="BU225" s="2773">
        <f>0</f>
        <v>0</v>
      </c>
      <c r="BV225" s="2773">
        <f>0</f>
        <v>0</v>
      </c>
      <c r="BW225" s="2711">
        <f>0</f>
        <v>0</v>
      </c>
      <c r="BX225" s="2712">
        <f>0</f>
        <v>0</v>
      </c>
      <c r="BY225" s="2773">
        <f>0</f>
        <v>0</v>
      </c>
      <c r="BZ225" s="2681">
        <f>0</f>
        <v>0</v>
      </c>
      <c r="CA225" s="2681">
        <f>0</f>
        <v>0</v>
      </c>
      <c r="CB225" s="2681">
        <f>0</f>
        <v>0</v>
      </c>
      <c r="CC225" s="2681">
        <f>0</f>
        <v>0</v>
      </c>
      <c r="CD225" s="2681">
        <f>-1</f>
        <v>-1</v>
      </c>
      <c r="CE225" s="2681">
        <f>0</f>
        <v>0</v>
      </c>
      <c r="CF225" s="2711">
        <f>0</f>
        <v>0</v>
      </c>
      <c r="CG225" s="2711">
        <f>0</f>
        <v>0</v>
      </c>
      <c r="CH225" s="2711">
        <f>0</f>
        <v>0</v>
      </c>
      <c r="CI225" s="2711">
        <f>0</f>
        <v>0</v>
      </c>
      <c r="CJ225" s="2711">
        <f>0</f>
        <v>0</v>
      </c>
      <c r="CK225" s="2711">
        <f>0</f>
        <v>0</v>
      </c>
      <c r="CL225" s="2820">
        <f>k_transfer_GNH3_bub</f>
        <v>0</v>
      </c>
      <c r="CN225" s="2295">
        <f>E236*E225+F236*F225+G236*G225+H236*H225+I236*I225+J236*J225+K236*K225+L236*L225+M236*M225+N236*N225+O236*O225+P236*P225+Q236*Q225+R236*R225+S236*S225+T236*T225+U236*U225+V236*V225+W236*W225+X236*X225+Y236*Y225+Z236*Z225+AA236*AA225+AB236*AB225+AC236*AC225+AD236*AD225+AE236*AE225+AF236*AF225+AG236*AG225+AH236*AH225+AI236*AI225+AJ236*AJ225+AK236*AK225+AL236*AL225+AM236*AM225+AN236*AN225+AO236*AO225+AP236*AP225+AQ236*AQ225+AR236*AR225+AS236*AS225+AT236*AT225+AU236*AU225+AV236*AV225+AW236*AW225+AX236*AX225+AY236*AY225+AZ236*AZ225+BA236*BA225+BB236*BB225+BC236*BC225+BD236*BD225+BE236*BE225+BF236*BF225+BG236*BG225+BH236*BH225+BI236*BI225+BJ236*BJ225+BK236*BK225+BL236*BL225+BM236*BM225+BN236*BN225+BO236*BO225+BP236*BP225+BQ236*BQ225+BR236*BR225+BS236*BS225+BT236*BT225+BU236*BU225+BV236*BV225+BW236*BW225+BX236*BX225+BY236*BY225+BZ236*BZ225+CA236*CA225+CB236*CB225+CC236*CC225+CD236*CD225+CE236*CE225+CF236*CF225+CG236*CG225+CH236*CH225+CI236*CI225+CJ236*CJ225+CK236*CK225</f>
        <v>0</v>
      </c>
      <c r="CO225" s="2295">
        <f>E237*E225+F237*F225+G237*G225+H237*H225+I237*I225+J237*J225+K237*K225+L237*L225+M237*M225+N237*N225+O237*O225+P237*P225+Q237*Q225+R237*R225+S237*S225+T237*T225+U237*U225+V237*V225+W237*W225+X237*X225+Y237*Y225+Z237*Z225+AA237*AA225+AB237*AB225+AC237*AC225+AD237*AD225+AE237*AE225+AF237*AF225+AG237*AG225+AH237*AH225+AI237*AI225+AJ237*AJ225+AK237*AK225+AL237*AL225+AM237*AM225+AN237*AN225+AO237*AO225+AP237*AP225+AQ237*AQ225+AR237*AR225+AS237*AS225+AT237*AT225+AU237*AU225+AV237*AV225+AW237*AW225+AX237*AX225+AY237*AY225+AZ237*AZ225+BA237*BA225+BB237*BB225+BC237*BC225+BD237*BD225+BE237*BE225+BF237*BF225+BG237*BG225+BH237*BH225+BI237*BI225+BJ237*BJ225+BK237*BK225+BL237*BL225+BM237*BM225+BN237*BN225+BO237*BO225+BP237*BP225+BQ237*BQ225+BR237*BR225+BS237*BS225+BT237*BT225+BU237*BU225+BV237*BV225+BW237*BW225+BX237*BX225+BY237*BY225+BZ237*BZ225+CA237*CA225+CB237*CB225+CC237*CC225+CD237*CD225+CE237*CE225+CF237*CF225+CG237*CG225+CH237*CH225+CI237*CI225+CJ237*CJ225+CK237*CK225</f>
        <v>0</v>
      </c>
      <c r="CP225" s="2296">
        <f>E238*E225+F238*F225+G238*G225+H238*H225+I238*I225+J238*J225+K238*K225+L238*L225+M238*M225+N238*N225+O238*O225+P238*P225+Q238*Q225+R238*R225+S238*S225+T238*T225+U238*U225+V238*V225+W238*W225+X238*X225+Y238*Y225+Z238*Z225+AA238*AA225+AB238*AB225+AC238*AC225+AD238*AD225+AE238*AE225+AF238*AF225+AG238*AG225+AH238*AH225+AI238*AI225+AJ238*AJ225+AK238*AK225+AL238*AL225+AM238*AM225+AN238*AN225+AO238*AO225+AP238*AP225+AQ238*AQ225+AR238*AR225+AS238*AS225+AT238*AT225+AU238*AU225+AV238*AV225+AW238*AW225+AX238*AX225+AY238*AY225+AZ238*AZ225+BA238*BA225+BB238*BB225+BC238*BC225+BD238*BD225+BE238*BE225+BF238*BF225+BG238*BG225+BH238*BH225+BI238*BI225+BJ238*BJ225+BK238*BK225+BL238*BL225+BM238*BM225+BN238*BN225+BO238*BO225+BP238*BP225+BQ238*BQ225+BR238*BR225+BS238*BS225+BT238*BT225+BU238*BU225+BV238*BV225+BW238*BW225+BX238*BX225+BY238*BY225+BZ238*BZ225+CA238*CA225+CB238*CB225+CC238*CC225+CD238*CD225+CE238*CE225+CF238*CF225+CG238*CG225+CH238*CH225+CI238*CI225+CJ238*CJ225+CK238*CK225</f>
        <v>0</v>
      </c>
      <c r="CQ225" s="2297">
        <f>E239*E225+F239*F225+G239*G225+H239*H225+I239*I225+J239*J225+K239*K225+L239*L225+M239*M225+N239*N225+O239*O225+P239*P225+Q239*Q225+R239*R225+S239*S225+T239*T225+U239*U225+V239*V225+W239*W225+X239*X225+Y239*Y225+Z239*Z225+AA239*AA225+AB239*AB225+AC239*AC225+AD239*AD225+AE239*AE225+AF239*AF225+AG239*AG225+AH239*AH225+AI239*AI225+AJ239*AJ225+AK239*AK225+AL239*AL225+AM239*AM225+AN239*AN225+AO239*AO225+AP239*AP225+AQ239*AQ225+AR239*AR225+AS239*AS225+AT239*AT225+AU239*AU225+AV239*AV225+AW239*AW225+AX239*AX225+AY239*AY225+AZ239*AZ225+BA239*BA225+BB239*BB225+BC239*BC225+BD239*BD225+BE239*BE225+BF239*BF225+BG239*BG225+BH239*BH225+BI239*BI225+BJ239*BJ225+BK239*BK225+BL239*BL225+BM239*BM225+BN239*BN225+BO239*BO225+BP239*BP225+BQ239*BQ225+BR239*BR225+BS239*BS225+BT239*BT225+BU239*BU225+BV239*BV225+BW239*BW225+BX239*BX225+BY239*BY225+BZ239*BZ225+CA239*CA225+CB239*CB225+CC239*CC225+CD239*CD225+CE239*CE225+CF239*CF225+CG239*CG225+CH239*CH225+CI239*CI225+CJ239*CJ225+CK239*CK225</f>
        <v>0</v>
      </c>
      <c r="CR225" s="2297">
        <f>E240*E225+F240*F225+G240*G225+H240*H225+I240*I225+J240*J225+K240*K225+L240*L225+M240*M225+N240*N225+O240*O225+P240*P225+Q240*Q225+R240*R225+S240*S225+T240*T225+U240*U225+V240*V225+W240*W225+X240*X225+Y240*Y225+Z240*Z225+AA240*AA225+AB240*AB225+AC240*AC225+AD240*AD225+AE240*AE225+AF240*AF225+AG240*AG225+AH240*AH225+AI240*AI225+AJ240*AJ225+AK240*AK225+AL240*AL225+AM240*AM225+AN240*AN225+AO240*AO225+AP240*AP225+AQ240*AQ225+AR240*AR225+AS240*AS225+AT240*AT225+AU240*AU225+AV240*AV225+AW240*AW225+AX240*AX225+AY240*AY225+AZ240*AZ225+BA240*BA225+BB240*BB225+BC240*BC225+BD240*BD225+BE240*BE225+BF240*BF225+BG240*BG225+BH240*BH225+BI240*BI225+BJ240*BJ225+BK240*BK225+BL240*BL225+BM240*BM225+BN240*BN225+BO240*BO225+BP240*BP225+BQ240*BQ225+BR240*BR225+BS240*BS225+BT240*BT225+BU240*BU225+BV240*BV225+BW240*BW225+BX240*BX225+BY240*BY225+BZ240*BZ225+CA240*CA225+CB240*CB225+CC240*CC225+CD240*CD225+CE240*CE225+CF240*CF225+CG240*CG225+CH240*CH225+CI240*CI225+CJ240*CJ225+CK240*CK225</f>
        <v>0</v>
      </c>
      <c r="CS225" s="2297">
        <f>E241*E225+F241*F225+G241*G225+H241*H225+I241*I225+J241*J225+K241*K225+L241*L225+M241*M225+N241*N225+O241*O225+P241*P225+Q241*Q225+R241*R225+S241*S225+T241*T225+U241*U225+V241*V225+W241*W225+X241*X225+Y241*Y225+Z241*Z225+AA241*AA225+AB241*AB225+AC241*AC225+AD241*AD225+AE241*AE225+AF241*AF225+AG241*AG225+AH241*AH225+AI241*AI225+AJ241*AJ225+AK241*AK225+AL241*AL225+AM241*AM225+AN241*AN225+AO241*AO225+AP241*AP225+AQ241*AQ225+AR241*AR225+AS241*AS225+AT241*AT225+AU241*AU225+AV241*AV225+AW241*AW225+AX241*AX225+AY241*AY225+AZ241*AZ225+BA241*BA225+BB241*BB225+BC241*BC225+BD241*BD225+BE241*BE225+BF241*BF225+BG241*BG225+BH241*BH225+BI241*BI225+BJ241*BJ225+BK241*BK225+BL241*BL225+BM241*BM225+BN241*BN225+BO241*BO225+BP241*BP225+BQ241*BQ225+BR241*BR225+BS241*BS225+BT241*BT225+BU241*BU225+BV241*BV225+BW241*BW225+BX241*BX225+BY241*BY225+BZ241*BZ225+CA241*CA225+CB241*CB225+CC241*CC225+CD241*CD225+CE241*CE225+CF241*CF225+CG241*CG225+CH241*CH225+CI241*CI225+CJ241*CJ225+CK241*CK225</f>
        <v>0</v>
      </c>
      <c r="CT225" s="2297">
        <f>E242*E225+F242*F225+G242*G225+H242*H225+I242*I225+J242*J225+K242*K225+L242*L225+M242*M225+N242*N225+O242*O225+P242*P225+Q242*Q225+R242*R225+S242*S225+T242*T225+U242*U225+V242*V225+W242*W225+X242*X225+Y242*Y225+Z242*Z225+AA242*AA225+AB242*AB225+AC242*AC225+AD242*AD225+AE242*AE225+AF242*AF225+AG242*AG225+AH242*AH225+AI242*AI225+AJ242*AJ225+AK242*AK225+AL242*AL225+AM242*AM225+AN242*AN225+AO242*AO225+AP242*AP225+AQ242*AQ225+AR242*AR225+AS242*AS225+AT242*AT225+AU242*AU225+AV242*AV225+AW242*AW225+AX242*AX225+AY242*AY225+AZ242*AZ225+BA242*BA225+BB242*BB225+BC242*BC225+BD242*BD225+BE242*BE225+BF242*BF225+BG242*BG225+BH242*BH225+BI242*BI225+BJ242*BJ225+BK242*BK225+BL242*BL225+BM242*BM225+BN242*BN225+BO242*BO225+BP242*BP225+BQ242*BQ225+BR242*BR225+BS242*BS225+BT242*BT225+BU242*BU225+BV242*BV225+BW242*BW225+BX242*BX225+BY242*BY225+BZ242*BZ225+CA242*CA225+CB242*CB225+CC242*CC225+CD242*CD225+CE242*CE225+CF242*CF225+CG242*CG225+CH242*CH225+CI242*CI225+CJ242*CJ225+CK242*CK225</f>
        <v>0</v>
      </c>
      <c r="CU225" s="2297">
        <f>E243*E225+F243*F225+G243*G225+H243*H225+I243*I225+J243*J225+K243*K225+L243*L225+M243*M225+N243*N225+O243*O225+P243*P225+Q243*Q225+R243*R225+S243*S225+T243*T225+U243*U225+V243*V225+W243*W225+X243*X225+Y243*Y225+Z243*Z225+AA243*AA225+AB243*AB225+AC243*AC225+AD243*AD225+AE243*AE225+AF243*AF225+AG243*AG225+AH243*AH225+AI243*AI225+AJ243*AJ225+AK243*AK225+AL243*AL225+AM243*AM225+AN243*AN225+AO243*AO225+AP243*AP225+AQ243*AQ225+AR243*AR225+AS243*AS225+AT243*AT225+AU243*AU225+AV243*AV225+AW243*AW225+AX243*AX225+AY243*AY225+AZ243*AZ225+BA243*BA225+BB243*BB225+BC243*BC225+BD243*BD225+BE243*BE225+BF243*BF225+BG243*BG225+BH243*BH225+BI243*BI225+BJ243*BJ225+BK243*BK225+BL243*BL225+BM243*BM225+BN243*BN225+BO243*BO225+BP243*BP225+BQ243*BQ225+BR243*BR225+BS243*BS225+BT243*BT225+BU243*BU225+BV243*BV225+BW243*BW225+BX243*BX225+BY243*BY225+BZ243*BZ225+CA243*CA225+CB243*CB225+CC243*CC225+CD243*CD225+CE243*CE225+CF243*CF225+CG243*CG225+CH243*CH225+CI243*CI225+CJ243*CJ225+CK243*CK225</f>
        <v>0</v>
      </c>
      <c r="CV225" s="2297">
        <f>E244*E225+F244*F225+G244*G225+H244*H225+I244*I225+J244*J225+K244*K225+L244*L225+M244*M225+N244*N225+O244*O225+P244*P225+Q244*Q225+R244*R225+S244*S225+T244*T225+U244*U225+V244*V225+W244*W225+X244*X225+Y244*Y225+Z244*Z225+AA244*AA225+AB244*AB225+AC244*AC225+AD244*AD225+AE244*AE225+AF244*AF225+AG244*AG225+AH244*AH225+AI244*AI225+AJ244*AJ225+AK244*AK225+AL244*AL225+AM244*AM225+AN244*AN225+AO244*AO225+AP244*AP225+AQ244*AQ225+AR244*AR225+AS244*AS225+AT244*AT225+AU244*AU225+AV244*AV225+AW244*AW225+AX244*AX225+AY244*AY225+AZ244*AZ225+BA244*BA225+BB244*BB225+BC244*BC225+BD244*BD225+BE244*BE225+BF244*BF225+BG244*BG225+BH244*BH225+BI244*BI225+BJ244*BJ225+BK244*BK225+BL244*BL225+BM244*BM225+BN244*BN225+BO244*BO225+BP244*BP225+BQ244*BQ225+BR244*BR225+BS244*BS225+BT244*BT225+BU244*BU225+BV244*BV225+BW244*BW225+BX244*BX225+BY244*BY225+BZ244*BZ225+CA244*CA225+CB244*CB225+CC244*CC225+CD244*CD225+CE244*CE225+CF244*CF225+CG244*CG225+CH244*CH225+CI244*CI225+CJ244*CJ225+CK244*CK225</f>
        <v>0</v>
      </c>
      <c r="CW225" s="2297">
        <f>E245*E225+F245*F225+G245*G225+H245*H225+I245*I225+J245*J225+K245*K225+L245*L225+M245*M225+N245*N225+O245*O225+P245*P225+Q245*Q225+R245*R225+S245*S225+T245*T225+U245*U225+V245*V225+W245*W225+X245*X225+Y245*Y225+Z245*Z225+AA245*AA225+AB245*AB225+AC245*AC225+AD245*AD225+AE245*AE225+AF245*AF225+AG245*AG225+AH245*AH225+AI245*AI225+AJ245*AJ225+AK245*AK225+AL245*AL225+AM245*AM225+AN245*AN225+AO245*AO225+AP245*AP225+AQ245*AQ225+AR245*AR225+AS245*AS225+AT245*AT225+AU245*AU225+AV245*AV225+AW245*AW225+AX245*AX225+AY245*AY225+AZ245*AZ225+BA245*BA225+BB245*BB225+BC245*BC225+BD245*BD225+BE245*BE225+BF245*BF225+BG245*BG225+BH245*BH225+BI245*BI225+BJ245*BJ225+BK245*BK225+BL245*BL225+BM245*BM225+BN245*BN225+BO245*BO225+BP245*BP225+BQ245*BQ225+BR245*BR225+BS245*BS225+BT245*BT225+BU245*BU225+BV245*BV225+BW245*BW225+BX245*BX225+BY245*BY225+BZ245*BZ225+CA245*CA225+CB245*CB225+CC245*CC225+CD245*CD225+CE245*CE225+CF245*CF225+CG245*CG225+CH245*CH225+CI245*CI225+CJ245*CJ225+CK245*CK225</f>
        <v>0</v>
      </c>
      <c r="CX225" s="2297">
        <f>E246*E225+F246*F225+G246*G225+H246*H225+I246*I225+J246*J225+K246*K225+L246*L225+M246*M225+N246*N225+O246*O225+P246*P225+Q246*Q225+R246*R225+S246*S225+T246*T225+U246*U225+V246*V225+W246*W225+X246*X225+Y246*Y225+Z246*Z225+AA246*AA225+AB246*AB225+AC246*AC225+AD246*AD225+AE246*AE225+AF246*AF225+AG246*AG225+AH246*AH225+AI246*AI225+AJ246*AJ225+AK246*AK225+AL246*AL225+AM246*AM225+AN246*AN225+AO246*AO225+AP246*AP225+AQ246*AQ225+AR246*AR225+AS246*AS225+AT246*AT225+AU246*AU225+AV246*AV225+AW246*AW225+AX246*AX225+AY246*AY225+AZ246*AZ225+BA246*BA225+BB246*BB225+BC246*BC225+BD246*BD225+BE246*BE225+BF246*BF225+BG246*BG225+BH246*BH225+BI246*BI225+BJ246*BJ225+BK246*BK225+BL246*BL225+BM246*BM225+BN246*BN225+BO246*BO225+BP246*BP225+BQ246*BQ225+BR246*BR225+BS246*BS225+BT246*BT225+BU246*BU225+BV246*BV225+BW246*BW225+BX246*BX225+BY246*BY225+BZ246*BZ225+CA246*CA225+CB246*CB225+CC246*CC225+CD246*CD225+CE246*CE225+CF246*CF225+CG246*CG225+CH246*CH225+CI246*CI225+CJ246*CJ225+CK246*CK225</f>
        <v>0</v>
      </c>
    </row>
    <row r="226" spans="2:102" ht="18" x14ac:dyDescent="0.25">
      <c r="B226" s="1980">
        <v>99</v>
      </c>
      <c r="C226" s="1981" t="s">
        <v>4607</v>
      </c>
      <c r="D226" s="1253" t="s">
        <v>3118</v>
      </c>
      <c r="E226" s="2682">
        <f>0</f>
        <v>0</v>
      </c>
      <c r="F226" s="2682">
        <f>0</f>
        <v>0</v>
      </c>
      <c r="G226" s="2682">
        <f>0</f>
        <v>0</v>
      </c>
      <c r="H226" s="2682">
        <f>0</f>
        <v>0</v>
      </c>
      <c r="I226" s="2682">
        <f>0</f>
        <v>0</v>
      </c>
      <c r="J226" s="2699">
        <f>0</f>
        <v>0</v>
      </c>
      <c r="K226" s="2682">
        <f>0</f>
        <v>0</v>
      </c>
      <c r="L226" s="2682">
        <f>0</f>
        <v>0</v>
      </c>
      <c r="M226" s="2682">
        <f>0</f>
        <v>0</v>
      </c>
      <c r="N226" s="2682">
        <f>0</f>
        <v>0</v>
      </c>
      <c r="O226" s="2682">
        <f>0</f>
        <v>0</v>
      </c>
      <c r="P226" s="2682">
        <f>0</f>
        <v>0</v>
      </c>
      <c r="Q226" s="2682">
        <f>0</f>
        <v>0</v>
      </c>
      <c r="R226" s="2712">
        <f>0</f>
        <v>0</v>
      </c>
      <c r="S226" s="2682">
        <f>0</f>
        <v>0</v>
      </c>
      <c r="T226" s="2682">
        <f>0</f>
        <v>0</v>
      </c>
      <c r="U226" s="2682">
        <f>0</f>
        <v>0</v>
      </c>
      <c r="V226" s="2682">
        <f>0</f>
        <v>0</v>
      </c>
      <c r="W226" s="2682">
        <f>0</f>
        <v>0</v>
      </c>
      <c r="X226" s="2682">
        <f>0</f>
        <v>0</v>
      </c>
      <c r="Y226" s="2682">
        <f>0</f>
        <v>0</v>
      </c>
      <c r="Z226" s="2724">
        <f>0</f>
        <v>0</v>
      </c>
      <c r="AA226" s="2682">
        <f>0</f>
        <v>0</v>
      </c>
      <c r="AB226" s="2682">
        <f>0</f>
        <v>0</v>
      </c>
      <c r="AC226" s="2682">
        <f>0</f>
        <v>0</v>
      </c>
      <c r="AD226" s="2682">
        <f>1</f>
        <v>1</v>
      </c>
      <c r="AE226" s="2682">
        <f>0</f>
        <v>0</v>
      </c>
      <c r="AF226" s="2682">
        <f>0</f>
        <v>0</v>
      </c>
      <c r="AG226" s="2699">
        <f>0</f>
        <v>0</v>
      </c>
      <c r="AH226" s="2682">
        <f>0</f>
        <v>0</v>
      </c>
      <c r="AI226" s="2682">
        <f>0</f>
        <v>0</v>
      </c>
      <c r="AJ226" s="2682">
        <f>0</f>
        <v>0</v>
      </c>
      <c r="AK226" s="2682">
        <f>0</f>
        <v>0</v>
      </c>
      <c r="AL226" s="2682">
        <f>0</f>
        <v>0</v>
      </c>
      <c r="AM226" s="2699">
        <f>0</f>
        <v>0</v>
      </c>
      <c r="AN226" s="2682">
        <f>0</f>
        <v>0</v>
      </c>
      <c r="AO226" s="2682">
        <f>0</f>
        <v>0</v>
      </c>
      <c r="AP226" s="2682">
        <f>0</f>
        <v>0</v>
      </c>
      <c r="AQ226" s="2682">
        <f>0</f>
        <v>0</v>
      </c>
      <c r="AR226" s="2682">
        <f>0</f>
        <v>0</v>
      </c>
      <c r="AS226" s="2682">
        <f>0</f>
        <v>0</v>
      </c>
      <c r="AT226" s="2682">
        <f>0</f>
        <v>0</v>
      </c>
      <c r="AU226" s="2682">
        <f>0</f>
        <v>0</v>
      </c>
      <c r="AV226" s="2682">
        <f>0</f>
        <v>0</v>
      </c>
      <c r="AW226" s="2682">
        <f>0</f>
        <v>0</v>
      </c>
      <c r="AX226" s="2682">
        <f>0</f>
        <v>0</v>
      </c>
      <c r="AY226" s="2712">
        <f>0</f>
        <v>0</v>
      </c>
      <c r="AZ226" s="2712">
        <f>0</f>
        <v>0</v>
      </c>
      <c r="BA226" s="2712">
        <f>0</f>
        <v>0</v>
      </c>
      <c r="BB226" s="2712">
        <f>0</f>
        <v>0</v>
      </c>
      <c r="BC226" s="2712">
        <f>0</f>
        <v>0</v>
      </c>
      <c r="BD226" s="2712">
        <f>0</f>
        <v>0</v>
      </c>
      <c r="BE226" s="2712">
        <f>0</f>
        <v>0</v>
      </c>
      <c r="BF226" s="2712">
        <f>0</f>
        <v>0</v>
      </c>
      <c r="BG226" s="2712">
        <f>0</f>
        <v>0</v>
      </c>
      <c r="BH226" s="2712">
        <f>0</f>
        <v>0</v>
      </c>
      <c r="BI226" s="2712">
        <f>0</f>
        <v>0</v>
      </c>
      <c r="BJ226" s="2712">
        <f>0</f>
        <v>0</v>
      </c>
      <c r="BK226" s="2712">
        <f>0</f>
        <v>0</v>
      </c>
      <c r="BL226" s="2712">
        <f>0</f>
        <v>0</v>
      </c>
      <c r="BM226" s="2712">
        <f>0</f>
        <v>0</v>
      </c>
      <c r="BN226" s="2712">
        <f>0</f>
        <v>0</v>
      </c>
      <c r="BO226" s="2712">
        <f>0</f>
        <v>0</v>
      </c>
      <c r="BP226" s="2682">
        <f>0</f>
        <v>0</v>
      </c>
      <c r="BQ226" s="2712">
        <f>0</f>
        <v>0</v>
      </c>
      <c r="BR226" s="2712">
        <f>0</f>
        <v>0</v>
      </c>
      <c r="BS226" s="2773">
        <f>0</f>
        <v>0</v>
      </c>
      <c r="BT226" s="2773">
        <f>0</f>
        <v>0</v>
      </c>
      <c r="BU226" s="2773">
        <f>0</f>
        <v>0</v>
      </c>
      <c r="BV226" s="2773">
        <f>0</f>
        <v>0</v>
      </c>
      <c r="BW226" s="2712">
        <f>0</f>
        <v>0</v>
      </c>
      <c r="BX226" s="2712">
        <f>0</f>
        <v>0</v>
      </c>
      <c r="BY226" s="2773">
        <f>0</f>
        <v>0</v>
      </c>
      <c r="BZ226" s="2682">
        <f>0</f>
        <v>0</v>
      </c>
      <c r="CA226" s="2682">
        <f>0</f>
        <v>0</v>
      </c>
      <c r="CB226" s="2682">
        <f>0</f>
        <v>0</v>
      </c>
      <c r="CC226" s="2682">
        <f>0</f>
        <v>0</v>
      </c>
      <c r="CD226" s="2682">
        <f>0</f>
        <v>0</v>
      </c>
      <c r="CE226" s="2682">
        <f>-1</f>
        <v>-1</v>
      </c>
      <c r="CF226" s="2712">
        <f>0</f>
        <v>0</v>
      </c>
      <c r="CG226" s="2712">
        <f>0</f>
        <v>0</v>
      </c>
      <c r="CH226" s="2712">
        <f>0</f>
        <v>0</v>
      </c>
      <c r="CI226" s="2712">
        <f>0</f>
        <v>0</v>
      </c>
      <c r="CJ226" s="2712">
        <f>0</f>
        <v>0</v>
      </c>
      <c r="CK226" s="2712">
        <f>0</f>
        <v>0</v>
      </c>
      <c r="CL226" s="2821">
        <f>k_LaGN2_bub*(S_GN2_bub_sat-S_N2)</f>
        <v>-272.94299999999998</v>
      </c>
      <c r="CN226" s="2295">
        <f>E236*E226+F236*F226+G236*G226+H236*H226+I236*I226+J236*J226+K236*K226+L236*L226+M236*M226+N236*N226+O236*O226+P236*P226+Q236*Q226+R236*R226+S236*S226+T236*T226+U236*U226+V236*V226+W236*W226+X236*X226+Y236*Y226+Z236*Z226+AA236*AA226+AB236*AB226+AC236*AC226+AD236*AD226+AE236*AE226+AF236*AF226+AG236*AG226+AH236*AH226+AI236*AI226+AJ236*AJ226+AK236*AK226+AL236*AL226+AM236*AM226+AN236*AN226+AO236*AO226+AP236*AP226+AQ236*AQ226+AR236*AR226+AS236*AS226+AT236*AT226+AU236*AU226+AV236*AV226+AW236*AW226+AX236*AX226+AY236*AY226+AZ236*AZ226+BA236*BA226+BB236*BB226+BC236*BC226+BD236*BD226+BE236*BE226+BF236*BF226+BG236*BG226+BH236*BH226+BI236*BI226+BJ236*BJ226+BK236*BK226+BL236*BL226+BM236*BM226+BN236*BN226+BO236*BO226+BP236*BP226+BQ236*BQ226+BR236*BR226+BS236*BS226+BT236*BT226+BU236*BU226+BV236*BV226+BW236*BW226+BX236*BX226+BY236*BY226+BZ236*BZ226+CA236*CA226+CB236*CB226+CC236*CC226+CD236*CD226+CE236*CE226+CF236*CF226+CG236*CG226+CH236*CH226+CI236*CI226+CJ236*CJ226+CK236*CK226</f>
        <v>0</v>
      </c>
      <c r="CO226" s="2295">
        <f>E237*E226+F237*F226+G237*G226+H237*H226+I237*I226+J237*J226+K237*K226+L237*L226+M237*M226+N237*N226+O237*O226+P237*P226+Q237*Q226+R237*R226+S237*S226+T237*T226+U237*U226+V237*V226+W237*W226+X237*X226+Y237*Y226+Z237*Z226+AA237*AA226+AB237*AB226+AC237*AC226+AD237*AD226+AE237*AE226+AF237*AF226+AG237*AG226+AH237*AH226+AI237*AI226+AJ237*AJ226+AK237*AK226+AL237*AL226+AM237*AM226+AN237*AN226+AO237*AO226+AP237*AP226+AQ237*AQ226+AR237*AR226+AS237*AS226+AT237*AT226+AU237*AU226+AV237*AV226+AW237*AW226+AX237*AX226+AY237*AY226+AZ237*AZ226+BA237*BA226+BB237*BB226+BC237*BC226+BD237*BD226+BE237*BE226+BF237*BF226+BG237*BG226+BH237*BH226+BI237*BI226+BJ237*BJ226+BK237*BK226+BL237*BL226+BM237*BM226+BN237*BN226+BO237*BO226+BP237*BP226+BQ237*BQ226+BR237*BR226+BS237*BS226+BT237*BT226+BU237*BU226+BV237*BV226+BW237*BW226+BX237*BX226+BY237*BY226+BZ237*BZ226+CA237*CA226+CB237*CB226+CC237*CC226+CD237*CD226+CE237*CE226+CF237*CF226+CG237*CG226+CH237*CH226+CI237*CI226+CJ237*CJ226+CK237*CK226</f>
        <v>0</v>
      </c>
      <c r="CP226" s="2296">
        <f>E238*E226+F238*F226+G238*G226+H238*H226+I238*I226+J238*J226+K238*K226+L238*L226+M238*M226+N238*N226+O238*O226+P238*P226+Q238*Q226+R238*R226+S238*S226+T238*T226+U238*U226+V238*V226+W238*W226+X238*X226+Y238*Y226+Z238*Z226+AA238*AA226+AB238*AB226+AC238*AC226+AD238*AD226+AE238*AE226+AF238*AF226+AG238*AG226+AH238*AH226+AI238*AI226+AJ238*AJ226+AK238*AK226+AL238*AL226+AM238*AM226+AN238*AN226+AO238*AO226+AP238*AP226+AQ238*AQ226+AR238*AR226+AS238*AS226+AT238*AT226+AU238*AU226+AV238*AV226+AW238*AW226+AX238*AX226+AY238*AY226+AZ238*AZ226+BA238*BA226+BB238*BB226+BC238*BC226+BD238*BD226+BE238*BE226+BF238*BF226+BG238*BG226+BH238*BH226+BI238*BI226+BJ238*BJ226+BK238*BK226+BL238*BL226+BM238*BM226+BN238*BN226+BO238*BO226+BP238*BP226+BQ238*BQ226+BR238*BR226+BS238*BS226+BT238*BT226+BU238*BU226+BV238*BV226+BW238*BW226+BX238*BX226+BY238*BY226+BZ238*BZ226+CA238*CA226+CB238*CB226+CC238*CC226+CD238*CD226+CE238*CE226+CF238*CF226+CG238*CG226+CH238*CH226+CI238*CI226+CJ238*CJ226+CK238*CK226</f>
        <v>0</v>
      </c>
      <c r="CQ226" s="2297">
        <f>E239*E226+F239*F226+G239*G226+H239*H226+I239*I226+J239*J226+K239*K226+L239*L226+M239*M226+N239*N226+O239*O226+P239*P226+Q239*Q226+R239*R226+S239*S226+T239*T226+U239*U226+V239*V226+W239*W226+X239*X226+Y239*Y226+Z239*Z226+AA239*AA226+AB239*AB226+AC239*AC226+AD239*AD226+AE239*AE226+AF239*AF226+AG239*AG226+AH239*AH226+AI239*AI226+AJ239*AJ226+AK239*AK226+AL239*AL226+AM239*AM226+AN239*AN226+AO239*AO226+AP239*AP226+AQ239*AQ226+AR239*AR226+AS239*AS226+AT239*AT226+AU239*AU226+AV239*AV226+AW239*AW226+AX239*AX226+AY239*AY226+AZ239*AZ226+BA239*BA226+BB239*BB226+BC239*BC226+BD239*BD226+BE239*BE226+BF239*BF226+BG239*BG226+BH239*BH226+BI239*BI226+BJ239*BJ226+BK239*BK226+BL239*BL226+BM239*BM226+BN239*BN226+BO239*BO226+BP239*BP226+BQ239*BQ226+BR239*BR226+BS239*BS226+BT239*BT226+BU239*BU226+BV239*BV226+BW239*BW226+BX239*BX226+BY239*BY226+BZ239*BZ226+CA239*CA226+CB239*CB226+CC239*CC226+CD239*CD226+CE239*CE226+CF239*CF226+CG239*CG226+CH239*CH226+CI239*CI226+CJ239*CJ226+CK239*CK226</f>
        <v>0</v>
      </c>
      <c r="CR226" s="2297">
        <f>E240*E226+F240*F226+G240*G226+H240*H226+I240*I226+J240*J226+K240*K226+L240*L226+M240*M226+N240*N226+O240*O226+P240*P226+Q240*Q226+R240*R226+S240*S226+T240*T226+U240*U226+V240*V226+W240*W226+X240*X226+Y240*Y226+Z240*Z226+AA240*AA226+AB240*AB226+AC240*AC226+AD240*AD226+AE240*AE226+AF240*AF226+AG240*AG226+AH240*AH226+AI240*AI226+AJ240*AJ226+AK240*AK226+AL240*AL226+AM240*AM226+AN240*AN226+AO240*AO226+AP240*AP226+AQ240*AQ226+AR240*AR226+AS240*AS226+AT240*AT226+AU240*AU226+AV240*AV226+AW240*AW226+AX240*AX226+AY240*AY226+AZ240*AZ226+BA240*BA226+BB240*BB226+BC240*BC226+BD240*BD226+BE240*BE226+BF240*BF226+BG240*BG226+BH240*BH226+BI240*BI226+BJ240*BJ226+BK240*BK226+BL240*BL226+BM240*BM226+BN240*BN226+BO240*BO226+BP240*BP226+BQ240*BQ226+BR240*BR226+BS240*BS226+BT240*BT226+BU240*BU226+BV240*BV226+BW240*BW226+BX240*BX226+BY240*BY226+BZ240*BZ226+CA240*CA226+CB240*CB226+CC240*CC226+CD240*CD226+CE240*CE226+CF240*CF226+CG240*CG226+CH240*CH226+CI240*CI226+CJ240*CJ226+CK240*CK226</f>
        <v>0</v>
      </c>
      <c r="CS226" s="2297">
        <f>E241*E226+F241*F226+G241*G226+H241*H226+I241*I226+J241*J226+K241*K226+L241*L226+M241*M226+N241*N226+O241*O226+P241*P226+Q241*Q226+R241*R226+S241*S226+T241*T226+U241*U226+V241*V226+W241*W226+X241*X226+Y241*Y226+Z241*Z226+AA241*AA226+AB241*AB226+AC241*AC226+AD241*AD226+AE241*AE226+AF241*AF226+AG241*AG226+AH241*AH226+AI241*AI226+AJ241*AJ226+AK241*AK226+AL241*AL226+AM241*AM226+AN241*AN226+AO241*AO226+AP241*AP226+AQ241*AQ226+AR241*AR226+AS241*AS226+AT241*AT226+AU241*AU226+AV241*AV226+AW241*AW226+AX241*AX226+AY241*AY226+AZ241*AZ226+BA241*BA226+BB241*BB226+BC241*BC226+BD241*BD226+BE241*BE226+BF241*BF226+BG241*BG226+BH241*BH226+BI241*BI226+BJ241*BJ226+BK241*BK226+BL241*BL226+BM241*BM226+BN241*BN226+BO241*BO226+BP241*BP226+BQ241*BQ226+BR241*BR226+BS241*BS226+BT241*BT226+BU241*BU226+BV241*BV226+BW241*BW226+BX241*BX226+BY241*BY226+BZ241*BZ226+CA241*CA226+CB241*CB226+CC241*CC226+CD241*CD226+CE241*CE226+CF241*CF226+CG241*CG226+CH241*CH226+CI241*CI226+CJ241*CJ226+CK241*CK226</f>
        <v>0</v>
      </c>
      <c r="CT226" s="2297">
        <f>E242*E226+F242*F226+G242*G226+H242*H226+I242*I226+J242*J226+K242*K226+L242*L226+M242*M226+N242*N226+O242*O226+P242*P226+Q242*Q226+R242*R226+S242*S226+T242*T226+U242*U226+V242*V226+W242*W226+X242*X226+Y242*Y226+Z242*Z226+AA242*AA226+AB242*AB226+AC242*AC226+AD242*AD226+AE242*AE226+AF242*AF226+AG242*AG226+AH242*AH226+AI242*AI226+AJ242*AJ226+AK242*AK226+AL242*AL226+AM242*AM226+AN242*AN226+AO242*AO226+AP242*AP226+AQ242*AQ226+AR242*AR226+AS242*AS226+AT242*AT226+AU242*AU226+AV242*AV226+AW242*AW226+AX242*AX226+AY242*AY226+AZ242*AZ226+BA242*BA226+BB242*BB226+BC242*BC226+BD242*BD226+BE242*BE226+BF242*BF226+BG242*BG226+BH242*BH226+BI242*BI226+BJ242*BJ226+BK242*BK226+BL242*BL226+BM242*BM226+BN242*BN226+BO242*BO226+BP242*BP226+BQ242*BQ226+BR242*BR226+BS242*BS226+BT242*BT226+BU242*BU226+BV242*BV226+BW242*BW226+BX242*BX226+BY242*BY226+BZ242*BZ226+CA242*CA226+CB242*CB226+CC242*CC226+CD242*CD226+CE242*CE226+CF242*CF226+CG242*CG226+CH242*CH226+CI242*CI226+CJ242*CJ226+CK242*CK226</f>
        <v>0</v>
      </c>
      <c r="CU226" s="2297">
        <f>E243*E226+F243*F226+G243*G226+H243*H226+I243*I226+J243*J226+K243*K226+L243*L226+M243*M226+N243*N226+O243*O226+P243*P226+Q243*Q226+R243*R226+S243*S226+T243*T226+U243*U226+V243*V226+W243*W226+X243*X226+Y243*Y226+Z243*Z226+AA243*AA226+AB243*AB226+AC243*AC226+AD243*AD226+AE243*AE226+AF243*AF226+AG243*AG226+AH243*AH226+AI243*AI226+AJ243*AJ226+AK243*AK226+AL243*AL226+AM243*AM226+AN243*AN226+AO243*AO226+AP243*AP226+AQ243*AQ226+AR243*AR226+AS243*AS226+AT243*AT226+AU243*AU226+AV243*AV226+AW243*AW226+AX243*AX226+AY243*AY226+AZ243*AZ226+BA243*BA226+BB243*BB226+BC243*BC226+BD243*BD226+BE243*BE226+BF243*BF226+BG243*BG226+BH243*BH226+BI243*BI226+BJ243*BJ226+BK243*BK226+BL243*BL226+BM243*BM226+BN243*BN226+BO243*BO226+BP243*BP226+BQ243*BQ226+BR243*BR226+BS243*BS226+BT243*BT226+BU243*BU226+BV243*BV226+BW243*BW226+BX243*BX226+BY243*BY226+BZ243*BZ226+CA243*CA226+CB243*CB226+CC243*CC226+CD243*CD226+CE243*CE226+CF243*CF226+CG243*CG226+CH243*CH226+CI243*CI226+CJ243*CJ226+CK243*CK226</f>
        <v>0</v>
      </c>
      <c r="CV226" s="2297">
        <f>E244*E226+F244*F226+G244*G226+H244*H226+I244*I226+J244*J226+K244*K226+L244*L226+M244*M226+N244*N226+O244*O226+P244*P226+Q244*Q226+R244*R226+S244*S226+T244*T226+U244*U226+V244*V226+W244*W226+X244*X226+Y244*Y226+Z244*Z226+AA244*AA226+AB244*AB226+AC244*AC226+AD244*AD226+AE244*AE226+AF244*AF226+AG244*AG226+AH244*AH226+AI244*AI226+AJ244*AJ226+AK244*AK226+AL244*AL226+AM244*AM226+AN244*AN226+AO244*AO226+AP244*AP226+AQ244*AQ226+AR244*AR226+AS244*AS226+AT244*AT226+AU244*AU226+AV244*AV226+AW244*AW226+AX244*AX226+AY244*AY226+AZ244*AZ226+BA244*BA226+BB244*BB226+BC244*BC226+BD244*BD226+BE244*BE226+BF244*BF226+BG244*BG226+BH244*BH226+BI244*BI226+BJ244*BJ226+BK244*BK226+BL244*BL226+BM244*BM226+BN244*BN226+BO244*BO226+BP244*BP226+BQ244*BQ226+BR244*BR226+BS244*BS226+BT244*BT226+BU244*BU226+BV244*BV226+BW244*BW226+BX244*BX226+BY244*BY226+BZ244*BZ226+CA244*CA226+CB244*CB226+CC244*CC226+CD244*CD226+CE244*CE226+CF244*CF226+CG244*CG226+CH244*CH226+CI244*CI226+CJ244*CJ226+CK244*CK226</f>
        <v>0</v>
      </c>
      <c r="CW226" s="2297">
        <f>E245*E226+F245*F226+G245*G226+H245*H226+I245*I226+J245*J226+K245*K226+L245*L226+M245*M226+N245*N226+O245*O226+P245*P226+Q245*Q226+R245*R226+S245*S226+T245*T226+U245*U226+V245*V226+W245*W226+X245*X226+Y245*Y226+Z245*Z226+AA245*AA226+AB245*AB226+AC245*AC226+AD245*AD226+AE245*AE226+AF245*AF226+AG245*AG226+AH245*AH226+AI245*AI226+AJ245*AJ226+AK245*AK226+AL245*AL226+AM245*AM226+AN245*AN226+AO245*AO226+AP245*AP226+AQ245*AQ226+AR245*AR226+AS245*AS226+AT245*AT226+AU245*AU226+AV245*AV226+AW245*AW226+AX245*AX226+AY245*AY226+AZ245*AZ226+BA245*BA226+BB245*BB226+BC245*BC226+BD245*BD226+BE245*BE226+BF245*BF226+BG245*BG226+BH245*BH226+BI245*BI226+BJ245*BJ226+BK245*BK226+BL245*BL226+BM245*BM226+BN245*BN226+BO245*BO226+BP245*BP226+BQ245*BQ226+BR245*BR226+BS245*BS226+BT245*BT226+BU245*BU226+BV245*BV226+BW245*BW226+BX245*BX226+BY245*BY226+BZ245*BZ226+CA245*CA226+CB245*CB226+CC245*CC226+CD245*CD226+CE245*CE226+CF245*CF226+CG245*CG226+CH245*CH226+CI245*CI226+CJ245*CJ226+CK245*CK226</f>
        <v>0</v>
      </c>
      <c r="CX226" s="2297">
        <f>E246*E226+F246*F226+G246*G226+H246*H226+I246*I226+J246*J226+K246*K226+L246*L226+M246*M226+N246*N226+O246*O226+P246*P226+Q246*Q226+R246*R226+S246*S226+T246*T226+U246*U226+V246*V226+W246*W226+X246*X226+Y246*Y226+Z246*Z226+AA246*AA226+AB246*AB226+AC246*AC226+AD246*AD226+AE246*AE226+AF246*AF226+AG246*AG226+AH246*AH226+AI246*AI226+AJ246*AJ226+AK246*AK226+AL246*AL226+AM246*AM226+AN246*AN226+AO246*AO226+AP246*AP226+AQ246*AQ226+AR246*AR226+AS246*AS226+AT246*AT226+AU246*AU226+AV246*AV226+AW246*AW226+AX246*AX226+AY246*AY226+AZ246*AZ226+BA246*BA226+BB246*BB226+BC246*BC226+BD246*BD226+BE246*BE226+BF246*BF226+BG246*BG226+BH246*BH226+BI246*BI226+BJ246*BJ226+BK246*BK226+BL246*BL226+BM246*BM226+BN246*BN226+BO246*BO226+BP246*BP226+BQ246*BQ226+BR246*BR226+BS246*BS226+BT246*BT226+BU246*BU226+BV246*BV226+BW246*BW226+BX246*BX226+BY246*BY226+BZ246*BZ226+CA246*CA226+CB246*CB226+CC246*CC226+CD246*CD226+CE246*CE226+CF246*CF226+CG246*CG226+CH246*CH226+CI246*CI226+CJ246*CJ226+CK246*CK226</f>
        <v>0</v>
      </c>
    </row>
    <row r="227" spans="2:102" ht="18" x14ac:dyDescent="0.25">
      <c r="B227" s="1982">
        <v>100</v>
      </c>
      <c r="C227" s="1983" t="s">
        <v>4608</v>
      </c>
      <c r="D227" s="1256" t="s">
        <v>3094</v>
      </c>
      <c r="E227" s="2683">
        <f>0</f>
        <v>0</v>
      </c>
      <c r="F227" s="2683">
        <f>0</f>
        <v>0</v>
      </c>
      <c r="G227" s="2683">
        <f>0</f>
        <v>0</v>
      </c>
      <c r="H227" s="2683">
        <f>0</f>
        <v>0</v>
      </c>
      <c r="I227" s="2683">
        <f>0</f>
        <v>0</v>
      </c>
      <c r="J227" s="2700">
        <f>0</f>
        <v>0</v>
      </c>
      <c r="K227" s="2683">
        <f>0</f>
        <v>0</v>
      </c>
      <c r="L227" s="2683">
        <f>0</f>
        <v>0</v>
      </c>
      <c r="M227" s="2683">
        <f>0</f>
        <v>0</v>
      </c>
      <c r="N227" s="2683">
        <f>0</f>
        <v>0</v>
      </c>
      <c r="O227" s="2683">
        <f>0</f>
        <v>0</v>
      </c>
      <c r="P227" s="2683">
        <f>0</f>
        <v>0</v>
      </c>
      <c r="Q227" s="2683">
        <f>0</f>
        <v>0</v>
      </c>
      <c r="R227" s="2683">
        <f>0</f>
        <v>0</v>
      </c>
      <c r="S227" s="2683">
        <f>0</f>
        <v>0</v>
      </c>
      <c r="T227" s="2683">
        <f>0</f>
        <v>0</v>
      </c>
      <c r="U227" s="2683">
        <f>0</f>
        <v>0</v>
      </c>
      <c r="V227" s="2683">
        <f>0</f>
        <v>0</v>
      </c>
      <c r="W227" s="2683">
        <f>0</f>
        <v>0</v>
      </c>
      <c r="X227" s="2683">
        <f>0</f>
        <v>0</v>
      </c>
      <c r="Y227" s="2683">
        <f>0</f>
        <v>0</v>
      </c>
      <c r="Z227" s="2719">
        <f>0</f>
        <v>0</v>
      </c>
      <c r="AA227" s="2683">
        <f>0</f>
        <v>0</v>
      </c>
      <c r="AB227" s="2683">
        <f>0</f>
        <v>0</v>
      </c>
      <c r="AC227" s="2683">
        <f>0</f>
        <v>0</v>
      </c>
      <c r="AD227" s="2683">
        <f>0</f>
        <v>0</v>
      </c>
      <c r="AE227" s="2683">
        <f>0</f>
        <v>0</v>
      </c>
      <c r="AF227" s="2683">
        <f>0</f>
        <v>0</v>
      </c>
      <c r="AG227" s="2700">
        <f>0</f>
        <v>0</v>
      </c>
      <c r="AH227" s="2683">
        <f>0</f>
        <v>0</v>
      </c>
      <c r="AI227" s="2683">
        <f>0</f>
        <v>0</v>
      </c>
      <c r="AJ227" s="2683">
        <f>0</f>
        <v>0</v>
      </c>
      <c r="AK227" s="2683">
        <f>0</f>
        <v>0</v>
      </c>
      <c r="AL227" s="2683">
        <f>0</f>
        <v>0</v>
      </c>
      <c r="AM227" s="2700">
        <f>0</f>
        <v>0</v>
      </c>
      <c r="AN227" s="2683">
        <f>0</f>
        <v>0</v>
      </c>
      <c r="AO227" s="2683">
        <f>0</f>
        <v>0</v>
      </c>
      <c r="AP227" s="2683">
        <f>0</f>
        <v>0</v>
      </c>
      <c r="AQ227" s="2683">
        <f>0</f>
        <v>0</v>
      </c>
      <c r="AR227" s="2683">
        <f>1</f>
        <v>1</v>
      </c>
      <c r="AS227" s="2683">
        <f>0</f>
        <v>0</v>
      </c>
      <c r="AT227" s="2683">
        <f>0</f>
        <v>0</v>
      </c>
      <c r="AU227" s="2683">
        <f>0</f>
        <v>0</v>
      </c>
      <c r="AV227" s="2683">
        <f>0</f>
        <v>0</v>
      </c>
      <c r="AW227" s="2683">
        <f>0</f>
        <v>0</v>
      </c>
      <c r="AX227" s="2683">
        <f>0</f>
        <v>0</v>
      </c>
      <c r="AY227" s="2683">
        <f>0</f>
        <v>0</v>
      </c>
      <c r="AZ227" s="2683">
        <f>0</f>
        <v>0</v>
      </c>
      <c r="BA227" s="2683">
        <f>0</f>
        <v>0</v>
      </c>
      <c r="BB227" s="2683">
        <f>0</f>
        <v>0</v>
      </c>
      <c r="BC227" s="2683">
        <f>0</f>
        <v>0</v>
      </c>
      <c r="BD227" s="2683">
        <f>0</f>
        <v>0</v>
      </c>
      <c r="BE227" s="2683">
        <f>0</f>
        <v>0</v>
      </c>
      <c r="BF227" s="2683">
        <f>0</f>
        <v>0</v>
      </c>
      <c r="BG227" s="2683">
        <f>0</f>
        <v>0</v>
      </c>
      <c r="BH227" s="2683">
        <f>0</f>
        <v>0</v>
      </c>
      <c r="BI227" s="2683">
        <f>0</f>
        <v>0</v>
      </c>
      <c r="BJ227" s="2683">
        <f>0</f>
        <v>0</v>
      </c>
      <c r="BK227" s="2683">
        <f>0</f>
        <v>0</v>
      </c>
      <c r="BL227" s="2683">
        <f>0</f>
        <v>0</v>
      </c>
      <c r="BM227" s="2683">
        <f>0</f>
        <v>0</v>
      </c>
      <c r="BN227" s="2683">
        <f>0</f>
        <v>0</v>
      </c>
      <c r="BO227" s="2683">
        <f>0</f>
        <v>0</v>
      </c>
      <c r="BP227" s="2683">
        <f>0</f>
        <v>0</v>
      </c>
      <c r="BQ227" s="2683">
        <f>0</f>
        <v>0</v>
      </c>
      <c r="BR227" s="2683">
        <f>0</f>
        <v>0</v>
      </c>
      <c r="BS227" s="2719">
        <f>0</f>
        <v>0</v>
      </c>
      <c r="BT227" s="2719">
        <f>0</f>
        <v>0</v>
      </c>
      <c r="BU227" s="2719">
        <f>0</f>
        <v>0</v>
      </c>
      <c r="BV227" s="2719">
        <f>0</f>
        <v>0</v>
      </c>
      <c r="BW227" s="2683">
        <f>0</f>
        <v>0</v>
      </c>
      <c r="BX227" s="2683">
        <f>0</f>
        <v>0</v>
      </c>
      <c r="BY227" s="2719">
        <f>0</f>
        <v>0</v>
      </c>
      <c r="BZ227" s="2683">
        <f>0</f>
        <v>0</v>
      </c>
      <c r="CA227" s="2683">
        <f>0</f>
        <v>0</v>
      </c>
      <c r="CB227" s="2683">
        <f>0</f>
        <v>0</v>
      </c>
      <c r="CC227" s="2683">
        <f>0</f>
        <v>0</v>
      </c>
      <c r="CD227" s="2683">
        <f>0</f>
        <v>0</v>
      </c>
      <c r="CE227" s="2683">
        <f>0</f>
        <v>0</v>
      </c>
      <c r="CF227" s="2782">
        <f>-Δ_atm</f>
        <v>-1</v>
      </c>
      <c r="CG227" s="2683">
        <f>0</f>
        <v>0</v>
      </c>
      <c r="CH227" s="2683">
        <f>0</f>
        <v>0</v>
      </c>
      <c r="CI227" s="2683">
        <f>0</f>
        <v>0</v>
      </c>
      <c r="CJ227" s="2683">
        <f>0</f>
        <v>0</v>
      </c>
      <c r="CK227" s="2683">
        <f>0</f>
        <v>0</v>
      </c>
      <c r="CL227" s="2822">
        <f>k_transfer_GCO2_sur</f>
        <v>85.864791591722664</v>
      </c>
      <c r="CN227" s="2295">
        <f>E236*E227+F236*F227+G236*G227+H236*H227+I236*I227+J236*J227+K236*K227+L236*L227+M236*M227+N236*N227+O236*O227+P236*P227+Q236*Q227+R236*R227+S236*S227+T236*T227+U236*U227+V236*V227+W236*W227+X236*X227+Y236*Y227+Z236*Z227+AA236*AA227+AB236*AB227+AC236*AC227+AD236*AD227+AE236*AE227+AF236*AF227+AG236*AG227+AH236*AH227+AI236*AI227+AJ236*AJ227+AK236*AK227+AL236*AL227+AM236*AM227+AN236*AN227+AO236*AO227+AP236*AP227+AQ236*AQ227+AR236*AR227+AS236*AS227+AT236*AT227+AU236*AU227+AV236*AV227+AW236*AW227+AX236*AX227+AY236*AY227+AZ236*AZ227+BA236*BA227+BB236*BB227+BC236*BC227+BD236*BD227+BE236*BE227+BF236*BF227+BG236*BG227+BH236*BH227+BI236*BI227+BJ236*BJ227+BK236*BK227+BL236*BL227+BM236*BM227+BN236*BN227+BO236*BO227+BP236*BP227+BQ236*BQ227+BR236*BR227+BS236*BS227+BT236*BT227+BU236*BU227+BV236*BV227+BW236*BW227+BX236*BX227+BY236*BY227+BZ236*BZ227+CA236*CA227+CB236*CB227+CC236*CC227+CD236*CD227+CE236*CE227+CF236*CF227+CG236*CG227+CH236*CH227+CI236*CI227+CJ236*CJ227+CK236*CK227</f>
        <v>0</v>
      </c>
      <c r="CO227" s="2295">
        <f>E237*E227+F237*F227+G237*G227+H237*H227+I237*I227+J237*J227+K237*K227+L237*L227+M237*M227+N237*N227+O237*O227+P237*P227+Q237*Q227+R237*R227+S237*S227+T237*T227+U237*U227+V237*V227+W237*W227+X237*X227+Y237*Y227+Z237*Z227+AA237*AA227+AB237*AB227+AC237*AC227+AD237*AD227+AE237*AE227+AF237*AF227+AG237*AG227+AH237*AH227+AI237*AI227+AJ237*AJ227+AK237*AK227+AL237*AL227+AM237*AM227+AN237*AN227+AO237*AO227+AP237*AP227+AQ237*AQ227+AR237*AR227+AS237*AS227+AT237*AT227+AU237*AU227+AV237*AV227+AW237*AW227+AX237*AX227+AY237*AY227+AZ237*AZ227+BA237*BA227+BB237*BB227+BC237*BC227+BD237*BD227+BE237*BE227+BF237*BF227+BG237*BG227+BH237*BH227+BI237*BI227+BJ237*BJ227+BK237*BK227+BL237*BL227+BM237*BM227+BN237*BN227+BO237*BO227+BP237*BP227+BQ237*BQ227+BR237*BR227+BS237*BS227+BT237*BT227+BU237*BU227+BV237*BV227+BW237*BW227+BX237*BX227+BY237*BY227+BZ237*BZ227+CA237*CA227+CB237*CB227+CC237*CC227+CD237*CD227+CE237*CE227+CF237*CF227+CG237*CG227+CH237*CH227+CI237*CI227+CJ237*CJ227+CK237*CK227</f>
        <v>0</v>
      </c>
      <c r="CP227" s="2296">
        <f>E238*E227+F238*F227+G238*G227+H238*H227+I238*I227+J238*J227+K238*K227+L238*L227+M238*M227+N238*N227+O238*O227+P238*P227+Q238*Q227+R238*R227+S238*S227+T238*T227+U238*U227+V238*V227+W238*W227+X238*X227+Y238*Y227+Z238*Z227+AA238*AA227+AB238*AB227+AC238*AC227+AD238*AD227+AE238*AE227+AF238*AF227+AG238*AG227+AH238*AH227+AI238*AI227+AJ238*AJ227+AK238*AK227+AL238*AL227+AM238*AM227+AN238*AN227+AO238*AO227+AP238*AP227+AQ238*AQ227+AR238*AR227+AS238*AS227+AT238*AT227+AU238*AU227+AV238*AV227+AW238*AW227+AX238*AX227+AY238*AY227+AZ238*AZ227+BA238*BA227+BB238*BB227+BC238*BC227+BD238*BD227+BE238*BE227+BF238*BF227+BG238*BG227+BH238*BH227+BI238*BI227+BJ238*BJ227+BK238*BK227+BL238*BL227+BM238*BM227+BN238*BN227+BO238*BO227+BP238*BP227+BQ238*BQ227+BR238*BR227+BS238*BS227+BT238*BT227+BU238*BU227+BV238*BV227+BW238*BW227+BX238*BX227+BY238*BY227+BZ238*BZ227+CA238*CA227+CB238*CB227+CC238*CC227+CD238*CD227+CE238*CE227+CF238*CF227+CG238*CG227+CH238*CH227+CI238*CI227+CJ238*CJ227+CK238*CK227</f>
        <v>0</v>
      </c>
      <c r="CQ227" s="2297">
        <f>E239*E227+F239*F227+G239*G227+H239*H227+I239*I227+J239*J227+K239*K227+L239*L227+M239*M227+N239*N227+O239*O227+P239*P227+Q239*Q227+R239*R227+S239*S227+T239*T227+U239*U227+V239*V227+W239*W227+X239*X227+Y239*Y227+Z239*Z227+AA239*AA227+AB239*AB227+AC239*AC227+AD239*AD227+AE239*AE227+AF239*AF227+AG239*AG227+AH239*AH227+AI239*AI227+AJ239*AJ227+AK239*AK227+AL239*AL227+AM239*AM227+AN239*AN227+AO239*AO227+AP239*AP227+AQ239*AQ227+AR239*AR227+AS239*AS227+AT239*AT227+AU239*AU227+AV239*AV227+AW239*AW227+AX239*AX227+AY239*AY227+AZ239*AZ227+BA239*BA227+BB239*BB227+BC239*BC227+BD239*BD227+BE239*BE227+BF239*BF227+BG239*BG227+BH239*BH227+BI239*BI227+BJ239*BJ227+BK239*BK227+BL239*BL227+BM239*BM227+BN239*BN227+BO239*BO227+BP239*BP227+BQ239*BQ227+BR239*BR227+BS239*BS227+BT239*BT227+BU239*BU227+BV239*BV227+BW239*BW227+BX239*BX227+BY239*BY227+BZ239*BZ227+CA239*CA227+CB239*CB227+CC239*CC227+CD239*CD227+CE239*CE227+CF239*CF227+CG239*CG227+CH239*CH227+CI239*CI227+CJ239*CJ227+CK239*CK227</f>
        <v>0</v>
      </c>
      <c r="CR227" s="2297">
        <f>E240*E227+F240*F227+G240*G227+H240*H227+I240*I227+J240*J227+K240*K227+L240*L227+M240*M227+N240*N227+O240*O227+P240*P227+Q240*Q227+R240*R227+S240*S227+T240*T227+U240*U227+V240*V227+W240*W227+X240*X227+Y240*Y227+Z240*Z227+AA240*AA227+AB240*AB227+AC240*AC227+AD240*AD227+AE240*AE227+AF240*AF227+AG240*AG227+AH240*AH227+AI240*AI227+AJ240*AJ227+AK240*AK227+AL240*AL227+AM240*AM227+AN240*AN227+AO240*AO227+AP240*AP227+AQ240*AQ227+AR240*AR227+AS240*AS227+AT240*AT227+AU240*AU227+AV240*AV227+AW240*AW227+AX240*AX227+AY240*AY227+AZ240*AZ227+BA240*BA227+BB240*BB227+BC240*BC227+BD240*BD227+BE240*BE227+BF240*BF227+BG240*BG227+BH240*BH227+BI240*BI227+BJ240*BJ227+BK240*BK227+BL240*BL227+BM240*BM227+BN240*BN227+BO240*BO227+BP240*BP227+BQ240*BQ227+BR240*BR227+BS240*BS227+BT240*BT227+BU240*BU227+BV240*BV227+BW240*BW227+BX240*BX227+BY240*BY227+BZ240*BZ227+CA240*CA227+CB240*CB227+CC240*CC227+CD240*CD227+CE240*CE227+CF240*CF227+CG240*CG227+CH240*CH227+CI240*CI227+CJ240*CJ227+CK240*CK227</f>
        <v>0</v>
      </c>
      <c r="CS227" s="2297">
        <f>E241*E227+F241*F227+G241*G227+H241*H227+I241*I227+J241*J227+K241*K227+L241*L227+M241*M227+N241*N227+O241*O227+P241*P227+Q241*Q227+R241*R227+S241*S227+T241*T227+U241*U227+V241*V227+W241*W227+X241*X227+Y241*Y227+Z241*Z227+AA241*AA227+AB241*AB227+AC241*AC227+AD241*AD227+AE241*AE227+AF241*AF227+AG241*AG227+AH241*AH227+AI241*AI227+AJ241*AJ227+AK241*AK227+AL241*AL227+AM241*AM227+AN241*AN227+AO241*AO227+AP241*AP227+AQ241*AQ227+AR241*AR227+AS241*AS227+AT241*AT227+AU241*AU227+AV241*AV227+AW241*AW227+AX241*AX227+AY241*AY227+AZ241*AZ227+BA241*BA227+BB241*BB227+BC241*BC227+BD241*BD227+BE241*BE227+BF241*BF227+BG241*BG227+BH241*BH227+BI241*BI227+BJ241*BJ227+BK241*BK227+BL241*BL227+BM241*BM227+BN241*BN227+BO241*BO227+BP241*BP227+BQ241*BQ227+BR241*BR227+BS241*BS227+BT241*BT227+BU241*BU227+BV241*BV227+BW241*BW227+BX241*BX227+BY241*BY227+BZ241*BZ227+CA241*CA227+CB241*CB227+CC241*CC227+CD241*CD227+CE241*CE227+CF241*CF227+CG241*CG227+CH241*CH227+CI241*CI227+CJ241*CJ227+CK241*CK227</f>
        <v>0</v>
      </c>
      <c r="CT227" s="2297">
        <f>E242*E227+F242*F227+G242*G227+H242*H227+I242*I227+J242*J227+K242*K227+L242*L227+M242*M227+N242*N227+O242*O227+P242*P227+Q242*Q227+R242*R227+S242*S227+T242*T227+U242*U227+V242*V227+W242*W227+X242*X227+Y242*Y227+Z242*Z227+AA242*AA227+AB242*AB227+AC242*AC227+AD242*AD227+AE242*AE227+AF242*AF227+AG242*AG227+AH242*AH227+AI242*AI227+AJ242*AJ227+AK242*AK227+AL242*AL227+AM242*AM227+AN242*AN227+AO242*AO227+AP242*AP227+AQ242*AQ227+AR242*AR227+AS242*AS227+AT242*AT227+AU242*AU227+AV242*AV227+AW242*AW227+AX242*AX227+AY242*AY227+AZ242*AZ227+BA242*BA227+BB242*BB227+BC242*BC227+BD242*BD227+BE242*BE227+BF242*BF227+BG242*BG227+BH242*BH227+BI242*BI227+BJ242*BJ227+BK242*BK227+BL242*BL227+BM242*BM227+BN242*BN227+BO242*BO227+BP242*BP227+BQ242*BQ227+BR242*BR227+BS242*BS227+BT242*BT227+BU242*BU227+BV242*BV227+BW242*BW227+BX242*BX227+BY242*BY227+BZ242*BZ227+CA242*CA227+CB242*CB227+CC242*CC227+CD242*CD227+CE242*CE227+CF242*CF227+CG242*CG227+CH242*CH227+CI242*CI227+CJ242*CJ227+CK242*CK227</f>
        <v>0</v>
      </c>
      <c r="CU227" s="2297">
        <f>E243*E227+F243*F227+G243*G227+H243*H227+I243*I227+J243*J227+K243*K227+L243*L227+M243*M227+N243*N227+O243*O227+P243*P227+Q243*Q227+R243*R227+S243*S227+T243*T227+U243*U227+V243*V227+W243*W227+X243*X227+Y243*Y227+Z243*Z227+AA243*AA227+AB243*AB227+AC243*AC227+AD243*AD227+AE243*AE227+AF243*AF227+AG243*AG227+AH243*AH227+AI243*AI227+AJ243*AJ227+AK243*AK227+AL243*AL227+AM243*AM227+AN243*AN227+AO243*AO227+AP243*AP227+AQ243*AQ227+AR243*AR227+AS243*AS227+AT243*AT227+AU243*AU227+AV243*AV227+AW243*AW227+AX243*AX227+AY243*AY227+AZ243*AZ227+BA243*BA227+BB243*BB227+BC243*BC227+BD243*BD227+BE243*BE227+BF243*BF227+BG243*BG227+BH243*BH227+BI243*BI227+BJ243*BJ227+BK243*BK227+BL243*BL227+BM243*BM227+BN243*BN227+BO243*BO227+BP243*BP227+BQ243*BQ227+BR243*BR227+BS243*BS227+BT243*BT227+BU243*BU227+BV243*BV227+BW243*BW227+BX243*BX227+BY243*BY227+BZ243*BZ227+CA243*CA227+CB243*CB227+CC243*CC227+CD243*CD227+CE243*CE227+CF243*CF227+CG243*CG227+CH243*CH227+CI243*CI227+CJ243*CJ227+CK243*CK227</f>
        <v>0</v>
      </c>
      <c r="CV227" s="2297">
        <f>E244*E227+F244*F227+G244*G227+H244*H227+I244*I227+J244*J227+K244*K227+L244*L227+M244*M227+N244*N227+O244*O227+P244*P227+Q244*Q227+R244*R227+S244*S227+T244*T227+U244*U227+V244*V227+W244*W227+X244*X227+Y244*Y227+Z244*Z227+AA244*AA227+AB244*AB227+AC244*AC227+AD244*AD227+AE244*AE227+AF244*AF227+AG244*AG227+AH244*AH227+AI244*AI227+AJ244*AJ227+AK244*AK227+AL244*AL227+AM244*AM227+AN244*AN227+AO244*AO227+AP244*AP227+AQ244*AQ227+AR244*AR227+AS244*AS227+AT244*AT227+AU244*AU227+AV244*AV227+AW244*AW227+AX244*AX227+AY244*AY227+AZ244*AZ227+BA244*BA227+BB244*BB227+BC244*BC227+BD244*BD227+BE244*BE227+BF244*BF227+BG244*BG227+BH244*BH227+BI244*BI227+BJ244*BJ227+BK244*BK227+BL244*BL227+BM244*BM227+BN244*BN227+BO244*BO227+BP244*BP227+BQ244*BQ227+BR244*BR227+BS244*BS227+BT244*BT227+BU244*BU227+BV244*BV227+BW244*BW227+BX244*BX227+BY244*BY227+BZ244*BZ227+CA244*CA227+CB244*CB227+CC244*CC227+CD244*CD227+CE244*CE227+CF244*CF227+CG244*CG227+CH244*CH227+CI244*CI227+CJ244*CJ227+CK244*CK227</f>
        <v>0</v>
      </c>
      <c r="CW227" s="2297">
        <f>E245*E227+F245*F227+G245*G227+H245*H227+I245*I227+J245*J227+K245*K227+L245*L227+M245*M227+N245*N227+O245*O227+P245*P227+Q245*Q227+R245*R227+S245*S227+T245*T227+U245*U227+V245*V227+W245*W227+X245*X227+Y245*Y227+Z245*Z227+AA245*AA227+AB245*AB227+AC245*AC227+AD245*AD227+AE245*AE227+AF245*AF227+AG245*AG227+AH245*AH227+AI245*AI227+AJ245*AJ227+AK245*AK227+AL245*AL227+AM245*AM227+AN245*AN227+AO245*AO227+AP245*AP227+AQ245*AQ227+AR245*AR227+AS245*AS227+AT245*AT227+AU245*AU227+AV245*AV227+AW245*AW227+AX245*AX227+AY245*AY227+AZ245*AZ227+BA245*BA227+BB245*BB227+BC245*BC227+BD245*BD227+BE245*BE227+BF245*BF227+BG245*BG227+BH245*BH227+BI245*BI227+BJ245*BJ227+BK245*BK227+BL245*BL227+BM245*BM227+BN245*BN227+BO245*BO227+BP245*BP227+BQ245*BQ227+BR245*BR227+BS245*BS227+BT245*BT227+BU245*BU227+BV245*BV227+BW245*BW227+BX245*BX227+BY245*BY227+BZ245*BZ227+CA245*CA227+CB245*CB227+CC245*CC227+CD245*CD227+CE245*CE227+CF245*CF227+CG245*CG227+CH245*CH227+CI245*CI227+CJ245*CJ227+CK245*CK227</f>
        <v>0</v>
      </c>
      <c r="CX227" s="2297">
        <f>E246*E227+F246*F227+G246*G227+H246*H227+I246*I227+J246*J227+K246*K227+L246*L227+M246*M227+N246*N227+O246*O227+P246*P227+Q246*Q227+R246*R227+S246*S227+T246*T227+U246*U227+V246*V227+W246*W227+X246*X227+Y246*Y227+Z246*Z227+AA246*AA227+AB246*AB227+AC246*AC227+AD246*AD227+AE246*AE227+AF246*AF227+AG246*AG227+AH246*AH227+AI246*AI227+AJ246*AJ227+AK246*AK227+AL246*AL227+AM246*AM227+AN246*AN227+AO246*AO227+AP246*AP227+AQ246*AQ227+AR246*AR227+AS246*AS227+AT246*AT227+AU246*AU227+AV246*AV227+AW246*AW227+AX246*AX227+AY246*AY227+AZ246*AZ227+BA246*BA227+BB246*BB227+BC246*BC227+BD246*BD227+BE246*BE227+BF246*BF227+BG246*BG227+BH246*BH227+BI246*BI227+BJ246*BJ227+BK246*BK227+BL246*BL227+BM246*BM227+BN246*BN227+BO246*BO227+BP246*BP227+BQ246*BQ227+BR246*BR227+BS246*BS227+BT246*BT227+BU246*BU227+BV246*BV227+BW246*BW227+BX246*BX227+BY246*BY227+BZ246*BZ227+CA246*CA227+CB246*CB227+CC246*CC227+CD246*CD227+CE246*CE227+CF246*CF227+CG246*CG227+CH246*CH227+CI246*CI227+CJ246*CJ227+CK246*CK227</f>
        <v>0</v>
      </c>
    </row>
    <row r="228" spans="2:102" ht="18" x14ac:dyDescent="0.25">
      <c r="B228" s="1982">
        <v>101</v>
      </c>
      <c r="C228" s="1983" t="s">
        <v>4609</v>
      </c>
      <c r="D228" s="689" t="s">
        <v>3097</v>
      </c>
      <c r="E228" s="2684">
        <f>0</f>
        <v>0</v>
      </c>
      <c r="F228" s="2684">
        <f>0</f>
        <v>0</v>
      </c>
      <c r="G228" s="2684">
        <f>0</f>
        <v>0</v>
      </c>
      <c r="H228" s="2684">
        <f>0</f>
        <v>0</v>
      </c>
      <c r="I228" s="2684">
        <f>0</f>
        <v>0</v>
      </c>
      <c r="J228" s="2700">
        <f>0</f>
        <v>0</v>
      </c>
      <c r="K228" s="2684">
        <f>0</f>
        <v>0</v>
      </c>
      <c r="L228" s="2684">
        <f>0</f>
        <v>0</v>
      </c>
      <c r="M228" s="2684">
        <f>0</f>
        <v>0</v>
      </c>
      <c r="N228" s="2684">
        <f>0</f>
        <v>0</v>
      </c>
      <c r="O228" s="2684">
        <f>0</f>
        <v>0</v>
      </c>
      <c r="P228" s="2684">
        <f>0</f>
        <v>0</v>
      </c>
      <c r="Q228" s="2684">
        <f>0</f>
        <v>0</v>
      </c>
      <c r="R228" s="2684">
        <f>0</f>
        <v>0</v>
      </c>
      <c r="S228" s="2684">
        <f>0</f>
        <v>0</v>
      </c>
      <c r="T228" s="2684">
        <f>0</f>
        <v>0</v>
      </c>
      <c r="U228" s="2684">
        <f>0</f>
        <v>0</v>
      </c>
      <c r="V228" s="2684">
        <f>0</f>
        <v>0</v>
      </c>
      <c r="W228" s="2684">
        <f>0</f>
        <v>0</v>
      </c>
      <c r="X228" s="2684">
        <f>0</f>
        <v>0</v>
      </c>
      <c r="Y228" s="2684">
        <f>0</f>
        <v>0</v>
      </c>
      <c r="Z228" s="2719">
        <f>0</f>
        <v>0</v>
      </c>
      <c r="AA228" s="2684">
        <f>0</f>
        <v>0</v>
      </c>
      <c r="AB228" s="2684">
        <f>0</f>
        <v>0</v>
      </c>
      <c r="AC228" s="2684">
        <f>0</f>
        <v>0</v>
      </c>
      <c r="AD228" s="2684">
        <f>0</f>
        <v>0</v>
      </c>
      <c r="AE228" s="2684">
        <f>0</f>
        <v>0</v>
      </c>
      <c r="AF228" s="2684">
        <f>0</f>
        <v>0</v>
      </c>
      <c r="AG228" s="2700">
        <f>0</f>
        <v>0</v>
      </c>
      <c r="AH228" s="2684">
        <f>0</f>
        <v>0</v>
      </c>
      <c r="AI228" s="2684">
        <f>0</f>
        <v>0</v>
      </c>
      <c r="AJ228" s="2684">
        <f>0</f>
        <v>0</v>
      </c>
      <c r="AK228" s="2684">
        <f>0</f>
        <v>0</v>
      </c>
      <c r="AL228" s="2684">
        <f>0</f>
        <v>0</v>
      </c>
      <c r="AM228" s="2700">
        <f>0</f>
        <v>0</v>
      </c>
      <c r="AN228" s="2684">
        <f>0</f>
        <v>0</v>
      </c>
      <c r="AO228" s="2684">
        <f>0</f>
        <v>0</v>
      </c>
      <c r="AP228" s="2684">
        <f>1</f>
        <v>1</v>
      </c>
      <c r="AQ228" s="2684">
        <f>0</f>
        <v>0</v>
      </c>
      <c r="AR228" s="2684">
        <f>0</f>
        <v>0</v>
      </c>
      <c r="AS228" s="2684">
        <f>0</f>
        <v>0</v>
      </c>
      <c r="AT228" s="2684">
        <f>0</f>
        <v>0</v>
      </c>
      <c r="AU228" s="2684">
        <f>0</f>
        <v>0</v>
      </c>
      <c r="AV228" s="2684">
        <f>0</f>
        <v>0</v>
      </c>
      <c r="AW228" s="2684">
        <f>0</f>
        <v>0</v>
      </c>
      <c r="AX228" s="2684">
        <f>0</f>
        <v>0</v>
      </c>
      <c r="AY228" s="2684">
        <f>0</f>
        <v>0</v>
      </c>
      <c r="AZ228" s="2684">
        <f>0</f>
        <v>0</v>
      </c>
      <c r="BA228" s="2684">
        <f>0</f>
        <v>0</v>
      </c>
      <c r="BB228" s="2684">
        <f>0</f>
        <v>0</v>
      </c>
      <c r="BC228" s="2684">
        <f>0</f>
        <v>0</v>
      </c>
      <c r="BD228" s="2684">
        <f>0</f>
        <v>0</v>
      </c>
      <c r="BE228" s="2684">
        <f>0</f>
        <v>0</v>
      </c>
      <c r="BF228" s="2684">
        <f>0</f>
        <v>0</v>
      </c>
      <c r="BG228" s="2684">
        <f>0</f>
        <v>0</v>
      </c>
      <c r="BH228" s="2684">
        <f>0</f>
        <v>0</v>
      </c>
      <c r="BI228" s="2684">
        <f>0</f>
        <v>0</v>
      </c>
      <c r="BJ228" s="2684">
        <f>0</f>
        <v>0</v>
      </c>
      <c r="BK228" s="2684">
        <f>0</f>
        <v>0</v>
      </c>
      <c r="BL228" s="2684">
        <f>0</f>
        <v>0</v>
      </c>
      <c r="BM228" s="2684">
        <f>0</f>
        <v>0</v>
      </c>
      <c r="BN228" s="2684">
        <f>0</f>
        <v>0</v>
      </c>
      <c r="BO228" s="2684">
        <f>0</f>
        <v>0</v>
      </c>
      <c r="BP228" s="2762">
        <f>0</f>
        <v>0</v>
      </c>
      <c r="BQ228" s="2684">
        <f>0</f>
        <v>0</v>
      </c>
      <c r="BR228" s="2684">
        <f>0</f>
        <v>0</v>
      </c>
      <c r="BS228" s="2719">
        <f>0</f>
        <v>0</v>
      </c>
      <c r="BT228" s="2719">
        <f>0</f>
        <v>0</v>
      </c>
      <c r="BU228" s="2719">
        <f>0</f>
        <v>0</v>
      </c>
      <c r="BV228" s="2719">
        <f>0</f>
        <v>0</v>
      </c>
      <c r="BW228" s="2684">
        <f>0</f>
        <v>0</v>
      </c>
      <c r="BX228" s="2683">
        <f>0</f>
        <v>0</v>
      </c>
      <c r="BY228" s="2719">
        <f>0</f>
        <v>0</v>
      </c>
      <c r="BZ228" s="2684">
        <f>0</f>
        <v>0</v>
      </c>
      <c r="CA228" s="2684">
        <f>0</f>
        <v>0</v>
      </c>
      <c r="CB228" s="2684">
        <f>0</f>
        <v>0</v>
      </c>
      <c r="CC228" s="2684">
        <f>0</f>
        <v>0</v>
      </c>
      <c r="CD228" s="2684">
        <f>0</f>
        <v>0</v>
      </c>
      <c r="CE228" s="2684">
        <f>0</f>
        <v>0</v>
      </c>
      <c r="CF228" s="2684">
        <f>0</f>
        <v>0</v>
      </c>
      <c r="CG228" s="2790">
        <f>-Δ_atm</f>
        <v>-1</v>
      </c>
      <c r="CH228" s="2684">
        <f>0</f>
        <v>0</v>
      </c>
      <c r="CI228" s="2684">
        <f>0</f>
        <v>0</v>
      </c>
      <c r="CJ228" s="2684">
        <f>0</f>
        <v>0</v>
      </c>
      <c r="CK228" s="2684">
        <f>0</f>
        <v>0</v>
      </c>
      <c r="CL228" s="2823">
        <f>k_LaGCH4_sur*(S_GCH4_sur_sat-S_CH4)</f>
        <v>-2.5329999999999998E-2</v>
      </c>
      <c r="CN228" s="2295">
        <f>E236*E228+F236*F228+G236*G228+H236*H228+I236*I228+J236*J228+K236*K228+L236*L228+M236*M228+N236*N228+O236*O228+P236*P228+Q236*Q228+R236*R228+S236*S228+T236*T228+U236*U228+V236*V228+W236*W228+X236*X228+Y236*Y228+Z236*Z228+AA236*AA228+AB236*AB228+AC236*AC228+AD236*AD228+AE236*AE228+AF236*AF228+AG236*AG228+AH236*AH228+AI236*AI228+AJ236*AJ228+AK236*AK228+AL236*AL228+AM236*AM228+AN236*AN228+AO236*AO228+AP236*AP228+AQ236*AQ228+AR236*AR228+AS236*AS228+AT236*AT228+AU236*AU228+AV236*AV228+AW236*AW228+AX236*AX228+AY236*AY228+AZ236*AZ228+BA236*BA228+BB236*BB228+BC236*BC228+BD236*BD228+BE236*BE228+BF236*BF228+BG236*BG228+BH236*BH228+BI236*BI228+BJ236*BJ228+BK236*BK228+BL236*BL228+BM236*BM228+BN236*BN228+BO236*BO228+BP236*BP228+BQ236*BQ228+BR236*BR228+BS236*BS228+BT236*BT228+BU236*BU228+BV236*BV228+BW236*BW228+BX236*BX228+BY236*BY228+BZ236*BZ228+CA236*CA228+CB236*CB228+CC236*CC228+CD236*CD228+CE236*CE228+CF236*CF228+CG236*CG228+CH236*CH228+CI236*CI228+CJ236*CJ228+CK236*CK228</f>
        <v>0</v>
      </c>
      <c r="CO228" s="2295">
        <f>E237*E228+F237*F228+G237*G228+H237*H228+I237*I228+J237*J228+K237*K228+L237*L228+M237*M228+N237*N228+O237*O228+P237*P228+Q237*Q228+R237*R228+S237*S228+T237*T228+U237*U228+V237*V228+W237*W228+X237*X228+Y237*Y228+Z237*Z228+AA237*AA228+AB237*AB228+AC237*AC228+AD237*AD228+AE237*AE228+AF237*AF228+AG237*AG228+AH237*AH228+AI237*AI228+AJ237*AJ228+AK237*AK228+AL237*AL228+AM237*AM228+AN237*AN228+AO237*AO228+AP237*AP228+AQ237*AQ228+AR237*AR228+AS237*AS228+AT237*AT228+AU237*AU228+AV237*AV228+AW237*AW228+AX237*AX228+AY237*AY228+AZ237*AZ228+BA237*BA228+BB237*BB228+BC237*BC228+BD237*BD228+BE237*BE228+BF237*BF228+BG237*BG228+BH237*BH228+BI237*BI228+BJ237*BJ228+BK237*BK228+BL237*BL228+BM237*BM228+BN237*BN228+BO237*BO228+BP237*BP228+BQ237*BQ228+BR237*BR228+BS237*BS228+BT237*BT228+BU237*BU228+BV237*BV228+BW237*BW228+BX237*BX228+BY237*BY228+BZ237*BZ228+CA237*CA228+CB237*CB228+CC237*CC228+CD237*CD228+CE237*CE228+CF237*CF228+CG237*CG228+CH237*CH228+CI237*CI228+CJ237*CJ228+CK237*CK228</f>
        <v>0</v>
      </c>
      <c r="CP228" s="2296">
        <f>E238*E228+F238*F228+G238*G228+H238*H228+I238*I228+J238*J228+K238*K228+L238*L228+M238*M228+N238*N228+O238*O228+P238*P228+Q238*Q228+R238*R228+S238*S228+T238*T228+U238*U228+V238*V228+W238*W228+X238*X228+Y238*Y228+Z238*Z228+AA238*AA228+AB238*AB228+AC238*AC228+AD238*AD228+AE238*AE228+AF238*AF228+AG238*AG228+AH238*AH228+AI238*AI228+AJ238*AJ228+AK238*AK228+AL238*AL228+AM238*AM228+AN238*AN228+AO238*AO228+AP238*AP228+AQ238*AQ228+AR238*AR228+AS238*AS228+AT238*AT228+AU238*AU228+AV238*AV228+AW238*AW228+AX238*AX228+AY238*AY228+AZ238*AZ228+BA238*BA228+BB238*BB228+BC238*BC228+BD238*BD228+BE238*BE228+BF238*BF228+BG238*BG228+BH238*BH228+BI238*BI228+BJ238*BJ228+BK238*BK228+BL238*BL228+BM238*BM228+BN238*BN228+BO238*BO228+BP238*BP228+BQ238*BQ228+BR238*BR228+BS238*BS228+BT238*BT228+BU238*BU228+BV238*BV228+BW238*BW228+BX238*BX228+BY238*BY228+BZ238*BZ228+CA238*CA228+CB238*CB228+CC238*CC228+CD238*CD228+CE238*CE228+CF238*CF228+CG238*CG228+CH238*CH228+CI238*CI228+CJ238*CJ228+CK238*CK228</f>
        <v>0</v>
      </c>
      <c r="CQ228" s="2297">
        <f>E239*E228+F239*F228+G239*G228+H239*H228+I239*I228+J239*J228+K239*K228+L239*L228+M239*M228+N239*N228+O239*O228+P239*P228+Q239*Q228+R239*R228+S239*S228+T239*T228+U239*U228+V239*V228+W239*W228+X239*X228+Y239*Y228+Z239*Z228+AA239*AA228+AB239*AB228+AC239*AC228+AD239*AD228+AE239*AE228+AF239*AF228+AG239*AG228+AH239*AH228+AI239*AI228+AJ239*AJ228+AK239*AK228+AL239*AL228+AM239*AM228+AN239*AN228+AO239*AO228+AP239*AP228+AQ239*AQ228+AR239*AR228+AS239*AS228+AT239*AT228+AU239*AU228+AV239*AV228+AW239*AW228+AX239*AX228+AY239*AY228+AZ239*AZ228+BA239*BA228+BB239*BB228+BC239*BC228+BD239*BD228+BE239*BE228+BF239*BF228+BG239*BG228+BH239*BH228+BI239*BI228+BJ239*BJ228+BK239*BK228+BL239*BL228+BM239*BM228+BN239*BN228+BO239*BO228+BP239*BP228+BQ239*BQ228+BR239*BR228+BS239*BS228+BT239*BT228+BU239*BU228+BV239*BV228+BW239*BW228+BX239*BX228+BY239*BY228+BZ239*BZ228+CA239*CA228+CB239*CB228+CC239*CC228+CD239*CD228+CE239*CE228+CF239*CF228+CG239*CG228+CH239*CH228+CI239*CI228+CJ239*CJ228+CK239*CK228</f>
        <v>0</v>
      </c>
      <c r="CR228" s="2297">
        <f>E240*E228+F240*F228+G240*G228+H240*H228+I240*I228+J240*J228+K240*K228+L240*L228+M240*M228+N240*N228+O240*O228+P240*P228+Q240*Q228+R240*R228+S240*S228+T240*T228+U240*U228+V240*V228+W240*W228+X240*X228+Y240*Y228+Z240*Z228+AA240*AA228+AB240*AB228+AC240*AC228+AD240*AD228+AE240*AE228+AF240*AF228+AG240*AG228+AH240*AH228+AI240*AI228+AJ240*AJ228+AK240*AK228+AL240*AL228+AM240*AM228+AN240*AN228+AO240*AO228+AP240*AP228+AQ240*AQ228+AR240*AR228+AS240*AS228+AT240*AT228+AU240*AU228+AV240*AV228+AW240*AW228+AX240*AX228+AY240*AY228+AZ240*AZ228+BA240*BA228+BB240*BB228+BC240*BC228+BD240*BD228+BE240*BE228+BF240*BF228+BG240*BG228+BH240*BH228+BI240*BI228+BJ240*BJ228+BK240*BK228+BL240*BL228+BM240*BM228+BN240*BN228+BO240*BO228+BP240*BP228+BQ240*BQ228+BR240*BR228+BS240*BS228+BT240*BT228+BU240*BU228+BV240*BV228+BW240*BW228+BX240*BX228+BY240*BY228+BZ240*BZ228+CA240*CA228+CB240*CB228+CC240*CC228+CD240*CD228+CE240*CE228+CF240*CF228+CG240*CG228+CH240*CH228+CI240*CI228+CJ240*CJ228+CK240*CK228</f>
        <v>0</v>
      </c>
      <c r="CS228" s="2297">
        <f>E241*E228+F241*F228+G241*G228+H241*H228+I241*I228+J241*J228+K241*K228+L241*L228+M241*M228+N241*N228+O241*O228+P241*P228+Q241*Q228+R241*R228+S241*S228+T241*T228+U241*U228+V241*V228+W241*W228+X241*X228+Y241*Y228+Z241*Z228+AA241*AA228+AB241*AB228+AC241*AC228+AD241*AD228+AE241*AE228+AF241*AF228+AG241*AG228+AH241*AH228+AI241*AI228+AJ241*AJ228+AK241*AK228+AL241*AL228+AM241*AM228+AN241*AN228+AO241*AO228+AP241*AP228+AQ241*AQ228+AR241*AR228+AS241*AS228+AT241*AT228+AU241*AU228+AV241*AV228+AW241*AW228+AX241*AX228+AY241*AY228+AZ241*AZ228+BA241*BA228+BB241*BB228+BC241*BC228+BD241*BD228+BE241*BE228+BF241*BF228+BG241*BG228+BH241*BH228+BI241*BI228+BJ241*BJ228+BK241*BK228+BL241*BL228+BM241*BM228+BN241*BN228+BO241*BO228+BP241*BP228+BQ241*BQ228+BR241*BR228+BS241*BS228+BT241*BT228+BU241*BU228+BV241*BV228+BW241*BW228+BX241*BX228+BY241*BY228+BZ241*BZ228+CA241*CA228+CB241*CB228+CC241*CC228+CD241*CD228+CE241*CE228+CF241*CF228+CG241*CG228+CH241*CH228+CI241*CI228+CJ241*CJ228+CK241*CK228</f>
        <v>0</v>
      </c>
      <c r="CT228" s="2297">
        <f>E242*E228+F242*F228+G242*G228+H242*H228+I242*I228+J242*J228+K242*K228+L242*L228+M242*M228+N242*N228+O242*O228+P242*P228+Q242*Q228+R242*R228+S242*S228+T242*T228+U242*U228+V242*V228+W242*W228+X242*X228+Y242*Y228+Z242*Z228+AA242*AA228+AB242*AB228+AC242*AC228+AD242*AD228+AE242*AE228+AF242*AF228+AG242*AG228+AH242*AH228+AI242*AI228+AJ242*AJ228+AK242*AK228+AL242*AL228+AM242*AM228+AN242*AN228+AO242*AO228+AP242*AP228+AQ242*AQ228+AR242*AR228+AS242*AS228+AT242*AT228+AU242*AU228+AV242*AV228+AW242*AW228+AX242*AX228+AY242*AY228+AZ242*AZ228+BA242*BA228+BB242*BB228+BC242*BC228+BD242*BD228+BE242*BE228+BF242*BF228+BG242*BG228+BH242*BH228+BI242*BI228+BJ242*BJ228+BK242*BK228+BL242*BL228+BM242*BM228+BN242*BN228+BO242*BO228+BP242*BP228+BQ242*BQ228+BR242*BR228+BS242*BS228+BT242*BT228+BU242*BU228+BV242*BV228+BW242*BW228+BX242*BX228+BY242*BY228+BZ242*BZ228+CA242*CA228+CB242*CB228+CC242*CC228+CD242*CD228+CE242*CE228+CF242*CF228+CG242*CG228+CH242*CH228+CI242*CI228+CJ242*CJ228+CK242*CK228</f>
        <v>0</v>
      </c>
      <c r="CU228" s="2297">
        <f>E243*E228+F243*F228+G243*G228+H243*H228+I243*I228+J243*J228+K243*K228+L243*L228+M243*M228+N243*N228+O243*O228+P243*P228+Q243*Q228+R243*R228+S243*S228+T243*T228+U243*U228+V243*V228+W243*W228+X243*X228+Y243*Y228+Z243*Z228+AA243*AA228+AB243*AB228+AC243*AC228+AD243*AD228+AE243*AE228+AF243*AF228+AG243*AG228+AH243*AH228+AI243*AI228+AJ243*AJ228+AK243*AK228+AL243*AL228+AM243*AM228+AN243*AN228+AO243*AO228+AP243*AP228+AQ243*AQ228+AR243*AR228+AS243*AS228+AT243*AT228+AU243*AU228+AV243*AV228+AW243*AW228+AX243*AX228+AY243*AY228+AZ243*AZ228+BA243*BA228+BB243*BB228+BC243*BC228+BD243*BD228+BE243*BE228+BF243*BF228+BG243*BG228+BH243*BH228+BI243*BI228+BJ243*BJ228+BK243*BK228+BL243*BL228+BM243*BM228+BN243*BN228+BO243*BO228+BP243*BP228+BQ243*BQ228+BR243*BR228+BS243*BS228+BT243*BT228+BU243*BU228+BV243*BV228+BW243*BW228+BX243*BX228+BY243*BY228+BZ243*BZ228+CA243*CA228+CB243*CB228+CC243*CC228+CD243*CD228+CE243*CE228+CF243*CF228+CG243*CG228+CH243*CH228+CI243*CI228+CJ243*CJ228+CK243*CK228</f>
        <v>0</v>
      </c>
      <c r="CV228" s="2297">
        <f>E244*E228+F244*F228+G244*G228+H244*H228+I244*I228+J244*J228+K244*K228+L244*L228+M244*M228+N244*N228+O244*O228+P244*P228+Q244*Q228+R244*R228+S244*S228+T244*T228+U244*U228+V244*V228+W244*W228+X244*X228+Y244*Y228+Z244*Z228+AA244*AA228+AB244*AB228+AC244*AC228+AD244*AD228+AE244*AE228+AF244*AF228+AG244*AG228+AH244*AH228+AI244*AI228+AJ244*AJ228+AK244*AK228+AL244*AL228+AM244*AM228+AN244*AN228+AO244*AO228+AP244*AP228+AQ244*AQ228+AR244*AR228+AS244*AS228+AT244*AT228+AU244*AU228+AV244*AV228+AW244*AW228+AX244*AX228+AY244*AY228+AZ244*AZ228+BA244*BA228+BB244*BB228+BC244*BC228+BD244*BD228+BE244*BE228+BF244*BF228+BG244*BG228+BH244*BH228+BI244*BI228+BJ244*BJ228+BK244*BK228+BL244*BL228+BM244*BM228+BN244*BN228+BO244*BO228+BP244*BP228+BQ244*BQ228+BR244*BR228+BS244*BS228+BT244*BT228+BU244*BU228+BV244*BV228+BW244*BW228+BX244*BX228+BY244*BY228+BZ244*BZ228+CA244*CA228+CB244*CB228+CC244*CC228+CD244*CD228+CE244*CE228+CF244*CF228+CG244*CG228+CH244*CH228+CI244*CI228+CJ244*CJ228+CK244*CK228</f>
        <v>0</v>
      </c>
      <c r="CW228" s="2297">
        <f>E245*E228+F245*F228+G245*G228+H245*H228+I245*I228+J245*J228+K245*K228+L245*L228+M245*M228+N245*N228+O245*O228+P245*P228+Q245*Q228+R245*R228+S245*S228+T245*T228+U245*U228+V245*V228+W245*W228+X245*X228+Y245*Y228+Z245*Z228+AA245*AA228+AB245*AB228+AC245*AC228+AD245*AD228+AE245*AE228+AF245*AF228+AG245*AG228+AH245*AH228+AI245*AI228+AJ245*AJ228+AK245*AK228+AL245*AL228+AM245*AM228+AN245*AN228+AO245*AO228+AP245*AP228+AQ245*AQ228+AR245*AR228+AS245*AS228+AT245*AT228+AU245*AU228+AV245*AV228+AW245*AW228+AX245*AX228+AY245*AY228+AZ245*AZ228+BA245*BA228+BB245*BB228+BC245*BC228+BD245*BD228+BE245*BE228+BF245*BF228+BG245*BG228+BH245*BH228+BI245*BI228+BJ245*BJ228+BK245*BK228+BL245*BL228+BM245*BM228+BN245*BN228+BO245*BO228+BP245*BP228+BQ245*BQ228+BR245*BR228+BS245*BS228+BT245*BT228+BU245*BU228+BV245*BV228+BW245*BW228+BX245*BX228+BY245*BY228+BZ245*BZ228+CA245*CA228+CB245*CB228+CC245*CC228+CD245*CD228+CE245*CE228+CF245*CF228+CG245*CG228+CH245*CH228+CI245*CI228+CJ245*CJ228+CK245*CK228</f>
        <v>0</v>
      </c>
      <c r="CX228" s="2297">
        <f>E246*E228+F246*F228+G246*G228+H246*H228+I246*I228+J246*J228+K246*K228+L246*L228+M246*M228+N246*N228+O246*O228+P246*P228+Q246*Q228+R246*R228+S246*S228+T246*T228+U246*U228+V246*V228+W246*W228+X246*X228+Y246*Y228+Z246*Z228+AA246*AA228+AB246*AB228+AC246*AC228+AD246*AD228+AE246*AE228+AF246*AF228+AG246*AG228+AH246*AH228+AI246*AI228+AJ246*AJ228+AK246*AK228+AL246*AL228+AM246*AM228+AN246*AN228+AO246*AO228+AP246*AP228+AQ246*AQ228+AR246*AR228+AS246*AS228+AT246*AT228+AU246*AU228+AV246*AV228+AW246*AW228+AX246*AX228+AY246*AY228+AZ246*AZ228+BA246*BA228+BB246*BB228+BC246*BC228+BD246*BD228+BE246*BE228+BF246*BF228+BG246*BG228+BH246*BH228+BI246*BI228+BJ246*BJ228+BK246*BK228+BL246*BL228+BM246*BM228+BN246*BN228+BO246*BO228+BP246*BP228+BQ246*BQ228+BR246*BR228+BS246*BS228+BT246*BT228+BU246*BU228+BV246*BV228+BW246*BW228+BX246*BX228+BY246*BY228+BZ246*BZ228+CA246*CA228+CB246*CB228+CC246*CC228+CD246*CD228+CE246*CE228+CF246*CF228+CG246*CG228+CH246*CH228+CI246*CI228+CJ246*CJ228+CK246*CK228</f>
        <v>0</v>
      </c>
    </row>
    <row r="229" spans="2:102" ht="18" x14ac:dyDescent="0.25">
      <c r="B229" s="1982">
        <v>102</v>
      </c>
      <c r="C229" s="1983" t="s">
        <v>4610</v>
      </c>
      <c r="D229" s="689" t="s">
        <v>3099</v>
      </c>
      <c r="E229" s="2684">
        <f>0</f>
        <v>0</v>
      </c>
      <c r="F229" s="2684">
        <f>0</f>
        <v>0</v>
      </c>
      <c r="G229" s="2684">
        <f>0</f>
        <v>0</v>
      </c>
      <c r="H229" s="2684">
        <f>0</f>
        <v>0</v>
      </c>
      <c r="I229" s="2684">
        <f>0</f>
        <v>0</v>
      </c>
      <c r="J229" s="2700">
        <f>0</f>
        <v>0</v>
      </c>
      <c r="K229" s="2684">
        <f>0</f>
        <v>0</v>
      </c>
      <c r="L229" s="2684">
        <f>0</f>
        <v>0</v>
      </c>
      <c r="M229" s="2684">
        <f>0</f>
        <v>0</v>
      </c>
      <c r="N229" s="2684">
        <f>0</f>
        <v>0</v>
      </c>
      <c r="O229" s="2684">
        <f>0</f>
        <v>0</v>
      </c>
      <c r="P229" s="2684">
        <f>0</f>
        <v>0</v>
      </c>
      <c r="Q229" s="2684">
        <f>0</f>
        <v>0</v>
      </c>
      <c r="R229" s="2684">
        <f>0</f>
        <v>0</v>
      </c>
      <c r="S229" s="2684">
        <f>0</f>
        <v>0</v>
      </c>
      <c r="T229" s="2684">
        <f>0</f>
        <v>0</v>
      </c>
      <c r="U229" s="2684">
        <f>0</f>
        <v>0</v>
      </c>
      <c r="V229" s="2684">
        <f>0</f>
        <v>0</v>
      </c>
      <c r="W229" s="2684">
        <f>0</f>
        <v>0</v>
      </c>
      <c r="X229" s="2684">
        <f>0</f>
        <v>0</v>
      </c>
      <c r="Y229" s="2684">
        <f>0</f>
        <v>0</v>
      </c>
      <c r="Z229" s="2719">
        <f>0</f>
        <v>0</v>
      </c>
      <c r="AA229" s="2684">
        <f>0</f>
        <v>0</v>
      </c>
      <c r="AB229" s="2684">
        <f>0</f>
        <v>0</v>
      </c>
      <c r="AC229" s="2684">
        <f>0</f>
        <v>0</v>
      </c>
      <c r="AD229" s="2684">
        <f>0</f>
        <v>0</v>
      </c>
      <c r="AE229" s="2684">
        <f>0</f>
        <v>0</v>
      </c>
      <c r="AF229" s="2684">
        <f>0</f>
        <v>0</v>
      </c>
      <c r="AG229" s="2700">
        <f>0</f>
        <v>0</v>
      </c>
      <c r="AH229" s="2684">
        <f>0</f>
        <v>0</v>
      </c>
      <c r="AI229" s="2684">
        <f>0</f>
        <v>0</v>
      </c>
      <c r="AJ229" s="2684">
        <f>0</f>
        <v>0</v>
      </c>
      <c r="AK229" s="2684">
        <f>0</f>
        <v>0</v>
      </c>
      <c r="AL229" s="2684">
        <f>0</f>
        <v>0</v>
      </c>
      <c r="AM229" s="2700">
        <f>0</f>
        <v>0</v>
      </c>
      <c r="AN229" s="2684">
        <f>0</f>
        <v>0</v>
      </c>
      <c r="AO229" s="2684">
        <f>0</f>
        <v>0</v>
      </c>
      <c r="AP229" s="2684">
        <f>0</f>
        <v>0</v>
      </c>
      <c r="AQ229" s="2684">
        <f>1</f>
        <v>1</v>
      </c>
      <c r="AR229" s="2684">
        <f>0</f>
        <v>0</v>
      </c>
      <c r="AS229" s="2684">
        <f>0</f>
        <v>0</v>
      </c>
      <c r="AT229" s="2684">
        <f>0</f>
        <v>0</v>
      </c>
      <c r="AU229" s="2684">
        <f>0</f>
        <v>0</v>
      </c>
      <c r="AV229" s="2684">
        <f>0</f>
        <v>0</v>
      </c>
      <c r="AW229" s="2684">
        <f>0</f>
        <v>0</v>
      </c>
      <c r="AX229" s="2684">
        <f>0</f>
        <v>0</v>
      </c>
      <c r="AY229" s="2684">
        <f>0</f>
        <v>0</v>
      </c>
      <c r="AZ229" s="2684">
        <f>0</f>
        <v>0</v>
      </c>
      <c r="BA229" s="2684">
        <f>0</f>
        <v>0</v>
      </c>
      <c r="BB229" s="2684">
        <f>0</f>
        <v>0</v>
      </c>
      <c r="BC229" s="2684">
        <f>0</f>
        <v>0</v>
      </c>
      <c r="BD229" s="2684">
        <f>0</f>
        <v>0</v>
      </c>
      <c r="BE229" s="2684">
        <f>0</f>
        <v>0</v>
      </c>
      <c r="BF229" s="2684">
        <f>0</f>
        <v>0</v>
      </c>
      <c r="BG229" s="2684">
        <f>0</f>
        <v>0</v>
      </c>
      <c r="BH229" s="2684">
        <f>0</f>
        <v>0</v>
      </c>
      <c r="BI229" s="2684">
        <f>0</f>
        <v>0</v>
      </c>
      <c r="BJ229" s="2684">
        <f>0</f>
        <v>0</v>
      </c>
      <c r="BK229" s="2684">
        <f>0</f>
        <v>0</v>
      </c>
      <c r="BL229" s="2684">
        <f>0</f>
        <v>0</v>
      </c>
      <c r="BM229" s="2684">
        <f>0</f>
        <v>0</v>
      </c>
      <c r="BN229" s="2684">
        <f>0</f>
        <v>0</v>
      </c>
      <c r="BO229" s="2684">
        <f>0</f>
        <v>0</v>
      </c>
      <c r="BP229" s="2762">
        <f>0</f>
        <v>0</v>
      </c>
      <c r="BQ229" s="2684">
        <f>0</f>
        <v>0</v>
      </c>
      <c r="BR229" s="2684">
        <f>0</f>
        <v>0</v>
      </c>
      <c r="BS229" s="2719">
        <f>0</f>
        <v>0</v>
      </c>
      <c r="BT229" s="2719">
        <f>0</f>
        <v>0</v>
      </c>
      <c r="BU229" s="2719">
        <f>0</f>
        <v>0</v>
      </c>
      <c r="BV229" s="2719">
        <f>0</f>
        <v>0</v>
      </c>
      <c r="BW229" s="2684">
        <f>0</f>
        <v>0</v>
      </c>
      <c r="BX229" s="2683">
        <f>0</f>
        <v>0</v>
      </c>
      <c r="BY229" s="2719">
        <f>0</f>
        <v>0</v>
      </c>
      <c r="BZ229" s="2684">
        <f>0</f>
        <v>0</v>
      </c>
      <c r="CA229" s="2684">
        <f>0</f>
        <v>0</v>
      </c>
      <c r="CB229" s="2684">
        <f>0</f>
        <v>0</v>
      </c>
      <c r="CC229" s="2684">
        <f>0</f>
        <v>0</v>
      </c>
      <c r="CD229" s="2684">
        <f>0</f>
        <v>0</v>
      </c>
      <c r="CE229" s="2684">
        <f>0</f>
        <v>0</v>
      </c>
      <c r="CF229" s="2684">
        <f>0</f>
        <v>0</v>
      </c>
      <c r="CG229" s="2684">
        <f>0</f>
        <v>0</v>
      </c>
      <c r="CH229" s="2790">
        <f>-Δ_atm</f>
        <v>-1</v>
      </c>
      <c r="CI229" s="2684">
        <f>0</f>
        <v>0</v>
      </c>
      <c r="CJ229" s="2684">
        <f>0</f>
        <v>0</v>
      </c>
      <c r="CK229" s="2684">
        <f>0</f>
        <v>0</v>
      </c>
      <c r="CL229" s="2823">
        <f>k_LaGH2_sur*(S_GH2_sur_sat-S_H2)</f>
        <v>-4.4020000000000004E-2</v>
      </c>
      <c r="CN229" s="2295">
        <f>E236*E229+F236*F229+G236*G229+H236*H229+I236*I229+J236*J229+K236*K229+L236*L229+M236*M229+N236*N229+O236*O229+P236*P229+Q236*Q229+R236*R229+S236*S229+T236*T229+U236*U229+V236*V229+W236*W229+X236*X229+Y236*Y229+Z236*Z229+AA236*AA229+AB236*AB229+AC236*AC229+AD236*AD229+AE236*AE229+AF236*AF229+AG236*AG229+AH236*AH229+AI236*AI229+AJ236*AJ229+AK236*AK229+AL236*AL229+AM236*AM229+AN236*AN229+AO236*AO229+AP236*AP229+AQ236*AQ229+AR236*AR229+AS236*AS229+AT236*AT229+AU236*AU229+AV236*AV229+AW236*AW229+AX236*AX229+AY236*AY229+AZ236*AZ229+BA236*BA229+BB236*BB229+BC236*BC229+BD236*BD229+BE236*BE229+BF236*BF229+BG236*BG229+BH236*BH229+BI236*BI229+BJ236*BJ229+BK236*BK229+BL236*BL229+BM236*BM229+BN236*BN229+BO236*BO229+BP236*BP229+BQ236*BQ229+BR236*BR229+BS236*BS229+BT236*BT229+BU236*BU229+BV236*BV229+BW236*BW229+BX236*BX229+BY236*BY229+BZ236*BZ229+CA236*CA229+CB236*CB229+CC236*CC229+CD236*CD229+CE236*CE229+CF236*CF229+CG236*CG229+CH236*CH229+CI236*CI229+CJ236*CJ229+CK236*CK229</f>
        <v>0</v>
      </c>
      <c r="CO229" s="2295">
        <f>E237*E229+F237*F229+G237*G229+H237*H229+I237*I229+J237*J229+K237*K229+L237*L229+M237*M229+N237*N229+O237*O229+P237*P229+Q237*Q229+R237*R229+S237*S229+T237*T229+U237*U229+V237*V229+W237*W229+X237*X229+Y237*Y229+Z237*Z229+AA237*AA229+AB237*AB229+AC237*AC229+AD237*AD229+AE237*AE229+AF237*AF229+AG237*AG229+AH237*AH229+AI237*AI229+AJ237*AJ229+AK237*AK229+AL237*AL229+AM237*AM229+AN237*AN229+AO237*AO229+AP237*AP229+AQ237*AQ229+AR237*AR229+AS237*AS229+AT237*AT229+AU237*AU229+AV237*AV229+AW237*AW229+AX237*AX229+AY237*AY229+AZ237*AZ229+BA237*BA229+BB237*BB229+BC237*BC229+BD237*BD229+BE237*BE229+BF237*BF229+BG237*BG229+BH237*BH229+BI237*BI229+BJ237*BJ229+BK237*BK229+BL237*BL229+BM237*BM229+BN237*BN229+BO237*BO229+BP237*BP229+BQ237*BQ229+BR237*BR229+BS237*BS229+BT237*BT229+BU237*BU229+BV237*BV229+BW237*BW229+BX237*BX229+BY237*BY229+BZ237*BZ229+CA237*CA229+CB237*CB229+CC237*CC229+CD237*CD229+CE237*CE229+CF237*CF229+CG237*CG229+CH237*CH229+CI237*CI229+CJ237*CJ229+CK237*CK229</f>
        <v>0</v>
      </c>
      <c r="CP229" s="2296">
        <f>E238*E229+F238*F229+G238*G229+H238*H229+I238*I229+J238*J229+K238*K229+L238*L229+M238*M229+N238*N229+O238*O229+P238*P229+Q238*Q229+R238*R229+S238*S229+T238*T229+U238*U229+V238*V229+W238*W229+X238*X229+Y238*Y229+Z238*Z229+AA238*AA229+AB238*AB229+AC238*AC229+AD238*AD229+AE238*AE229+AF238*AF229+AG238*AG229+AH238*AH229+AI238*AI229+AJ238*AJ229+AK238*AK229+AL238*AL229+AM238*AM229+AN238*AN229+AO238*AO229+AP238*AP229+AQ238*AQ229+AR238*AR229+AS238*AS229+AT238*AT229+AU238*AU229+AV238*AV229+AW238*AW229+AX238*AX229+AY238*AY229+AZ238*AZ229+BA238*BA229+BB238*BB229+BC238*BC229+BD238*BD229+BE238*BE229+BF238*BF229+BG238*BG229+BH238*BH229+BI238*BI229+BJ238*BJ229+BK238*BK229+BL238*BL229+BM238*BM229+BN238*BN229+BO238*BO229+BP238*BP229+BQ238*BQ229+BR238*BR229+BS238*BS229+BT238*BT229+BU238*BU229+BV238*BV229+BW238*BW229+BX238*BX229+BY238*BY229+BZ238*BZ229+CA238*CA229+CB238*CB229+CC238*CC229+CD238*CD229+CE238*CE229+CF238*CF229+CG238*CG229+CH238*CH229+CI238*CI229+CJ238*CJ229+CK238*CK229</f>
        <v>0</v>
      </c>
      <c r="CQ229" s="2297">
        <f>E239*E229+F239*F229+G239*G229+H239*H229+I239*I229+J239*J229+K239*K229+L239*L229+M239*M229+N239*N229+O239*O229+P239*P229+Q239*Q229+R239*R229+S239*S229+T239*T229+U239*U229+V239*V229+W239*W229+X239*X229+Y239*Y229+Z239*Z229+AA239*AA229+AB239*AB229+AC239*AC229+AD239*AD229+AE239*AE229+AF239*AF229+AG239*AG229+AH239*AH229+AI239*AI229+AJ239*AJ229+AK239*AK229+AL239*AL229+AM239*AM229+AN239*AN229+AO239*AO229+AP239*AP229+AQ239*AQ229+AR239*AR229+AS239*AS229+AT239*AT229+AU239*AU229+AV239*AV229+AW239*AW229+AX239*AX229+AY239*AY229+AZ239*AZ229+BA239*BA229+BB239*BB229+BC239*BC229+BD239*BD229+BE239*BE229+BF239*BF229+BG239*BG229+BH239*BH229+BI239*BI229+BJ239*BJ229+BK239*BK229+BL239*BL229+BM239*BM229+BN239*BN229+BO239*BO229+BP239*BP229+BQ239*BQ229+BR239*BR229+BS239*BS229+BT239*BT229+BU239*BU229+BV239*BV229+BW239*BW229+BX239*BX229+BY239*BY229+BZ239*BZ229+CA239*CA229+CB239*CB229+CC239*CC229+CD239*CD229+CE239*CE229+CF239*CF229+CG239*CG229+CH239*CH229+CI239*CI229+CJ239*CJ229+CK239*CK229</f>
        <v>0</v>
      </c>
      <c r="CR229" s="2297">
        <f>E240*E229+F240*F229+G240*G229+H240*H229+I240*I229+J240*J229+K240*K229+L240*L229+M240*M229+N240*N229+O240*O229+P240*P229+Q240*Q229+R240*R229+S240*S229+T240*T229+U240*U229+V240*V229+W240*W229+X240*X229+Y240*Y229+Z240*Z229+AA240*AA229+AB240*AB229+AC240*AC229+AD240*AD229+AE240*AE229+AF240*AF229+AG240*AG229+AH240*AH229+AI240*AI229+AJ240*AJ229+AK240*AK229+AL240*AL229+AM240*AM229+AN240*AN229+AO240*AO229+AP240*AP229+AQ240*AQ229+AR240*AR229+AS240*AS229+AT240*AT229+AU240*AU229+AV240*AV229+AW240*AW229+AX240*AX229+AY240*AY229+AZ240*AZ229+BA240*BA229+BB240*BB229+BC240*BC229+BD240*BD229+BE240*BE229+BF240*BF229+BG240*BG229+BH240*BH229+BI240*BI229+BJ240*BJ229+BK240*BK229+BL240*BL229+BM240*BM229+BN240*BN229+BO240*BO229+BP240*BP229+BQ240*BQ229+BR240*BR229+BS240*BS229+BT240*BT229+BU240*BU229+BV240*BV229+BW240*BW229+BX240*BX229+BY240*BY229+BZ240*BZ229+CA240*CA229+CB240*CB229+CC240*CC229+CD240*CD229+CE240*CE229+CF240*CF229+CG240*CG229+CH240*CH229+CI240*CI229+CJ240*CJ229+CK240*CK229</f>
        <v>0</v>
      </c>
      <c r="CS229" s="2297">
        <f>E241*E229+F241*F229+G241*G229+H241*H229+I241*I229+J241*J229+K241*K229+L241*L229+M241*M229+N241*N229+O241*O229+P241*P229+Q241*Q229+R241*R229+S241*S229+T241*T229+U241*U229+V241*V229+W241*W229+X241*X229+Y241*Y229+Z241*Z229+AA241*AA229+AB241*AB229+AC241*AC229+AD241*AD229+AE241*AE229+AF241*AF229+AG241*AG229+AH241*AH229+AI241*AI229+AJ241*AJ229+AK241*AK229+AL241*AL229+AM241*AM229+AN241*AN229+AO241*AO229+AP241*AP229+AQ241*AQ229+AR241*AR229+AS241*AS229+AT241*AT229+AU241*AU229+AV241*AV229+AW241*AW229+AX241*AX229+AY241*AY229+AZ241*AZ229+BA241*BA229+BB241*BB229+BC241*BC229+BD241*BD229+BE241*BE229+BF241*BF229+BG241*BG229+BH241*BH229+BI241*BI229+BJ241*BJ229+BK241*BK229+BL241*BL229+BM241*BM229+BN241*BN229+BO241*BO229+BP241*BP229+BQ241*BQ229+BR241*BR229+BS241*BS229+BT241*BT229+BU241*BU229+BV241*BV229+BW241*BW229+BX241*BX229+BY241*BY229+BZ241*BZ229+CA241*CA229+CB241*CB229+CC241*CC229+CD241*CD229+CE241*CE229+CF241*CF229+CG241*CG229+CH241*CH229+CI241*CI229+CJ241*CJ229+CK241*CK229</f>
        <v>0</v>
      </c>
      <c r="CT229" s="2297">
        <f>E242*E229+F242*F229+G242*G229+H242*H229+I242*I229+J242*J229+K242*K229+L242*L229+M242*M229+N242*N229+O242*O229+P242*P229+Q242*Q229+R242*R229+S242*S229+T242*T229+U242*U229+V242*V229+W242*W229+X242*X229+Y242*Y229+Z242*Z229+AA242*AA229+AB242*AB229+AC242*AC229+AD242*AD229+AE242*AE229+AF242*AF229+AG242*AG229+AH242*AH229+AI242*AI229+AJ242*AJ229+AK242*AK229+AL242*AL229+AM242*AM229+AN242*AN229+AO242*AO229+AP242*AP229+AQ242*AQ229+AR242*AR229+AS242*AS229+AT242*AT229+AU242*AU229+AV242*AV229+AW242*AW229+AX242*AX229+AY242*AY229+AZ242*AZ229+BA242*BA229+BB242*BB229+BC242*BC229+BD242*BD229+BE242*BE229+BF242*BF229+BG242*BG229+BH242*BH229+BI242*BI229+BJ242*BJ229+BK242*BK229+BL242*BL229+BM242*BM229+BN242*BN229+BO242*BO229+BP242*BP229+BQ242*BQ229+BR242*BR229+BS242*BS229+BT242*BT229+BU242*BU229+BV242*BV229+BW242*BW229+BX242*BX229+BY242*BY229+BZ242*BZ229+CA242*CA229+CB242*CB229+CC242*CC229+CD242*CD229+CE242*CE229+CF242*CF229+CG242*CG229+CH242*CH229+CI242*CI229+CJ242*CJ229+CK242*CK229</f>
        <v>0</v>
      </c>
      <c r="CU229" s="2297">
        <f>E243*E229+F243*F229+G243*G229+H243*H229+I243*I229+J243*J229+K243*K229+L243*L229+M243*M229+N243*N229+O243*O229+P243*P229+Q243*Q229+R243*R229+S243*S229+T243*T229+U243*U229+V243*V229+W243*W229+X243*X229+Y243*Y229+Z243*Z229+AA243*AA229+AB243*AB229+AC243*AC229+AD243*AD229+AE243*AE229+AF243*AF229+AG243*AG229+AH243*AH229+AI243*AI229+AJ243*AJ229+AK243*AK229+AL243*AL229+AM243*AM229+AN243*AN229+AO243*AO229+AP243*AP229+AQ243*AQ229+AR243*AR229+AS243*AS229+AT243*AT229+AU243*AU229+AV243*AV229+AW243*AW229+AX243*AX229+AY243*AY229+AZ243*AZ229+BA243*BA229+BB243*BB229+BC243*BC229+BD243*BD229+BE243*BE229+BF243*BF229+BG243*BG229+BH243*BH229+BI243*BI229+BJ243*BJ229+BK243*BK229+BL243*BL229+BM243*BM229+BN243*BN229+BO243*BO229+BP243*BP229+BQ243*BQ229+BR243*BR229+BS243*BS229+BT243*BT229+BU243*BU229+BV243*BV229+BW243*BW229+BX243*BX229+BY243*BY229+BZ243*BZ229+CA243*CA229+CB243*CB229+CC243*CC229+CD243*CD229+CE243*CE229+CF243*CF229+CG243*CG229+CH243*CH229+CI243*CI229+CJ243*CJ229+CK243*CK229</f>
        <v>0</v>
      </c>
      <c r="CV229" s="2297">
        <f>E244*E229+F244*F229+G244*G229+H244*H229+I244*I229+J244*J229+K244*K229+L244*L229+M244*M229+N244*N229+O244*O229+P244*P229+Q244*Q229+R244*R229+S244*S229+T244*T229+U244*U229+V244*V229+W244*W229+X244*X229+Y244*Y229+Z244*Z229+AA244*AA229+AB244*AB229+AC244*AC229+AD244*AD229+AE244*AE229+AF244*AF229+AG244*AG229+AH244*AH229+AI244*AI229+AJ244*AJ229+AK244*AK229+AL244*AL229+AM244*AM229+AN244*AN229+AO244*AO229+AP244*AP229+AQ244*AQ229+AR244*AR229+AS244*AS229+AT244*AT229+AU244*AU229+AV244*AV229+AW244*AW229+AX244*AX229+AY244*AY229+AZ244*AZ229+BA244*BA229+BB244*BB229+BC244*BC229+BD244*BD229+BE244*BE229+BF244*BF229+BG244*BG229+BH244*BH229+BI244*BI229+BJ244*BJ229+BK244*BK229+BL244*BL229+BM244*BM229+BN244*BN229+BO244*BO229+BP244*BP229+BQ244*BQ229+BR244*BR229+BS244*BS229+BT244*BT229+BU244*BU229+BV244*BV229+BW244*BW229+BX244*BX229+BY244*BY229+BZ244*BZ229+CA244*CA229+CB244*CB229+CC244*CC229+CD244*CD229+CE244*CE229+CF244*CF229+CG244*CG229+CH244*CH229+CI244*CI229+CJ244*CJ229+CK244*CK229</f>
        <v>0</v>
      </c>
      <c r="CW229" s="2297">
        <f>E245*E229+F245*F229+G245*G229+H245*H229+I245*I229+J245*J229+K245*K229+L245*L229+M245*M229+N245*N229+O245*O229+P245*P229+Q245*Q229+R245*R229+S245*S229+T245*T229+U245*U229+V245*V229+W245*W229+X245*X229+Y245*Y229+Z245*Z229+AA245*AA229+AB245*AB229+AC245*AC229+AD245*AD229+AE245*AE229+AF245*AF229+AG245*AG229+AH245*AH229+AI245*AI229+AJ245*AJ229+AK245*AK229+AL245*AL229+AM245*AM229+AN245*AN229+AO245*AO229+AP245*AP229+AQ245*AQ229+AR245*AR229+AS245*AS229+AT245*AT229+AU245*AU229+AV245*AV229+AW245*AW229+AX245*AX229+AY245*AY229+AZ245*AZ229+BA245*BA229+BB245*BB229+BC245*BC229+BD245*BD229+BE245*BE229+BF245*BF229+BG245*BG229+BH245*BH229+BI245*BI229+BJ245*BJ229+BK245*BK229+BL245*BL229+BM245*BM229+BN245*BN229+BO245*BO229+BP245*BP229+BQ245*BQ229+BR245*BR229+BS245*BS229+BT245*BT229+BU245*BU229+BV245*BV229+BW245*BW229+BX245*BX229+BY245*BY229+BZ245*BZ229+CA245*CA229+CB245*CB229+CC245*CC229+CD245*CD229+CE245*CE229+CF245*CF229+CG245*CG229+CH245*CH229+CI245*CI229+CJ245*CJ229+CK245*CK229</f>
        <v>0</v>
      </c>
      <c r="CX229" s="2297">
        <f>E246*E229+F246*F229+G246*G229+H246*H229+I246*I229+J246*J229+K246*K229+L246*L229+M246*M229+N246*N229+O246*O229+P246*P229+Q246*Q229+R246*R229+S246*S229+T246*T229+U246*U229+V246*V229+W246*W229+X246*X229+Y246*Y229+Z246*Z229+AA246*AA229+AB246*AB229+AC246*AC229+AD246*AD229+AE246*AE229+AF246*AF229+AG246*AG229+AH246*AH229+AI246*AI229+AJ246*AJ229+AK246*AK229+AL246*AL229+AM246*AM229+AN246*AN229+AO246*AO229+AP246*AP229+AQ246*AQ229+AR246*AR229+AS246*AS229+AT246*AT229+AU246*AU229+AV246*AV229+AW246*AW229+AX246*AX229+AY246*AY229+AZ246*AZ229+BA246*BA229+BB246*BB229+BC246*BC229+BD246*BD229+BE246*BE229+BF246*BF229+BG246*BG229+BH246*BH229+BI246*BI229+BJ246*BJ229+BK246*BK229+BL246*BL229+BM246*BM229+BN246*BN229+BO246*BO229+BP246*BP229+BQ246*BQ229+BR246*BR229+BS246*BS229+BT246*BT229+BU246*BU229+BV246*BV229+BW246*BW229+BX246*BX229+BY246*BY229+BZ246*BZ229+CA246*CA229+CB246*CB229+CC246*CC229+CD246*CD229+CE246*CE229+CF246*CF229+CG246*CG229+CH246*CH229+CI246*CI229+CJ246*CJ229+CK246*CK229</f>
        <v>0</v>
      </c>
    </row>
    <row r="230" spans="2:102" ht="18" x14ac:dyDescent="0.25">
      <c r="B230" s="1982">
        <v>103</v>
      </c>
      <c r="C230" s="1983" t="s">
        <v>4779</v>
      </c>
      <c r="D230" s="689" t="s">
        <v>3101</v>
      </c>
      <c r="E230" s="2684">
        <f>0</f>
        <v>0</v>
      </c>
      <c r="F230" s="2684">
        <f>0</f>
        <v>0</v>
      </c>
      <c r="G230" s="2684">
        <f>0</f>
        <v>0</v>
      </c>
      <c r="H230" s="2684">
        <f>0</f>
        <v>0</v>
      </c>
      <c r="I230" s="2684">
        <f>0</f>
        <v>0</v>
      </c>
      <c r="J230" s="2700">
        <f>0</f>
        <v>0</v>
      </c>
      <c r="K230" s="2684">
        <f>0</f>
        <v>0</v>
      </c>
      <c r="L230" s="2684">
        <f>0</f>
        <v>0</v>
      </c>
      <c r="M230" s="2684">
        <f>0</f>
        <v>0</v>
      </c>
      <c r="N230" s="2684">
        <f>0</f>
        <v>0</v>
      </c>
      <c r="O230" s="2684">
        <f>0</f>
        <v>0</v>
      </c>
      <c r="P230" s="2684">
        <f>0</f>
        <v>0</v>
      </c>
      <c r="Q230" s="2684">
        <f>0</f>
        <v>0</v>
      </c>
      <c r="R230" s="2684">
        <f>0</f>
        <v>0</v>
      </c>
      <c r="S230" s="2684">
        <f>0</f>
        <v>0</v>
      </c>
      <c r="T230" s="2684">
        <f>0</f>
        <v>0</v>
      </c>
      <c r="U230" s="2684">
        <f>0</f>
        <v>0</v>
      </c>
      <c r="V230" s="2684">
        <f>0</f>
        <v>0</v>
      </c>
      <c r="W230" s="2684">
        <f>0</f>
        <v>0</v>
      </c>
      <c r="X230" s="2684">
        <f>0</f>
        <v>0</v>
      </c>
      <c r="Y230" s="2684">
        <f>0</f>
        <v>0</v>
      </c>
      <c r="Z230" s="2719">
        <f>0</f>
        <v>0</v>
      </c>
      <c r="AA230" s="2684">
        <f>0</f>
        <v>0</v>
      </c>
      <c r="AB230" s="2684">
        <f>0</f>
        <v>0</v>
      </c>
      <c r="AC230" s="2684">
        <f>0</f>
        <v>0</v>
      </c>
      <c r="AD230" s="2684">
        <f>0</f>
        <v>0</v>
      </c>
      <c r="AE230" s="2684">
        <f>0</f>
        <v>0</v>
      </c>
      <c r="AF230" s="2684">
        <f>0</f>
        <v>0</v>
      </c>
      <c r="AG230" s="2700">
        <f>0</f>
        <v>0</v>
      </c>
      <c r="AH230" s="2684">
        <f>0</f>
        <v>0</v>
      </c>
      <c r="AI230" s="2684">
        <f>0</f>
        <v>0</v>
      </c>
      <c r="AJ230" s="2684">
        <f>0</f>
        <v>0</v>
      </c>
      <c r="AK230" s="2684">
        <f>0</f>
        <v>0</v>
      </c>
      <c r="AL230" s="2684">
        <f>0</f>
        <v>0</v>
      </c>
      <c r="AM230" s="2700">
        <f>0</f>
        <v>0</v>
      </c>
      <c r="AN230" s="2684">
        <f>0</f>
        <v>0</v>
      </c>
      <c r="AO230" s="2684">
        <f>1</f>
        <v>1</v>
      </c>
      <c r="AP230" s="2684">
        <f>0</f>
        <v>0</v>
      </c>
      <c r="AQ230" s="2684">
        <f>0</f>
        <v>0</v>
      </c>
      <c r="AR230" s="2684">
        <f>0</f>
        <v>0</v>
      </c>
      <c r="AS230" s="2684">
        <f>0</f>
        <v>0</v>
      </c>
      <c r="AT230" s="2684">
        <f>0</f>
        <v>0</v>
      </c>
      <c r="AU230" s="2684">
        <f>0</f>
        <v>0</v>
      </c>
      <c r="AV230" s="2684">
        <f>0</f>
        <v>0</v>
      </c>
      <c r="AW230" s="2684">
        <f>0</f>
        <v>0</v>
      </c>
      <c r="AX230" s="2684">
        <f>0</f>
        <v>0</v>
      </c>
      <c r="AY230" s="2684">
        <f>0</f>
        <v>0</v>
      </c>
      <c r="AZ230" s="2684">
        <f>0</f>
        <v>0</v>
      </c>
      <c r="BA230" s="2684">
        <f>0</f>
        <v>0</v>
      </c>
      <c r="BB230" s="2684">
        <f>0</f>
        <v>0</v>
      </c>
      <c r="BC230" s="2684">
        <f>0</f>
        <v>0</v>
      </c>
      <c r="BD230" s="2684">
        <f>0</f>
        <v>0</v>
      </c>
      <c r="BE230" s="2684">
        <f>0</f>
        <v>0</v>
      </c>
      <c r="BF230" s="2684">
        <f>0</f>
        <v>0</v>
      </c>
      <c r="BG230" s="2684">
        <f>0</f>
        <v>0</v>
      </c>
      <c r="BH230" s="2684">
        <f>0</f>
        <v>0</v>
      </c>
      <c r="BI230" s="2684">
        <f>0</f>
        <v>0</v>
      </c>
      <c r="BJ230" s="2684">
        <f>0</f>
        <v>0</v>
      </c>
      <c r="BK230" s="2684">
        <f>0</f>
        <v>0</v>
      </c>
      <c r="BL230" s="2684">
        <f>0</f>
        <v>0</v>
      </c>
      <c r="BM230" s="2684">
        <f>0</f>
        <v>0</v>
      </c>
      <c r="BN230" s="2684">
        <f>0</f>
        <v>0</v>
      </c>
      <c r="BO230" s="2684">
        <f>0</f>
        <v>0</v>
      </c>
      <c r="BP230" s="2762">
        <f>0</f>
        <v>0</v>
      </c>
      <c r="BQ230" s="2684">
        <f>0</f>
        <v>0</v>
      </c>
      <c r="BR230" s="2684">
        <f>0</f>
        <v>0</v>
      </c>
      <c r="BS230" s="2719">
        <f>0</f>
        <v>0</v>
      </c>
      <c r="BT230" s="2719">
        <f>0</f>
        <v>0</v>
      </c>
      <c r="BU230" s="2719">
        <f>0</f>
        <v>0</v>
      </c>
      <c r="BV230" s="2719">
        <f>0</f>
        <v>0</v>
      </c>
      <c r="BW230" s="2684">
        <f>0</f>
        <v>0</v>
      </c>
      <c r="BX230" s="2683">
        <f>0</f>
        <v>0</v>
      </c>
      <c r="BY230" s="2719">
        <f>0</f>
        <v>0</v>
      </c>
      <c r="BZ230" s="2684">
        <f>0</f>
        <v>0</v>
      </c>
      <c r="CA230" s="2684">
        <f>0</f>
        <v>0</v>
      </c>
      <c r="CB230" s="2684">
        <f>0</f>
        <v>0</v>
      </c>
      <c r="CC230" s="2684">
        <f>0</f>
        <v>0</v>
      </c>
      <c r="CD230" s="2684">
        <f>0</f>
        <v>0</v>
      </c>
      <c r="CE230" s="2684">
        <f>0</f>
        <v>0</v>
      </c>
      <c r="CF230" s="2684">
        <f>0</f>
        <v>0</v>
      </c>
      <c r="CG230" s="2684">
        <f>0</f>
        <v>0</v>
      </c>
      <c r="CH230" s="2684">
        <f>0</f>
        <v>0</v>
      </c>
      <c r="CI230" s="2790">
        <f>-Δ_atm</f>
        <v>-1</v>
      </c>
      <c r="CJ230" s="2684">
        <f>0</f>
        <v>0</v>
      </c>
      <c r="CK230" s="2684">
        <f>0</f>
        <v>0</v>
      </c>
      <c r="CL230" s="2823">
        <f>k_LaGO2_sur*(S_GO2_sur_sat-S_O2)</f>
        <v>24</v>
      </c>
      <c r="CN230" s="2295">
        <f>E236*E230+F236*F230+G236*G230+H236*H230+I236*I230+J236*J230+K236*K230+L236*L230+M236*M230+N236*N230+O236*O230+P236*P230+Q236*Q230+R236*R230+S236*S230+T236*T230+U236*U230+V236*V230+W236*W230+X236*X230+Y236*Y230+Z236*Z230+AA236*AA230+AB236*AB230+AC236*AC230+AD236*AD230+AE236*AE230+AF236*AF230+AG236*AG230+AH236*AH230+AI236*AI230+AJ236*AJ230+AK236*AK230+AL236*AL230+AM236*AM230+AN236*AN230+AO236*AO230+AP236*AP230+AQ236*AQ230+AR236*AR230+AS236*AS230+AT236*AT230+AU236*AU230+AV236*AV230+AW236*AW230+AX236*AX230+AY236*AY230+AZ236*AZ230+BA236*BA230+BB236*BB230+BC236*BC230+BD236*BD230+BE236*BE230+BF236*BF230+BG236*BG230+BH236*BH230+BI236*BI230+BJ236*BJ230+BK236*BK230+BL236*BL230+BM236*BM230+BN236*BN230+BO236*BO230+BP236*BP230+BQ236*BQ230+BR236*BR230+BS236*BS230+BT236*BT230+BU236*BU230+BV236*BV230+BW236*BW230+BX236*BX230+BY236*BY230+BZ236*BZ230+CA236*CA230+CB236*CB230+CC236*CC230+CD236*CD230+CE236*CE230+CF236*CF230+CG236*CG230+CH236*CH230+CI236*CI230+CJ236*CJ230+CK236*CK230</f>
        <v>0</v>
      </c>
      <c r="CO230" s="2295">
        <f>E237*E230+F237*F230+G237*G230+H237*H230+I237*I230+J237*J230+K237*K230+L237*L230+M237*M230+N237*N230+O237*O230+P237*P230+Q237*Q230+R237*R230+S237*S230+T237*T230+U237*U230+V237*V230+W237*W230+X237*X230+Y237*Y230+Z237*Z230+AA237*AA230+AB237*AB230+AC237*AC230+AD237*AD230+AE237*AE230+AF237*AF230+AG237*AG230+AH237*AH230+AI237*AI230+AJ237*AJ230+AK237*AK230+AL237*AL230+AM237*AM230+AN237*AN230+AO237*AO230+AP237*AP230+AQ237*AQ230+AR237*AR230+AS237*AS230+AT237*AT230+AU237*AU230+AV237*AV230+AW237*AW230+AX237*AX230+AY237*AY230+AZ237*AZ230+BA237*BA230+BB237*BB230+BC237*BC230+BD237*BD230+BE237*BE230+BF237*BF230+BG237*BG230+BH237*BH230+BI237*BI230+BJ237*BJ230+BK237*BK230+BL237*BL230+BM237*BM230+BN237*BN230+BO237*BO230+BP237*BP230+BQ237*BQ230+BR237*BR230+BS237*BS230+BT237*BT230+BU237*BU230+BV237*BV230+BW237*BW230+BX237*BX230+BY237*BY230+BZ237*BZ230+CA237*CA230+CB237*CB230+CC237*CC230+CD237*CD230+CE237*CE230+CF237*CF230+CG237*CG230+CH237*CH230+CI237*CI230+CJ237*CJ230+CK237*CK230</f>
        <v>0</v>
      </c>
      <c r="CP230" s="2296">
        <f>E238*E230+F238*F230+G238*G230+H238*H230+I238*I230+J238*J230+K238*K230+L238*L230+M238*M230+N238*N230+O238*O230+P238*P230+Q238*Q230+R238*R230+S238*S230+T238*T230+U238*U230+V238*V230+W238*W230+X238*X230+Y238*Y230+Z238*Z230+AA238*AA230+AB238*AB230+AC238*AC230+AD238*AD230+AE238*AE230+AF238*AF230+AG238*AG230+AH238*AH230+AI238*AI230+AJ238*AJ230+AK238*AK230+AL238*AL230+AM238*AM230+AN238*AN230+AO238*AO230+AP238*AP230+AQ238*AQ230+AR238*AR230+AS238*AS230+AT238*AT230+AU238*AU230+AV238*AV230+AW238*AW230+AX238*AX230+AY238*AY230+AZ238*AZ230+BA238*BA230+BB238*BB230+BC238*BC230+BD238*BD230+BE238*BE230+BF238*BF230+BG238*BG230+BH238*BH230+BI238*BI230+BJ238*BJ230+BK238*BK230+BL238*BL230+BM238*BM230+BN238*BN230+BO238*BO230+BP238*BP230+BQ238*BQ230+BR238*BR230+BS238*BS230+BT238*BT230+BU238*BU230+BV238*BV230+BW238*BW230+BX238*BX230+BY238*BY230+BZ238*BZ230+CA238*CA230+CB238*CB230+CC238*CC230+CD238*CD230+CE238*CE230+CF238*CF230+CG238*CG230+CH238*CH230+CI238*CI230+CJ238*CJ230+CK238*CK230</f>
        <v>0</v>
      </c>
      <c r="CQ230" s="2297">
        <f>E239*E230+F239*F230+G239*G230+H239*H230+I239*I230+J239*J230+K239*K230+L239*L230+M239*M230+N239*N230+O239*O230+P239*P230+Q239*Q230+R239*R230+S239*S230+T239*T230+U239*U230+V239*V230+W239*W230+X239*X230+Y239*Y230+Z239*Z230+AA239*AA230+AB239*AB230+AC239*AC230+AD239*AD230+AE239*AE230+AF239*AF230+AG239*AG230+AH239*AH230+AI239*AI230+AJ239*AJ230+AK239*AK230+AL239*AL230+AM239*AM230+AN239*AN230+AO239*AO230+AP239*AP230+AQ239*AQ230+AR239*AR230+AS239*AS230+AT239*AT230+AU239*AU230+AV239*AV230+AW239*AW230+AX239*AX230+AY239*AY230+AZ239*AZ230+BA239*BA230+BB239*BB230+BC239*BC230+BD239*BD230+BE239*BE230+BF239*BF230+BG239*BG230+BH239*BH230+BI239*BI230+BJ239*BJ230+BK239*BK230+BL239*BL230+BM239*BM230+BN239*BN230+BO239*BO230+BP239*BP230+BQ239*BQ230+BR239*BR230+BS239*BS230+BT239*BT230+BU239*BU230+BV239*BV230+BW239*BW230+BX239*BX230+BY239*BY230+BZ239*BZ230+CA239*CA230+CB239*CB230+CC239*CC230+CD239*CD230+CE239*CE230+CF239*CF230+CG239*CG230+CH239*CH230+CI239*CI230+CJ239*CJ230+CK239*CK230</f>
        <v>0</v>
      </c>
      <c r="CR230" s="2297">
        <f>E240*E230+F240*F230+G240*G230+H240*H230+I240*I230+J240*J230+K240*K230+L240*L230+M240*M230+N240*N230+O240*O230+P240*P230+Q240*Q230+R240*R230+S240*S230+T240*T230+U240*U230+V240*V230+W240*W230+X240*X230+Y240*Y230+Z240*Z230+AA240*AA230+AB240*AB230+AC240*AC230+AD240*AD230+AE240*AE230+AF240*AF230+AG240*AG230+AH240*AH230+AI240*AI230+AJ240*AJ230+AK240*AK230+AL240*AL230+AM240*AM230+AN240*AN230+AO240*AO230+AP240*AP230+AQ240*AQ230+AR240*AR230+AS240*AS230+AT240*AT230+AU240*AU230+AV240*AV230+AW240*AW230+AX240*AX230+AY240*AY230+AZ240*AZ230+BA240*BA230+BB240*BB230+BC240*BC230+BD240*BD230+BE240*BE230+BF240*BF230+BG240*BG230+BH240*BH230+BI240*BI230+BJ240*BJ230+BK240*BK230+BL240*BL230+BM240*BM230+BN240*BN230+BO240*BO230+BP240*BP230+BQ240*BQ230+BR240*BR230+BS240*BS230+BT240*BT230+BU240*BU230+BV240*BV230+BW240*BW230+BX240*BX230+BY240*BY230+BZ240*BZ230+CA240*CA230+CB240*CB230+CC240*CC230+CD240*CD230+CE240*CE230+CF240*CF230+CG240*CG230+CH240*CH230+CI240*CI230+CJ240*CJ230+CK240*CK230</f>
        <v>0</v>
      </c>
      <c r="CS230" s="2297">
        <f>E241*E230+F241*F230+G241*G230+H241*H230+I241*I230+J241*J230+K241*K230+L241*L230+M241*M230+N241*N230+O241*O230+P241*P230+Q241*Q230+R241*R230+S241*S230+T241*T230+U241*U230+V241*V230+W241*W230+X241*X230+Y241*Y230+Z241*Z230+AA241*AA230+AB241*AB230+AC241*AC230+AD241*AD230+AE241*AE230+AF241*AF230+AG241*AG230+AH241*AH230+AI241*AI230+AJ241*AJ230+AK241*AK230+AL241*AL230+AM241*AM230+AN241*AN230+AO241*AO230+AP241*AP230+AQ241*AQ230+AR241*AR230+AS241*AS230+AT241*AT230+AU241*AU230+AV241*AV230+AW241*AW230+AX241*AX230+AY241*AY230+AZ241*AZ230+BA241*BA230+BB241*BB230+BC241*BC230+BD241*BD230+BE241*BE230+BF241*BF230+BG241*BG230+BH241*BH230+BI241*BI230+BJ241*BJ230+BK241*BK230+BL241*BL230+BM241*BM230+BN241*BN230+BO241*BO230+BP241*BP230+BQ241*BQ230+BR241*BR230+BS241*BS230+BT241*BT230+BU241*BU230+BV241*BV230+BW241*BW230+BX241*BX230+BY241*BY230+BZ241*BZ230+CA241*CA230+CB241*CB230+CC241*CC230+CD241*CD230+CE241*CE230+CF241*CF230+CG241*CG230+CH241*CH230+CI241*CI230+CJ241*CJ230+CK241*CK230</f>
        <v>0</v>
      </c>
      <c r="CT230" s="2297">
        <f>E242*E230+F242*F230+G242*G230+H242*H230+I242*I230+J242*J230+K242*K230+L242*L230+M242*M230+N242*N230+O242*O230+P242*P230+Q242*Q230+R242*R230+S242*S230+T242*T230+U242*U230+V242*V230+W242*W230+X242*X230+Y242*Y230+Z242*Z230+AA242*AA230+AB242*AB230+AC242*AC230+AD242*AD230+AE242*AE230+AF242*AF230+AG242*AG230+AH242*AH230+AI242*AI230+AJ242*AJ230+AK242*AK230+AL242*AL230+AM242*AM230+AN242*AN230+AO242*AO230+AP242*AP230+AQ242*AQ230+AR242*AR230+AS242*AS230+AT242*AT230+AU242*AU230+AV242*AV230+AW242*AW230+AX242*AX230+AY242*AY230+AZ242*AZ230+BA242*BA230+BB242*BB230+BC242*BC230+BD242*BD230+BE242*BE230+BF242*BF230+BG242*BG230+BH242*BH230+BI242*BI230+BJ242*BJ230+BK242*BK230+BL242*BL230+BM242*BM230+BN242*BN230+BO242*BO230+BP242*BP230+BQ242*BQ230+BR242*BR230+BS242*BS230+BT242*BT230+BU242*BU230+BV242*BV230+BW242*BW230+BX242*BX230+BY242*BY230+BZ242*BZ230+CA242*CA230+CB242*CB230+CC242*CC230+CD242*CD230+CE242*CE230+CF242*CF230+CG242*CG230+CH242*CH230+CI242*CI230+CJ242*CJ230+CK242*CK230</f>
        <v>0</v>
      </c>
      <c r="CU230" s="2297">
        <f>E243*E230+F243*F230+G243*G230+H243*H230+I243*I230+J243*J230+K243*K230+L243*L230+M243*M230+N243*N230+O243*O230+P243*P230+Q243*Q230+R243*R230+S243*S230+T243*T230+U243*U230+V243*V230+W243*W230+X243*X230+Y243*Y230+Z243*Z230+AA243*AA230+AB243*AB230+AC243*AC230+AD243*AD230+AE243*AE230+AF243*AF230+AG243*AG230+AH243*AH230+AI243*AI230+AJ243*AJ230+AK243*AK230+AL243*AL230+AM243*AM230+AN243*AN230+AO243*AO230+AP243*AP230+AQ243*AQ230+AR243*AR230+AS243*AS230+AT243*AT230+AU243*AU230+AV243*AV230+AW243*AW230+AX243*AX230+AY243*AY230+AZ243*AZ230+BA243*BA230+BB243*BB230+BC243*BC230+BD243*BD230+BE243*BE230+BF243*BF230+BG243*BG230+BH243*BH230+BI243*BI230+BJ243*BJ230+BK243*BK230+BL243*BL230+BM243*BM230+BN243*BN230+BO243*BO230+BP243*BP230+BQ243*BQ230+BR243*BR230+BS243*BS230+BT243*BT230+BU243*BU230+BV243*BV230+BW243*BW230+BX243*BX230+BY243*BY230+BZ243*BZ230+CA243*CA230+CB243*CB230+CC243*CC230+CD243*CD230+CE243*CE230+CF243*CF230+CG243*CG230+CH243*CH230+CI243*CI230+CJ243*CJ230+CK243*CK230</f>
        <v>0</v>
      </c>
      <c r="CV230" s="2297">
        <f>E244*E230+F244*F230+G244*G230+H244*H230+I244*I230+J244*J230+K244*K230+L244*L230+M244*M230+N244*N230+O244*O230+P244*P230+Q244*Q230+R244*R230+S244*S230+T244*T230+U244*U230+V244*V230+W244*W230+X244*X230+Y244*Y230+Z244*Z230+AA244*AA230+AB244*AB230+AC244*AC230+AD244*AD230+AE244*AE230+AF244*AF230+AG244*AG230+AH244*AH230+AI244*AI230+AJ244*AJ230+AK244*AK230+AL244*AL230+AM244*AM230+AN244*AN230+AO244*AO230+AP244*AP230+AQ244*AQ230+AR244*AR230+AS244*AS230+AT244*AT230+AU244*AU230+AV244*AV230+AW244*AW230+AX244*AX230+AY244*AY230+AZ244*AZ230+BA244*BA230+BB244*BB230+BC244*BC230+BD244*BD230+BE244*BE230+BF244*BF230+BG244*BG230+BH244*BH230+BI244*BI230+BJ244*BJ230+BK244*BK230+BL244*BL230+BM244*BM230+BN244*BN230+BO244*BO230+BP244*BP230+BQ244*BQ230+BR244*BR230+BS244*BS230+BT244*BT230+BU244*BU230+BV244*BV230+BW244*BW230+BX244*BX230+BY244*BY230+BZ244*BZ230+CA244*CA230+CB244*CB230+CC244*CC230+CD244*CD230+CE244*CE230+CF244*CF230+CG244*CG230+CH244*CH230+CI244*CI230+CJ244*CJ230+CK244*CK230</f>
        <v>0</v>
      </c>
      <c r="CW230" s="2297">
        <f>E245*E230+F245*F230+G245*G230+H245*H230+I245*I230+J245*J230+K245*K230+L245*L230+M245*M230+N245*N230+O245*O230+P245*P230+Q245*Q230+R245*R230+S245*S230+T245*T230+U245*U230+V245*V230+W245*W230+X245*X230+Y245*Y230+Z245*Z230+AA245*AA230+AB245*AB230+AC245*AC230+AD245*AD230+AE245*AE230+AF245*AF230+AG245*AG230+AH245*AH230+AI245*AI230+AJ245*AJ230+AK245*AK230+AL245*AL230+AM245*AM230+AN245*AN230+AO245*AO230+AP245*AP230+AQ245*AQ230+AR245*AR230+AS245*AS230+AT245*AT230+AU245*AU230+AV245*AV230+AW245*AW230+AX245*AX230+AY245*AY230+AZ245*AZ230+BA245*BA230+BB245*BB230+BC245*BC230+BD245*BD230+BE245*BE230+BF245*BF230+BG245*BG230+BH245*BH230+BI245*BI230+BJ245*BJ230+BK245*BK230+BL245*BL230+BM245*BM230+BN245*BN230+BO245*BO230+BP245*BP230+BQ245*BQ230+BR245*BR230+BS245*BS230+BT245*BT230+BU245*BU230+BV245*BV230+BW245*BW230+BX245*BX230+BY245*BY230+BZ245*BZ230+CA245*CA230+CB245*CB230+CC245*CC230+CD245*CD230+CE245*CE230+CF245*CF230+CG245*CG230+CH245*CH230+CI245*CI230+CJ245*CJ230+CK245*CK230</f>
        <v>0</v>
      </c>
      <c r="CX230" s="2297">
        <f>E246*E230+F246*F230+G246*G230+H246*H230+I246*I230+J246*J230+K246*K230+L246*L230+M246*M230+N246*N230+O246*O230+P246*P230+Q246*Q230+R246*R230+S246*S230+T246*T230+U246*U230+V246*V230+W246*W230+X246*X230+Y246*Y230+Z246*Z230+AA246*AA230+AB246*AB230+AC246*AC230+AD246*AD230+AE246*AE230+AF246*AF230+AG246*AG230+AH246*AH230+AI246*AI230+AJ246*AJ230+AK246*AK230+AL246*AL230+AM246*AM230+AN246*AN230+AO246*AO230+AP246*AP230+AQ246*AQ230+AR246*AR230+AS246*AS230+AT246*AT230+AU246*AU230+AV246*AV230+AW246*AW230+AX246*AX230+AY246*AY230+AZ246*AZ230+BA246*BA230+BB246*BB230+BC246*BC230+BD246*BD230+BE246*BE230+BF246*BF230+BG246*BG230+BH246*BH230+BI246*BI230+BJ246*BJ230+BK246*BK230+BL246*BL230+BM246*BM230+BN246*BN230+BO246*BO230+BP246*BP230+BQ246*BQ230+BR246*BR230+BS246*BS230+BT246*BT230+BU246*BU230+BV246*BV230+BW246*BW230+BX246*BX230+BY246*BY230+BZ246*BZ230+CA246*CA230+CB246*CB230+CC246*CC230+CD246*CD230+CE246*CE230+CF246*CF230+CG246*CG230+CH246*CH230+CI246*CI230+CJ246*CJ230+CK246*CK230</f>
        <v>0</v>
      </c>
    </row>
    <row r="231" spans="2:102" ht="18" x14ac:dyDescent="0.25">
      <c r="B231" s="1982">
        <v>104</v>
      </c>
      <c r="C231" s="1983" t="s">
        <v>4780</v>
      </c>
      <c r="D231" s="689" t="s">
        <v>3103</v>
      </c>
      <c r="E231" s="2684">
        <f>0</f>
        <v>0</v>
      </c>
      <c r="F231" s="2684">
        <f>0</f>
        <v>0</v>
      </c>
      <c r="G231" s="2684">
        <f>0</f>
        <v>0</v>
      </c>
      <c r="H231" s="2684">
        <f>0</f>
        <v>0</v>
      </c>
      <c r="I231" s="2684">
        <f>0</f>
        <v>0</v>
      </c>
      <c r="J231" s="2700">
        <f>0</f>
        <v>0</v>
      </c>
      <c r="K231" s="2684">
        <f>0</f>
        <v>0</v>
      </c>
      <c r="L231" s="2684">
        <f>0</f>
        <v>0</v>
      </c>
      <c r="M231" s="2684">
        <f>0</f>
        <v>0</v>
      </c>
      <c r="N231" s="2684">
        <f>0</f>
        <v>0</v>
      </c>
      <c r="O231" s="2684">
        <f>0</f>
        <v>0</v>
      </c>
      <c r="P231" s="2684">
        <f>0</f>
        <v>0</v>
      </c>
      <c r="Q231" s="2684">
        <f>0</f>
        <v>0</v>
      </c>
      <c r="R231" s="2684">
        <f>0</f>
        <v>0</v>
      </c>
      <c r="S231" s="2684">
        <f>0</f>
        <v>0</v>
      </c>
      <c r="T231" s="2684">
        <f>0</f>
        <v>0</v>
      </c>
      <c r="U231" s="2684">
        <f>0</f>
        <v>0</v>
      </c>
      <c r="V231" s="2684">
        <f>0</f>
        <v>0</v>
      </c>
      <c r="W231" s="2684">
        <f>0</f>
        <v>0</v>
      </c>
      <c r="X231" s="2684">
        <f>0</f>
        <v>0</v>
      </c>
      <c r="Y231" s="2684">
        <f>0</f>
        <v>0</v>
      </c>
      <c r="Z231" s="2719">
        <f>0</f>
        <v>0</v>
      </c>
      <c r="AA231" s="2684">
        <f>1</f>
        <v>1</v>
      </c>
      <c r="AB231" s="2684">
        <f>0</f>
        <v>0</v>
      </c>
      <c r="AC231" s="2684">
        <f>0</f>
        <v>0</v>
      </c>
      <c r="AD231" s="2684">
        <f>0</f>
        <v>0</v>
      </c>
      <c r="AE231" s="2684">
        <f>0</f>
        <v>0</v>
      </c>
      <c r="AF231" s="2684">
        <f>0</f>
        <v>0</v>
      </c>
      <c r="AG231" s="2700">
        <f>0</f>
        <v>0</v>
      </c>
      <c r="AH231" s="2684">
        <f>0</f>
        <v>0</v>
      </c>
      <c r="AI231" s="2684">
        <f>0</f>
        <v>0</v>
      </c>
      <c r="AJ231" s="2684">
        <f>0</f>
        <v>0</v>
      </c>
      <c r="AK231" s="2684">
        <f>0</f>
        <v>0</v>
      </c>
      <c r="AL231" s="2684">
        <f>0</f>
        <v>0</v>
      </c>
      <c r="AM231" s="2700">
        <f>0</f>
        <v>0</v>
      </c>
      <c r="AN231" s="2684">
        <f>0</f>
        <v>0</v>
      </c>
      <c r="AO231" s="2684">
        <f>0</f>
        <v>0</v>
      </c>
      <c r="AP231" s="2684">
        <f>0</f>
        <v>0</v>
      </c>
      <c r="AQ231" s="2684">
        <f>0</f>
        <v>0</v>
      </c>
      <c r="AR231" s="2684">
        <f>0</f>
        <v>0</v>
      </c>
      <c r="AS231" s="2684">
        <f>0</f>
        <v>0</v>
      </c>
      <c r="AT231" s="2684">
        <f>0</f>
        <v>0</v>
      </c>
      <c r="AU231" s="2684">
        <f>0</f>
        <v>0</v>
      </c>
      <c r="AV231" s="2684">
        <f>0</f>
        <v>0</v>
      </c>
      <c r="AW231" s="2684">
        <f>0</f>
        <v>0</v>
      </c>
      <c r="AX231" s="2684">
        <f>0</f>
        <v>0</v>
      </c>
      <c r="AY231" s="2684">
        <f>0</f>
        <v>0</v>
      </c>
      <c r="AZ231" s="2684">
        <f>0</f>
        <v>0</v>
      </c>
      <c r="BA231" s="2684">
        <f>0</f>
        <v>0</v>
      </c>
      <c r="BB231" s="2684">
        <f>0</f>
        <v>0</v>
      </c>
      <c r="BC231" s="2684">
        <f>0</f>
        <v>0</v>
      </c>
      <c r="BD231" s="2684">
        <f>0</f>
        <v>0</v>
      </c>
      <c r="BE231" s="2684">
        <f>0</f>
        <v>0</v>
      </c>
      <c r="BF231" s="2684">
        <f>0</f>
        <v>0</v>
      </c>
      <c r="BG231" s="2684">
        <f>0</f>
        <v>0</v>
      </c>
      <c r="BH231" s="2684">
        <f>0</f>
        <v>0</v>
      </c>
      <c r="BI231" s="2684">
        <f>0</f>
        <v>0</v>
      </c>
      <c r="BJ231" s="2684">
        <f>0</f>
        <v>0</v>
      </c>
      <c r="BK231" s="2684">
        <f>0</f>
        <v>0</v>
      </c>
      <c r="BL231" s="2684">
        <f>0</f>
        <v>0</v>
      </c>
      <c r="BM231" s="2684">
        <f>0</f>
        <v>0</v>
      </c>
      <c r="BN231" s="2684">
        <f>0</f>
        <v>0</v>
      </c>
      <c r="BO231" s="2684">
        <f>0</f>
        <v>0</v>
      </c>
      <c r="BP231" s="2762">
        <f>0</f>
        <v>0</v>
      </c>
      <c r="BQ231" s="2684">
        <f>0</f>
        <v>0</v>
      </c>
      <c r="BR231" s="2684">
        <f>0</f>
        <v>0</v>
      </c>
      <c r="BS231" s="2719">
        <f>0</f>
        <v>0</v>
      </c>
      <c r="BT231" s="2719">
        <f>0</f>
        <v>0</v>
      </c>
      <c r="BU231" s="2719">
        <f>0</f>
        <v>0</v>
      </c>
      <c r="BV231" s="2719">
        <f>0</f>
        <v>0</v>
      </c>
      <c r="BW231" s="2684">
        <f>0</f>
        <v>0</v>
      </c>
      <c r="BX231" s="2683">
        <f>0</f>
        <v>0</v>
      </c>
      <c r="BY231" s="2719">
        <f>0</f>
        <v>0</v>
      </c>
      <c r="BZ231" s="2684">
        <f>0</f>
        <v>0</v>
      </c>
      <c r="CA231" s="2684">
        <f>0</f>
        <v>0</v>
      </c>
      <c r="CB231" s="2684">
        <f>0</f>
        <v>0</v>
      </c>
      <c r="CC231" s="2684">
        <f>0</f>
        <v>0</v>
      </c>
      <c r="CD231" s="2684">
        <f>0</f>
        <v>0</v>
      </c>
      <c r="CE231" s="2684">
        <f>0</f>
        <v>0</v>
      </c>
      <c r="CF231" s="2684">
        <f>0</f>
        <v>0</v>
      </c>
      <c r="CG231" s="2684">
        <f>0</f>
        <v>0</v>
      </c>
      <c r="CH231" s="2684">
        <f>0</f>
        <v>0</v>
      </c>
      <c r="CI231" s="2684">
        <f>0</f>
        <v>0</v>
      </c>
      <c r="CJ231" s="2790">
        <f>-Δ_atm</f>
        <v>-1</v>
      </c>
      <c r="CK231" s="2684">
        <f>0</f>
        <v>0</v>
      </c>
      <c r="CL231" s="2823">
        <f>k_transfer_GNH3_sur</f>
        <v>0</v>
      </c>
      <c r="CN231" s="2295">
        <f>E236*E231+F236*F231+G236*G231+H236*H231+I236*I231+J236*J231+K236*K231+L236*L231+M236*M231+N236*N231+O236*O231+P236*P231+Q236*Q231+R236*R231+S236*S231+T236*T231+U236*U231+V236*V231+W236*W231+X236*X231+Y236*Y231+Z236*Z231+AA236*AA231+AB236*AB231+AC236*AC231+AD236*AD231+AE236*AE231+AF236*AF231+AG236*AG231+AH236*AH231+AI236*AI231+AJ236*AJ231+AK236*AK231+AL236*AL231+AM236*AM231+AN236*AN231+AO236*AO231+AP236*AP231+AQ236*AQ231+AR236*AR231+AS236*AS231+AT236*AT231+AU236*AU231+AV236*AV231+AW236*AW231+AX236*AX231+AY236*AY231+AZ236*AZ231+BA236*BA231+BB236*BB231+BC236*BC231+BD236*BD231+BE236*BE231+BF236*BF231+BG236*BG231+BH236*BH231+BI236*BI231+BJ236*BJ231+BK236*BK231+BL236*BL231+BM236*BM231+BN236*BN231+BO236*BO231+BP236*BP231+BQ236*BQ231+BR236*BR231+BS236*BS231+BT236*BT231+BU236*BU231+BV236*BV231+BW236*BW231+BX236*BX231+BY236*BY231+BZ236*BZ231+CA236*CA231+CB236*CB231+CC236*CC231+CD236*CD231+CE236*CE231+CF236*CF231+CG236*CG231+CH236*CH231+CI236*CI231+CJ236*CJ231+CK236*CK231</f>
        <v>0</v>
      </c>
      <c r="CO231" s="2295">
        <f>E237*E231+F237*F231+G237*G231+H237*H231+I237*I231+J237*J231+K237*K231+L237*L231+M237*M231+N237*N231+O237*O231+P237*P231+Q237*Q231+R237*R231+S237*S231+T237*T231+U237*U231+V237*V231+W237*W231+X237*X231+Y237*Y231+Z237*Z231+AA237*AA231+AB237*AB231+AC237*AC231+AD237*AD231+AE237*AE231+AF237*AF231+AG237*AG231+AH237*AH231+AI237*AI231+AJ237*AJ231+AK237*AK231+AL237*AL231+AM237*AM231+AN237*AN231+AO237*AO231+AP237*AP231+AQ237*AQ231+AR237*AR231+AS237*AS231+AT237*AT231+AU237*AU231+AV237*AV231+AW237*AW231+AX237*AX231+AY237*AY231+AZ237*AZ231+BA237*BA231+BB237*BB231+BC237*BC231+BD237*BD231+BE237*BE231+BF237*BF231+BG237*BG231+BH237*BH231+BI237*BI231+BJ237*BJ231+BK237*BK231+BL237*BL231+BM237*BM231+BN237*BN231+BO237*BO231+BP237*BP231+BQ237*BQ231+BR237*BR231+BS237*BS231+BT237*BT231+BU237*BU231+BV237*BV231+BW237*BW231+BX237*BX231+BY237*BY231+BZ237*BZ231+CA237*CA231+CB237*CB231+CC237*CC231+CD237*CD231+CE237*CE231+CF237*CF231+CG237*CG231+CH237*CH231+CI237*CI231+CJ237*CJ231+CK237*CK231</f>
        <v>0</v>
      </c>
      <c r="CP231" s="2296">
        <f>E238*E231+F238*F231+G238*G231+H238*H231+I238*I231+J238*J231+K238*K231+L238*L231+M238*M231+N238*N231+O238*O231+P238*P231+Q238*Q231+R238*R231+S238*S231+T238*T231+U238*U231+V238*V231+W238*W231+X238*X231+Y238*Y231+Z238*Z231+AA238*AA231+AB238*AB231+AC238*AC231+AD238*AD231+AE238*AE231+AF238*AF231+AG238*AG231+AH238*AH231+AI238*AI231+AJ238*AJ231+AK238*AK231+AL238*AL231+AM238*AM231+AN238*AN231+AO238*AO231+AP238*AP231+AQ238*AQ231+AR238*AR231+AS238*AS231+AT238*AT231+AU238*AU231+AV238*AV231+AW238*AW231+AX238*AX231+AY238*AY231+AZ238*AZ231+BA238*BA231+BB238*BB231+BC238*BC231+BD238*BD231+BE238*BE231+BF238*BF231+BG238*BG231+BH238*BH231+BI238*BI231+BJ238*BJ231+BK238*BK231+BL238*BL231+BM238*BM231+BN238*BN231+BO238*BO231+BP238*BP231+BQ238*BQ231+BR238*BR231+BS238*BS231+BT238*BT231+BU238*BU231+BV238*BV231+BW238*BW231+BX238*BX231+BY238*BY231+BZ238*BZ231+CA238*CA231+CB238*CB231+CC238*CC231+CD238*CD231+CE238*CE231+CF238*CF231+CG238*CG231+CH238*CH231+CI238*CI231+CJ238*CJ231+CK238*CK231</f>
        <v>0</v>
      </c>
      <c r="CQ231" s="2297">
        <f>E239*E231+F239*F231+G239*G231+H239*H231+I239*I231+J239*J231+K239*K231+L239*L231+M239*M231+N239*N231+O239*O231+P239*P231+Q239*Q231+R239*R231+S239*S231+T239*T231+U239*U231+V239*V231+W239*W231+X239*X231+Y239*Y231+Z239*Z231+AA239*AA231+AB239*AB231+AC239*AC231+AD239*AD231+AE239*AE231+AF239*AF231+AG239*AG231+AH239*AH231+AI239*AI231+AJ239*AJ231+AK239*AK231+AL239*AL231+AM239*AM231+AN239*AN231+AO239*AO231+AP239*AP231+AQ239*AQ231+AR239*AR231+AS239*AS231+AT239*AT231+AU239*AU231+AV239*AV231+AW239*AW231+AX239*AX231+AY239*AY231+AZ239*AZ231+BA239*BA231+BB239*BB231+BC239*BC231+BD239*BD231+BE239*BE231+BF239*BF231+BG239*BG231+BH239*BH231+BI239*BI231+BJ239*BJ231+BK239*BK231+BL239*BL231+BM239*BM231+BN239*BN231+BO239*BO231+BP239*BP231+BQ239*BQ231+BR239*BR231+BS239*BS231+BT239*BT231+BU239*BU231+BV239*BV231+BW239*BW231+BX239*BX231+BY239*BY231+BZ239*BZ231+CA239*CA231+CB239*CB231+CC239*CC231+CD239*CD231+CE239*CE231+CF239*CF231+CG239*CG231+CH239*CH231+CI239*CI231+CJ239*CJ231+CK239*CK231</f>
        <v>0</v>
      </c>
      <c r="CR231" s="2297">
        <f>E240*E231+F240*F231+G240*G231+H240*H231+I240*I231+J240*J231+K240*K231+L240*L231+M240*M231+N240*N231+O240*O231+P240*P231+Q240*Q231+R240*R231+S240*S231+T240*T231+U240*U231+V240*V231+W240*W231+X240*X231+Y240*Y231+Z240*Z231+AA240*AA231+AB240*AB231+AC240*AC231+AD240*AD231+AE240*AE231+AF240*AF231+AG240*AG231+AH240*AH231+AI240*AI231+AJ240*AJ231+AK240*AK231+AL240*AL231+AM240*AM231+AN240*AN231+AO240*AO231+AP240*AP231+AQ240*AQ231+AR240*AR231+AS240*AS231+AT240*AT231+AU240*AU231+AV240*AV231+AW240*AW231+AX240*AX231+AY240*AY231+AZ240*AZ231+BA240*BA231+BB240*BB231+BC240*BC231+BD240*BD231+BE240*BE231+BF240*BF231+BG240*BG231+BH240*BH231+BI240*BI231+BJ240*BJ231+BK240*BK231+BL240*BL231+BM240*BM231+BN240*BN231+BO240*BO231+BP240*BP231+BQ240*BQ231+BR240*BR231+BS240*BS231+BT240*BT231+BU240*BU231+BV240*BV231+BW240*BW231+BX240*BX231+BY240*BY231+BZ240*BZ231+CA240*CA231+CB240*CB231+CC240*CC231+CD240*CD231+CE240*CE231+CF240*CF231+CG240*CG231+CH240*CH231+CI240*CI231+CJ240*CJ231+CK240*CK231</f>
        <v>0</v>
      </c>
      <c r="CS231" s="2297">
        <f>E241*E231+F241*F231+G241*G231+H241*H231+I241*I231+J241*J231+K241*K231+L241*L231+M241*M231+N241*N231+O241*O231+P241*P231+Q241*Q231+R241*R231+S241*S231+T241*T231+U241*U231+V241*V231+W241*W231+X241*X231+Y241*Y231+Z241*Z231+AA241*AA231+AB241*AB231+AC241*AC231+AD241*AD231+AE241*AE231+AF241*AF231+AG241*AG231+AH241*AH231+AI241*AI231+AJ241*AJ231+AK241*AK231+AL241*AL231+AM241*AM231+AN241*AN231+AO241*AO231+AP241*AP231+AQ241*AQ231+AR241*AR231+AS241*AS231+AT241*AT231+AU241*AU231+AV241*AV231+AW241*AW231+AX241*AX231+AY241*AY231+AZ241*AZ231+BA241*BA231+BB241*BB231+BC241*BC231+BD241*BD231+BE241*BE231+BF241*BF231+BG241*BG231+BH241*BH231+BI241*BI231+BJ241*BJ231+BK241*BK231+BL241*BL231+BM241*BM231+BN241*BN231+BO241*BO231+BP241*BP231+BQ241*BQ231+BR241*BR231+BS241*BS231+BT241*BT231+BU241*BU231+BV241*BV231+BW241*BW231+BX241*BX231+BY241*BY231+BZ241*BZ231+CA241*CA231+CB241*CB231+CC241*CC231+CD241*CD231+CE241*CE231+CF241*CF231+CG241*CG231+CH241*CH231+CI241*CI231+CJ241*CJ231+CK241*CK231</f>
        <v>0</v>
      </c>
      <c r="CT231" s="2297">
        <f>E242*E231+F242*F231+G242*G231+H242*H231+I242*I231+J242*J231+K242*K231+L242*L231+M242*M231+N242*N231+O242*O231+P242*P231+Q242*Q231+R242*R231+S242*S231+T242*T231+U242*U231+V242*V231+W242*W231+X242*X231+Y242*Y231+Z242*Z231+AA242*AA231+AB242*AB231+AC242*AC231+AD242*AD231+AE242*AE231+AF242*AF231+AG242*AG231+AH242*AH231+AI242*AI231+AJ242*AJ231+AK242*AK231+AL242*AL231+AM242*AM231+AN242*AN231+AO242*AO231+AP242*AP231+AQ242*AQ231+AR242*AR231+AS242*AS231+AT242*AT231+AU242*AU231+AV242*AV231+AW242*AW231+AX242*AX231+AY242*AY231+AZ242*AZ231+BA242*BA231+BB242*BB231+BC242*BC231+BD242*BD231+BE242*BE231+BF242*BF231+BG242*BG231+BH242*BH231+BI242*BI231+BJ242*BJ231+BK242*BK231+BL242*BL231+BM242*BM231+BN242*BN231+BO242*BO231+BP242*BP231+BQ242*BQ231+BR242*BR231+BS242*BS231+BT242*BT231+BU242*BU231+BV242*BV231+BW242*BW231+BX242*BX231+BY242*BY231+BZ242*BZ231+CA242*CA231+CB242*CB231+CC242*CC231+CD242*CD231+CE242*CE231+CF242*CF231+CG242*CG231+CH242*CH231+CI242*CI231+CJ242*CJ231+CK242*CK231</f>
        <v>0</v>
      </c>
      <c r="CU231" s="2297">
        <f>E243*E231+F243*F231+G243*G231+H243*H231+I243*I231+J243*J231+K243*K231+L243*L231+M243*M231+N243*N231+O243*O231+P243*P231+Q243*Q231+R243*R231+S243*S231+T243*T231+U243*U231+V243*V231+W243*W231+X243*X231+Y243*Y231+Z243*Z231+AA243*AA231+AB243*AB231+AC243*AC231+AD243*AD231+AE243*AE231+AF243*AF231+AG243*AG231+AH243*AH231+AI243*AI231+AJ243*AJ231+AK243*AK231+AL243*AL231+AM243*AM231+AN243*AN231+AO243*AO231+AP243*AP231+AQ243*AQ231+AR243*AR231+AS243*AS231+AT243*AT231+AU243*AU231+AV243*AV231+AW243*AW231+AX243*AX231+AY243*AY231+AZ243*AZ231+BA243*BA231+BB243*BB231+BC243*BC231+BD243*BD231+BE243*BE231+BF243*BF231+BG243*BG231+BH243*BH231+BI243*BI231+BJ243*BJ231+BK243*BK231+BL243*BL231+BM243*BM231+BN243*BN231+BO243*BO231+BP243*BP231+BQ243*BQ231+BR243*BR231+BS243*BS231+BT243*BT231+BU243*BU231+BV243*BV231+BW243*BW231+BX243*BX231+BY243*BY231+BZ243*BZ231+CA243*CA231+CB243*CB231+CC243*CC231+CD243*CD231+CE243*CE231+CF243*CF231+CG243*CG231+CH243*CH231+CI243*CI231+CJ243*CJ231+CK243*CK231</f>
        <v>0</v>
      </c>
      <c r="CV231" s="2297">
        <f>E244*E231+F244*F231+G244*G231+H244*H231+I244*I231+J244*J231+K244*K231+L244*L231+M244*M231+N244*N231+O244*O231+P244*P231+Q244*Q231+R244*R231+S244*S231+T244*T231+U244*U231+V244*V231+W244*W231+X244*X231+Y244*Y231+Z244*Z231+AA244*AA231+AB244*AB231+AC244*AC231+AD244*AD231+AE244*AE231+AF244*AF231+AG244*AG231+AH244*AH231+AI244*AI231+AJ244*AJ231+AK244*AK231+AL244*AL231+AM244*AM231+AN244*AN231+AO244*AO231+AP244*AP231+AQ244*AQ231+AR244*AR231+AS244*AS231+AT244*AT231+AU244*AU231+AV244*AV231+AW244*AW231+AX244*AX231+AY244*AY231+AZ244*AZ231+BA244*BA231+BB244*BB231+BC244*BC231+BD244*BD231+BE244*BE231+BF244*BF231+BG244*BG231+BH244*BH231+BI244*BI231+BJ244*BJ231+BK244*BK231+BL244*BL231+BM244*BM231+BN244*BN231+BO244*BO231+BP244*BP231+BQ244*BQ231+BR244*BR231+BS244*BS231+BT244*BT231+BU244*BU231+BV244*BV231+BW244*BW231+BX244*BX231+BY244*BY231+BZ244*BZ231+CA244*CA231+CB244*CB231+CC244*CC231+CD244*CD231+CE244*CE231+CF244*CF231+CG244*CG231+CH244*CH231+CI244*CI231+CJ244*CJ231+CK244*CK231</f>
        <v>0</v>
      </c>
      <c r="CW231" s="2297">
        <f>E245*E231+F245*F231+G245*G231+H245*H231+I245*I231+J245*J231+K245*K231+L245*L231+M245*M231+N245*N231+O245*O231+P245*P231+Q245*Q231+R245*R231+S245*S231+T245*T231+U245*U231+V245*V231+W245*W231+X245*X231+Y245*Y231+Z245*Z231+AA245*AA231+AB245*AB231+AC245*AC231+AD245*AD231+AE245*AE231+AF245*AF231+AG245*AG231+AH245*AH231+AI245*AI231+AJ245*AJ231+AK245*AK231+AL245*AL231+AM245*AM231+AN245*AN231+AO245*AO231+AP245*AP231+AQ245*AQ231+AR245*AR231+AS245*AS231+AT245*AT231+AU245*AU231+AV245*AV231+AW245*AW231+AX245*AX231+AY245*AY231+AZ245*AZ231+BA245*BA231+BB245*BB231+BC245*BC231+BD245*BD231+BE245*BE231+BF245*BF231+BG245*BG231+BH245*BH231+BI245*BI231+BJ245*BJ231+BK245*BK231+BL245*BL231+BM245*BM231+BN245*BN231+BO245*BO231+BP245*BP231+BQ245*BQ231+BR245*BR231+BS245*BS231+BT245*BT231+BU245*BU231+BV245*BV231+BW245*BW231+BX245*BX231+BY245*BY231+BZ245*BZ231+CA245*CA231+CB245*CB231+CC245*CC231+CD245*CD231+CE245*CE231+CF245*CF231+CG245*CG231+CH245*CH231+CI245*CI231+CJ245*CJ231+CK245*CK231</f>
        <v>0</v>
      </c>
      <c r="CX231" s="2297">
        <f>E246*E231+F246*F231+G246*G231+H246*H231+I246*I231+J246*J231+K246*K231+L246*L231+M246*M231+N246*N231+O246*O231+P246*P231+Q246*Q231+R246*R231+S246*S231+T246*T231+U246*U231+V246*V231+W246*W231+X246*X231+Y246*Y231+Z246*Z231+AA246*AA231+AB246*AB231+AC246*AC231+AD246*AD231+AE246*AE231+AF246*AF231+AG246*AG231+AH246*AH231+AI246*AI231+AJ246*AJ231+AK246*AK231+AL246*AL231+AM246*AM231+AN246*AN231+AO246*AO231+AP246*AP231+AQ246*AQ231+AR246*AR231+AS246*AS231+AT246*AT231+AU246*AU231+AV246*AV231+AW246*AW231+AX246*AX231+AY246*AY231+AZ246*AZ231+BA246*BA231+BB246*BB231+BC246*BC231+BD246*BD231+BE246*BE231+BF246*BF231+BG246*BG231+BH246*BH231+BI246*BI231+BJ246*BJ231+BK246*BK231+BL246*BL231+BM246*BM231+BN246*BN231+BO246*BO231+BP246*BP231+BQ246*BQ231+BR246*BR231+BS246*BS231+BT246*BT231+BU246*BU231+BV246*BV231+BW246*BW231+BX246*BX231+BY246*BY231+BZ246*BZ231+CA246*CA231+CB246*CB231+CC246*CC231+CD246*CD231+CE246*CE231+CF246*CF231+CG246*CG231+CH246*CH231+CI246*CI231+CJ246*CJ231+CK246*CK231</f>
        <v>0</v>
      </c>
    </row>
    <row r="232" spans="2:102" ht="18.75" thickBot="1" x14ac:dyDescent="0.3">
      <c r="B232" s="1824">
        <v>105</v>
      </c>
      <c r="C232" s="1825" t="s">
        <v>5309</v>
      </c>
      <c r="D232" s="1826" t="s">
        <v>3105</v>
      </c>
      <c r="E232" s="2685">
        <f>0</f>
        <v>0</v>
      </c>
      <c r="F232" s="2685">
        <f>0</f>
        <v>0</v>
      </c>
      <c r="G232" s="2685">
        <f>0</f>
        <v>0</v>
      </c>
      <c r="H232" s="2685">
        <f>0</f>
        <v>0</v>
      </c>
      <c r="I232" s="2685">
        <f>0</f>
        <v>0</v>
      </c>
      <c r="J232" s="2701">
        <f>0</f>
        <v>0</v>
      </c>
      <c r="K232" s="2685">
        <f>0</f>
        <v>0</v>
      </c>
      <c r="L232" s="2685">
        <f>0</f>
        <v>0</v>
      </c>
      <c r="M232" s="2685">
        <f>0</f>
        <v>0</v>
      </c>
      <c r="N232" s="2685">
        <f>0</f>
        <v>0</v>
      </c>
      <c r="O232" s="2685">
        <f>0</f>
        <v>0</v>
      </c>
      <c r="P232" s="2685">
        <f>0</f>
        <v>0</v>
      </c>
      <c r="Q232" s="2685">
        <f>0</f>
        <v>0</v>
      </c>
      <c r="R232" s="2685">
        <f>0</f>
        <v>0</v>
      </c>
      <c r="S232" s="2685">
        <f>0</f>
        <v>0</v>
      </c>
      <c r="T232" s="2685">
        <f>0</f>
        <v>0</v>
      </c>
      <c r="U232" s="2685">
        <f>0</f>
        <v>0</v>
      </c>
      <c r="V232" s="2685">
        <f>0</f>
        <v>0</v>
      </c>
      <c r="W232" s="2685">
        <f>0</f>
        <v>0</v>
      </c>
      <c r="X232" s="2685">
        <f>0</f>
        <v>0</v>
      </c>
      <c r="Y232" s="2685">
        <f>0</f>
        <v>0</v>
      </c>
      <c r="Z232" s="2685">
        <f>0</f>
        <v>0</v>
      </c>
      <c r="AA232" s="2685">
        <f>0</f>
        <v>0</v>
      </c>
      <c r="AB232" s="2685">
        <f>0</f>
        <v>0</v>
      </c>
      <c r="AC232" s="2685">
        <f>0</f>
        <v>0</v>
      </c>
      <c r="AD232" s="2685">
        <f>1</f>
        <v>1</v>
      </c>
      <c r="AE232" s="2685">
        <f>0</f>
        <v>0</v>
      </c>
      <c r="AF232" s="2685">
        <f>0</f>
        <v>0</v>
      </c>
      <c r="AG232" s="2701">
        <f>0</f>
        <v>0</v>
      </c>
      <c r="AH232" s="2685">
        <f>0</f>
        <v>0</v>
      </c>
      <c r="AI232" s="2685">
        <f>0</f>
        <v>0</v>
      </c>
      <c r="AJ232" s="2685">
        <f>0</f>
        <v>0</v>
      </c>
      <c r="AK232" s="2685">
        <f>0</f>
        <v>0</v>
      </c>
      <c r="AL232" s="2685">
        <f>0</f>
        <v>0</v>
      </c>
      <c r="AM232" s="2701">
        <f>0</f>
        <v>0</v>
      </c>
      <c r="AN232" s="2685">
        <f>0</f>
        <v>0</v>
      </c>
      <c r="AO232" s="2685">
        <f>0</f>
        <v>0</v>
      </c>
      <c r="AP232" s="2685">
        <f>0</f>
        <v>0</v>
      </c>
      <c r="AQ232" s="2685">
        <f>0</f>
        <v>0</v>
      </c>
      <c r="AR232" s="2685">
        <f>0</f>
        <v>0</v>
      </c>
      <c r="AS232" s="2685">
        <f>0</f>
        <v>0</v>
      </c>
      <c r="AT232" s="2685">
        <f>0</f>
        <v>0</v>
      </c>
      <c r="AU232" s="2685">
        <f>0</f>
        <v>0</v>
      </c>
      <c r="AV232" s="2685">
        <f>0</f>
        <v>0</v>
      </c>
      <c r="AW232" s="2685">
        <f>0</f>
        <v>0</v>
      </c>
      <c r="AX232" s="2685">
        <f>0</f>
        <v>0</v>
      </c>
      <c r="AY232" s="2685">
        <f>0</f>
        <v>0</v>
      </c>
      <c r="AZ232" s="2685">
        <f>0</f>
        <v>0</v>
      </c>
      <c r="BA232" s="2685">
        <f>0</f>
        <v>0</v>
      </c>
      <c r="BB232" s="2685">
        <f>0</f>
        <v>0</v>
      </c>
      <c r="BC232" s="2685">
        <f>0</f>
        <v>0</v>
      </c>
      <c r="BD232" s="2685">
        <f>0</f>
        <v>0</v>
      </c>
      <c r="BE232" s="2685">
        <f>0</f>
        <v>0</v>
      </c>
      <c r="BF232" s="2685">
        <f>0</f>
        <v>0</v>
      </c>
      <c r="BG232" s="2685">
        <f>0</f>
        <v>0</v>
      </c>
      <c r="BH232" s="2685">
        <f>0</f>
        <v>0</v>
      </c>
      <c r="BI232" s="2685">
        <f>0</f>
        <v>0</v>
      </c>
      <c r="BJ232" s="2685">
        <f>0</f>
        <v>0</v>
      </c>
      <c r="BK232" s="2685">
        <f>0</f>
        <v>0</v>
      </c>
      <c r="BL232" s="2685">
        <f>0</f>
        <v>0</v>
      </c>
      <c r="BM232" s="2685">
        <f>0</f>
        <v>0</v>
      </c>
      <c r="BN232" s="2685">
        <f>0</f>
        <v>0</v>
      </c>
      <c r="BO232" s="2685">
        <f>0</f>
        <v>0</v>
      </c>
      <c r="BP232" s="2685">
        <f>0</f>
        <v>0</v>
      </c>
      <c r="BQ232" s="2685">
        <f>0</f>
        <v>0</v>
      </c>
      <c r="BR232" s="2685">
        <f>0</f>
        <v>0</v>
      </c>
      <c r="BS232" s="2701">
        <f>0</f>
        <v>0</v>
      </c>
      <c r="BT232" s="2701">
        <f>0</f>
        <v>0</v>
      </c>
      <c r="BU232" s="2701">
        <f>0</f>
        <v>0</v>
      </c>
      <c r="BV232" s="2701">
        <f>0</f>
        <v>0</v>
      </c>
      <c r="BW232" s="2685">
        <f>0</f>
        <v>0</v>
      </c>
      <c r="BX232" s="2685">
        <f>0</f>
        <v>0</v>
      </c>
      <c r="BY232" s="2685">
        <f>0</f>
        <v>0</v>
      </c>
      <c r="BZ232" s="2685">
        <f>0</f>
        <v>0</v>
      </c>
      <c r="CA232" s="2685">
        <f>0</f>
        <v>0</v>
      </c>
      <c r="CB232" s="2685">
        <f>0</f>
        <v>0</v>
      </c>
      <c r="CC232" s="2685">
        <f>0</f>
        <v>0</v>
      </c>
      <c r="CD232" s="2685">
        <f>0</f>
        <v>0</v>
      </c>
      <c r="CE232" s="2685">
        <f>0</f>
        <v>0</v>
      </c>
      <c r="CF232" s="2685">
        <f>0</f>
        <v>0</v>
      </c>
      <c r="CG232" s="2685">
        <f>0</f>
        <v>0</v>
      </c>
      <c r="CH232" s="2685">
        <f>0</f>
        <v>0</v>
      </c>
      <c r="CI232" s="2685">
        <f>0</f>
        <v>0</v>
      </c>
      <c r="CJ232" s="2685">
        <f>0</f>
        <v>0</v>
      </c>
      <c r="CK232" s="2793">
        <f>-Δ_atm</f>
        <v>-1</v>
      </c>
      <c r="CL232" s="2824">
        <f>k_LaGN2_sur*(S_GN2_sur_sat-S_N2)</f>
        <v>-8.19</v>
      </c>
      <c r="CN232" s="2295">
        <f>E236*E232+F236*F232+G236*G232+H236*H232+I236*I232+J236*J232+K236*K232+L236*L232+M236*M232+N236*N232+O236*O232+P236*P232+Q236*Q232+R236*R232+S236*S232+T236*T232+U236*U232+V236*V232+W236*W232+X236*X232+Y236*Y232+Z236*Z232+AA236*AA232+AB236*AB232+AC236*AC232+AD236*AD232+AE236*AE232+AF236*AF232+AG236*AG232+AH236*AH232+AI236*AI232+AJ236*AJ232+AK236*AK232+AL236*AL232+AM236*AM232+AN236*AN232+AO236*AO232+AP236*AP232+AQ236*AQ232+AR236*AR232+AS236*AS232+AT236*AT232+AU236*AU232+AV236*AV232+AW236*AW232+AX236*AX232+AY236*AY232+AZ236*AZ232+BA236*BA232+BB236*BB232+BC236*BC232+BD236*BD232+BE236*BE232+BF236*BF232+BG236*BG232+BH236*BH232+BI236*BI232+BJ236*BJ232+BK236*BK232+BL236*BL232+BM236*BM232+BN236*BN232+BO236*BO232+BP236*BP232+BQ236*BQ232+BR236*BR232+BS236*BS232+BT236*BT232+BU236*BU232+BV236*BV232+BW236*BW232+BX236*BX232+BY236*BY232+BZ236*BZ232+CA236*CA232+CB236*CB232+CC236*CC232+CD236*CD232+CE236*CE232+CF236*CF232+CG236*CG232+CH236*CH232+CI236*CI232+CJ236*CJ232+CK236*CK232</f>
        <v>0</v>
      </c>
      <c r="CO232" s="2295">
        <f>E237*E232+F237*F232+G237*G232+H237*H232+I237*I232+J237*J232+K237*K232+L237*L232+M237*M232+N237*N232+O237*O232+P237*P232+Q237*Q232+R237*R232+S237*S232+T237*T232+U237*U232+V237*V232+W237*W232+X237*X232+Y237*Y232+Z237*Z232+AA237*AA232+AB237*AB232+AC237*AC232+AD237*AD232+AE237*AE232+AF237*AF232+AG237*AG232+AH237*AH232+AI237*AI232+AJ237*AJ232+AK237*AK232+AL237*AL232+AM237*AM232+AN237*AN232+AO237*AO232+AP237*AP232+AQ237*AQ232+AR237*AR232+AS237*AS232+AT237*AT232+AU237*AU232+AV237*AV232+AW237*AW232+AX237*AX232+AY237*AY232+AZ237*AZ232+BA237*BA232+BB237*BB232+BC237*BC232+BD237*BD232+BE237*BE232+BF237*BF232+BG237*BG232+BH237*BH232+BI237*BI232+BJ237*BJ232+BK237*BK232+BL237*BL232+BM237*BM232+BN237*BN232+BO237*BO232+BP237*BP232+BQ237*BQ232+BR237*BR232+BS237*BS232+BT237*BT232+BU237*BU232+BV237*BV232+BW237*BW232+BX237*BX232+BY237*BY232+BZ237*BZ232+CA237*CA232+CB237*CB232+CC237*CC232+CD237*CD232+CE237*CE232+CF237*CF232+CG237*CG232+CH237*CH232+CI237*CI232+CJ237*CJ232+CK237*CK232</f>
        <v>0</v>
      </c>
      <c r="CP232" s="2296">
        <f>E238*E232+F238*F232+G238*G232+H238*H232+I238*I232+J238*J232+K238*K232+L238*L232+M238*M232+N238*N232+O238*O232+P238*P232+Q238*Q232+R238*R232+S238*S232+T238*T232+U238*U232+V238*V232+W238*W232+X238*X232+Y238*Y232+Z238*Z232+AA238*AA232+AB238*AB232+AC238*AC232+AD238*AD232+AE238*AE232+AF238*AF232+AG238*AG232+AH238*AH232+AI238*AI232+AJ238*AJ232+AK238*AK232+AL238*AL232+AM238*AM232+AN238*AN232+AO238*AO232+AP238*AP232+AQ238*AQ232+AR238*AR232+AS238*AS232+AT238*AT232+AU238*AU232+AV238*AV232+AW238*AW232+AX238*AX232+AY238*AY232+AZ238*AZ232+BA238*BA232+BB238*BB232+BC238*BC232+BD238*BD232+BE238*BE232+BF238*BF232+BG238*BG232+BH238*BH232+BI238*BI232+BJ238*BJ232+BK238*BK232+BL238*BL232+BM238*BM232+BN238*BN232+BO238*BO232+BP238*BP232+BQ238*BQ232+BR238*BR232+BS238*BS232+BT238*BT232+BU238*BU232+BV238*BV232+BW238*BW232+BX238*BX232+BY238*BY232+BZ238*BZ232+CA238*CA232+CB238*CB232+CC238*CC232+CD238*CD232+CE238*CE232+CF238*CF232+CG238*CG232+CH238*CH232+CI238*CI232+CJ238*CJ232+CK238*CK232</f>
        <v>0</v>
      </c>
      <c r="CQ232" s="2297">
        <f>E239*E232+F239*F232+G239*G232+H239*H232+I239*I232+J239*J232+K239*K232+L239*L232+M239*M232+N239*N232+O239*O232+P239*P232+Q239*Q232+R239*R232+S239*S232+T239*T232+U239*U232+V239*V232+W239*W232+X239*X232+Y239*Y232+Z239*Z232+AA239*AA232+AB239*AB232+AC239*AC232+AD239*AD232+AE239*AE232+AF239*AF232+AG239*AG232+AH239*AH232+AI239*AI232+AJ239*AJ232+AK239*AK232+AL239*AL232+AM239*AM232+AN239*AN232+AO239*AO232+AP239*AP232+AQ239*AQ232+AR239*AR232+AS239*AS232+AT239*AT232+AU239*AU232+AV239*AV232+AW239*AW232+AX239*AX232+AY239*AY232+AZ239*AZ232+BA239*BA232+BB239*BB232+BC239*BC232+BD239*BD232+BE239*BE232+BF239*BF232+BG239*BG232+BH239*BH232+BI239*BI232+BJ239*BJ232+BK239*BK232+BL239*BL232+BM239*BM232+BN239*BN232+BO239*BO232+BP239*BP232+BQ239*BQ232+BR239*BR232+BS239*BS232+BT239*BT232+BU239*BU232+BV239*BV232+BW239*BW232+BX239*BX232+BY239*BY232+BZ239*BZ232+CA239*CA232+CB239*CB232+CC239*CC232+CD239*CD232+CE239*CE232+CF239*CF232+CG239*CG232+CH239*CH232+CI239*CI232+CJ239*CJ232+CK239*CK232</f>
        <v>0</v>
      </c>
      <c r="CR232" s="2297">
        <f>E240*E232+F240*F232+G240*G232+H240*H232+I240*I232+J240*J232+K240*K232+L240*L232+M240*M232+N240*N232+O240*O232+P240*P232+Q240*Q232+R240*R232+S240*S232+T240*T232+U240*U232+V240*V232+W240*W232+X240*X232+Y240*Y232+Z240*Z232+AA240*AA232+AB240*AB232+AC240*AC232+AD240*AD232+AE240*AE232+AF240*AF232+AG240*AG232+AH240*AH232+AI240*AI232+AJ240*AJ232+AK240*AK232+AL240*AL232+AM240*AM232+AN240*AN232+AO240*AO232+AP240*AP232+AQ240*AQ232+AR240*AR232+AS240*AS232+AT240*AT232+AU240*AU232+AV240*AV232+AW240*AW232+AX240*AX232+AY240*AY232+AZ240*AZ232+BA240*BA232+BB240*BB232+BC240*BC232+BD240*BD232+BE240*BE232+BF240*BF232+BG240*BG232+BH240*BH232+BI240*BI232+BJ240*BJ232+BK240*BK232+BL240*BL232+BM240*BM232+BN240*BN232+BO240*BO232+BP240*BP232+BQ240*BQ232+BR240*BR232+BS240*BS232+BT240*BT232+BU240*BU232+BV240*BV232+BW240*BW232+BX240*BX232+BY240*BY232+BZ240*BZ232+CA240*CA232+CB240*CB232+CC240*CC232+CD240*CD232+CE240*CE232+CF240*CF232+CG240*CG232+CH240*CH232+CI240*CI232+CJ240*CJ232+CK240*CK232</f>
        <v>0</v>
      </c>
      <c r="CS232" s="2297">
        <f>E241*E232+F241*F232+G241*G232+H241*H232+I241*I232+J241*J232+K241*K232+L241*L232+M241*M232+N241*N232+O241*O232+P241*P232+Q241*Q232+R241*R232+S241*S232+T241*T232+U241*U232+V241*V232+W241*W232+X241*X232+Y241*Y232+Z241*Z232+AA241*AA232+AB241*AB232+AC241*AC232+AD241*AD232+AE241*AE232+AF241*AF232+AG241*AG232+AH241*AH232+AI241*AI232+AJ241*AJ232+AK241*AK232+AL241*AL232+AM241*AM232+AN241*AN232+AO241*AO232+AP241*AP232+AQ241*AQ232+AR241*AR232+AS241*AS232+AT241*AT232+AU241*AU232+AV241*AV232+AW241*AW232+AX241*AX232+AY241*AY232+AZ241*AZ232+BA241*BA232+BB241*BB232+BC241*BC232+BD241*BD232+BE241*BE232+BF241*BF232+BG241*BG232+BH241*BH232+BI241*BI232+BJ241*BJ232+BK241*BK232+BL241*BL232+BM241*BM232+BN241*BN232+BO241*BO232+BP241*BP232+BQ241*BQ232+BR241*BR232+BS241*BS232+BT241*BT232+BU241*BU232+BV241*BV232+BW241*BW232+BX241*BX232+BY241*BY232+BZ241*BZ232+CA241*CA232+CB241*CB232+CC241*CC232+CD241*CD232+CE241*CE232+CF241*CF232+CG241*CG232+CH241*CH232+CI241*CI232+CJ241*CJ232+CK241*CK232</f>
        <v>0</v>
      </c>
      <c r="CT232" s="2297">
        <f>E242*E232+F242*F232+G242*G232+H242*H232+I242*I232+J242*J232+K242*K232+L242*L232+M242*M232+N242*N232+O242*O232+P242*P232+Q242*Q232+R242*R232+S242*S232+T242*T232+U242*U232+V242*V232+W242*W232+X242*X232+Y242*Y232+Z242*Z232+AA242*AA232+AB242*AB232+AC242*AC232+AD242*AD232+AE242*AE232+AF242*AF232+AG242*AG232+AH242*AH232+AI242*AI232+AJ242*AJ232+AK242*AK232+AL242*AL232+AM242*AM232+AN242*AN232+AO242*AO232+AP242*AP232+AQ242*AQ232+AR242*AR232+AS242*AS232+AT242*AT232+AU242*AU232+AV242*AV232+AW242*AW232+AX242*AX232+AY242*AY232+AZ242*AZ232+BA242*BA232+BB242*BB232+BC242*BC232+BD242*BD232+BE242*BE232+BF242*BF232+BG242*BG232+BH242*BH232+BI242*BI232+BJ242*BJ232+BK242*BK232+BL242*BL232+BM242*BM232+BN242*BN232+BO242*BO232+BP242*BP232+BQ242*BQ232+BR242*BR232+BS242*BS232+BT242*BT232+BU242*BU232+BV242*BV232+BW242*BW232+BX242*BX232+BY242*BY232+BZ242*BZ232+CA242*CA232+CB242*CB232+CC242*CC232+CD242*CD232+CE242*CE232+CF242*CF232+CG242*CG232+CH242*CH232+CI242*CI232+CJ242*CJ232+CK242*CK232</f>
        <v>0</v>
      </c>
      <c r="CU232" s="2297">
        <f>E243*E232+F243*F232+G243*G232+H243*H232+I243*I232+J243*J232+K243*K232+L243*L232+M243*M232+N243*N232+O243*O232+P243*P232+Q243*Q232+R243*R232+S243*S232+T243*T232+U243*U232+V243*V232+W243*W232+X243*X232+Y243*Y232+Z243*Z232+AA243*AA232+AB243*AB232+AC243*AC232+AD243*AD232+AE243*AE232+AF243*AF232+AG243*AG232+AH243*AH232+AI243*AI232+AJ243*AJ232+AK243*AK232+AL243*AL232+AM243*AM232+AN243*AN232+AO243*AO232+AP243*AP232+AQ243*AQ232+AR243*AR232+AS243*AS232+AT243*AT232+AU243*AU232+AV243*AV232+AW243*AW232+AX243*AX232+AY243*AY232+AZ243*AZ232+BA243*BA232+BB243*BB232+BC243*BC232+BD243*BD232+BE243*BE232+BF243*BF232+BG243*BG232+BH243*BH232+BI243*BI232+BJ243*BJ232+BK243*BK232+BL243*BL232+BM243*BM232+BN243*BN232+BO243*BO232+BP243*BP232+BQ243*BQ232+BR243*BR232+BS243*BS232+BT243*BT232+BU243*BU232+BV243*BV232+BW243*BW232+BX243*BX232+BY243*BY232+BZ243*BZ232+CA243*CA232+CB243*CB232+CC243*CC232+CD243*CD232+CE243*CE232+CF243*CF232+CG243*CG232+CH243*CH232+CI243*CI232+CJ243*CJ232+CK243*CK232</f>
        <v>0</v>
      </c>
      <c r="CV232" s="2297">
        <f>E244*E232+F244*F232+G244*G232+H244*H232+I244*I232+J244*J232+K244*K232+L244*L232+M244*M232+N244*N232+O244*O232+P244*P232+Q244*Q232+R244*R232+S244*S232+T244*T232+U244*U232+V244*V232+W244*W232+X244*X232+Y244*Y232+Z244*Z232+AA244*AA232+AB244*AB232+AC244*AC232+AD244*AD232+AE244*AE232+AF244*AF232+AG244*AG232+AH244*AH232+AI244*AI232+AJ244*AJ232+AK244*AK232+AL244*AL232+AM244*AM232+AN244*AN232+AO244*AO232+AP244*AP232+AQ244*AQ232+AR244*AR232+AS244*AS232+AT244*AT232+AU244*AU232+AV244*AV232+AW244*AW232+AX244*AX232+AY244*AY232+AZ244*AZ232+BA244*BA232+BB244*BB232+BC244*BC232+BD244*BD232+BE244*BE232+BF244*BF232+BG244*BG232+BH244*BH232+BI244*BI232+BJ244*BJ232+BK244*BK232+BL244*BL232+BM244*BM232+BN244*BN232+BO244*BO232+BP244*BP232+BQ244*BQ232+BR244*BR232+BS244*BS232+BT244*BT232+BU244*BU232+BV244*BV232+BW244*BW232+BX244*BX232+BY244*BY232+BZ244*BZ232+CA244*CA232+CB244*CB232+CC244*CC232+CD244*CD232+CE244*CE232+CF244*CF232+CG244*CG232+CH244*CH232+CI244*CI232+CJ244*CJ232+CK244*CK232</f>
        <v>0</v>
      </c>
      <c r="CW232" s="2297">
        <f>E245*E232+F245*F232+G245*G232+H245*H232+I245*I232+J245*J232+K245*K232+L245*L232+M245*M232+N245*N232+O245*O232+P245*P232+Q245*Q232+R245*R232+S245*S232+T245*T232+U245*U232+V245*V232+W245*W232+X245*X232+Y245*Y232+Z245*Z232+AA245*AA232+AB245*AB232+AC245*AC232+AD245*AD232+AE245*AE232+AF245*AF232+AG245*AG232+AH245*AH232+AI245*AI232+AJ245*AJ232+AK245*AK232+AL245*AL232+AM245*AM232+AN245*AN232+AO245*AO232+AP245*AP232+AQ245*AQ232+AR245*AR232+AS245*AS232+AT245*AT232+AU245*AU232+AV245*AV232+AW245*AW232+AX245*AX232+AY245*AY232+AZ245*AZ232+BA245*BA232+BB245*BB232+BC245*BC232+BD245*BD232+BE245*BE232+BF245*BF232+BG245*BG232+BH245*BH232+BI245*BI232+BJ245*BJ232+BK245*BK232+BL245*BL232+BM245*BM232+BN245*BN232+BO245*BO232+BP245*BP232+BQ245*BQ232+BR245*BR232+BS245*BS232+BT245*BT232+BU245*BU232+BV245*BV232+BW245*BW232+BX245*BX232+BY245*BY232+BZ245*BZ232+CA245*CA232+CB245*CB232+CC245*CC232+CD245*CD232+CE245*CE232+CF245*CF232+CG245*CG232+CH245*CH232+CI245*CI232+CJ245*CJ232+CK245*CK232</f>
        <v>0</v>
      </c>
      <c r="CX232" s="2297">
        <f>E246*E232+F246*F232+G246*G232+H246*H232+I246*I232+J246*J232+K246*K232+L246*L232+M246*M232+N246*N232+O246*O232+P246*P232+Q246*Q232+R246*R232+S246*S232+T246*T232+U246*U232+V246*V232+W246*W232+X246*X232+Y246*Y232+Z246*Z232+AA246*AA232+AB246*AB232+AC246*AC232+AD246*AD232+AE246*AE232+AF246*AF232+AG246*AG232+AH246*AH232+AI246*AI232+AJ246*AJ232+AK246*AK232+AL246*AL232+AM246*AM232+AN246*AN232+AO246*AO232+AP246*AP232+AQ246*AQ232+AR246*AR232+AS246*AS232+AT246*AT232+AU246*AU232+AV246*AV232+AW246*AW232+AX246*AX232+AY246*AY232+AZ246*AZ232+BA246*BA232+BB246*BB232+BC246*BC232+BD246*BD232+BE246*BE232+BF246*BF232+BG246*BG232+BH246*BH232+BI246*BI232+BJ246*BJ232+BK246*BK232+BL246*BL232+BM246*BM232+BN246*BN232+BO246*BO232+BP246*BP232+BQ246*BQ232+BR246*BR232+BS246*BS232+BT246*BT232+BU246*BU232+BV246*BV232+BW246*BW232+BX246*BX232+BY246*BY232+BZ246*BZ232+CA246*CA232+CB246*CB232+CC246*CC232+CD246*CD232+CE246*CE232+CF246*CF232+CG246*CG232+CH246*CH232+CI246*CI232+CJ246*CJ232+CK246*CK232</f>
        <v>0</v>
      </c>
    </row>
    <row r="234" spans="2:102" ht="15.75" thickBot="1" x14ac:dyDescent="0.3"/>
    <row r="235" spans="2:102" ht="15.75" thickBot="1" x14ac:dyDescent="0.3">
      <c r="D235" s="1236" t="s">
        <v>6</v>
      </c>
      <c r="E235" s="71"/>
      <c r="F235" s="71"/>
      <c r="G235" s="71"/>
      <c r="H235" s="71"/>
      <c r="I235" s="71"/>
      <c r="J235" s="71"/>
      <c r="K235" s="71"/>
      <c r="L235" s="71"/>
      <c r="M235" s="71"/>
      <c r="N235" s="71"/>
      <c r="O235" s="71"/>
      <c r="P235" s="71"/>
      <c r="Q235" s="71"/>
      <c r="R235" s="71"/>
      <c r="S235" s="71"/>
      <c r="T235" s="71"/>
      <c r="U235" s="71"/>
      <c r="V235" s="71"/>
      <c r="W235" s="71"/>
      <c r="X235" s="71"/>
      <c r="Y235" s="71"/>
      <c r="Z235" s="71"/>
      <c r="AA235" s="71"/>
      <c r="AB235" s="71"/>
      <c r="AC235" s="71"/>
      <c r="AD235" s="71"/>
      <c r="AE235" s="71"/>
      <c r="AF235" s="71"/>
      <c r="AG235" s="71"/>
      <c r="AH235" s="71"/>
      <c r="AI235" s="71"/>
      <c r="AJ235" s="71"/>
      <c r="AK235" s="71"/>
      <c r="AL235" s="71"/>
      <c r="AM235" s="71"/>
      <c r="AN235" s="71"/>
      <c r="AO235" s="71"/>
      <c r="AP235" s="71"/>
      <c r="AQ235" s="71"/>
      <c r="AR235" s="71"/>
      <c r="AS235" s="71"/>
      <c r="AT235" s="71"/>
      <c r="AU235" s="71"/>
      <c r="AV235" s="71"/>
      <c r="AW235" s="71"/>
      <c r="AX235" s="71"/>
      <c r="AY235" s="71"/>
      <c r="AZ235" s="71"/>
      <c r="BA235" s="71"/>
      <c r="BB235" s="71"/>
      <c r="BC235" s="71"/>
      <c r="BD235" s="71"/>
      <c r="BE235" s="71"/>
      <c r="BF235" s="71"/>
      <c r="BG235" s="71"/>
      <c r="BH235" s="71"/>
      <c r="BI235" s="71"/>
      <c r="BJ235" s="71"/>
      <c r="BK235" s="71"/>
      <c r="BL235" s="71"/>
      <c r="BM235" s="71"/>
      <c r="BN235" s="71"/>
      <c r="BO235" s="71"/>
      <c r="BP235" s="1020"/>
      <c r="BQ235" s="71"/>
      <c r="BR235" s="71"/>
      <c r="BS235" s="71"/>
      <c r="BT235" s="71"/>
      <c r="BU235" s="71"/>
      <c r="BV235" s="71"/>
      <c r="BW235" s="71"/>
      <c r="BX235" s="71"/>
      <c r="BY235" s="71"/>
      <c r="BZ235" s="71"/>
      <c r="CA235" s="71"/>
      <c r="CB235" s="71"/>
      <c r="CC235" s="71"/>
      <c r="CD235" s="71"/>
      <c r="CE235" s="71"/>
      <c r="CF235" s="71"/>
      <c r="CG235" s="71"/>
      <c r="CH235" s="71"/>
      <c r="CI235" s="71"/>
      <c r="CJ235" s="71"/>
      <c r="CK235" s="71"/>
    </row>
    <row r="236" spans="2:102" ht="18.75" x14ac:dyDescent="0.25">
      <c r="D236" s="1237" t="s">
        <v>148</v>
      </c>
      <c r="E236" s="288">
        <v>1</v>
      </c>
      <c r="F236" s="288">
        <v>1</v>
      </c>
      <c r="G236" s="288">
        <v>1</v>
      </c>
      <c r="H236" s="288">
        <v>1</v>
      </c>
      <c r="I236" s="288">
        <v>1</v>
      </c>
      <c r="J236" s="2470">
        <v>1</v>
      </c>
      <c r="K236" s="288">
        <v>1</v>
      </c>
      <c r="L236" s="288">
        <v>1</v>
      </c>
      <c r="M236" s="288">
        <v>1</v>
      </c>
      <c r="N236" s="288">
        <v>1</v>
      </c>
      <c r="O236" s="288">
        <v>1</v>
      </c>
      <c r="P236" s="288">
        <v>1</v>
      </c>
      <c r="Q236" s="288">
        <v>1</v>
      </c>
      <c r="R236" s="288">
        <v>1</v>
      </c>
      <c r="S236" s="288">
        <v>1</v>
      </c>
      <c r="T236" s="288">
        <v>1</v>
      </c>
      <c r="U236" s="288">
        <v>1</v>
      </c>
      <c r="V236" s="288">
        <v>1</v>
      </c>
      <c r="W236" s="288">
        <v>1</v>
      </c>
      <c r="X236" s="288">
        <v>1</v>
      </c>
      <c r="Y236" s="288">
        <v>1</v>
      </c>
      <c r="Z236" s="2043">
        <v>1</v>
      </c>
      <c r="AA236" s="288"/>
      <c r="AB236" s="289">
        <f>-E_EQNO2</f>
        <v>-3.4268028871897016</v>
      </c>
      <c r="AC236" s="289">
        <f>-E_EQNO3</f>
        <v>-4.5690705162529355</v>
      </c>
      <c r="AD236" s="289">
        <f>-E_EQN2</f>
        <v>-1.7134014435948508</v>
      </c>
      <c r="AE236" s="288"/>
      <c r="AF236" s="288"/>
      <c r="AG236" s="2470"/>
      <c r="AH236" s="288"/>
      <c r="AI236" s="288"/>
      <c r="AJ236" s="288"/>
      <c r="AK236" s="288"/>
      <c r="AL236" s="288"/>
      <c r="AM236" s="2470"/>
      <c r="AN236" s="288"/>
      <c r="AO236" s="288">
        <v>-1</v>
      </c>
      <c r="AP236" s="288">
        <v>1</v>
      </c>
      <c r="AQ236" s="288">
        <v>1</v>
      </c>
      <c r="AR236" s="288"/>
      <c r="AS236" s="288"/>
      <c r="AT236" s="288"/>
      <c r="AU236" s="288"/>
      <c r="AV236" s="288"/>
      <c r="AW236" s="288"/>
      <c r="AX236" s="288"/>
      <c r="AY236" s="288">
        <f>E_EQFe2</f>
        <v>0.14325364849136002</v>
      </c>
      <c r="AZ236" s="288"/>
      <c r="BA236" s="288"/>
      <c r="BB236" s="288"/>
      <c r="BC236" s="288"/>
      <c r="BD236" s="288"/>
      <c r="BE236" s="288"/>
      <c r="BF236" s="288"/>
      <c r="BG236" s="288"/>
      <c r="BH236" s="288"/>
      <c r="BI236" s="288"/>
      <c r="BJ236" s="288"/>
      <c r="BK236" s="288"/>
      <c r="BL236" s="288"/>
      <c r="BM236" s="288"/>
      <c r="BN236" s="288"/>
      <c r="BO236" s="288"/>
      <c r="BP236" s="1227"/>
      <c r="BQ236" s="288"/>
      <c r="BR236" s="290">
        <f>3*A_MFe/M_MVivi*E_EQFe2</f>
        <v>4.7846893347985253E-2</v>
      </c>
      <c r="BS236" s="2162"/>
      <c r="BT236" s="2162"/>
      <c r="BU236" s="2162"/>
      <c r="BV236" s="2162"/>
      <c r="BW236" s="290"/>
      <c r="BX236" s="1109"/>
      <c r="BY236" s="1819"/>
      <c r="BZ236" s="666"/>
      <c r="CA236" s="667" t="s">
        <v>3300</v>
      </c>
      <c r="CB236" s="667" t="s">
        <v>3300</v>
      </c>
      <c r="CC236" s="667" t="s">
        <v>1147</v>
      </c>
      <c r="CD236" s="666"/>
      <c r="CE236" s="667">
        <f>-E_EQN2</f>
        <v>-1.7134014435948508</v>
      </c>
      <c r="CF236" s="1228"/>
      <c r="CG236" s="1228">
        <f>1/Δ_atm</f>
        <v>1</v>
      </c>
      <c r="CH236" s="1228">
        <f>1/Δ_atm</f>
        <v>1</v>
      </c>
      <c r="CI236" s="1228">
        <f>-1/Δ_atm</f>
        <v>-1</v>
      </c>
      <c r="CJ236" s="1228"/>
      <c r="CK236" s="1228">
        <f>-E_EQN2/Δ_atm</f>
        <v>-1.7134014435948508</v>
      </c>
    </row>
    <row r="237" spans="2:102" ht="18.75" x14ac:dyDescent="0.25">
      <c r="D237" s="1238" t="s">
        <v>258</v>
      </c>
      <c r="E237" s="201">
        <f>i_CIT_VFA</f>
        <v>0.375</v>
      </c>
      <c r="F237" s="201">
        <f>i_CIT_SB</f>
        <v>0.28599999999999998</v>
      </c>
      <c r="G237" s="201">
        <f>i_CIT_MEOL</f>
        <v>0.25</v>
      </c>
      <c r="H237" s="201">
        <f>i_CIT_SB</f>
        <v>0.28599999999999998</v>
      </c>
      <c r="I237" s="201">
        <f>i_CIT_SB</f>
        <v>0.28599999999999998</v>
      </c>
      <c r="J237" s="2471">
        <f>i_CIT_XBe</f>
        <v>0.28599999999999998</v>
      </c>
      <c r="K237" s="201">
        <f>i_CIT_SB</f>
        <v>0.28599999999999998</v>
      </c>
      <c r="L237" s="201">
        <f>i_CIT_SB</f>
        <v>0.28599999999999998</v>
      </c>
      <c r="M237" s="201">
        <f>i_CIT_SB</f>
        <v>0.28599999999999998</v>
      </c>
      <c r="N237" s="201">
        <f>i_CIT_PHA</f>
        <v>0.33300000000000002</v>
      </c>
      <c r="O237" s="201">
        <f>i_CIT_PHA</f>
        <v>0.33300000000000002</v>
      </c>
      <c r="P237" s="201">
        <f>i_CIT_BIO</f>
        <v>0.35199999999999998</v>
      </c>
      <c r="Q237" s="201">
        <f>i_CIT_BIO</f>
        <v>0.35199999999999998</v>
      </c>
      <c r="R237" s="201">
        <f>i_CIT_BIO</f>
        <v>0.35199999999999998</v>
      </c>
      <c r="S237" s="201">
        <f>i_CIT_BIO</f>
        <v>0.35199999999999998</v>
      </c>
      <c r="T237" s="201">
        <f>i_CIT_BIO</f>
        <v>0.35199999999999998</v>
      </c>
      <c r="U237" s="201">
        <f>i_CIT_BIO</f>
        <v>0.35199999999999998</v>
      </c>
      <c r="V237" s="201">
        <f>i_CIT_BIO</f>
        <v>0.35199999999999998</v>
      </c>
      <c r="W237" s="201">
        <f>i_CIT_BIO</f>
        <v>0.35199999999999998</v>
      </c>
      <c r="X237" s="201">
        <f>i_CIT_BIO</f>
        <v>0.35199999999999998</v>
      </c>
      <c r="Y237" s="201">
        <f>i_CIT_BIO</f>
        <v>0.35199999999999998</v>
      </c>
      <c r="Z237" s="1820">
        <f>i_CIT_ALGAE</f>
        <v>0.375</v>
      </c>
      <c r="AA237" s="201"/>
      <c r="AB237" s="287"/>
      <c r="AC237" s="287"/>
      <c r="AD237" s="287"/>
      <c r="AE237" s="201"/>
      <c r="AF237" s="201"/>
      <c r="AG237" s="2471"/>
      <c r="AH237" s="201"/>
      <c r="AI237" s="201"/>
      <c r="AJ237" s="201"/>
      <c r="AK237" s="201"/>
      <c r="AL237" s="201"/>
      <c r="AM237" s="2471"/>
      <c r="AN237" s="201"/>
      <c r="AO237" s="201"/>
      <c r="AP237" s="201">
        <f>i_CIT_CH4</f>
        <v>0.188</v>
      </c>
      <c r="AQ237" s="201"/>
      <c r="AR237" s="201">
        <v>1</v>
      </c>
      <c r="AS237" s="201"/>
      <c r="AT237" s="201"/>
      <c r="AU237" s="201"/>
      <c r="AV237" s="201"/>
      <c r="AW237" s="201"/>
      <c r="AX237" s="201"/>
      <c r="AY237" s="201"/>
      <c r="AZ237" s="201"/>
      <c r="BA237" s="201"/>
      <c r="BB237" s="201"/>
      <c r="BC237" s="201"/>
      <c r="BD237" s="201"/>
      <c r="BE237" s="201"/>
      <c r="BF237" s="201"/>
      <c r="BG237" s="201"/>
      <c r="BH237" s="201"/>
      <c r="BI237" s="201"/>
      <c r="BJ237" s="201"/>
      <c r="BK237" s="201"/>
      <c r="BL237" s="201"/>
      <c r="BM237" s="201"/>
      <c r="BN237" s="201">
        <f>A_MC/M_MCaCO3</f>
        <v>0.12000271763837225</v>
      </c>
      <c r="BO237" s="201"/>
      <c r="BP237" s="1230"/>
      <c r="BQ237" s="201"/>
      <c r="BR237" s="202"/>
      <c r="BS237" s="1796"/>
      <c r="BT237" s="1796"/>
      <c r="BU237" s="1796"/>
      <c r="BV237" s="1796"/>
      <c r="BW237" s="202"/>
      <c r="BX237" s="1110"/>
      <c r="BY237" s="1796"/>
      <c r="BZ237" s="668" t="s">
        <v>3300</v>
      </c>
      <c r="CA237" s="669">
        <f>i_CIT_CH4</f>
        <v>0.188</v>
      </c>
      <c r="CB237" s="669"/>
      <c r="CC237" s="668"/>
      <c r="CD237" s="669"/>
      <c r="CE237" s="668"/>
      <c r="CF237" s="1231">
        <f>1/Δ_atm</f>
        <v>1</v>
      </c>
      <c r="CG237" s="1231">
        <f>i_CIT_CH4/Δ_atm</f>
        <v>0.188</v>
      </c>
      <c r="CH237" s="1231"/>
      <c r="CI237" s="1231"/>
      <c r="CJ237" s="1231"/>
      <c r="CK237" s="1231"/>
    </row>
    <row r="238" spans="2:102" ht="18.75" x14ac:dyDescent="0.25">
      <c r="D238" s="1238" t="s">
        <v>254</v>
      </c>
      <c r="E238" s="201"/>
      <c r="F238" s="201"/>
      <c r="G238" s="201"/>
      <c r="H238" s="201">
        <f>i_N_CB</f>
        <v>0.01</v>
      </c>
      <c r="I238" s="201"/>
      <c r="J238" s="2471"/>
      <c r="K238" s="201">
        <f>i_N_SU</f>
        <v>0.01</v>
      </c>
      <c r="L238" s="201">
        <f>i_N_CU</f>
        <v>0.01</v>
      </c>
      <c r="M238" s="201"/>
      <c r="N238" s="201"/>
      <c r="O238" s="201"/>
      <c r="P238" s="201">
        <f>i_N_XE</f>
        <v>0.06</v>
      </c>
      <c r="Q238" s="201">
        <f>i_N_XE</f>
        <v>0.06</v>
      </c>
      <c r="R238" s="201">
        <f>i_N_BIO</f>
        <v>7.0000000000000007E-2</v>
      </c>
      <c r="S238" s="201">
        <f>i_N_BIO</f>
        <v>7.0000000000000007E-2</v>
      </c>
      <c r="T238" s="201">
        <f>i_N_BIO</f>
        <v>7.0000000000000007E-2</v>
      </c>
      <c r="U238" s="201">
        <f>i_N_BIO</f>
        <v>7.0000000000000007E-2</v>
      </c>
      <c r="V238" s="201">
        <f>i_N_BIO</f>
        <v>7.0000000000000007E-2</v>
      </c>
      <c r="W238" s="201">
        <f>i_N_BIO</f>
        <v>7.0000000000000007E-2</v>
      </c>
      <c r="X238" s="201">
        <f>i_N_BIO</f>
        <v>7.0000000000000007E-2</v>
      </c>
      <c r="Y238" s="201">
        <f>i_N_BIO</f>
        <v>7.0000000000000007E-2</v>
      </c>
      <c r="Z238" s="1820">
        <f>i_N_ALGAE</f>
        <v>7.0000000000000007E-2</v>
      </c>
      <c r="AA238" s="201">
        <v>1</v>
      </c>
      <c r="AB238" s="201">
        <v>1</v>
      </c>
      <c r="AC238" s="201">
        <v>1</v>
      </c>
      <c r="AD238" s="201">
        <v>1</v>
      </c>
      <c r="AE238" s="201">
        <v>1</v>
      </c>
      <c r="AF238" s="201">
        <v>1</v>
      </c>
      <c r="AG238" s="2471">
        <v>1</v>
      </c>
      <c r="AH238" s="201">
        <v>1</v>
      </c>
      <c r="AI238" s="201"/>
      <c r="AJ238" s="201"/>
      <c r="AK238" s="201"/>
      <c r="AL238" s="201"/>
      <c r="AM238" s="2471"/>
      <c r="AN238" s="201"/>
      <c r="AO238" s="201"/>
      <c r="AP238" s="201"/>
      <c r="AQ238" s="201"/>
      <c r="AR238" s="201"/>
      <c r="AS238" s="201"/>
      <c r="AT238" s="201"/>
      <c r="AU238" s="201"/>
      <c r="AV238" s="201"/>
      <c r="AW238" s="201"/>
      <c r="AX238" s="201"/>
      <c r="AY238" s="201"/>
      <c r="AZ238" s="201"/>
      <c r="BA238" s="201"/>
      <c r="BB238" s="201"/>
      <c r="BC238" s="201"/>
      <c r="BD238" s="201"/>
      <c r="BE238" s="201"/>
      <c r="BF238" s="201"/>
      <c r="BG238" s="201"/>
      <c r="BH238" s="201"/>
      <c r="BI238" s="201"/>
      <c r="BJ238" s="201"/>
      <c r="BK238" s="201"/>
      <c r="BL238" s="201"/>
      <c r="BM238" s="201"/>
      <c r="BN238" s="201"/>
      <c r="BO238" s="201"/>
      <c r="BP238" s="1230"/>
      <c r="BQ238" s="201">
        <f>A_MN/M_MSTR</f>
        <v>5.7075504823359977E-2</v>
      </c>
      <c r="BR238" s="201"/>
      <c r="BS238" s="1820"/>
      <c r="BT238" s="1820"/>
      <c r="BU238" s="1820"/>
      <c r="BV238" s="1820"/>
      <c r="BW238" s="201"/>
      <c r="BX238" s="1111"/>
      <c r="BY238" s="1820"/>
      <c r="BZ238" s="669"/>
      <c r="CA238" s="669"/>
      <c r="CB238" s="669"/>
      <c r="CC238" s="669"/>
      <c r="CD238" s="668" t="s">
        <v>3300</v>
      </c>
      <c r="CE238" s="668" t="s">
        <v>3300</v>
      </c>
      <c r="CF238" s="657"/>
      <c r="CG238" s="657"/>
      <c r="CH238" s="657"/>
      <c r="CI238" s="657"/>
      <c r="CJ238" s="657">
        <f>1/Δ_atm</f>
        <v>1</v>
      </c>
      <c r="CK238" s="657">
        <f>1/Δ_atm</f>
        <v>1</v>
      </c>
    </row>
    <row r="239" spans="2:102" ht="18" x14ac:dyDescent="0.25">
      <c r="D239" s="1238" t="s">
        <v>255</v>
      </c>
      <c r="E239" s="201"/>
      <c r="F239" s="201"/>
      <c r="G239" s="201"/>
      <c r="H239" s="201">
        <f>i_P_CB</f>
        <v>2E-3</v>
      </c>
      <c r="I239" s="201"/>
      <c r="J239" s="2471"/>
      <c r="K239" s="201">
        <f>i_P_SU</f>
        <v>2E-3</v>
      </c>
      <c r="L239" s="201">
        <f>i_P_CU</f>
        <v>2E-3</v>
      </c>
      <c r="M239" s="201"/>
      <c r="N239" s="201"/>
      <c r="O239" s="201"/>
      <c r="P239" s="201">
        <f>i_P_BIO</f>
        <v>0.02</v>
      </c>
      <c r="Q239" s="201">
        <f>i_P_BIO</f>
        <v>0.02</v>
      </c>
      <c r="R239" s="201">
        <f>i_P_BIO</f>
        <v>0.02</v>
      </c>
      <c r="S239" s="201">
        <f>i_P_BIO</f>
        <v>0.02</v>
      </c>
      <c r="T239" s="201">
        <f>i_P_BIO</f>
        <v>0.02</v>
      </c>
      <c r="U239" s="201">
        <f>i_P_BIO</f>
        <v>0.02</v>
      </c>
      <c r="V239" s="201">
        <f>i_P_BIO</f>
        <v>0.02</v>
      </c>
      <c r="W239" s="201">
        <f>i_P_BIO</f>
        <v>0.02</v>
      </c>
      <c r="X239" s="201">
        <f>i_P_BIO</f>
        <v>0.02</v>
      </c>
      <c r="Y239" s="201">
        <f>i_P_BIO</f>
        <v>0.02</v>
      </c>
      <c r="Z239" s="1820">
        <f>i_P_ALGAE</f>
        <v>0.02</v>
      </c>
      <c r="AA239" s="201"/>
      <c r="AB239" s="201"/>
      <c r="AC239" s="201"/>
      <c r="AD239" s="201"/>
      <c r="AE239" s="201"/>
      <c r="AF239" s="201"/>
      <c r="AG239" s="2471"/>
      <c r="AH239" s="201"/>
      <c r="AI239" s="201">
        <v>1</v>
      </c>
      <c r="AJ239" s="201">
        <v>1</v>
      </c>
      <c r="AK239" s="201">
        <v>1</v>
      </c>
      <c r="AL239" s="201">
        <v>1</v>
      </c>
      <c r="AM239" s="2471">
        <v>1</v>
      </c>
      <c r="AN239" s="201">
        <v>1</v>
      </c>
      <c r="AO239" s="201"/>
      <c r="AP239" s="201"/>
      <c r="AQ239" s="201"/>
      <c r="AR239" s="201"/>
      <c r="AS239" s="201"/>
      <c r="AT239" s="201"/>
      <c r="AU239" s="201"/>
      <c r="AV239" s="201"/>
      <c r="AW239" s="201"/>
      <c r="AX239" s="201"/>
      <c r="AY239" s="202"/>
      <c r="AZ239" s="201"/>
      <c r="BA239" s="201"/>
      <c r="BB239" s="202"/>
      <c r="BC239" s="1230">
        <f>A_SFHFO_H*(A_MP/A_MFe)</f>
        <v>0.66556566639806602</v>
      </c>
      <c r="BD239" s="1230">
        <f>A_SFHFO_L*(A_MP/A_MFe)</f>
        <v>0.11092761106634436</v>
      </c>
      <c r="BE239" s="1230">
        <f>A_SFHFO_H*(A_MP/A_MFe)</f>
        <v>0.66556566639806602</v>
      </c>
      <c r="BF239" s="1230">
        <f>A_SFHFO_L*(A_MP/A_MFe)</f>
        <v>0.11092761106634436</v>
      </c>
      <c r="BG239" s="201"/>
      <c r="BH239" s="201"/>
      <c r="BI239" s="202"/>
      <c r="BJ239" s="1111">
        <f>A_SFHAO_H*(A_MP/A_MAl)</f>
        <v>1.1479629449808202</v>
      </c>
      <c r="BK239" s="1111">
        <f>A_SFHAO_L*(A_MP/A_MAl)</f>
        <v>0.11479629449808203</v>
      </c>
      <c r="BL239" s="1111">
        <f>A_SFHAO_H*(A_MP/A_MAl)</f>
        <v>1.1479629449808202</v>
      </c>
      <c r="BM239" s="1111">
        <f>A_SFHAO_L*(A_MP/A_MAl)</f>
        <v>0.11479629449808203</v>
      </c>
      <c r="BN239" s="202"/>
      <c r="BO239" s="201">
        <f>2*A_MP/M_MACP</f>
        <v>0.16206538757887573</v>
      </c>
      <c r="BP239" s="1230">
        <f>A_MP/M_MBSH</f>
        <v>0.17998807007087103</v>
      </c>
      <c r="BQ239" s="201">
        <f>A_MP/M_MSTR</f>
        <v>0.12621410566683836</v>
      </c>
      <c r="BR239" s="202">
        <f>2*A_MP/M_MVivi</f>
        <v>0.1234998580474381</v>
      </c>
      <c r="BS239" s="1796"/>
      <c r="BT239" s="1796"/>
      <c r="BU239" s="1796"/>
      <c r="BV239" s="1796"/>
      <c r="BW239" s="202"/>
      <c r="BX239" s="1110"/>
      <c r="BY239" s="1796"/>
      <c r="BZ239" s="669"/>
      <c r="CA239" s="669"/>
      <c r="CB239" s="669"/>
      <c r="CC239" s="669"/>
      <c r="CD239" s="669"/>
      <c r="CE239" s="669"/>
      <c r="CF239" s="657"/>
      <c r="CG239" s="657"/>
      <c r="CH239" s="657"/>
      <c r="CI239" s="657"/>
      <c r="CJ239" s="657"/>
      <c r="CK239" s="657"/>
    </row>
    <row r="240" spans="2:102" ht="18" x14ac:dyDescent="0.25">
      <c r="D240" s="1238" t="s">
        <v>1112</v>
      </c>
      <c r="E240" s="201"/>
      <c r="F240" s="201"/>
      <c r="G240" s="201"/>
      <c r="H240" s="201"/>
      <c r="I240" s="201"/>
      <c r="J240" s="2471"/>
      <c r="K240" s="201"/>
      <c r="L240" s="201"/>
      <c r="M240" s="201"/>
      <c r="N240" s="201"/>
      <c r="O240" s="201"/>
      <c r="P240" s="201"/>
      <c r="Q240" s="201"/>
      <c r="R240" s="201"/>
      <c r="S240" s="201"/>
      <c r="T240" s="201"/>
      <c r="U240" s="201"/>
      <c r="V240" s="201"/>
      <c r="W240" s="201"/>
      <c r="X240" s="201"/>
      <c r="Y240" s="201"/>
      <c r="Z240" s="1820"/>
      <c r="AA240" s="201"/>
      <c r="AB240" s="201"/>
      <c r="AC240" s="201"/>
      <c r="AD240" s="201"/>
      <c r="AE240" s="201"/>
      <c r="AF240" s="201"/>
      <c r="AG240" s="2471"/>
      <c r="AH240" s="201"/>
      <c r="AI240" s="201"/>
      <c r="AJ240" s="201"/>
      <c r="AK240" s="201"/>
      <c r="AL240" s="201"/>
      <c r="AM240" s="2471"/>
      <c r="AN240" s="201"/>
      <c r="AO240" s="201"/>
      <c r="AP240" s="201"/>
      <c r="AQ240" s="201"/>
      <c r="AR240" s="201"/>
      <c r="AS240" s="1233">
        <f>(1-i_Ca_INORG*(A_MCa+2*A_MCl)/A_MCa-i_Mg_INORG*(A_MMg+2*A_MCl)/A_MMg)*f_Na</f>
        <v>0.26185730529816786</v>
      </c>
      <c r="AT240" s="201">
        <v>1</v>
      </c>
      <c r="AU240" s="201"/>
      <c r="AV240" s="201"/>
      <c r="AW240" s="201"/>
      <c r="AX240" s="201"/>
      <c r="AY240" s="202"/>
      <c r="AZ240" s="201"/>
      <c r="BA240" s="201"/>
      <c r="BB240" s="202"/>
      <c r="BC240" s="202"/>
      <c r="BD240" s="201"/>
      <c r="BE240" s="202"/>
      <c r="BF240" s="202"/>
      <c r="BG240" s="201"/>
      <c r="BH240" s="201"/>
      <c r="BI240" s="202"/>
      <c r="BJ240" s="202"/>
      <c r="BK240" s="201"/>
      <c r="BL240" s="202"/>
      <c r="BM240" s="202"/>
      <c r="BN240" s="202"/>
      <c r="BO240" s="202"/>
      <c r="BP240" s="1234"/>
      <c r="BQ240" s="201"/>
      <c r="BR240" s="202"/>
      <c r="BS240" s="1796"/>
      <c r="BT240" s="1796"/>
      <c r="BU240" s="1796"/>
      <c r="BV240" s="1796"/>
      <c r="BW240" s="202"/>
      <c r="BX240" s="1110"/>
      <c r="BY240" s="1796"/>
      <c r="BZ240" s="669"/>
      <c r="CA240" s="669"/>
      <c r="CB240" s="669"/>
      <c r="CC240" s="669"/>
      <c r="CD240" s="669"/>
      <c r="CE240" s="669"/>
      <c r="CF240" s="657"/>
      <c r="CG240" s="657"/>
      <c r="CH240" s="657"/>
      <c r="CI240" s="657"/>
      <c r="CJ240" s="657"/>
      <c r="CK240" s="657"/>
    </row>
    <row r="241" spans="4:89" ht="18" x14ac:dyDescent="0.25">
      <c r="D241" s="1238" t="s">
        <v>474</v>
      </c>
      <c r="E241" s="201"/>
      <c r="F241" s="201"/>
      <c r="G241" s="201"/>
      <c r="H241" s="201"/>
      <c r="I241" s="201"/>
      <c r="J241" s="2471"/>
      <c r="K241" s="201"/>
      <c r="L241" s="201"/>
      <c r="M241" s="201"/>
      <c r="N241" s="201"/>
      <c r="O241" s="201"/>
      <c r="P241" s="201"/>
      <c r="Q241" s="201"/>
      <c r="R241" s="201"/>
      <c r="S241" s="201"/>
      <c r="T241" s="201"/>
      <c r="U241" s="201"/>
      <c r="V241" s="201"/>
      <c r="W241" s="201"/>
      <c r="X241" s="201"/>
      <c r="Y241" s="201"/>
      <c r="Z241" s="1820"/>
      <c r="AA241" s="201"/>
      <c r="AB241" s="201"/>
      <c r="AC241" s="201"/>
      <c r="AD241" s="201"/>
      <c r="AE241" s="201"/>
      <c r="AF241" s="201"/>
      <c r="AG241" s="2471"/>
      <c r="AH241" s="201"/>
      <c r="AI241" s="201"/>
      <c r="AJ241" s="201">
        <f>i_K_PP*A_MK/A_MP</f>
        <v>0.12623038734377579</v>
      </c>
      <c r="AK241" s="201"/>
      <c r="AL241" s="201"/>
      <c r="AM241" s="2471"/>
      <c r="AN241" s="201"/>
      <c r="AO241" s="201"/>
      <c r="AP241" s="201"/>
      <c r="AQ241" s="201"/>
      <c r="AR241" s="201"/>
      <c r="AS241" s="1233"/>
      <c r="AT241" s="201"/>
      <c r="AU241" s="201"/>
      <c r="AV241" s="201"/>
      <c r="AW241" s="201"/>
      <c r="AX241" s="201">
        <v>1</v>
      </c>
      <c r="AY241" s="201"/>
      <c r="AZ241" s="201"/>
      <c r="BA241" s="201"/>
      <c r="BB241" s="201"/>
      <c r="BC241" s="201"/>
      <c r="BD241" s="201"/>
      <c r="BE241" s="201"/>
      <c r="BF241" s="201"/>
      <c r="BG241" s="201"/>
      <c r="BH241" s="201"/>
      <c r="BI241" s="201"/>
      <c r="BJ241" s="201"/>
      <c r="BK241" s="201"/>
      <c r="BL241" s="201"/>
      <c r="BM241" s="201"/>
      <c r="BN241" s="201"/>
      <c r="BO241" s="201"/>
      <c r="BP241" s="1230"/>
      <c r="BQ241" s="201"/>
      <c r="BR241" s="201"/>
      <c r="BS241" s="1820"/>
      <c r="BT241" s="1820"/>
      <c r="BU241" s="1820"/>
      <c r="BV241" s="1820"/>
      <c r="BW241" s="201"/>
      <c r="BX241" s="1111"/>
      <c r="BY241" s="1820"/>
      <c r="BZ241" s="201"/>
      <c r="CA241" s="201"/>
      <c r="CB241" s="201"/>
      <c r="CC241" s="201"/>
      <c r="CD241" s="201"/>
      <c r="CE241" s="291"/>
      <c r="CF241" s="657"/>
      <c r="CG241" s="657"/>
      <c r="CH241" s="657"/>
      <c r="CI241" s="657"/>
      <c r="CJ241" s="657"/>
      <c r="CK241" s="657"/>
    </row>
    <row r="242" spans="4:89" ht="18" x14ac:dyDescent="0.25">
      <c r="D242" s="1238" t="s">
        <v>985</v>
      </c>
      <c r="E242" s="201"/>
      <c r="F242" s="201"/>
      <c r="G242" s="201"/>
      <c r="H242" s="201"/>
      <c r="I242" s="201"/>
      <c r="J242" s="2471"/>
      <c r="K242" s="201"/>
      <c r="L242" s="201"/>
      <c r="M242" s="201"/>
      <c r="N242" s="201"/>
      <c r="O242" s="201"/>
      <c r="P242" s="201"/>
      <c r="Q242" s="201"/>
      <c r="R242" s="201"/>
      <c r="S242" s="201"/>
      <c r="T242" s="201"/>
      <c r="U242" s="201"/>
      <c r="V242" s="201"/>
      <c r="W242" s="201"/>
      <c r="X242" s="201"/>
      <c r="Y242" s="201"/>
      <c r="Z242" s="1820"/>
      <c r="AA242" s="201"/>
      <c r="AB242" s="201"/>
      <c r="AC242" s="201"/>
      <c r="AD242" s="201"/>
      <c r="AE242" s="201"/>
      <c r="AF242" s="201"/>
      <c r="AG242" s="2471"/>
      <c r="AH242" s="201"/>
      <c r="AI242" s="201"/>
      <c r="AJ242" s="201">
        <f>i_Ca_PP*A_MCa/A_MP</f>
        <v>0.12939338702613273</v>
      </c>
      <c r="AK242" s="201"/>
      <c r="AL242" s="201"/>
      <c r="AM242" s="2471"/>
      <c r="AN242" s="201"/>
      <c r="AO242" s="201"/>
      <c r="AP242" s="201"/>
      <c r="AQ242" s="201"/>
      <c r="AR242" s="201"/>
      <c r="AS242" s="1233">
        <f>i_Ca_INORG</f>
        <v>0.05</v>
      </c>
      <c r="AT242" s="201"/>
      <c r="AU242" s="201"/>
      <c r="AV242" s="201">
        <v>1</v>
      </c>
      <c r="AW242" s="201"/>
      <c r="AX242" s="201"/>
      <c r="AY242" s="201"/>
      <c r="AZ242" s="201"/>
      <c r="BA242" s="201"/>
      <c r="BB242" s="201"/>
      <c r="BC242" s="201"/>
      <c r="BD242" s="201"/>
      <c r="BE242" s="201"/>
      <c r="BF242" s="201"/>
      <c r="BG242" s="201"/>
      <c r="BH242" s="201"/>
      <c r="BI242" s="201"/>
      <c r="BJ242" s="201"/>
      <c r="BK242" s="201"/>
      <c r="BL242" s="201"/>
      <c r="BM242" s="201"/>
      <c r="BN242" s="201">
        <f>A_MCa/M_MCaCO3</f>
        <v>0.40043202457064814</v>
      </c>
      <c r="BO242" s="201">
        <f>3*A_MCa/M_MACP</f>
        <v>0.31455284127800509</v>
      </c>
      <c r="BP242" s="1230">
        <f>A_MCa/M_MBSH</f>
        <v>0.2328926601076691</v>
      </c>
      <c r="BQ242" s="201"/>
      <c r="BR242" s="201"/>
      <c r="BS242" s="1820"/>
      <c r="BT242" s="1820"/>
      <c r="BU242" s="1820"/>
      <c r="BV242" s="1820"/>
      <c r="BW242" s="201"/>
      <c r="BX242" s="1111"/>
      <c r="BY242" s="1820"/>
      <c r="BZ242" s="201"/>
      <c r="CA242" s="201"/>
      <c r="CB242" s="201"/>
      <c r="CC242" s="201"/>
      <c r="CD242" s="201"/>
      <c r="CE242" s="291"/>
      <c r="CF242" s="657"/>
      <c r="CG242" s="657"/>
      <c r="CH242" s="657"/>
      <c r="CI242" s="657"/>
      <c r="CJ242" s="657"/>
      <c r="CK242" s="657"/>
    </row>
    <row r="243" spans="4:89" ht="18" x14ac:dyDescent="0.25">
      <c r="D243" s="1238" t="s">
        <v>986</v>
      </c>
      <c r="E243" s="201"/>
      <c r="F243" s="201"/>
      <c r="G243" s="201"/>
      <c r="H243" s="201"/>
      <c r="I243" s="201"/>
      <c r="J243" s="2471"/>
      <c r="K243" s="201"/>
      <c r="L243" s="201"/>
      <c r="M243" s="201"/>
      <c r="N243" s="201"/>
      <c r="O243" s="201"/>
      <c r="P243" s="201"/>
      <c r="Q243" s="201"/>
      <c r="R243" s="201"/>
      <c r="S243" s="201"/>
      <c r="T243" s="201"/>
      <c r="U243" s="201"/>
      <c r="V243" s="201"/>
      <c r="W243" s="201"/>
      <c r="X243" s="201"/>
      <c r="Y243" s="201"/>
      <c r="Z243" s="1820"/>
      <c r="AA243" s="201"/>
      <c r="AB243" s="201"/>
      <c r="AC243" s="201"/>
      <c r="AD243" s="201"/>
      <c r="AE243" s="201"/>
      <c r="AF243" s="201"/>
      <c r="AG243" s="2471"/>
      <c r="AH243" s="201"/>
      <c r="AI243" s="201"/>
      <c r="AJ243" s="201">
        <f>i_Mg_PP*A_MMg/A_MP</f>
        <v>0.27464374347136938</v>
      </c>
      <c r="AK243" s="201"/>
      <c r="AL243" s="201"/>
      <c r="AM243" s="2471"/>
      <c r="AN243" s="201"/>
      <c r="AO243" s="201"/>
      <c r="AP243" s="201"/>
      <c r="AQ243" s="201"/>
      <c r="AR243" s="201"/>
      <c r="AS243" s="1233">
        <f>i_Mg_INORG</f>
        <v>0.05</v>
      </c>
      <c r="AT243" s="201"/>
      <c r="AU243" s="201"/>
      <c r="AV243" s="201"/>
      <c r="AW243" s="201">
        <v>1</v>
      </c>
      <c r="AX243" s="201"/>
      <c r="AY243" s="201"/>
      <c r="AZ243" s="201"/>
      <c r="BA243" s="201"/>
      <c r="BB243" s="201"/>
      <c r="BC243" s="201"/>
      <c r="BD243" s="201"/>
      <c r="BE243" s="201"/>
      <c r="BF243" s="201"/>
      <c r="BG243" s="201"/>
      <c r="BH243" s="201"/>
      <c r="BI243" s="201"/>
      <c r="BJ243" s="201"/>
      <c r="BK243" s="201"/>
      <c r="BL243" s="201"/>
      <c r="BM243" s="201"/>
      <c r="BN243" s="201"/>
      <c r="BO243" s="201"/>
      <c r="BP243" s="1230"/>
      <c r="BQ243" s="201">
        <f>A_MMg/M_MSTR</f>
        <v>9.9039755597804202E-2</v>
      </c>
      <c r="BR243" s="201"/>
      <c r="BS243" s="1820"/>
      <c r="BT243" s="1820"/>
      <c r="BU243" s="1820"/>
      <c r="BV243" s="1820"/>
      <c r="BW243" s="201"/>
      <c r="BX243" s="1111"/>
      <c r="BY243" s="1820"/>
      <c r="BZ243" s="201"/>
      <c r="CA243" s="201"/>
      <c r="CB243" s="201"/>
      <c r="CC243" s="201"/>
      <c r="CD243" s="201"/>
      <c r="CE243" s="291"/>
      <c r="CF243" s="657"/>
      <c r="CG243" s="657"/>
      <c r="CH243" s="657"/>
      <c r="CI243" s="657"/>
      <c r="CJ243" s="657"/>
      <c r="CK243" s="657"/>
    </row>
    <row r="244" spans="4:89" ht="18" x14ac:dyDescent="0.25">
      <c r="D244" s="1238" t="s">
        <v>142</v>
      </c>
      <c r="E244" s="201"/>
      <c r="F244" s="201"/>
      <c r="G244" s="201"/>
      <c r="H244" s="201"/>
      <c r="I244" s="201"/>
      <c r="J244" s="2471"/>
      <c r="K244" s="201"/>
      <c r="L244" s="201"/>
      <c r="M244" s="201"/>
      <c r="N244" s="201"/>
      <c r="O244" s="201"/>
      <c r="P244" s="201"/>
      <c r="Q244" s="201"/>
      <c r="R244" s="201"/>
      <c r="S244" s="201"/>
      <c r="T244" s="201"/>
      <c r="U244" s="201"/>
      <c r="V244" s="201"/>
      <c r="W244" s="201"/>
      <c r="X244" s="201"/>
      <c r="Y244" s="201"/>
      <c r="Z244" s="1820"/>
      <c r="AA244" s="201"/>
      <c r="AB244" s="201"/>
      <c r="AC244" s="201"/>
      <c r="AD244" s="201"/>
      <c r="AE244" s="201"/>
      <c r="AF244" s="201"/>
      <c r="AG244" s="2471"/>
      <c r="AH244" s="201"/>
      <c r="AI244" s="201"/>
      <c r="AJ244" s="201"/>
      <c r="AK244" s="201"/>
      <c r="AL244" s="201"/>
      <c r="AM244" s="2471"/>
      <c r="AN244" s="201"/>
      <c r="AO244" s="201"/>
      <c r="AP244" s="201"/>
      <c r="AQ244" s="201"/>
      <c r="AR244" s="201"/>
      <c r="AS244" s="1233">
        <f>(i_Ca_INORG*(2*A_MCl)/A_MCa+i_Mg_INORG*(2*A_MCl)/A_MMg)+(1-i_Ca_INORG*(A_MCa+2*A_MCl)/A_MCa-i_Mg_INORG*(A_MMg+2*A_MCl)/A_MMg)*(1-f_Na)</f>
        <v>0.63814269470183216</v>
      </c>
      <c r="AT244" s="201"/>
      <c r="AU244" s="201">
        <v>1</v>
      </c>
      <c r="AV244" s="201"/>
      <c r="AW244" s="201"/>
      <c r="AX244" s="201"/>
      <c r="AY244" s="201"/>
      <c r="AZ244" s="201"/>
      <c r="BA244" s="201"/>
      <c r="BB244" s="201"/>
      <c r="BC244" s="201"/>
      <c r="BD244" s="201"/>
      <c r="BE244" s="201"/>
      <c r="BF244" s="201"/>
      <c r="BG244" s="201"/>
      <c r="BH244" s="201"/>
      <c r="BI244" s="201"/>
      <c r="BJ244" s="201"/>
      <c r="BK244" s="201"/>
      <c r="BL244" s="201"/>
      <c r="BM244" s="201"/>
      <c r="BN244" s="201"/>
      <c r="BO244" s="201"/>
      <c r="BP244" s="1230"/>
      <c r="BQ244" s="201"/>
      <c r="BR244" s="201"/>
      <c r="BS244" s="1820"/>
      <c r="BT244" s="1820"/>
      <c r="BU244" s="1820"/>
      <c r="BV244" s="1820"/>
      <c r="BW244" s="201"/>
      <c r="BX244" s="1111"/>
      <c r="BY244" s="1820"/>
      <c r="BZ244" s="201"/>
      <c r="CA244" s="201"/>
      <c r="CB244" s="201"/>
      <c r="CC244" s="201"/>
      <c r="CD244" s="201"/>
      <c r="CE244" s="291"/>
      <c r="CF244" s="657"/>
      <c r="CG244" s="657"/>
      <c r="CH244" s="657"/>
      <c r="CI244" s="657"/>
      <c r="CJ244" s="657"/>
      <c r="CK244" s="657"/>
    </row>
    <row r="245" spans="4:89" ht="18" x14ac:dyDescent="0.25">
      <c r="D245" s="1238" t="s">
        <v>2956</v>
      </c>
      <c r="E245" s="201"/>
      <c r="F245" s="201"/>
      <c r="G245" s="201"/>
      <c r="H245" s="201"/>
      <c r="I245" s="201"/>
      <c r="J245" s="2471"/>
      <c r="K245" s="201"/>
      <c r="L245" s="201"/>
      <c r="M245" s="201"/>
      <c r="N245" s="201"/>
      <c r="O245" s="201"/>
      <c r="P245" s="201"/>
      <c r="Q245" s="201"/>
      <c r="R245" s="201"/>
      <c r="S245" s="201"/>
      <c r="T245" s="201"/>
      <c r="U245" s="201"/>
      <c r="V245" s="201"/>
      <c r="W245" s="201"/>
      <c r="X245" s="201"/>
      <c r="Y245" s="201"/>
      <c r="Z245" s="1820"/>
      <c r="AA245" s="201"/>
      <c r="AB245" s="201"/>
      <c r="AC245" s="201"/>
      <c r="AD245" s="201"/>
      <c r="AE245" s="201"/>
      <c r="AF245" s="201"/>
      <c r="AG245" s="2471"/>
      <c r="AH245" s="201"/>
      <c r="AI245" s="201"/>
      <c r="AJ245" s="201"/>
      <c r="AK245" s="201"/>
      <c r="AL245" s="201"/>
      <c r="AM245" s="2471"/>
      <c r="AN245" s="201"/>
      <c r="AO245" s="201"/>
      <c r="AP245" s="201"/>
      <c r="AQ245" s="201"/>
      <c r="AR245" s="201"/>
      <c r="AS245" s="201"/>
      <c r="AT245" s="201"/>
      <c r="AU245" s="201"/>
      <c r="AV245" s="201"/>
      <c r="AW245" s="201"/>
      <c r="AX245" s="201"/>
      <c r="AY245" s="201">
        <v>1</v>
      </c>
      <c r="AZ245" s="201">
        <v>1</v>
      </c>
      <c r="BA245" s="201">
        <v>1</v>
      </c>
      <c r="BB245" s="201">
        <v>1</v>
      </c>
      <c r="BC245" s="201">
        <v>1</v>
      </c>
      <c r="BD245" s="201">
        <v>1</v>
      </c>
      <c r="BE245" s="201">
        <v>1</v>
      </c>
      <c r="BF245" s="201">
        <v>1</v>
      </c>
      <c r="BG245" s="201">
        <v>1</v>
      </c>
      <c r="BH245" s="201">
        <v>1</v>
      </c>
      <c r="BI245" s="201">
        <v>1</v>
      </c>
      <c r="BJ245" s="201">
        <v>1</v>
      </c>
      <c r="BK245" s="201">
        <v>1</v>
      </c>
      <c r="BL245" s="201">
        <v>1</v>
      </c>
      <c r="BM245" s="201">
        <v>1</v>
      </c>
      <c r="BN245" s="201"/>
      <c r="BO245" s="201"/>
      <c r="BP245" s="1230"/>
      <c r="BQ245" s="201"/>
      <c r="BR245" s="201">
        <f>3*A_MFe/M_MVivi</f>
        <v>0.33400121987727954</v>
      </c>
      <c r="BS245" s="1820"/>
      <c r="BT245" s="1820"/>
      <c r="BU245" s="1820"/>
      <c r="BV245" s="1820"/>
      <c r="BW245" s="201"/>
      <c r="BX245" s="1111"/>
      <c r="BY245" s="1820"/>
      <c r="BZ245" s="201"/>
      <c r="CA245" s="201"/>
      <c r="CB245" s="201"/>
      <c r="CC245" s="201"/>
      <c r="CD245" s="201"/>
      <c r="CE245" s="291"/>
      <c r="CF245" s="657"/>
      <c r="CG245" s="657"/>
      <c r="CH245" s="657"/>
      <c r="CI245" s="657"/>
      <c r="CJ245" s="657"/>
      <c r="CK245" s="657"/>
    </row>
    <row r="246" spans="4:89" ht="15.75" thickBot="1" x14ac:dyDescent="0.3">
      <c r="D246" s="1239" t="s">
        <v>2957</v>
      </c>
      <c r="E246" s="254"/>
      <c r="F246" s="254"/>
      <c r="G246" s="254"/>
      <c r="H246" s="254"/>
      <c r="I246" s="254"/>
      <c r="J246" s="2472"/>
      <c r="K246" s="254"/>
      <c r="L246" s="254"/>
      <c r="M246" s="254"/>
      <c r="N246" s="254"/>
      <c r="O246" s="254"/>
      <c r="P246" s="254"/>
      <c r="Q246" s="254"/>
      <c r="R246" s="254"/>
      <c r="S246" s="254"/>
      <c r="T246" s="254"/>
      <c r="U246" s="254"/>
      <c r="V246" s="254"/>
      <c r="W246" s="254"/>
      <c r="X246" s="254"/>
      <c r="Y246" s="254"/>
      <c r="Z246" s="2044"/>
      <c r="AA246" s="254"/>
      <c r="AB246" s="254"/>
      <c r="AC246" s="254"/>
      <c r="AD246" s="254"/>
      <c r="AE246" s="254"/>
      <c r="AF246" s="254"/>
      <c r="AG246" s="2472"/>
      <c r="AH246" s="254"/>
      <c r="AI246" s="254"/>
      <c r="AJ246" s="254"/>
      <c r="AK246" s="254"/>
      <c r="AL246" s="254"/>
      <c r="AM246" s="2472"/>
      <c r="AN246" s="254"/>
      <c r="AO246" s="254"/>
      <c r="AP246" s="254"/>
      <c r="AQ246" s="254"/>
      <c r="AR246" s="254"/>
      <c r="AS246" s="254"/>
      <c r="AT246" s="254"/>
      <c r="AU246" s="254"/>
      <c r="AV246" s="254"/>
      <c r="AW246" s="254"/>
      <c r="AX246" s="254"/>
      <c r="AY246" s="255"/>
      <c r="AZ246" s="254"/>
      <c r="BA246" s="254"/>
      <c r="BB246" s="255"/>
      <c r="BC246" s="255"/>
      <c r="BD246" s="254"/>
      <c r="BE246" s="255"/>
      <c r="BF246" s="255"/>
      <c r="BG246" s="254"/>
      <c r="BH246" s="254"/>
      <c r="BI246" s="255"/>
      <c r="BJ246" s="255"/>
      <c r="BK246" s="254"/>
      <c r="BL246" s="255"/>
      <c r="BM246" s="255"/>
      <c r="BN246" s="255"/>
      <c r="BO246" s="255"/>
      <c r="BP246" s="1235"/>
      <c r="BQ246" s="254"/>
      <c r="BR246" s="255"/>
      <c r="BS246" s="2163"/>
      <c r="BT246" s="2163"/>
      <c r="BU246" s="2163"/>
      <c r="BV246" s="2163"/>
      <c r="BW246" s="255"/>
      <c r="BX246" s="1112"/>
      <c r="BY246" s="1821"/>
      <c r="BZ246" s="254"/>
      <c r="CA246" s="254"/>
      <c r="CB246" s="254"/>
      <c r="CC246" s="254"/>
      <c r="CD246" s="254"/>
      <c r="CE246" s="292"/>
      <c r="CF246" s="658"/>
      <c r="CG246" s="658"/>
      <c r="CH246" s="658"/>
      <c r="CI246" s="658"/>
      <c r="CJ246" s="658"/>
      <c r="CK246" s="658"/>
    </row>
  </sheetData>
  <phoneticPr fontId="31" type="noConversion"/>
  <pageMargins left="0.7" right="0.7" top="0.75" bottom="0.75" header="0.3" footer="0.3"/>
  <pageSetup orientation="portrait" r:id="rId1"/>
  <ignoredErrors>
    <ignoredError sqref="AY81" numberStoredAsText="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4"/>
  <dimension ref="A1:AF46"/>
  <sheetViews>
    <sheetView showGridLines="0" zoomScaleNormal="100" workbookViewId="0">
      <pane xSplit="3" ySplit="3" topLeftCell="D4" activePane="bottomRight" state="frozen"/>
      <selection pane="topRight" activeCell="D1" sqref="D1"/>
      <selection pane="bottomLeft" activeCell="A4" sqref="A4"/>
      <selection pane="bottomRight" activeCell="B43" sqref="B43:AF46"/>
    </sheetView>
  </sheetViews>
  <sheetFormatPr baseColWidth="10" defaultColWidth="9.140625" defaultRowHeight="15" x14ac:dyDescent="0.25"/>
  <cols>
    <col min="1" max="1" width="6" customWidth="1"/>
    <col min="2" max="2" width="17.7109375" bestFit="1" customWidth="1"/>
    <col min="3" max="3" width="34.7109375" customWidth="1"/>
    <col min="4" max="4" width="20.140625" bestFit="1" customWidth="1"/>
    <col min="5" max="5" width="9.7109375" bestFit="1" customWidth="1"/>
    <col min="6" max="6" width="34" customWidth="1"/>
    <col min="7" max="7" width="32.7109375" bestFit="1" customWidth="1"/>
    <col min="8" max="9" width="32.7109375" customWidth="1"/>
    <col min="10" max="10" width="16" bestFit="1" customWidth="1"/>
    <col min="11" max="11" width="48.140625" bestFit="1" customWidth="1"/>
    <col min="12" max="12" width="49.7109375" bestFit="1" customWidth="1"/>
    <col min="13" max="13" width="49" bestFit="1" customWidth="1"/>
    <col min="14" max="14" width="63.7109375" bestFit="1" customWidth="1"/>
    <col min="15" max="15" width="67.28515625" bestFit="1" customWidth="1"/>
    <col min="16" max="16" width="69" bestFit="1" customWidth="1"/>
    <col min="17" max="17" width="68.140625" bestFit="1" customWidth="1"/>
    <col min="18" max="18" width="35.7109375" customWidth="1"/>
    <col min="19" max="19" width="36.28515625" customWidth="1"/>
    <col min="20" max="20" width="20.28515625" customWidth="1"/>
    <col min="21" max="21" width="19.28515625" customWidth="1"/>
    <col min="22" max="22" width="16.7109375" customWidth="1"/>
    <col min="23" max="24" width="15.28515625" bestFit="1" customWidth="1"/>
    <col min="25" max="25" width="20.140625" customWidth="1"/>
    <col min="26" max="26" width="15.7109375" customWidth="1"/>
    <col min="27" max="27" width="7" bestFit="1" customWidth="1"/>
    <col min="28" max="28" width="9" bestFit="1" customWidth="1"/>
    <col min="29" max="29" width="5" bestFit="1" customWidth="1"/>
    <col min="30" max="30" width="18.28515625" bestFit="1" customWidth="1"/>
  </cols>
  <sheetData>
    <row r="1" spans="1:30" s="47" customFormat="1" ht="48" customHeight="1" thickBot="1" x14ac:dyDescent="0.3">
      <c r="A1" s="49"/>
    </row>
    <row r="2" spans="1:30" ht="21" customHeight="1" thickBot="1" x14ac:dyDescent="0.3">
      <c r="A2" t="s">
        <v>1120</v>
      </c>
      <c r="C2" s="55" t="s">
        <v>4</v>
      </c>
      <c r="D2" s="128" t="s">
        <v>317</v>
      </c>
      <c r="J2" s="1"/>
      <c r="K2" s="1"/>
    </row>
    <row r="3" spans="1:30" s="8" customFormat="1" ht="18.75" thickBot="1" x14ac:dyDescent="0.3">
      <c r="B3" s="310" t="s">
        <v>0</v>
      </c>
      <c r="C3" s="305" t="s">
        <v>1</v>
      </c>
      <c r="D3" s="692" t="s">
        <v>395</v>
      </c>
      <c r="E3" s="692" t="s">
        <v>397</v>
      </c>
      <c r="F3" s="692" t="s">
        <v>399</v>
      </c>
      <c r="G3" s="692" t="s">
        <v>401</v>
      </c>
      <c r="H3" s="693" t="s">
        <v>2195</v>
      </c>
      <c r="I3" s="693" t="s">
        <v>2197</v>
      </c>
      <c r="J3" s="692" t="s">
        <v>422</v>
      </c>
      <c r="K3" s="692" t="s">
        <v>403</v>
      </c>
      <c r="L3" s="692" t="s">
        <v>405</v>
      </c>
      <c r="M3" s="692" t="s">
        <v>407</v>
      </c>
      <c r="N3" s="692" t="s">
        <v>409</v>
      </c>
      <c r="O3" s="692" t="s">
        <v>411</v>
      </c>
      <c r="P3" s="692" t="s">
        <v>413</v>
      </c>
      <c r="Q3" s="692" t="s">
        <v>415</v>
      </c>
      <c r="R3" s="692" t="s">
        <v>417</v>
      </c>
      <c r="S3" s="692" t="s">
        <v>419</v>
      </c>
      <c r="T3" s="692" t="s">
        <v>993</v>
      </c>
      <c r="U3" s="692" t="s">
        <v>994</v>
      </c>
      <c r="V3" s="692" t="s">
        <v>1251</v>
      </c>
      <c r="W3" s="694" t="s">
        <v>1052</v>
      </c>
      <c r="X3" s="694" t="s">
        <v>1250</v>
      </c>
      <c r="Y3" s="694" t="s">
        <v>1054</v>
      </c>
      <c r="Z3" s="311" t="s">
        <v>152</v>
      </c>
      <c r="AA3" s="311" t="s">
        <v>2</v>
      </c>
      <c r="AB3" s="311" t="s">
        <v>298</v>
      </c>
      <c r="AC3" s="311" t="s">
        <v>116</v>
      </c>
      <c r="AD3" s="312" t="s">
        <v>117</v>
      </c>
    </row>
    <row r="4" spans="1:30" ht="18.75" x14ac:dyDescent="0.25">
      <c r="B4" s="236" t="s">
        <v>423</v>
      </c>
      <c r="C4" s="234" t="s">
        <v>306</v>
      </c>
      <c r="D4" s="234" t="s">
        <v>307</v>
      </c>
      <c r="E4" s="234" t="s">
        <v>424</v>
      </c>
      <c r="F4" s="234"/>
      <c r="G4" s="234"/>
      <c r="H4" s="430"/>
      <c r="I4" s="430"/>
      <c r="J4" s="234"/>
      <c r="K4" s="234"/>
      <c r="L4" s="234"/>
      <c r="M4" s="234"/>
      <c r="N4" s="234"/>
      <c r="O4" s="234"/>
      <c r="P4" s="234"/>
      <c r="Q4" s="234"/>
      <c r="R4" s="234"/>
      <c r="S4" s="234"/>
      <c r="T4" s="234"/>
      <c r="U4" s="234"/>
      <c r="V4" s="234"/>
      <c r="W4" s="234"/>
      <c r="X4" s="234"/>
      <c r="Y4" s="234"/>
      <c r="Z4" s="235"/>
      <c r="AA4" s="233" t="s">
        <v>841</v>
      </c>
      <c r="AB4" s="235"/>
      <c r="AC4" s="235" t="s">
        <v>11</v>
      </c>
      <c r="AD4" s="237"/>
    </row>
    <row r="5" spans="1:30" ht="21" customHeight="1" x14ac:dyDescent="0.25">
      <c r="B5" s="464" t="s">
        <v>2440</v>
      </c>
      <c r="C5" s="230" t="s">
        <v>308</v>
      </c>
      <c r="D5" s="230"/>
      <c r="E5" s="230"/>
      <c r="F5" s="230" t="s">
        <v>2436</v>
      </c>
      <c r="G5" s="230" t="s">
        <v>2437</v>
      </c>
      <c r="H5" s="230"/>
      <c r="I5" s="230"/>
      <c r="J5" s="230"/>
      <c r="K5" s="230"/>
      <c r="L5" s="230"/>
      <c r="M5" s="230"/>
      <c r="N5" s="230"/>
      <c r="O5" s="230"/>
      <c r="P5" s="230"/>
      <c r="Q5" s="230"/>
      <c r="R5" s="230"/>
      <c r="S5" s="230"/>
      <c r="T5" s="230"/>
      <c r="U5" s="230"/>
      <c r="V5" s="230"/>
      <c r="W5" s="230"/>
      <c r="X5" s="230"/>
      <c r="Y5" s="230"/>
      <c r="Z5" s="231"/>
      <c r="AA5" s="229" t="s">
        <v>841</v>
      </c>
      <c r="AB5" s="231"/>
      <c r="AC5" s="235" t="s">
        <v>11</v>
      </c>
      <c r="AD5" s="314"/>
    </row>
    <row r="6" spans="1:30" ht="21" customHeight="1" x14ac:dyDescent="0.25">
      <c r="B6" s="313" t="s">
        <v>2199</v>
      </c>
      <c r="C6" s="230" t="s">
        <v>757</v>
      </c>
      <c r="D6" s="230"/>
      <c r="E6" s="230"/>
      <c r="F6" s="230"/>
      <c r="G6" s="230"/>
      <c r="H6" s="230" t="s">
        <v>2434</v>
      </c>
      <c r="I6" s="230" t="s">
        <v>2435</v>
      </c>
      <c r="J6" s="230"/>
      <c r="K6" s="230"/>
      <c r="L6" s="230"/>
      <c r="M6" s="230"/>
      <c r="N6" s="230"/>
      <c r="O6" s="230"/>
      <c r="P6" s="230"/>
      <c r="Q6" s="230"/>
      <c r="R6" s="230"/>
      <c r="S6" s="230"/>
      <c r="T6" s="230"/>
      <c r="U6" s="230"/>
      <c r="V6" s="230"/>
      <c r="W6" s="230"/>
      <c r="X6" s="230"/>
      <c r="Y6" s="230"/>
      <c r="Z6" s="231"/>
      <c r="AA6" s="229" t="s">
        <v>841</v>
      </c>
      <c r="AB6" s="231"/>
      <c r="AC6" s="235" t="s">
        <v>11</v>
      </c>
      <c r="AD6" s="314"/>
    </row>
    <row r="7" spans="1:30" ht="21" customHeight="1" x14ac:dyDescent="0.25">
      <c r="B7" s="313" t="s">
        <v>1103</v>
      </c>
      <c r="C7" s="230" t="s">
        <v>309</v>
      </c>
      <c r="D7" s="230"/>
      <c r="E7" s="230"/>
      <c r="F7" s="230"/>
      <c r="G7" s="230"/>
      <c r="H7" s="230"/>
      <c r="I7" s="230"/>
      <c r="J7" s="230" t="s">
        <v>3385</v>
      </c>
      <c r="K7" s="230"/>
      <c r="L7" s="230"/>
      <c r="M7" s="230"/>
      <c r="N7" s="230"/>
      <c r="O7" s="230"/>
      <c r="P7" s="230"/>
      <c r="Q7" s="230"/>
      <c r="R7" s="230"/>
      <c r="S7" s="230"/>
      <c r="T7" s="230"/>
      <c r="U7" s="230"/>
      <c r="V7" s="230"/>
      <c r="W7" s="230"/>
      <c r="X7" s="230"/>
      <c r="Y7" s="230"/>
      <c r="Z7" s="231"/>
      <c r="AA7" s="229" t="s">
        <v>841</v>
      </c>
      <c r="AB7" s="231"/>
      <c r="AC7" s="235" t="s">
        <v>11</v>
      </c>
      <c r="AD7" s="314"/>
    </row>
    <row r="8" spans="1:30" ht="21" customHeight="1" x14ac:dyDescent="0.25">
      <c r="B8" s="313" t="s">
        <v>425</v>
      </c>
      <c r="C8" s="230" t="s">
        <v>312</v>
      </c>
      <c r="D8" s="230"/>
      <c r="E8" s="230"/>
      <c r="F8" s="230"/>
      <c r="G8" s="230"/>
      <c r="H8" s="230"/>
      <c r="I8" s="230"/>
      <c r="J8" s="230"/>
      <c r="K8" s="230" t="s">
        <v>2433</v>
      </c>
      <c r="L8" s="230" t="s">
        <v>2438</v>
      </c>
      <c r="M8" s="230" t="s">
        <v>2439</v>
      </c>
      <c r="N8" s="230"/>
      <c r="O8" s="230"/>
      <c r="P8" s="230"/>
      <c r="Q8" s="230"/>
      <c r="R8" s="230"/>
      <c r="S8" s="230"/>
      <c r="T8" s="230"/>
      <c r="U8" s="230"/>
      <c r="V8" s="230"/>
      <c r="W8" s="230"/>
      <c r="X8" s="230"/>
      <c r="Y8" s="230"/>
      <c r="Z8" s="231"/>
      <c r="AA8" s="229" t="s">
        <v>841</v>
      </c>
      <c r="AB8" s="231"/>
      <c r="AC8" s="235" t="s">
        <v>11</v>
      </c>
      <c r="AD8" s="314"/>
    </row>
    <row r="9" spans="1:30" ht="21" customHeight="1" x14ac:dyDescent="0.25">
      <c r="B9" s="313" t="s">
        <v>426</v>
      </c>
      <c r="C9" s="230" t="s">
        <v>313</v>
      </c>
      <c r="D9" s="230"/>
      <c r="E9" s="230"/>
      <c r="F9" s="230"/>
      <c r="G9" s="230"/>
      <c r="H9" s="230"/>
      <c r="I9" s="230"/>
      <c r="J9" s="230"/>
      <c r="K9" s="230"/>
      <c r="L9" s="230"/>
      <c r="M9" s="230"/>
      <c r="N9" s="230" t="s">
        <v>427</v>
      </c>
      <c r="O9" s="230" t="s">
        <v>428</v>
      </c>
      <c r="P9" s="230" t="s">
        <v>429</v>
      </c>
      <c r="Q9" s="230" t="s">
        <v>430</v>
      </c>
      <c r="R9" s="230"/>
      <c r="S9" s="230"/>
      <c r="T9" s="230"/>
      <c r="U9" s="230"/>
      <c r="V9" s="230"/>
      <c r="W9" s="230"/>
      <c r="X9" s="230"/>
      <c r="Y9" s="230"/>
      <c r="Z9" s="231"/>
      <c r="AA9" s="229" t="s">
        <v>841</v>
      </c>
      <c r="AB9" s="231"/>
      <c r="AC9" s="235" t="s">
        <v>11</v>
      </c>
      <c r="AD9" s="314"/>
    </row>
    <row r="10" spans="1:30" ht="21" customHeight="1" x14ac:dyDescent="0.25">
      <c r="B10" s="313" t="s">
        <v>431</v>
      </c>
      <c r="C10" s="230" t="s">
        <v>314</v>
      </c>
      <c r="D10" s="230"/>
      <c r="E10" s="230"/>
      <c r="F10" s="230"/>
      <c r="G10" s="230"/>
      <c r="H10" s="230"/>
      <c r="I10" s="230"/>
      <c r="J10" s="230"/>
      <c r="K10" s="230"/>
      <c r="L10" s="230"/>
      <c r="M10" s="230"/>
      <c r="N10" s="230"/>
      <c r="O10" s="230"/>
      <c r="P10" s="230"/>
      <c r="Q10" s="230"/>
      <c r="R10" s="230" t="s">
        <v>2861</v>
      </c>
      <c r="S10" s="230" t="s">
        <v>2862</v>
      </c>
      <c r="T10" s="230"/>
      <c r="U10" s="230"/>
      <c r="V10" s="230"/>
      <c r="W10" s="230"/>
      <c r="X10" s="230"/>
      <c r="Y10" s="230"/>
      <c r="Z10" s="231"/>
      <c r="AA10" s="229" t="s">
        <v>841</v>
      </c>
      <c r="AB10" s="231"/>
      <c r="AC10" s="235" t="s">
        <v>11</v>
      </c>
      <c r="AD10" s="314"/>
    </row>
    <row r="11" spans="1:30" ht="21" customHeight="1" x14ac:dyDescent="0.25">
      <c r="B11" s="313" t="s">
        <v>987</v>
      </c>
      <c r="C11" s="230" t="s">
        <v>989</v>
      </c>
      <c r="D11" s="230"/>
      <c r="E11" s="230"/>
      <c r="F11" s="230"/>
      <c r="G11" s="230"/>
      <c r="H11" s="230"/>
      <c r="I11" s="230"/>
      <c r="J11" s="230"/>
      <c r="K11" s="230"/>
      <c r="L11" s="230"/>
      <c r="M11" s="230"/>
      <c r="N11" s="230"/>
      <c r="O11" s="230"/>
      <c r="P11" s="230"/>
      <c r="Q11" s="230"/>
      <c r="R11" s="230"/>
      <c r="S11" s="230"/>
      <c r="T11" s="230" t="s">
        <v>991</v>
      </c>
      <c r="U11" s="230"/>
      <c r="V11" s="230"/>
      <c r="W11" s="230"/>
      <c r="X11" s="230"/>
      <c r="Y11" s="230"/>
      <c r="Z11" s="231"/>
      <c r="AA11" s="229" t="s">
        <v>842</v>
      </c>
      <c r="AB11" s="231"/>
      <c r="AC11" s="235" t="s">
        <v>11</v>
      </c>
      <c r="AD11" s="314"/>
    </row>
    <row r="12" spans="1:30" ht="21" customHeight="1" x14ac:dyDescent="0.25">
      <c r="B12" s="313" t="s">
        <v>988</v>
      </c>
      <c r="C12" s="230" t="s">
        <v>990</v>
      </c>
      <c r="D12" s="230"/>
      <c r="E12" s="230"/>
      <c r="F12" s="230"/>
      <c r="G12" s="230"/>
      <c r="H12" s="230"/>
      <c r="I12" s="230"/>
      <c r="J12" s="230"/>
      <c r="K12" s="230"/>
      <c r="L12" s="230"/>
      <c r="M12" s="230"/>
      <c r="N12" s="230"/>
      <c r="O12" s="230"/>
      <c r="P12" s="230"/>
      <c r="Q12" s="230"/>
      <c r="R12" s="230"/>
      <c r="S12" s="230"/>
      <c r="T12" s="230"/>
      <c r="U12" s="230" t="s">
        <v>992</v>
      </c>
      <c r="V12" s="230"/>
      <c r="W12" s="230"/>
      <c r="X12" s="230"/>
      <c r="Y12" s="230"/>
      <c r="Z12" s="231"/>
      <c r="AA12" s="229" t="s">
        <v>842</v>
      </c>
      <c r="AB12" s="231"/>
      <c r="AC12" s="235" t="s">
        <v>11</v>
      </c>
      <c r="AD12" s="314"/>
    </row>
    <row r="13" spans="1:30" ht="21" customHeight="1" x14ac:dyDescent="0.25">
      <c r="B13" s="313" t="s">
        <v>432</v>
      </c>
      <c r="C13" s="230" t="s">
        <v>310</v>
      </c>
      <c r="D13" s="230"/>
      <c r="E13" s="230"/>
      <c r="F13" s="230"/>
      <c r="G13" s="230"/>
      <c r="H13" s="230"/>
      <c r="I13" s="230"/>
      <c r="J13" s="230"/>
      <c r="K13" s="230"/>
      <c r="L13" s="230"/>
      <c r="M13" s="230"/>
      <c r="N13" s="229"/>
      <c r="O13" s="230"/>
      <c r="P13" s="230"/>
      <c r="Q13" s="230"/>
      <c r="R13" s="230"/>
      <c r="S13" s="230"/>
      <c r="T13" s="230"/>
      <c r="U13" s="230"/>
      <c r="V13" s="230" t="s">
        <v>1161</v>
      </c>
      <c r="W13" s="230"/>
      <c r="X13" s="230"/>
      <c r="Y13" s="230"/>
      <c r="Z13" s="231"/>
      <c r="AA13" s="229" t="s">
        <v>842</v>
      </c>
      <c r="AB13" s="231"/>
      <c r="AC13" s="235" t="s">
        <v>11</v>
      </c>
      <c r="AD13" s="314"/>
    </row>
    <row r="14" spans="1:30" ht="18" x14ac:dyDescent="0.25">
      <c r="B14" s="313" t="s">
        <v>1102</v>
      </c>
      <c r="C14" s="230" t="s">
        <v>1104</v>
      </c>
      <c r="D14" s="230"/>
      <c r="E14" s="230"/>
      <c r="F14" s="230"/>
      <c r="G14" s="230"/>
      <c r="H14" s="230"/>
      <c r="I14" s="230"/>
      <c r="J14" s="230"/>
      <c r="K14" s="230"/>
      <c r="L14" s="230"/>
      <c r="M14" s="230"/>
      <c r="N14" s="229"/>
      <c r="O14" s="230"/>
      <c r="P14" s="230"/>
      <c r="Q14" s="230"/>
      <c r="R14" s="230"/>
      <c r="S14" s="230"/>
      <c r="T14" s="230"/>
      <c r="U14" s="230"/>
      <c r="V14" s="230"/>
      <c r="W14" s="230" t="s">
        <v>1101</v>
      </c>
      <c r="X14" s="230"/>
      <c r="Y14" s="230"/>
      <c r="Z14" s="231"/>
      <c r="AA14" s="229" t="s">
        <v>842</v>
      </c>
      <c r="AB14" s="231"/>
      <c r="AC14" s="235" t="s">
        <v>11</v>
      </c>
      <c r="AD14" s="314"/>
    </row>
    <row r="15" spans="1:30" ht="18" x14ac:dyDescent="0.25">
      <c r="B15" s="313" t="s">
        <v>433</v>
      </c>
      <c r="C15" s="230" t="s">
        <v>311</v>
      </c>
      <c r="D15" s="230"/>
      <c r="E15" s="230"/>
      <c r="F15" s="230"/>
      <c r="G15" s="230"/>
      <c r="H15" s="230"/>
      <c r="I15" s="230"/>
      <c r="J15" s="230"/>
      <c r="K15" s="230"/>
      <c r="L15" s="230"/>
      <c r="M15" s="230"/>
      <c r="N15" s="230"/>
      <c r="O15" s="230"/>
      <c r="P15" s="230"/>
      <c r="Q15" s="230"/>
      <c r="R15" s="230"/>
      <c r="S15" s="230"/>
      <c r="T15" s="230"/>
      <c r="U15" s="230"/>
      <c r="V15" s="230"/>
      <c r="W15" s="232"/>
      <c r="X15" s="230" t="s">
        <v>1162</v>
      </c>
      <c r="Y15" s="230"/>
      <c r="Z15" s="231"/>
      <c r="AA15" s="229" t="s">
        <v>842</v>
      </c>
      <c r="AB15" s="231"/>
      <c r="AC15" s="235" t="s">
        <v>11</v>
      </c>
      <c r="AD15" s="314"/>
    </row>
    <row r="16" spans="1:30" ht="18.75" thickBot="1" x14ac:dyDescent="0.3">
      <c r="B16" s="238" t="s">
        <v>1105</v>
      </c>
      <c r="C16" s="239" t="s">
        <v>1987</v>
      </c>
      <c r="D16" s="239"/>
      <c r="E16" s="239"/>
      <c r="F16" s="239"/>
      <c r="G16" s="239"/>
      <c r="H16" s="239"/>
      <c r="I16" s="239"/>
      <c r="J16" s="239"/>
      <c r="K16" s="239"/>
      <c r="L16" s="239"/>
      <c r="M16" s="239"/>
      <c r="N16" s="239"/>
      <c r="O16" s="239"/>
      <c r="P16" s="239"/>
      <c r="Q16" s="239"/>
      <c r="R16" s="239"/>
      <c r="S16" s="239"/>
      <c r="T16" s="239"/>
      <c r="U16" s="239"/>
      <c r="V16" s="239"/>
      <c r="W16" s="239"/>
      <c r="X16" s="239"/>
      <c r="Y16" s="239" t="s">
        <v>1598</v>
      </c>
      <c r="Z16" s="240"/>
      <c r="AA16" s="315" t="s">
        <v>842</v>
      </c>
      <c r="AB16" s="240"/>
      <c r="AC16" s="316" t="s">
        <v>11</v>
      </c>
      <c r="AD16" s="241"/>
    </row>
    <row r="17" spans="2:32" ht="15.75" thickBot="1" x14ac:dyDescent="0.3">
      <c r="B17" s="115"/>
      <c r="C17" s="131"/>
      <c r="D17" s="131"/>
      <c r="E17" s="131"/>
      <c r="F17" s="131"/>
      <c r="G17" s="131"/>
      <c r="H17" s="131"/>
      <c r="I17" s="131"/>
      <c r="J17" s="131"/>
      <c r="K17" s="131"/>
      <c r="L17" s="131"/>
      <c r="M17" s="131"/>
      <c r="N17" s="131"/>
      <c r="O17" s="131"/>
      <c r="P17" s="86"/>
      <c r="Q17" s="131"/>
      <c r="R17" s="131"/>
      <c r="S17" s="131"/>
      <c r="T17" s="131"/>
      <c r="U17" s="131"/>
      <c r="V17" s="131"/>
      <c r="W17" s="131"/>
      <c r="X17" s="131"/>
      <c r="Y17" s="131"/>
      <c r="Z17" s="80"/>
      <c r="AA17" s="115"/>
      <c r="AB17" s="80"/>
      <c r="AC17" s="80"/>
      <c r="AD17" s="80"/>
    </row>
    <row r="18" spans="2:32" ht="22.5" customHeight="1" thickBot="1" x14ac:dyDescent="0.3">
      <c r="B18" s="3"/>
      <c r="C18" s="132" t="s">
        <v>392</v>
      </c>
      <c r="D18" s="128" t="s">
        <v>1218</v>
      </c>
      <c r="E18" s="300"/>
      <c r="F18" s="300"/>
      <c r="G18" s="300"/>
      <c r="H18" s="300"/>
      <c r="I18" s="300"/>
      <c r="J18" s="300"/>
      <c r="K18" s="300"/>
      <c r="L18" s="300"/>
      <c r="M18" s="300"/>
      <c r="N18" s="300"/>
      <c r="O18" s="300"/>
      <c r="P18" s="300"/>
      <c r="Q18" s="300"/>
      <c r="R18" s="300"/>
      <c r="S18" s="300"/>
      <c r="T18" s="300"/>
      <c r="U18" s="300"/>
      <c r="V18" s="300"/>
      <c r="W18" s="301"/>
      <c r="X18" s="301"/>
      <c r="Y18" s="301"/>
    </row>
    <row r="19" spans="2:32" s="8" customFormat="1" ht="18.75" thickBot="1" x14ac:dyDescent="0.3">
      <c r="B19" s="310" t="s">
        <v>0</v>
      </c>
      <c r="C19" s="305" t="s">
        <v>1</v>
      </c>
      <c r="D19" s="692" t="s">
        <v>395</v>
      </c>
      <c r="E19" s="692" t="s">
        <v>397</v>
      </c>
      <c r="F19" s="692" t="s">
        <v>399</v>
      </c>
      <c r="G19" s="692" t="s">
        <v>401</v>
      </c>
      <c r="H19" s="693" t="s">
        <v>2195</v>
      </c>
      <c r="I19" s="693" t="s">
        <v>2197</v>
      </c>
      <c r="J19" s="692" t="s">
        <v>422</v>
      </c>
      <c r="K19" s="692" t="s">
        <v>403</v>
      </c>
      <c r="L19" s="692" t="s">
        <v>405</v>
      </c>
      <c r="M19" s="692" t="s">
        <v>407</v>
      </c>
      <c r="N19" s="692" t="s">
        <v>409</v>
      </c>
      <c r="O19" s="692" t="s">
        <v>411</v>
      </c>
      <c r="P19" s="692" t="s">
        <v>413</v>
      </c>
      <c r="Q19" s="692" t="s">
        <v>415</v>
      </c>
      <c r="R19" s="692" t="s">
        <v>417</v>
      </c>
      <c r="S19" s="692" t="s">
        <v>419</v>
      </c>
      <c r="T19" s="692" t="s">
        <v>993</v>
      </c>
      <c r="U19" s="692" t="s">
        <v>994</v>
      </c>
      <c r="V19" s="692" t="s">
        <v>1251</v>
      </c>
      <c r="W19" s="694" t="s">
        <v>1052</v>
      </c>
      <c r="X19" s="694" t="s">
        <v>1250</v>
      </c>
      <c r="Y19" s="694" t="s">
        <v>1054</v>
      </c>
      <c r="Z19" s="311" t="s">
        <v>152</v>
      </c>
      <c r="AA19" s="311" t="s">
        <v>2</v>
      </c>
      <c r="AB19" s="311" t="s">
        <v>298</v>
      </c>
      <c r="AC19" s="311" t="s">
        <v>116</v>
      </c>
      <c r="AD19" s="312" t="s">
        <v>117</v>
      </c>
    </row>
    <row r="20" spans="2:32" ht="22.5" customHeight="1" x14ac:dyDescent="0.25">
      <c r="B20" s="317" t="s">
        <v>388</v>
      </c>
      <c r="C20" s="318" t="s">
        <v>316</v>
      </c>
      <c r="D20" s="318">
        <v>1</v>
      </c>
      <c r="E20" s="318">
        <v>-1</v>
      </c>
      <c r="F20" s="318">
        <v>0</v>
      </c>
      <c r="G20" s="318">
        <v>1</v>
      </c>
      <c r="H20" s="429">
        <v>0</v>
      </c>
      <c r="I20" s="429">
        <v>-1</v>
      </c>
      <c r="J20" s="318">
        <v>-1</v>
      </c>
      <c r="K20" s="318">
        <v>0</v>
      </c>
      <c r="L20" s="318">
        <v>-1</v>
      </c>
      <c r="M20" s="318">
        <v>-2</v>
      </c>
      <c r="N20" s="318">
        <v>0</v>
      </c>
      <c r="O20" s="318">
        <v>-1</v>
      </c>
      <c r="P20" s="318">
        <v>-2</v>
      </c>
      <c r="Q20" s="318">
        <v>-3</v>
      </c>
      <c r="R20" s="318">
        <v>0</v>
      </c>
      <c r="S20" s="318">
        <v>-1</v>
      </c>
      <c r="T20" s="318">
        <v>2</v>
      </c>
      <c r="U20" s="318">
        <v>2</v>
      </c>
      <c r="V20" s="318">
        <v>1</v>
      </c>
      <c r="W20" s="318">
        <v>1</v>
      </c>
      <c r="X20" s="318">
        <v>-1</v>
      </c>
      <c r="Y20" s="318">
        <v>2</v>
      </c>
      <c r="Z20" s="319">
        <f>SUM(pH!D45:Y45)</f>
        <v>5.5681718888531996E-4</v>
      </c>
      <c r="AA20" s="319" t="s">
        <v>842</v>
      </c>
      <c r="AB20" s="319"/>
      <c r="AC20" s="319" t="s">
        <v>11</v>
      </c>
      <c r="AD20" s="320"/>
    </row>
    <row r="21" spans="2:32" ht="22.5" customHeight="1" thickBot="1" x14ac:dyDescent="0.3">
      <c r="B21" s="238" t="s">
        <v>843</v>
      </c>
      <c r="C21" s="239" t="s">
        <v>378</v>
      </c>
      <c r="D21" s="239" t="s">
        <v>1281</v>
      </c>
      <c r="E21" s="239" t="s">
        <v>1282</v>
      </c>
      <c r="F21" s="239">
        <v>0</v>
      </c>
      <c r="G21" s="239" t="s">
        <v>1281</v>
      </c>
      <c r="H21" s="239">
        <v>0</v>
      </c>
      <c r="I21" s="239" t="s">
        <v>1282</v>
      </c>
      <c r="J21" s="239" t="s">
        <v>1282</v>
      </c>
      <c r="K21" s="239">
        <v>0</v>
      </c>
      <c r="L21" s="239" t="s">
        <v>1282</v>
      </c>
      <c r="M21" s="239" t="s">
        <v>1283</v>
      </c>
      <c r="N21" s="239">
        <v>0</v>
      </c>
      <c r="O21" s="239" t="s">
        <v>1282</v>
      </c>
      <c r="P21" s="239" t="s">
        <v>1283</v>
      </c>
      <c r="Q21" s="239" t="s">
        <v>1284</v>
      </c>
      <c r="R21" s="239">
        <v>0</v>
      </c>
      <c r="S21" s="239" t="s">
        <v>1282</v>
      </c>
      <c r="T21" s="239" t="s">
        <v>1285</v>
      </c>
      <c r="U21" s="239" t="s">
        <v>1285</v>
      </c>
      <c r="V21" s="239" t="s">
        <v>1281</v>
      </c>
      <c r="W21" s="239" t="s">
        <v>1281</v>
      </c>
      <c r="X21" s="239" t="s">
        <v>1282</v>
      </c>
      <c r="Y21" s="239" t="s">
        <v>1285</v>
      </c>
      <c r="Z21" s="240">
        <f>SUM(pH!D46:Y46)</f>
        <v>1.47943558411052E-2</v>
      </c>
      <c r="AA21" s="240" t="s">
        <v>842</v>
      </c>
      <c r="AB21" s="240"/>
      <c r="AC21" s="316" t="s">
        <v>11</v>
      </c>
      <c r="AD21" s="241"/>
    </row>
    <row r="22" spans="2:32" x14ac:dyDescent="0.25">
      <c r="B22" s="7"/>
    </row>
    <row r="23" spans="2:32" x14ac:dyDescent="0.25">
      <c r="B23" s="71"/>
      <c r="C23" s="71"/>
      <c r="D23" s="71"/>
      <c r="E23" s="71"/>
      <c r="F23" s="71"/>
    </row>
    <row r="25" spans="2:32" ht="15.75" thickBot="1" x14ac:dyDescent="0.3"/>
    <row r="26" spans="2:32" ht="15.75" thickBot="1" x14ac:dyDescent="0.3">
      <c r="C26" s="55" t="s">
        <v>4</v>
      </c>
      <c r="D26" s="128" t="s">
        <v>317</v>
      </c>
      <c r="J26" s="1"/>
      <c r="K26" s="1"/>
    </row>
    <row r="27" spans="2:32" ht="18.75" thickBot="1" x14ac:dyDescent="0.3">
      <c r="B27" s="310"/>
      <c r="C27" s="305" t="s">
        <v>1</v>
      </c>
      <c r="D27" s="692" t="s">
        <v>395</v>
      </c>
      <c r="E27" s="692" t="s">
        <v>397</v>
      </c>
      <c r="F27" s="692" t="s">
        <v>399</v>
      </c>
      <c r="G27" s="692" t="s">
        <v>401</v>
      </c>
      <c r="H27" s="693" t="s">
        <v>2195</v>
      </c>
      <c r="I27" s="693" t="s">
        <v>2197</v>
      </c>
      <c r="J27" s="692" t="s">
        <v>422</v>
      </c>
      <c r="K27" s="692" t="s">
        <v>403</v>
      </c>
      <c r="L27" s="692" t="s">
        <v>405</v>
      </c>
      <c r="M27" s="692" t="s">
        <v>407</v>
      </c>
      <c r="N27" s="692" t="s">
        <v>409</v>
      </c>
      <c r="O27" s="692" t="s">
        <v>411</v>
      </c>
      <c r="P27" s="692" t="s">
        <v>413</v>
      </c>
      <c r="Q27" s="692" t="s">
        <v>415</v>
      </c>
      <c r="R27" s="692" t="s">
        <v>417</v>
      </c>
      <c r="S27" s="692" t="s">
        <v>419</v>
      </c>
      <c r="T27" s="692" t="s">
        <v>993</v>
      </c>
      <c r="U27" s="692" t="s">
        <v>994</v>
      </c>
      <c r="V27" s="692" t="s">
        <v>1251</v>
      </c>
      <c r="W27" s="694" t="s">
        <v>1052</v>
      </c>
      <c r="X27" s="694" t="s">
        <v>1250</v>
      </c>
      <c r="Y27" s="694" t="s">
        <v>1054</v>
      </c>
      <c r="Z27" s="311" t="s">
        <v>152</v>
      </c>
      <c r="AA27" s="311" t="s">
        <v>2</v>
      </c>
      <c r="AB27" s="311" t="s">
        <v>298</v>
      </c>
      <c r="AC27" s="311" t="s">
        <v>116</v>
      </c>
      <c r="AD27" s="312" t="s">
        <v>117</v>
      </c>
      <c r="AE27" s="8"/>
      <c r="AF27" s="8"/>
    </row>
    <row r="28" spans="2:32" ht="18.75" x14ac:dyDescent="0.25">
      <c r="B28" s="236" t="s">
        <v>423</v>
      </c>
      <c r="C28" s="234" t="s">
        <v>306</v>
      </c>
      <c r="D28" s="234">
        <f>10^(-p_H)</f>
        <v>6.3095734448019177E-8</v>
      </c>
      <c r="E28" s="234">
        <f>K_W/conc_Hp_I</f>
        <v>1.384875770636308E-7</v>
      </c>
      <c r="F28" s="234">
        <f>0</f>
        <v>0</v>
      </c>
      <c r="G28" s="234">
        <f>0</f>
        <v>0</v>
      </c>
      <c r="H28" s="430">
        <f>0</f>
        <v>0</v>
      </c>
      <c r="I28" s="430">
        <f>0</f>
        <v>0</v>
      </c>
      <c r="J28" s="234">
        <f>0</f>
        <v>0</v>
      </c>
      <c r="K28" s="234">
        <f>0</f>
        <v>0</v>
      </c>
      <c r="L28" s="234">
        <f>0</f>
        <v>0</v>
      </c>
      <c r="M28" s="234">
        <f>0</f>
        <v>0</v>
      </c>
      <c r="N28" s="234">
        <f>0</f>
        <v>0</v>
      </c>
      <c r="O28" s="234">
        <f>0</f>
        <v>0</v>
      </c>
      <c r="P28" s="234">
        <f>0</f>
        <v>0</v>
      </c>
      <c r="Q28" s="234">
        <f>0</f>
        <v>0</v>
      </c>
      <c r="R28" s="234">
        <f>0</f>
        <v>0</v>
      </c>
      <c r="S28" s="234">
        <f>0</f>
        <v>0</v>
      </c>
      <c r="T28" s="234">
        <f>0</f>
        <v>0</v>
      </c>
      <c r="U28" s="234">
        <f>0</f>
        <v>0</v>
      </c>
      <c r="V28" s="234">
        <f>0</f>
        <v>0</v>
      </c>
      <c r="W28" s="234">
        <f>0</f>
        <v>0</v>
      </c>
      <c r="X28" s="234">
        <f>0</f>
        <v>0</v>
      </c>
      <c r="Y28" s="234">
        <f>0</f>
        <v>0</v>
      </c>
      <c r="Z28" s="235"/>
      <c r="AA28" s="233" t="s">
        <v>841</v>
      </c>
      <c r="AB28" s="235"/>
      <c r="AC28" s="235" t="s">
        <v>11</v>
      </c>
      <c r="AD28" s="237"/>
    </row>
    <row r="29" spans="2:32" ht="18.75" x14ac:dyDescent="0.25">
      <c r="B29" s="464" t="s">
        <v>2440</v>
      </c>
      <c r="C29" s="230" t="s">
        <v>308</v>
      </c>
      <c r="D29" s="230">
        <f>0</f>
        <v>0</v>
      </c>
      <c r="E29" s="230">
        <f>0</f>
        <v>0</v>
      </c>
      <c r="F29" s="230">
        <f>(S_NHx/(A_MN*1000))*K_NH3/(conc_Hp_I+K_NH3)</f>
        <v>4.456809975059031E-7</v>
      </c>
      <c r="G29" s="230">
        <f>(S_NHx/(A_MN*1000))*conc_Hp_I/(conc_Hp_I+K_NH3)</f>
        <v>7.0948723109100212E-5</v>
      </c>
      <c r="H29" s="230">
        <f>0</f>
        <v>0</v>
      </c>
      <c r="I29" s="230">
        <f>0</f>
        <v>0</v>
      </c>
      <c r="J29" s="230">
        <f>0</f>
        <v>0</v>
      </c>
      <c r="K29" s="230">
        <f>0</f>
        <v>0</v>
      </c>
      <c r="L29" s="230">
        <f>0</f>
        <v>0</v>
      </c>
      <c r="M29" s="230">
        <f>0</f>
        <v>0</v>
      </c>
      <c r="N29" s="230">
        <f>0</f>
        <v>0</v>
      </c>
      <c r="O29" s="230">
        <f>0</f>
        <v>0</v>
      </c>
      <c r="P29" s="230">
        <f>0</f>
        <v>0</v>
      </c>
      <c r="Q29" s="230">
        <f>0</f>
        <v>0</v>
      </c>
      <c r="R29" s="230">
        <f>0</f>
        <v>0</v>
      </c>
      <c r="S29" s="230">
        <f>0</f>
        <v>0</v>
      </c>
      <c r="T29" s="230">
        <f>0</f>
        <v>0</v>
      </c>
      <c r="U29" s="230">
        <f>0</f>
        <v>0</v>
      </c>
      <c r="V29" s="230">
        <f>0</f>
        <v>0</v>
      </c>
      <c r="W29" s="230">
        <f>0</f>
        <v>0</v>
      </c>
      <c r="X29" s="230">
        <f>0</f>
        <v>0</v>
      </c>
      <c r="Y29" s="230">
        <f>0</f>
        <v>0</v>
      </c>
      <c r="Z29" s="231"/>
      <c r="AA29" s="229" t="s">
        <v>841</v>
      </c>
      <c r="AB29" s="231"/>
      <c r="AC29" s="235" t="s">
        <v>11</v>
      </c>
      <c r="AD29" s="314"/>
    </row>
    <row r="30" spans="2:32" ht="33.75" x14ac:dyDescent="0.25">
      <c r="B30" s="313" t="s">
        <v>2199</v>
      </c>
      <c r="C30" s="230" t="s">
        <v>757</v>
      </c>
      <c r="D30" s="230">
        <f>0</f>
        <v>0</v>
      </c>
      <c r="E30" s="230">
        <f>0</f>
        <v>0</v>
      </c>
      <c r="F30" s="230">
        <f>0</f>
        <v>0</v>
      </c>
      <c r="G30" s="230">
        <f>0</f>
        <v>0</v>
      </c>
      <c r="H30" s="230">
        <f>(S_NO2/(A_MN*1000))*conc_Hp_I/(conc_Hp_I+K_NO2)</f>
        <v>8.600116917741957E-10</v>
      </c>
      <c r="I30" s="230">
        <f>(K_NO2*S_NO2/(A_MN*1000))/(conc_Hp_I+K_NO2)</f>
        <v>7.1385803989688371E-6</v>
      </c>
      <c r="J30" s="230">
        <f>0</f>
        <v>0</v>
      </c>
      <c r="K30" s="230">
        <f>0</f>
        <v>0</v>
      </c>
      <c r="L30" s="230">
        <f>0</f>
        <v>0</v>
      </c>
      <c r="M30" s="230">
        <f>0</f>
        <v>0</v>
      </c>
      <c r="N30" s="230">
        <f>0</f>
        <v>0</v>
      </c>
      <c r="O30" s="230">
        <f>0</f>
        <v>0</v>
      </c>
      <c r="P30" s="230">
        <f>0</f>
        <v>0</v>
      </c>
      <c r="Q30" s="230">
        <f>0</f>
        <v>0</v>
      </c>
      <c r="R30" s="230">
        <f>0</f>
        <v>0</v>
      </c>
      <c r="S30" s="230">
        <f>0</f>
        <v>0</v>
      </c>
      <c r="T30" s="230">
        <f>0</f>
        <v>0</v>
      </c>
      <c r="U30" s="230">
        <f>0</f>
        <v>0</v>
      </c>
      <c r="V30" s="230">
        <f>0</f>
        <v>0</v>
      </c>
      <c r="W30" s="230">
        <f>0</f>
        <v>0</v>
      </c>
      <c r="X30" s="230">
        <f>0</f>
        <v>0</v>
      </c>
      <c r="Y30" s="230">
        <f>0</f>
        <v>0</v>
      </c>
      <c r="Z30" s="231"/>
      <c r="AA30" s="229" t="s">
        <v>841</v>
      </c>
      <c r="AB30" s="231"/>
      <c r="AC30" s="235" t="s">
        <v>11</v>
      </c>
      <c r="AD30" s="314"/>
    </row>
    <row r="31" spans="2:32" ht="18" x14ac:dyDescent="0.25">
      <c r="B31" s="313" t="s">
        <v>1103</v>
      </c>
      <c r="C31" s="230" t="s">
        <v>309</v>
      </c>
      <c r="D31" s="230">
        <f>0</f>
        <v>0</v>
      </c>
      <c r="E31" s="230">
        <f>0</f>
        <v>0</v>
      </c>
      <c r="F31" s="230">
        <f>0</f>
        <v>0</v>
      </c>
      <c r="G31" s="230">
        <f>0</f>
        <v>0</v>
      </c>
      <c r="H31" s="230">
        <f>0</f>
        <v>0</v>
      </c>
      <c r="I31" s="230">
        <f>0</f>
        <v>0</v>
      </c>
      <c r="J31" s="230">
        <f>S_NO3/(A_MN*1000)</f>
        <v>3.5697202053303062E-4</v>
      </c>
      <c r="K31" s="230">
        <f>0</f>
        <v>0</v>
      </c>
      <c r="L31" s="230">
        <f>0</f>
        <v>0</v>
      </c>
      <c r="M31" s="230">
        <f>0</f>
        <v>0</v>
      </c>
      <c r="N31" s="230">
        <f>0</f>
        <v>0</v>
      </c>
      <c r="O31" s="230">
        <f>0</f>
        <v>0</v>
      </c>
      <c r="P31" s="230">
        <f>0</f>
        <v>0</v>
      </c>
      <c r="Q31" s="230">
        <f>0</f>
        <v>0</v>
      </c>
      <c r="R31" s="230">
        <f>0</f>
        <v>0</v>
      </c>
      <c r="S31" s="230">
        <f>0</f>
        <v>0</v>
      </c>
      <c r="T31" s="230">
        <f>0</f>
        <v>0</v>
      </c>
      <c r="U31" s="230">
        <f>0</f>
        <v>0</v>
      </c>
      <c r="V31" s="230">
        <f>0</f>
        <v>0</v>
      </c>
      <c r="W31" s="230">
        <f>0</f>
        <v>0</v>
      </c>
      <c r="X31" s="230">
        <f>0</f>
        <v>0</v>
      </c>
      <c r="Y31" s="230">
        <f>0</f>
        <v>0</v>
      </c>
      <c r="Z31" s="231"/>
      <c r="AA31" s="229" t="s">
        <v>841</v>
      </c>
      <c r="AB31" s="231"/>
      <c r="AC31" s="235" t="s">
        <v>11</v>
      </c>
      <c r="AD31" s="314"/>
    </row>
    <row r="32" spans="2:32" ht="18.75" x14ac:dyDescent="0.25">
      <c r="B32" s="313" t="s">
        <v>425</v>
      </c>
      <c r="C32" s="230" t="s">
        <v>312</v>
      </c>
      <c r="D32" s="230">
        <f>0</f>
        <v>0</v>
      </c>
      <c r="E32" s="230">
        <f>0</f>
        <v>0</v>
      </c>
      <c r="F32" s="230">
        <f>0</f>
        <v>0</v>
      </c>
      <c r="G32" s="230">
        <f>0</f>
        <v>0</v>
      </c>
      <c r="H32" s="230">
        <f>0</f>
        <v>0</v>
      </c>
      <c r="I32" s="230">
        <f>0</f>
        <v>0</v>
      </c>
      <c r="J32" s="230">
        <f>0</f>
        <v>0</v>
      </c>
      <c r="K32" s="230">
        <f>S_CO2/(A_MC*1000)*conc_Hp_I^2/(conc_Hp_I^2+conc_Hp_I*K_C1+K_C1*K_C2)</f>
        <v>6.4880908822408209E-4</v>
      </c>
      <c r="L32" s="230">
        <f>conc_Hp_I*K_C1*S_CO2/(A_MC*1000)/(conc_Hp_I^2+conc_Hp_I*K_C1+K_C1*K_C2)</f>
        <v>5.5062302620906018E-3</v>
      </c>
      <c r="M32" s="230">
        <f>K_C2*K_C1*S_CO2/(A_MC*1000)/(conc_Hp_I^2+conc_Hp_I*K_C1+K_C1*K_C2)</f>
        <v>6.1336038012281396E-6</v>
      </c>
      <c r="N32" s="230">
        <f>0</f>
        <v>0</v>
      </c>
      <c r="O32" s="230">
        <f>0</f>
        <v>0</v>
      </c>
      <c r="P32" s="230">
        <f>0</f>
        <v>0</v>
      </c>
      <c r="Q32" s="230">
        <f>0</f>
        <v>0</v>
      </c>
      <c r="R32" s="230">
        <f>0</f>
        <v>0</v>
      </c>
      <c r="S32" s="230">
        <f>0</f>
        <v>0</v>
      </c>
      <c r="T32" s="230">
        <f>0</f>
        <v>0</v>
      </c>
      <c r="U32" s="230">
        <f>0</f>
        <v>0</v>
      </c>
      <c r="V32" s="230">
        <f>0</f>
        <v>0</v>
      </c>
      <c r="W32" s="230">
        <f>0</f>
        <v>0</v>
      </c>
      <c r="X32" s="230">
        <f>0</f>
        <v>0</v>
      </c>
      <c r="Y32" s="230">
        <f>0</f>
        <v>0</v>
      </c>
      <c r="Z32" s="231"/>
      <c r="AA32" s="229" t="s">
        <v>841</v>
      </c>
      <c r="AB32" s="231"/>
      <c r="AC32" s="235" t="s">
        <v>11</v>
      </c>
      <c r="AD32" s="314"/>
    </row>
    <row r="33" spans="2:32" ht="18.75" x14ac:dyDescent="0.25">
      <c r="B33" s="313" t="s">
        <v>426</v>
      </c>
      <c r="C33" s="230" t="s">
        <v>313</v>
      </c>
      <c r="D33" s="230">
        <f>0</f>
        <v>0</v>
      </c>
      <c r="E33" s="230">
        <f>0</f>
        <v>0</v>
      </c>
      <c r="F33" s="230">
        <f>0</f>
        <v>0</v>
      </c>
      <c r="G33" s="230">
        <f>0</f>
        <v>0</v>
      </c>
      <c r="H33" s="230">
        <f>0</f>
        <v>0</v>
      </c>
      <c r="I33" s="230">
        <f>0</f>
        <v>0</v>
      </c>
      <c r="J33" s="230">
        <f>0</f>
        <v>0</v>
      </c>
      <c r="K33" s="230">
        <f>0</f>
        <v>0</v>
      </c>
      <c r="L33" s="230">
        <f>0</f>
        <v>0</v>
      </c>
      <c r="M33" s="230">
        <f>0</f>
        <v>0</v>
      </c>
      <c r="N33" s="230">
        <f>S_PO4/(A_MP*1000)*conc_Hp_I^3/(conc_Hp_I^3+conc_Hp_I^2*K_P1+K_P2*conc_Hp_I*K_P1+K_P2*K_P1*K_P3)</f>
        <v>4.0344172931174842E-11</v>
      </c>
      <c r="O33" s="230">
        <f>conc_Hp_I^2*K_P1*S_PO4/(A_MP*1000)/(conc_Hp_I^3+conc_Hp_I^2*K_P1+K_P2*conc_Hp_I*K_P1+K_P2*K_P1*K_P3)</f>
        <v>6.1647215595877176E-6</v>
      </c>
      <c r="P33" s="230">
        <f>conc_Hp_I*K_P2/(conc_Hp_I^3+conc_Hp_I^2*K_P1+K_P2*conc_Hp_I*K_P1+K_P2*K_P1*K_P3)*K_P1*S_PO4/(A_MP*1000)</f>
        <v>9.9778036227837607E-6</v>
      </c>
      <c r="Q33" s="230">
        <f>K_P3*K_P2/(conc_Hp_I^3+conc_Hp_I^2*K_P1+K_P2*conc_Hp_I*K_P1+K_P2*K_P1*K_P3)*K_P1*S_PO4/(A_MP*1000)</f>
        <v>1.2959623276590366E-10</v>
      </c>
      <c r="R33" s="230">
        <f>0</f>
        <v>0</v>
      </c>
      <c r="S33" s="230">
        <f>0</f>
        <v>0</v>
      </c>
      <c r="T33" s="230">
        <f>0</f>
        <v>0</v>
      </c>
      <c r="U33" s="230">
        <f>0</f>
        <v>0</v>
      </c>
      <c r="V33" s="230">
        <f>0</f>
        <v>0</v>
      </c>
      <c r="W33" s="230">
        <f>0</f>
        <v>0</v>
      </c>
      <c r="X33" s="230">
        <f>0</f>
        <v>0</v>
      </c>
      <c r="Y33" s="230">
        <f>0</f>
        <v>0</v>
      </c>
      <c r="Z33" s="231"/>
      <c r="AA33" s="229" t="s">
        <v>841</v>
      </c>
      <c r="AB33" s="231"/>
      <c r="AC33" s="235" t="s">
        <v>11</v>
      </c>
      <c r="AD33" s="314"/>
    </row>
    <row r="34" spans="2:32" ht="18.75" x14ac:dyDescent="0.25">
      <c r="B34" s="313" t="s">
        <v>431</v>
      </c>
      <c r="C34" s="230" t="s">
        <v>314</v>
      </c>
      <c r="D34" s="230">
        <f>0</f>
        <v>0</v>
      </c>
      <c r="E34" s="230">
        <f>0</f>
        <v>0</v>
      </c>
      <c r="F34" s="230">
        <f>0</f>
        <v>0</v>
      </c>
      <c r="G34" s="230">
        <f>0</f>
        <v>0</v>
      </c>
      <c r="H34" s="230">
        <f>0</f>
        <v>0</v>
      </c>
      <c r="I34" s="230">
        <f>0</f>
        <v>0</v>
      </c>
      <c r="J34" s="230">
        <f>0</f>
        <v>0</v>
      </c>
      <c r="K34" s="230">
        <f>0</f>
        <v>0</v>
      </c>
      <c r="L34" s="230">
        <f>0</f>
        <v>0</v>
      </c>
      <c r="M34" s="230">
        <f>0</f>
        <v>0</v>
      </c>
      <c r="N34" s="230">
        <f>0</f>
        <v>0</v>
      </c>
      <c r="O34" s="230">
        <f>0</f>
        <v>0</v>
      </c>
      <c r="P34" s="230">
        <f>0</f>
        <v>0</v>
      </c>
      <c r="Q34" s="230">
        <f>0</f>
        <v>0</v>
      </c>
      <c r="R34" s="230">
        <f>conc_Hp_I*S_VFA/(4*A_MO*1000)/(conc_Hp_I+K_Ac)</f>
        <v>4.3337108963713439E-10</v>
      </c>
      <c r="S34" s="230">
        <f>S_VFA/(4*A_MO*1000)*K_Ac/(conc_Hp_I+K_Ac)</f>
        <v>1.5582248850509766E-7</v>
      </c>
      <c r="T34" s="230">
        <f>0</f>
        <v>0</v>
      </c>
      <c r="U34" s="230">
        <f>0</f>
        <v>0</v>
      </c>
      <c r="V34" s="230">
        <f>0</f>
        <v>0</v>
      </c>
      <c r="W34" s="230">
        <f>0</f>
        <v>0</v>
      </c>
      <c r="X34" s="230">
        <f>0</f>
        <v>0</v>
      </c>
      <c r="Y34" s="230">
        <f>0</f>
        <v>0</v>
      </c>
      <c r="Z34" s="231"/>
      <c r="AA34" s="229" t="s">
        <v>841</v>
      </c>
      <c r="AB34" s="231"/>
      <c r="AC34" s="235" t="s">
        <v>11</v>
      </c>
      <c r="AD34" s="314"/>
    </row>
    <row r="35" spans="2:32" ht="18" x14ac:dyDescent="0.25">
      <c r="B35" s="313" t="s">
        <v>987</v>
      </c>
      <c r="C35" s="230" t="s">
        <v>989</v>
      </c>
      <c r="D35" s="230">
        <f>0</f>
        <v>0</v>
      </c>
      <c r="E35" s="230">
        <f>0</f>
        <v>0</v>
      </c>
      <c r="F35" s="230">
        <f>0</f>
        <v>0</v>
      </c>
      <c r="G35" s="230">
        <f>0</f>
        <v>0</v>
      </c>
      <c r="H35" s="230">
        <f>0</f>
        <v>0</v>
      </c>
      <c r="I35" s="230">
        <f>0</f>
        <v>0</v>
      </c>
      <c r="J35" s="230">
        <f>0</f>
        <v>0</v>
      </c>
      <c r="K35" s="230">
        <f>0</f>
        <v>0</v>
      </c>
      <c r="L35" s="230">
        <f>0</f>
        <v>0</v>
      </c>
      <c r="M35" s="230">
        <f>0</f>
        <v>0</v>
      </c>
      <c r="N35" s="230">
        <f>0</f>
        <v>0</v>
      </c>
      <c r="O35" s="230">
        <f>0</f>
        <v>0</v>
      </c>
      <c r="P35" s="230">
        <f>0</f>
        <v>0</v>
      </c>
      <c r="Q35" s="230">
        <f>0</f>
        <v>0</v>
      </c>
      <c r="R35" s="230">
        <f>0</f>
        <v>0</v>
      </c>
      <c r="S35" s="230">
        <f>0</f>
        <v>0</v>
      </c>
      <c r="T35" s="230">
        <f>S_Ca/(A_MCa*1000)</f>
        <v>3.7427017316233346E-3</v>
      </c>
      <c r="U35" s="230">
        <f>0</f>
        <v>0</v>
      </c>
      <c r="V35" s="230">
        <f>0</f>
        <v>0</v>
      </c>
      <c r="W35" s="230">
        <f>0</f>
        <v>0</v>
      </c>
      <c r="X35" s="230">
        <f>0</f>
        <v>0</v>
      </c>
      <c r="Y35" s="230">
        <f>0</f>
        <v>0</v>
      </c>
      <c r="Z35" s="231"/>
      <c r="AA35" s="229" t="s">
        <v>842</v>
      </c>
      <c r="AB35" s="231"/>
      <c r="AC35" s="235" t="s">
        <v>11</v>
      </c>
      <c r="AD35" s="314"/>
    </row>
    <row r="36" spans="2:32" ht="18" x14ac:dyDescent="0.25">
      <c r="B36" s="313" t="s">
        <v>988</v>
      </c>
      <c r="C36" s="230" t="s">
        <v>990</v>
      </c>
      <c r="D36" s="230">
        <f>0</f>
        <v>0</v>
      </c>
      <c r="E36" s="230">
        <f>0</f>
        <v>0</v>
      </c>
      <c r="F36" s="230">
        <f>0</f>
        <v>0</v>
      </c>
      <c r="G36" s="230">
        <f>0</f>
        <v>0</v>
      </c>
      <c r="H36" s="230">
        <f>0</f>
        <v>0</v>
      </c>
      <c r="I36" s="230">
        <f>0</f>
        <v>0</v>
      </c>
      <c r="J36" s="230">
        <f>0</f>
        <v>0</v>
      </c>
      <c r="K36" s="230">
        <f>0</f>
        <v>0</v>
      </c>
      <c r="L36" s="230">
        <f>0</f>
        <v>0</v>
      </c>
      <c r="M36" s="230">
        <f>0</f>
        <v>0</v>
      </c>
      <c r="N36" s="230">
        <f>0</f>
        <v>0</v>
      </c>
      <c r="O36" s="230">
        <f>0</f>
        <v>0</v>
      </c>
      <c r="P36" s="230">
        <f>0</f>
        <v>0</v>
      </c>
      <c r="Q36" s="230">
        <f>0</f>
        <v>0</v>
      </c>
      <c r="R36" s="230">
        <f>0</f>
        <v>0</v>
      </c>
      <c r="S36" s="230">
        <f>0</f>
        <v>0</v>
      </c>
      <c r="T36" s="230">
        <f>0</f>
        <v>0</v>
      </c>
      <c r="U36" s="230">
        <f>S_Mg/(A_MMg*1000)</f>
        <v>6.1715696358773911E-4</v>
      </c>
      <c r="V36" s="230">
        <f>0</f>
        <v>0</v>
      </c>
      <c r="W36" s="230">
        <f>0</f>
        <v>0</v>
      </c>
      <c r="X36" s="230">
        <f>0</f>
        <v>0</v>
      </c>
      <c r="Y36" s="230">
        <f>0</f>
        <v>0</v>
      </c>
      <c r="Z36" s="231"/>
      <c r="AA36" s="229" t="s">
        <v>842</v>
      </c>
      <c r="AB36" s="231"/>
      <c r="AC36" s="235" t="s">
        <v>11</v>
      </c>
      <c r="AD36" s="314"/>
    </row>
    <row r="37" spans="2:32" ht="18" x14ac:dyDescent="0.25">
      <c r="B37" s="313" t="s">
        <v>432</v>
      </c>
      <c r="C37" s="230" t="s">
        <v>310</v>
      </c>
      <c r="D37" s="230">
        <f>0</f>
        <v>0</v>
      </c>
      <c r="E37" s="230">
        <f>0</f>
        <v>0</v>
      </c>
      <c r="F37" s="230">
        <f>0</f>
        <v>0</v>
      </c>
      <c r="G37" s="230">
        <f>0</f>
        <v>0</v>
      </c>
      <c r="H37" s="230">
        <f>0</f>
        <v>0</v>
      </c>
      <c r="I37" s="230">
        <f>0</f>
        <v>0</v>
      </c>
      <c r="J37" s="230">
        <f>0</f>
        <v>0</v>
      </c>
      <c r="K37" s="230">
        <f>0</f>
        <v>0</v>
      </c>
      <c r="L37" s="230">
        <f>0</f>
        <v>0</v>
      </c>
      <c r="M37" s="230">
        <f>0</f>
        <v>0</v>
      </c>
      <c r="N37" s="229">
        <f>0</f>
        <v>0</v>
      </c>
      <c r="O37" s="230">
        <f>0</f>
        <v>0</v>
      </c>
      <c r="P37" s="230">
        <f>0</f>
        <v>0</v>
      </c>
      <c r="Q37" s="230">
        <f>0</f>
        <v>0</v>
      </c>
      <c r="R37" s="230">
        <f>0</f>
        <v>0</v>
      </c>
      <c r="S37" s="230">
        <f>0</f>
        <v>0</v>
      </c>
      <c r="T37" s="230">
        <f>0</f>
        <v>0</v>
      </c>
      <c r="U37" s="230">
        <f>0</f>
        <v>0</v>
      </c>
      <c r="V37" s="230">
        <f>S_CAT/(A_MNa*1000)</f>
        <v>1.5224163409384409E-3</v>
      </c>
      <c r="W37" s="230">
        <f>0</f>
        <v>0</v>
      </c>
      <c r="X37" s="230">
        <f>0</f>
        <v>0</v>
      </c>
      <c r="Y37" s="230">
        <f>0</f>
        <v>0</v>
      </c>
      <c r="Z37" s="231"/>
      <c r="AA37" s="229" t="s">
        <v>842</v>
      </c>
      <c r="AB37" s="231"/>
      <c r="AC37" s="235" t="s">
        <v>11</v>
      </c>
      <c r="AD37" s="314"/>
    </row>
    <row r="38" spans="2:32" ht="18" x14ac:dyDescent="0.25">
      <c r="B38" s="313" t="s">
        <v>1102</v>
      </c>
      <c r="C38" s="230" t="s">
        <v>1104</v>
      </c>
      <c r="D38" s="230">
        <f>0</f>
        <v>0</v>
      </c>
      <c r="E38" s="230">
        <f>0</f>
        <v>0</v>
      </c>
      <c r="F38" s="230">
        <f>0</f>
        <v>0</v>
      </c>
      <c r="G38" s="230">
        <f>0</f>
        <v>0</v>
      </c>
      <c r="H38" s="230">
        <f>0</f>
        <v>0</v>
      </c>
      <c r="I38" s="230">
        <f>0</f>
        <v>0</v>
      </c>
      <c r="J38" s="230">
        <f>0</f>
        <v>0</v>
      </c>
      <c r="K38" s="230">
        <f>0</f>
        <v>0</v>
      </c>
      <c r="L38" s="230">
        <f>0</f>
        <v>0</v>
      </c>
      <c r="M38" s="230">
        <f>0</f>
        <v>0</v>
      </c>
      <c r="N38" s="229">
        <f>0</f>
        <v>0</v>
      </c>
      <c r="O38" s="230">
        <f>0</f>
        <v>0</v>
      </c>
      <c r="P38" s="230">
        <f>0</f>
        <v>0</v>
      </c>
      <c r="Q38" s="230">
        <f>0</f>
        <v>0</v>
      </c>
      <c r="R38" s="230">
        <f>0</f>
        <v>0</v>
      </c>
      <c r="S38" s="230">
        <f>0</f>
        <v>0</v>
      </c>
      <c r="T38" s="230">
        <f>0</f>
        <v>0</v>
      </c>
      <c r="U38" s="230">
        <f>0</f>
        <v>0</v>
      </c>
      <c r="V38" s="230">
        <f>0</f>
        <v>0</v>
      </c>
      <c r="W38" s="230">
        <f>S_K/(A_MK*1000)</f>
        <v>3.8364839391994023E-4</v>
      </c>
      <c r="X38" s="230">
        <f>0</f>
        <v>0</v>
      </c>
      <c r="Y38" s="230">
        <f>0</f>
        <v>0</v>
      </c>
      <c r="Z38" s="231"/>
      <c r="AA38" s="229" t="s">
        <v>842</v>
      </c>
      <c r="AB38" s="231"/>
      <c r="AC38" s="235" t="s">
        <v>11</v>
      </c>
      <c r="AD38" s="314"/>
    </row>
    <row r="39" spans="2:32" ht="18" x14ac:dyDescent="0.25">
      <c r="B39" s="313" t="s">
        <v>433</v>
      </c>
      <c r="C39" s="230" t="s">
        <v>311</v>
      </c>
      <c r="D39" s="230">
        <f>0</f>
        <v>0</v>
      </c>
      <c r="E39" s="230">
        <f>0</f>
        <v>0</v>
      </c>
      <c r="F39" s="230">
        <f>0</f>
        <v>0</v>
      </c>
      <c r="G39" s="230">
        <f>0</f>
        <v>0</v>
      </c>
      <c r="H39" s="230">
        <f>0</f>
        <v>0</v>
      </c>
      <c r="I39" s="230">
        <f>0</f>
        <v>0</v>
      </c>
      <c r="J39" s="230">
        <f>0</f>
        <v>0</v>
      </c>
      <c r="K39" s="230">
        <f>0</f>
        <v>0</v>
      </c>
      <c r="L39" s="230">
        <f>0</f>
        <v>0</v>
      </c>
      <c r="M39" s="230">
        <f>0</f>
        <v>0</v>
      </c>
      <c r="N39" s="230">
        <f>0</f>
        <v>0</v>
      </c>
      <c r="O39" s="230">
        <f>0</f>
        <v>0</v>
      </c>
      <c r="P39" s="230">
        <f>0</f>
        <v>0</v>
      </c>
      <c r="Q39" s="230">
        <f>0</f>
        <v>0</v>
      </c>
      <c r="R39" s="230">
        <f>0</f>
        <v>0</v>
      </c>
      <c r="S39" s="230">
        <f>0</f>
        <v>0</v>
      </c>
      <c r="T39" s="230">
        <f>0</f>
        <v>0</v>
      </c>
      <c r="U39" s="230">
        <f>0</f>
        <v>0</v>
      </c>
      <c r="V39" s="230">
        <f>0</f>
        <v>0</v>
      </c>
      <c r="W39" s="232">
        <f>0</f>
        <v>0</v>
      </c>
      <c r="X39" s="230">
        <f>S_AN/(A_MCl*1000)</f>
        <v>4.2309536569542774E-3</v>
      </c>
      <c r="Y39" s="230">
        <f>0</f>
        <v>0</v>
      </c>
      <c r="Z39" s="231"/>
      <c r="AA39" s="229" t="s">
        <v>842</v>
      </c>
      <c r="AB39" s="231"/>
      <c r="AC39" s="235" t="s">
        <v>11</v>
      </c>
      <c r="AD39" s="314"/>
    </row>
    <row r="40" spans="2:32" ht="18.75" thickBot="1" x14ac:dyDescent="0.3">
      <c r="B40" s="238" t="s">
        <v>1105</v>
      </c>
      <c r="C40" s="239" t="s">
        <v>1987</v>
      </c>
      <c r="D40" s="239">
        <f>0</f>
        <v>0</v>
      </c>
      <c r="E40" s="239">
        <f>0</f>
        <v>0</v>
      </c>
      <c r="F40" s="239">
        <f>0</f>
        <v>0</v>
      </c>
      <c r="G40" s="239">
        <f>0</f>
        <v>0</v>
      </c>
      <c r="H40" s="239">
        <f>0</f>
        <v>0</v>
      </c>
      <c r="I40" s="239">
        <f>0</f>
        <v>0</v>
      </c>
      <c r="J40" s="239">
        <f>0</f>
        <v>0</v>
      </c>
      <c r="K40" s="239">
        <f>0</f>
        <v>0</v>
      </c>
      <c r="L40" s="239">
        <f>0</f>
        <v>0</v>
      </c>
      <c r="M40" s="239">
        <f>0</f>
        <v>0</v>
      </c>
      <c r="N40" s="239">
        <f>0</f>
        <v>0</v>
      </c>
      <c r="O40" s="239">
        <f>0</f>
        <v>0</v>
      </c>
      <c r="P40" s="239">
        <f>0</f>
        <v>0</v>
      </c>
      <c r="Q40" s="239">
        <f>0</f>
        <v>0</v>
      </c>
      <c r="R40" s="239">
        <f>0</f>
        <v>0</v>
      </c>
      <c r="S40" s="239">
        <f>0</f>
        <v>0</v>
      </c>
      <c r="T40" s="239">
        <f>0</f>
        <v>0</v>
      </c>
      <c r="U40" s="239">
        <f>0</f>
        <v>0</v>
      </c>
      <c r="V40" s="239">
        <f>0</f>
        <v>0</v>
      </c>
      <c r="W40" s="239">
        <f>0</f>
        <v>0</v>
      </c>
      <c r="X40" s="239">
        <f>0</f>
        <v>0</v>
      </c>
      <c r="Y40" s="239">
        <f>S_Fe2/(A_MFe*1000)</f>
        <v>1.7906706061420003E-55</v>
      </c>
      <c r="Z40" s="240"/>
      <c r="AA40" s="315" t="s">
        <v>842</v>
      </c>
      <c r="AB40" s="240"/>
      <c r="AC40" s="316" t="s">
        <v>11</v>
      </c>
      <c r="AD40" s="241"/>
    </row>
    <row r="42" spans="2:32" ht="15.75" thickBot="1" x14ac:dyDescent="0.3"/>
    <row r="43" spans="2:32" ht="15.75" thickBot="1" x14ac:dyDescent="0.3">
      <c r="B43" s="3"/>
      <c r="C43" s="132" t="s">
        <v>392</v>
      </c>
      <c r="D43" s="128" t="s">
        <v>1218</v>
      </c>
      <c r="E43" s="300"/>
      <c r="F43" s="300"/>
      <c r="G43" s="300"/>
      <c r="H43" s="300"/>
      <c r="I43" s="300"/>
      <c r="J43" s="300"/>
      <c r="K43" s="300"/>
      <c r="L43" s="300"/>
      <c r="M43" s="300"/>
      <c r="N43" s="300"/>
      <c r="O43" s="300"/>
      <c r="P43" s="300"/>
      <c r="Q43" s="300"/>
      <c r="R43" s="300"/>
      <c r="S43" s="300"/>
      <c r="T43" s="300"/>
      <c r="U43" s="300"/>
      <c r="V43" s="300"/>
      <c r="W43" s="301"/>
      <c r="X43" s="301"/>
      <c r="Y43" s="301"/>
    </row>
    <row r="44" spans="2:32" ht="18.75" thickBot="1" x14ac:dyDescent="0.3">
      <c r="B44" s="310"/>
      <c r="C44" s="305" t="s">
        <v>1</v>
      </c>
      <c r="D44" s="692" t="s">
        <v>395</v>
      </c>
      <c r="E44" s="692" t="s">
        <v>397</v>
      </c>
      <c r="F44" s="692" t="s">
        <v>399</v>
      </c>
      <c r="G44" s="692" t="s">
        <v>401</v>
      </c>
      <c r="H44" s="693" t="s">
        <v>2195</v>
      </c>
      <c r="I44" s="693" t="s">
        <v>2197</v>
      </c>
      <c r="J44" s="692" t="s">
        <v>422</v>
      </c>
      <c r="K44" s="692" t="s">
        <v>403</v>
      </c>
      <c r="L44" s="692" t="s">
        <v>405</v>
      </c>
      <c r="M44" s="692" t="s">
        <v>407</v>
      </c>
      <c r="N44" s="692" t="s">
        <v>409</v>
      </c>
      <c r="O44" s="692" t="s">
        <v>411</v>
      </c>
      <c r="P44" s="692" t="s">
        <v>413</v>
      </c>
      <c r="Q44" s="692" t="s">
        <v>415</v>
      </c>
      <c r="R44" s="692" t="s">
        <v>417</v>
      </c>
      <c r="S44" s="692" t="s">
        <v>419</v>
      </c>
      <c r="T44" s="692" t="s">
        <v>993</v>
      </c>
      <c r="U44" s="692" t="s">
        <v>994</v>
      </c>
      <c r="V44" s="692" t="s">
        <v>1251</v>
      </c>
      <c r="W44" s="694" t="s">
        <v>1052</v>
      </c>
      <c r="X44" s="694" t="s">
        <v>1250</v>
      </c>
      <c r="Y44" s="694" t="s">
        <v>1054</v>
      </c>
      <c r="Z44" s="311" t="s">
        <v>152</v>
      </c>
      <c r="AA44" s="311" t="s">
        <v>2</v>
      </c>
      <c r="AB44" s="311" t="s">
        <v>298</v>
      </c>
      <c r="AC44" s="311" t="s">
        <v>116</v>
      </c>
      <c r="AD44" s="312" t="s">
        <v>117</v>
      </c>
      <c r="AE44" s="8"/>
      <c r="AF44" s="8"/>
    </row>
    <row r="45" spans="2:32" ht="17.25" x14ac:dyDescent="0.25">
      <c r="B45" s="317" t="s">
        <v>388</v>
      </c>
      <c r="C45" s="318" t="s">
        <v>316</v>
      </c>
      <c r="D45" s="318">
        <f>(1)*conc_Hp_I</f>
        <v>6.3095734448019177E-8</v>
      </c>
      <c r="E45" s="318">
        <f>(-1)*conc_OHm_I</f>
        <v>-1.384875770636308E-7</v>
      </c>
      <c r="F45" s="318">
        <f>(0)*conc_NH3_I</f>
        <v>0</v>
      </c>
      <c r="G45" s="318">
        <f>(1)*conc_NH4p_I</f>
        <v>7.0948723109100212E-5</v>
      </c>
      <c r="H45" s="429">
        <f>(0)*conc_HNO2_I</f>
        <v>0</v>
      </c>
      <c r="I45" s="429">
        <f>(-1)*conc_NO2m_I</f>
        <v>-7.1385803989688371E-6</v>
      </c>
      <c r="J45" s="318">
        <f>(-1)*conc_NO3m_I</f>
        <v>-3.5697202053303062E-4</v>
      </c>
      <c r="K45" s="318">
        <f>(0)*conc_H2CO3_I</f>
        <v>0</v>
      </c>
      <c r="L45" s="318">
        <f>(-1)*conc_HCO3m_I</f>
        <v>-5.5062302620906018E-3</v>
      </c>
      <c r="M45" s="318">
        <f>(-2)*conc_CO32m_I</f>
        <v>-1.2267207602456279E-5</v>
      </c>
      <c r="N45" s="318">
        <f>(0)*conc_H3PO4_I</f>
        <v>0</v>
      </c>
      <c r="O45" s="318">
        <f>(-1)*conc_H2PO4m_I</f>
        <v>-6.1647215595877176E-6</v>
      </c>
      <c r="P45" s="318">
        <f>(-2)*conc_HPO42m_I</f>
        <v>-1.9955607245567521E-5</v>
      </c>
      <c r="Q45" s="318">
        <f>(-3)*conc_PO43m_I</f>
        <v>-3.8878869829771096E-10</v>
      </c>
      <c r="R45" s="318">
        <f>(0)*conc_HAc_I</f>
        <v>0</v>
      </c>
      <c r="S45" s="318">
        <f>(-1)*conc_Acm_I</f>
        <v>-1.5582248850509766E-7</v>
      </c>
      <c r="T45" s="318">
        <f>(2)*conc_Ca2p_I</f>
        <v>7.4854034632466692E-3</v>
      </c>
      <c r="U45" s="318">
        <f>(2)*conc_Mg2p_I</f>
        <v>1.2343139271754782E-3</v>
      </c>
      <c r="V45" s="318">
        <f>(1)*conc_CATp_I</f>
        <v>1.5224163409384409E-3</v>
      </c>
      <c r="W45" s="318">
        <f>(1)*conc_Kp_I</f>
        <v>3.8364839391994023E-4</v>
      </c>
      <c r="X45" s="318">
        <f>(-1)*conc_ANm_I</f>
        <v>-4.2309536569542774E-3</v>
      </c>
      <c r="Y45" s="318">
        <f>(2)*conc_Fe2p_I</f>
        <v>3.5813412122840006E-55</v>
      </c>
      <c r="Z45" s="319" t="e">
        <f>SUM(pH!#REF!)</f>
        <v>#REF!</v>
      </c>
      <c r="AA45" s="319" t="s">
        <v>842</v>
      </c>
      <c r="AB45" s="319"/>
      <c r="AC45" s="319" t="s">
        <v>11</v>
      </c>
      <c r="AD45" s="320"/>
    </row>
    <row r="46" spans="2:32" ht="18.75" thickBot="1" x14ac:dyDescent="0.3">
      <c r="B46" s="238" t="s">
        <v>843</v>
      </c>
      <c r="C46" s="239" t="s">
        <v>378</v>
      </c>
      <c r="D46" s="239">
        <f>(f_mono_IS_cat)*conc_Hp_I</f>
        <v>3.1547867224009589E-8</v>
      </c>
      <c r="E46" s="239">
        <f>(f_mono_IS_an)*conc_OHm_I</f>
        <v>6.92437885318154E-8</v>
      </c>
      <c r="F46" s="239">
        <f>(0)*conc_NH3_I</f>
        <v>0</v>
      </c>
      <c r="G46" s="239">
        <f>(f_mono_IS_cat)*conc_NH4p_I</f>
        <v>3.5474361554550106E-5</v>
      </c>
      <c r="H46" s="239">
        <f>(0)*conc_HNO2_I</f>
        <v>0</v>
      </c>
      <c r="I46" s="239">
        <f>(f_mono_IS_an)*conc_NO2m_I</f>
        <v>3.5692901994844186E-6</v>
      </c>
      <c r="J46" s="239">
        <f>(f_mono_IS_an)*conc_NO3m_I</f>
        <v>1.7848601026651531E-4</v>
      </c>
      <c r="K46" s="239">
        <f>(0)*conc_H2CO3_I</f>
        <v>0</v>
      </c>
      <c r="L46" s="239">
        <f>(f_mono_IS_an)*conc_HCO3m_I</f>
        <v>2.7531151310453009E-3</v>
      </c>
      <c r="M46" s="239">
        <f>(f_di_IS_an)*conc_CO32m_I</f>
        <v>1.2267207602456279E-5</v>
      </c>
      <c r="N46" s="239">
        <f>(0)*conc_H3PO4_I</f>
        <v>0</v>
      </c>
      <c r="O46" s="239">
        <f>(f_mono_IS_an)*conc_H2PO4m_I</f>
        <v>3.0823607797938588E-6</v>
      </c>
      <c r="P46" s="239">
        <f>(f_di_IS_an)*conc_HPO42m_I</f>
        <v>1.9955607245567521E-5</v>
      </c>
      <c r="Q46" s="239">
        <f>(f_tri_IS_an)*conc_PO43m_I</f>
        <v>5.8318304744656643E-10</v>
      </c>
      <c r="R46" s="239">
        <f>(0)*conc_HAc_I</f>
        <v>0</v>
      </c>
      <c r="S46" s="239">
        <f>(f_mono_IS_an)*conc_Acm_I</f>
        <v>7.7911244252548829E-8</v>
      </c>
      <c r="T46" s="239">
        <f>(f_di_IS_cat)*conc_Ca2p_I</f>
        <v>7.4854034632466692E-3</v>
      </c>
      <c r="U46" s="239">
        <f>(f_di_IS_cat)*conc_Mg2p_I</f>
        <v>1.2343139271754782E-3</v>
      </c>
      <c r="V46" s="239">
        <f>(f_mono_IS_cat)*conc_CATp_I</f>
        <v>7.6120817046922043E-4</v>
      </c>
      <c r="W46" s="239">
        <f>(f_mono_IS_cat)*conc_Kp_I</f>
        <v>1.9182419695997011E-4</v>
      </c>
      <c r="X46" s="239">
        <f>(f_mono_IS_an)*conc_ANm_I</f>
        <v>2.1154768284771387E-3</v>
      </c>
      <c r="Y46" s="239">
        <f>(f_di_IS_cat)*conc_Fe2p_I</f>
        <v>3.5813412122840006E-55</v>
      </c>
      <c r="Z46" s="240" t="e">
        <f>SUM(pH!#REF!)</f>
        <v>#REF!</v>
      </c>
      <c r="AA46" s="240" t="s">
        <v>842</v>
      </c>
      <c r="AB46" s="240"/>
      <c r="AC46" s="316" t="s">
        <v>11</v>
      </c>
      <c r="AD46" s="241"/>
    </row>
  </sheetData>
  <phoneticPr fontId="3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23"/>
  <dimension ref="B1:H25"/>
  <sheetViews>
    <sheetView showGridLines="0" zoomScaleNormal="100" workbookViewId="0">
      <selection activeCell="B25" sqref="B25:D25"/>
    </sheetView>
  </sheetViews>
  <sheetFormatPr baseColWidth="10" defaultColWidth="9.140625" defaultRowHeight="15" x14ac:dyDescent="0.25"/>
  <cols>
    <col min="3" max="3" width="24.7109375" bestFit="1" customWidth="1"/>
    <col min="4" max="4" width="12" bestFit="1" customWidth="1"/>
    <col min="6" max="6" width="12" customWidth="1"/>
    <col min="7" max="7" width="14.7109375" style="150" customWidth="1"/>
    <col min="8" max="8" width="20.7109375" customWidth="1"/>
  </cols>
  <sheetData>
    <row r="1" spans="2:8" s="47" customFormat="1" ht="48" customHeight="1" thickBot="1" x14ac:dyDescent="0.3">
      <c r="G1" s="148"/>
    </row>
    <row r="2" spans="2:8" ht="15.75" thickBot="1" x14ac:dyDescent="0.3">
      <c r="B2" s="104"/>
      <c r="C2" s="117" t="s">
        <v>394</v>
      </c>
      <c r="D2" s="104"/>
      <c r="E2" s="104"/>
      <c r="F2" s="104"/>
      <c r="G2" s="149"/>
      <c r="H2" s="116"/>
    </row>
    <row r="3" spans="2:8" ht="15.75" thickBot="1" x14ac:dyDescent="0.3">
      <c r="B3" s="302" t="s">
        <v>0</v>
      </c>
      <c r="C3" s="303" t="s">
        <v>1</v>
      </c>
      <c r="D3" s="129" t="s">
        <v>152</v>
      </c>
      <c r="E3" s="303" t="s">
        <v>2</v>
      </c>
      <c r="F3" s="303" t="s">
        <v>298</v>
      </c>
      <c r="G3" s="303" t="s">
        <v>116</v>
      </c>
      <c r="H3" s="304" t="s">
        <v>117</v>
      </c>
    </row>
    <row r="4" spans="2:8" ht="17.25" x14ac:dyDescent="0.25">
      <c r="B4" s="151" t="s">
        <v>395</v>
      </c>
      <c r="C4" s="88" t="s">
        <v>396</v>
      </c>
      <c r="D4" s="82">
        <f>SUM(pH!D28:D40)</f>
        <v>6.3095734448019177E-8</v>
      </c>
      <c r="E4" s="91" t="s">
        <v>383</v>
      </c>
      <c r="F4" s="86">
        <v>2</v>
      </c>
      <c r="G4" s="86" t="s">
        <v>11</v>
      </c>
      <c r="H4" s="89"/>
    </row>
    <row r="5" spans="2:8" ht="17.25" x14ac:dyDescent="0.25">
      <c r="B5" s="90" t="s">
        <v>397</v>
      </c>
      <c r="C5" s="81" t="s">
        <v>398</v>
      </c>
      <c r="D5" s="91">
        <f>SUM(pH!E28:E40)</f>
        <v>1.384875770636308E-7</v>
      </c>
      <c r="E5" s="91" t="s">
        <v>383</v>
      </c>
      <c r="F5" s="91">
        <v>2</v>
      </c>
      <c r="G5" s="91" t="s">
        <v>11</v>
      </c>
      <c r="H5" s="92"/>
    </row>
    <row r="6" spans="2:8" ht="18" x14ac:dyDescent="0.25">
      <c r="B6" s="90" t="s">
        <v>399</v>
      </c>
      <c r="C6" s="81" t="s">
        <v>400</v>
      </c>
      <c r="D6" s="91">
        <f>SUM(pH!F28:F40)</f>
        <v>4.456809975059031E-7</v>
      </c>
      <c r="E6" s="91" t="s">
        <v>383</v>
      </c>
      <c r="F6" s="91">
        <v>2</v>
      </c>
      <c r="G6" s="91" t="s">
        <v>1247</v>
      </c>
      <c r="H6" s="92"/>
    </row>
    <row r="7" spans="2:8" ht="18" x14ac:dyDescent="0.25">
      <c r="B7" s="90" t="s">
        <v>401</v>
      </c>
      <c r="C7" s="81" t="s">
        <v>402</v>
      </c>
      <c r="D7" s="91">
        <f>SUM(pH!G28:G40)</f>
        <v>7.0948723109100212E-5</v>
      </c>
      <c r="E7" s="91" t="s">
        <v>383</v>
      </c>
      <c r="F7" s="91">
        <v>2</v>
      </c>
      <c r="G7" s="91" t="s">
        <v>1247</v>
      </c>
      <c r="H7" s="92"/>
    </row>
    <row r="8" spans="2:8" ht="18" x14ac:dyDescent="0.25">
      <c r="B8" s="90" t="s">
        <v>2195</v>
      </c>
      <c r="C8" s="83" t="s">
        <v>2196</v>
      </c>
      <c r="D8" s="91">
        <f>SUM(pH!H28:H40)</f>
        <v>8.600116917741957E-10</v>
      </c>
      <c r="E8" s="91" t="s">
        <v>383</v>
      </c>
      <c r="F8" s="91">
        <v>2</v>
      </c>
      <c r="G8" s="91" t="s">
        <v>11</v>
      </c>
      <c r="H8" s="92"/>
    </row>
    <row r="9" spans="2:8" ht="18" x14ac:dyDescent="0.25">
      <c r="B9" s="90" t="s">
        <v>2197</v>
      </c>
      <c r="C9" s="81" t="s">
        <v>2198</v>
      </c>
      <c r="D9" s="91">
        <f>SUM(pH!I28:I40)</f>
        <v>7.1385803989688371E-6</v>
      </c>
      <c r="E9" s="91" t="s">
        <v>383</v>
      </c>
      <c r="F9" s="91">
        <v>2</v>
      </c>
      <c r="G9" s="91" t="s">
        <v>11</v>
      </c>
      <c r="H9" s="92"/>
    </row>
    <row r="10" spans="2:8" ht="18" x14ac:dyDescent="0.25">
      <c r="B10" s="90" t="s">
        <v>422</v>
      </c>
      <c r="C10" s="81" t="s">
        <v>421</v>
      </c>
      <c r="D10" s="83">
        <f>SUM(pH!J28:J40)</f>
        <v>3.5697202053303062E-4</v>
      </c>
      <c r="E10" s="91" t="s">
        <v>383</v>
      </c>
      <c r="F10" s="91">
        <v>2</v>
      </c>
      <c r="G10" s="91" t="s">
        <v>11</v>
      </c>
      <c r="H10" s="92"/>
    </row>
    <row r="11" spans="2:8" ht="18" x14ac:dyDescent="0.25">
      <c r="B11" s="90" t="s">
        <v>403</v>
      </c>
      <c r="C11" s="81" t="s">
        <v>404</v>
      </c>
      <c r="D11" s="91">
        <f>SUM(pH!K28:K40)</f>
        <v>6.4880908822408209E-4</v>
      </c>
      <c r="E11" s="91" t="s">
        <v>383</v>
      </c>
      <c r="F11" s="91">
        <v>2</v>
      </c>
      <c r="G11" s="91" t="s">
        <v>1220</v>
      </c>
      <c r="H11" s="92"/>
    </row>
    <row r="12" spans="2:8" ht="18" x14ac:dyDescent="0.25">
      <c r="B12" s="90" t="s">
        <v>405</v>
      </c>
      <c r="C12" s="81" t="s">
        <v>406</v>
      </c>
      <c r="D12" s="91">
        <f>SUM(pH!L28:L40)</f>
        <v>5.5062302620906018E-3</v>
      </c>
      <c r="E12" s="91" t="s">
        <v>383</v>
      </c>
      <c r="F12" s="91">
        <v>2</v>
      </c>
      <c r="G12" s="91" t="s">
        <v>1220</v>
      </c>
      <c r="H12" s="92"/>
    </row>
    <row r="13" spans="2:8" ht="18" x14ac:dyDescent="0.25">
      <c r="B13" s="90" t="s">
        <v>407</v>
      </c>
      <c r="C13" s="81" t="s">
        <v>408</v>
      </c>
      <c r="D13" s="91">
        <f>SUM(pH!M28:M40)</f>
        <v>6.1336038012281396E-6</v>
      </c>
      <c r="E13" s="91" t="s">
        <v>383</v>
      </c>
      <c r="F13" s="91">
        <v>2</v>
      </c>
      <c r="G13" s="91" t="s">
        <v>1220</v>
      </c>
      <c r="H13" s="92"/>
    </row>
    <row r="14" spans="2:8" ht="18" x14ac:dyDescent="0.25">
      <c r="B14" s="90" t="s">
        <v>409</v>
      </c>
      <c r="C14" s="81" t="s">
        <v>410</v>
      </c>
      <c r="D14" s="91">
        <f>SUM(pH!N28:N40)</f>
        <v>4.0344172931174842E-11</v>
      </c>
      <c r="E14" s="91" t="s">
        <v>383</v>
      </c>
      <c r="F14" s="91">
        <v>2</v>
      </c>
      <c r="G14" s="91" t="s">
        <v>1221</v>
      </c>
      <c r="H14" s="92"/>
    </row>
    <row r="15" spans="2:8" ht="18" x14ac:dyDescent="0.25">
      <c r="B15" s="90" t="s">
        <v>411</v>
      </c>
      <c r="C15" s="81" t="s">
        <v>412</v>
      </c>
      <c r="D15" s="91">
        <f>SUM(pH!O28:O40)</f>
        <v>6.1647215595877176E-6</v>
      </c>
      <c r="E15" s="91" t="s">
        <v>383</v>
      </c>
      <c r="F15" s="91">
        <v>2</v>
      </c>
      <c r="G15" s="91" t="s">
        <v>1221</v>
      </c>
      <c r="H15" s="92"/>
    </row>
    <row r="16" spans="2:8" ht="18" x14ac:dyDescent="0.25">
      <c r="B16" s="90" t="s">
        <v>413</v>
      </c>
      <c r="C16" s="81" t="s">
        <v>414</v>
      </c>
      <c r="D16" s="91">
        <f>SUM(pH!P28:P40)</f>
        <v>9.9778036227837607E-6</v>
      </c>
      <c r="E16" s="91" t="s">
        <v>383</v>
      </c>
      <c r="F16" s="91">
        <v>2</v>
      </c>
      <c r="G16" s="91" t="s">
        <v>1221</v>
      </c>
      <c r="H16" s="84"/>
    </row>
    <row r="17" spans="2:8" ht="18" x14ac:dyDescent="0.25">
      <c r="B17" s="90" t="s">
        <v>415</v>
      </c>
      <c r="C17" s="83" t="s">
        <v>416</v>
      </c>
      <c r="D17" s="83">
        <f>SUM(pH!Q28:Q40)</f>
        <v>1.2959623276590366E-10</v>
      </c>
      <c r="E17" s="91" t="s">
        <v>383</v>
      </c>
      <c r="F17" s="91">
        <v>2</v>
      </c>
      <c r="G17" s="91" t="s">
        <v>1221</v>
      </c>
      <c r="H17" s="84"/>
    </row>
    <row r="18" spans="2:8" ht="18" x14ac:dyDescent="0.35">
      <c r="B18" s="93" t="s">
        <v>417</v>
      </c>
      <c r="C18" s="83" t="s">
        <v>418</v>
      </c>
      <c r="D18" s="83">
        <f>SUM(pH!R28:R40)</f>
        <v>4.3337108963713439E-10</v>
      </c>
      <c r="E18" s="91" t="s">
        <v>383</v>
      </c>
      <c r="F18" s="91">
        <v>2</v>
      </c>
      <c r="G18" s="97" t="s">
        <v>1604</v>
      </c>
      <c r="H18" s="84"/>
    </row>
    <row r="19" spans="2:8" ht="18" x14ac:dyDescent="0.35">
      <c r="B19" s="93" t="s">
        <v>419</v>
      </c>
      <c r="C19" s="83" t="s">
        <v>420</v>
      </c>
      <c r="D19" s="83">
        <f>SUM(pH!S28:S40)</f>
        <v>1.5582248850509766E-7</v>
      </c>
      <c r="E19" s="91" t="s">
        <v>383</v>
      </c>
      <c r="F19" s="91">
        <v>2</v>
      </c>
      <c r="G19" s="97" t="s">
        <v>1604</v>
      </c>
      <c r="H19" s="84"/>
    </row>
    <row r="20" spans="2:8" ht="18" x14ac:dyDescent="0.25">
      <c r="B20" s="90" t="s">
        <v>993</v>
      </c>
      <c r="C20" s="83" t="s">
        <v>995</v>
      </c>
      <c r="D20" s="83">
        <f>SUM(pH!T28:T40)</f>
        <v>3.7427017316233346E-3</v>
      </c>
      <c r="E20" s="91" t="s">
        <v>383</v>
      </c>
      <c r="F20" s="91">
        <v>2</v>
      </c>
      <c r="G20" s="91" t="s">
        <v>1222</v>
      </c>
      <c r="H20" s="84"/>
    </row>
    <row r="21" spans="2:8" ht="18" x14ac:dyDescent="0.35">
      <c r="B21" s="90" t="s">
        <v>994</v>
      </c>
      <c r="C21" s="83" t="s">
        <v>996</v>
      </c>
      <c r="D21" s="83">
        <f>SUM(pH!U28:U40)</f>
        <v>6.1715696358773911E-4</v>
      </c>
      <c r="E21" s="91" t="s">
        <v>383</v>
      </c>
      <c r="F21" s="91">
        <v>2</v>
      </c>
      <c r="G21" s="97" t="s">
        <v>1223</v>
      </c>
      <c r="H21" s="84"/>
    </row>
    <row r="22" spans="2:8" ht="18" x14ac:dyDescent="0.35">
      <c r="B22" s="93" t="s">
        <v>1251</v>
      </c>
      <c r="C22" s="83" t="s">
        <v>1051</v>
      </c>
      <c r="D22" s="83">
        <f>SUM(pH!V28:V40)</f>
        <v>1.5224163409384409E-3</v>
      </c>
      <c r="E22" s="91" t="s">
        <v>383</v>
      </c>
      <c r="F22" s="91">
        <v>2</v>
      </c>
      <c r="G22" s="97" t="s">
        <v>1224</v>
      </c>
      <c r="H22" s="84"/>
    </row>
    <row r="23" spans="2:8" ht="18" x14ac:dyDescent="0.35">
      <c r="B23" s="93" t="s">
        <v>1052</v>
      </c>
      <c r="C23" s="83" t="s">
        <v>1044</v>
      </c>
      <c r="D23" s="83">
        <f>SUM(pH!W28:W40)</f>
        <v>3.8364839391994023E-4</v>
      </c>
      <c r="E23" s="91" t="s">
        <v>383</v>
      </c>
      <c r="F23" s="91">
        <v>2</v>
      </c>
      <c r="G23" s="97" t="s">
        <v>1225</v>
      </c>
      <c r="H23" s="84"/>
    </row>
    <row r="24" spans="2:8" ht="18" x14ac:dyDescent="0.35">
      <c r="B24" s="93" t="s">
        <v>1250</v>
      </c>
      <c r="C24" s="83" t="s">
        <v>1053</v>
      </c>
      <c r="D24" s="83">
        <f>SUM(pH!X28:X40)</f>
        <v>4.2309536569542774E-3</v>
      </c>
      <c r="E24" s="91" t="s">
        <v>383</v>
      </c>
      <c r="F24" s="91">
        <v>2</v>
      </c>
      <c r="G24" s="97" t="s">
        <v>1226</v>
      </c>
      <c r="H24" s="84"/>
    </row>
    <row r="25" spans="2:8" ht="18.75" thickBot="1" x14ac:dyDescent="0.4">
      <c r="B25" s="94" t="s">
        <v>1054</v>
      </c>
      <c r="C25" s="95" t="s">
        <v>1049</v>
      </c>
      <c r="D25" s="95">
        <f>SUM(pH!Y28:Y40)</f>
        <v>1.7906706061420003E-55</v>
      </c>
      <c r="E25" s="91" t="s">
        <v>383</v>
      </c>
      <c r="F25" s="96">
        <v>2</v>
      </c>
      <c r="G25" s="98" t="s">
        <v>1614</v>
      </c>
      <c r="H25" s="85"/>
    </row>
  </sheetData>
  <pageMargins left="0.7" right="0.7" top="0.75" bottom="0.75" header="0.3" footer="0.3"/>
  <pageSetup paperSize="9" orientation="portrait" horizontalDpi="4294967293"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13"/>
  <dimension ref="B1:I13"/>
  <sheetViews>
    <sheetView showGridLines="0" workbookViewId="0">
      <selection activeCell="L12" sqref="L12"/>
    </sheetView>
  </sheetViews>
  <sheetFormatPr baseColWidth="10" defaultColWidth="9.140625" defaultRowHeight="15" x14ac:dyDescent="0.25"/>
  <cols>
    <col min="1" max="1" width="4" style="21" customWidth="1"/>
    <col min="2" max="2" width="22" style="20" customWidth="1"/>
    <col min="3" max="3" width="9.5703125" style="21" customWidth="1"/>
    <col min="4" max="16384" width="9.140625" style="21"/>
  </cols>
  <sheetData>
    <row r="1" spans="2:9" ht="56.25" customHeight="1" thickBot="1" x14ac:dyDescent="0.3"/>
    <row r="2" spans="2:9" s="20" customFormat="1" ht="15.75" thickBot="1" x14ac:dyDescent="0.3">
      <c r="B2" s="22" t="s">
        <v>134</v>
      </c>
      <c r="C2" s="23" t="s">
        <v>135</v>
      </c>
      <c r="D2" s="23" t="s">
        <v>136</v>
      </c>
      <c r="E2" s="23" t="s">
        <v>137</v>
      </c>
      <c r="F2" s="23" t="s">
        <v>138</v>
      </c>
      <c r="G2" s="23" t="s">
        <v>139</v>
      </c>
      <c r="H2" s="23" t="s">
        <v>140</v>
      </c>
      <c r="I2" s="24" t="s">
        <v>141</v>
      </c>
    </row>
    <row r="3" spans="2:9" ht="15.75" thickBot="1" x14ac:dyDescent="0.3">
      <c r="B3" s="25" t="s">
        <v>8</v>
      </c>
      <c r="C3" s="26">
        <v>1</v>
      </c>
      <c r="D3" s="26">
        <v>0</v>
      </c>
      <c r="E3" s="26">
        <v>-1</v>
      </c>
      <c r="F3" s="26">
        <v>-1</v>
      </c>
      <c r="G3" s="26">
        <v>1</v>
      </c>
      <c r="H3" s="27">
        <v>-1</v>
      </c>
      <c r="I3" s="28"/>
    </row>
    <row r="4" spans="2:9" x14ac:dyDescent="0.25">
      <c r="B4" s="29" t="s">
        <v>135</v>
      </c>
      <c r="C4" s="30">
        <v>1</v>
      </c>
      <c r="D4" s="30"/>
      <c r="E4" s="30"/>
      <c r="F4" s="30"/>
      <c r="G4" s="30"/>
      <c r="H4" s="31"/>
      <c r="I4" s="28"/>
    </row>
    <row r="5" spans="2:9" x14ac:dyDescent="0.25">
      <c r="B5" s="29" t="s">
        <v>136</v>
      </c>
      <c r="C5" s="30"/>
      <c r="D5" s="30">
        <v>1</v>
      </c>
      <c r="E5" s="30"/>
      <c r="F5" s="30"/>
      <c r="G5" s="30"/>
      <c r="H5" s="31"/>
      <c r="I5" s="28"/>
    </row>
    <row r="6" spans="2:9" x14ac:dyDescent="0.25">
      <c r="B6" s="29" t="s">
        <v>142</v>
      </c>
      <c r="C6" s="30"/>
      <c r="D6" s="30"/>
      <c r="E6" s="30">
        <v>1</v>
      </c>
      <c r="F6" s="30"/>
      <c r="G6" s="30"/>
      <c r="H6" s="31"/>
      <c r="I6" s="28"/>
    </row>
    <row r="7" spans="2:9" x14ac:dyDescent="0.25">
      <c r="B7" s="29" t="s">
        <v>143</v>
      </c>
      <c r="C7" s="30"/>
      <c r="D7" s="30"/>
      <c r="E7" s="30"/>
      <c r="F7" s="30">
        <v>1</v>
      </c>
      <c r="G7" s="30"/>
      <c r="H7" s="31"/>
      <c r="I7" s="28"/>
    </row>
    <row r="8" spans="2:9" x14ac:dyDescent="0.25">
      <c r="B8" s="29" t="s">
        <v>139</v>
      </c>
      <c r="C8" s="30"/>
      <c r="D8" s="30"/>
      <c r="E8" s="30"/>
      <c r="F8" s="30"/>
      <c r="G8" s="30">
        <v>1</v>
      </c>
      <c r="H8" s="31"/>
      <c r="I8" s="28"/>
    </row>
    <row r="9" spans="2:9" ht="15.75" thickBot="1" x14ac:dyDescent="0.3">
      <c r="B9" s="32" t="s">
        <v>140</v>
      </c>
      <c r="C9" s="33"/>
      <c r="D9" s="33"/>
      <c r="E9" s="33"/>
      <c r="F9" s="33"/>
      <c r="G9" s="33"/>
      <c r="H9" s="34">
        <v>1</v>
      </c>
    </row>
    <row r="10" spans="2:9" x14ac:dyDescent="0.25">
      <c r="B10" s="29" t="s">
        <v>144</v>
      </c>
      <c r="C10" s="30">
        <v>-1</v>
      </c>
      <c r="D10" s="30">
        <v>0</v>
      </c>
      <c r="E10" s="30">
        <v>0</v>
      </c>
      <c r="F10" s="30">
        <v>0</v>
      </c>
      <c r="G10" s="30">
        <v>0</v>
      </c>
      <c r="H10" s="30">
        <v>0</v>
      </c>
      <c r="I10" s="35">
        <v>-14.163232949999999</v>
      </c>
    </row>
    <row r="11" spans="2:9" ht="15.75" thickBot="1" x14ac:dyDescent="0.3">
      <c r="B11" s="29" t="s">
        <v>145</v>
      </c>
      <c r="C11" s="30">
        <v>1</v>
      </c>
      <c r="D11" s="30">
        <v>1</v>
      </c>
      <c r="E11" s="30">
        <v>0</v>
      </c>
      <c r="F11" s="30">
        <v>0</v>
      </c>
      <c r="G11" s="30">
        <v>0</v>
      </c>
      <c r="H11" s="30">
        <v>0</v>
      </c>
      <c r="I11" s="36">
        <v>9.4016472899999997</v>
      </c>
    </row>
    <row r="12" spans="2:9" x14ac:dyDescent="0.25">
      <c r="B12" s="37" t="s">
        <v>146</v>
      </c>
      <c r="C12" s="40"/>
      <c r="D12" s="40">
        <v>1E-3</v>
      </c>
      <c r="E12" s="40">
        <v>1E-3</v>
      </c>
      <c r="F12" s="40">
        <v>1E-3</v>
      </c>
      <c r="G12" s="40">
        <v>1E-3</v>
      </c>
      <c r="H12" s="38">
        <v>1E-3</v>
      </c>
      <c r="I12" s="28"/>
    </row>
    <row r="13" spans="2:9" ht="15.75" thickBot="1" x14ac:dyDescent="0.3">
      <c r="B13" s="32" t="s">
        <v>147</v>
      </c>
      <c r="C13" s="39">
        <v>9.9999999999999995E-8</v>
      </c>
      <c r="D13" s="39">
        <v>1E-4</v>
      </c>
      <c r="E13" s="33">
        <v>1E-3</v>
      </c>
      <c r="F13" s="33">
        <v>1E-3</v>
      </c>
      <c r="G13" s="33">
        <v>1E-3</v>
      </c>
      <c r="H13" s="34">
        <v>1E-3</v>
      </c>
      <c r="I13" s="2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7"/>
  <dimension ref="A1:Z88"/>
  <sheetViews>
    <sheetView showGridLines="0" zoomScaleNormal="100" workbookViewId="0">
      <pane xSplit="2" ySplit="3" topLeftCell="C16" activePane="bottomRight" state="frozen"/>
      <selection pane="topRight" activeCell="C1" sqref="C1"/>
      <selection pane="bottomLeft" activeCell="A4" sqref="A4"/>
      <selection pane="bottomRight" activeCell="B88" sqref="B88:E88"/>
    </sheetView>
  </sheetViews>
  <sheetFormatPr baseColWidth="10" defaultColWidth="9.140625" defaultRowHeight="15" x14ac:dyDescent="0.25"/>
  <cols>
    <col min="1" max="1" width="8.140625" customWidth="1"/>
    <col min="2" max="2" width="18.28515625" customWidth="1"/>
    <col min="3" max="3" width="53.5703125" style="69" bestFit="1" customWidth="1"/>
    <col min="4" max="13" width="19.140625" customWidth="1"/>
    <col min="14" max="14" width="11.140625" bestFit="1" customWidth="1"/>
    <col min="15" max="15" width="11.5703125" bestFit="1" customWidth="1"/>
    <col min="16" max="16" width="10.28515625" bestFit="1" customWidth="1"/>
    <col min="17" max="18" width="10.140625" customWidth="1"/>
    <col min="19" max="19" width="13" customWidth="1"/>
    <col min="20" max="20" width="12" customWidth="1"/>
    <col min="21" max="21" width="13" style="150" customWidth="1"/>
    <col min="22" max="22" width="30.28515625" bestFit="1" customWidth="1"/>
    <col min="23" max="23" width="74.140625" bestFit="1" customWidth="1"/>
    <col min="24" max="24" width="19.28515625" customWidth="1"/>
    <col min="26" max="26" width="10.28515625" bestFit="1" customWidth="1"/>
  </cols>
  <sheetData>
    <row r="1" spans="1:26" s="47" customFormat="1" ht="48" customHeight="1" thickBot="1" x14ac:dyDescent="0.3">
      <c r="A1" s="50"/>
      <c r="B1" s="51"/>
      <c r="C1" s="72"/>
      <c r="U1" s="148"/>
    </row>
    <row r="2" spans="1:26" ht="19.5" customHeight="1" thickBot="1" x14ac:dyDescent="0.3">
      <c r="A2" s="3"/>
      <c r="B2" s="4"/>
      <c r="C2" s="1236" t="s">
        <v>838</v>
      </c>
      <c r="D2" s="3"/>
      <c r="E2" s="3"/>
      <c r="F2" s="3"/>
      <c r="G2" s="3"/>
      <c r="H2" s="3"/>
      <c r="I2" s="3"/>
      <c r="J2" s="3"/>
      <c r="K2" s="3"/>
      <c r="L2" s="3"/>
      <c r="M2" s="3"/>
      <c r="N2" s="3"/>
      <c r="O2" s="3"/>
      <c r="P2" s="3"/>
      <c r="Q2" s="3"/>
    </row>
    <row r="3" spans="1:26" s="3" customFormat="1" ht="15.75" thickBot="1" x14ac:dyDescent="0.3">
      <c r="A3" s="5"/>
      <c r="B3" s="306" t="s">
        <v>0</v>
      </c>
      <c r="C3" s="1259" t="s">
        <v>1</v>
      </c>
      <c r="D3" s="305" t="s">
        <v>12</v>
      </c>
      <c r="E3" s="305" t="s">
        <v>13</v>
      </c>
      <c r="F3" s="1951" t="s">
        <v>4548</v>
      </c>
      <c r="G3" s="305" t="s">
        <v>1947</v>
      </c>
      <c r="H3" s="331" t="s">
        <v>1209</v>
      </c>
      <c r="I3" s="305" t="s">
        <v>1175</v>
      </c>
      <c r="J3" s="308" t="s">
        <v>1602</v>
      </c>
      <c r="K3" s="308" t="s">
        <v>3066</v>
      </c>
      <c r="L3" s="1779" t="s">
        <v>4463</v>
      </c>
      <c r="M3" s="1779" t="s">
        <v>4464</v>
      </c>
      <c r="N3" s="565" t="s">
        <v>470</v>
      </c>
      <c r="O3" s="565" t="s">
        <v>471</v>
      </c>
      <c r="P3" s="307" t="s">
        <v>2</v>
      </c>
      <c r="Q3" s="307" t="s">
        <v>298</v>
      </c>
      <c r="R3" s="307" t="s">
        <v>14</v>
      </c>
      <c r="S3" s="307" t="s">
        <v>840</v>
      </c>
      <c r="T3" s="307" t="s">
        <v>3</v>
      </c>
      <c r="U3" s="1276" t="s">
        <v>4313</v>
      </c>
      <c r="V3" s="307" t="s">
        <v>116</v>
      </c>
      <c r="W3" s="309" t="s">
        <v>7</v>
      </c>
    </row>
    <row r="4" spans="1:26" ht="18" x14ac:dyDescent="0.25">
      <c r="A4" s="78"/>
      <c r="B4" s="1860" t="s">
        <v>803</v>
      </c>
      <c r="C4" s="1861" t="s">
        <v>2870</v>
      </c>
      <c r="D4" s="1261">
        <v>20</v>
      </c>
      <c r="E4" s="1261">
        <v>0.01</v>
      </c>
      <c r="F4" s="1261">
        <v>20</v>
      </c>
      <c r="G4" s="1261">
        <v>0.01</v>
      </c>
      <c r="H4" s="1261">
        <v>100</v>
      </c>
      <c r="I4" s="1261">
        <v>0.01</v>
      </c>
      <c r="J4" s="1261">
        <v>1E-3</v>
      </c>
      <c r="K4" s="1261">
        <v>0.01</v>
      </c>
      <c r="L4" s="1261">
        <v>0.16527800000000001</v>
      </c>
      <c r="M4" s="1261">
        <v>46.764600000000002</v>
      </c>
      <c r="N4" s="1862" t="s">
        <v>3064</v>
      </c>
      <c r="O4" s="1862" t="s">
        <v>3065</v>
      </c>
      <c r="P4" s="1863" t="s">
        <v>319</v>
      </c>
      <c r="Q4" s="1863">
        <v>1</v>
      </c>
      <c r="R4" s="1863" t="s">
        <v>256</v>
      </c>
      <c r="S4" s="1863" t="s">
        <v>257</v>
      </c>
      <c r="T4" s="1863" t="s">
        <v>260</v>
      </c>
      <c r="U4" s="1863" t="s">
        <v>148</v>
      </c>
      <c r="V4" s="1864"/>
      <c r="W4" s="1522"/>
      <c r="Z4" s="334"/>
    </row>
    <row r="5" spans="1:26" ht="18" x14ac:dyDescent="0.25">
      <c r="A5" s="78"/>
      <c r="B5" s="1865" t="s">
        <v>804</v>
      </c>
      <c r="C5" s="1866" t="s">
        <v>290</v>
      </c>
      <c r="D5" s="1260">
        <v>45</v>
      </c>
      <c r="E5" s="2452">
        <v>1</v>
      </c>
      <c r="F5" s="2452">
        <v>45</v>
      </c>
      <c r="G5" s="2452">
        <v>1</v>
      </c>
      <c r="H5" s="2455">
        <v>65</v>
      </c>
      <c r="I5" s="2452">
        <v>1</v>
      </c>
      <c r="J5" s="1260">
        <v>1</v>
      </c>
      <c r="K5" s="1261">
        <v>1</v>
      </c>
      <c r="L5" s="1261">
        <v>1.8964799999999999</v>
      </c>
      <c r="M5" s="1261">
        <v>4.2870100000000001E-2</v>
      </c>
      <c r="N5" s="1262" t="s">
        <v>3064</v>
      </c>
      <c r="O5" s="1262" t="s">
        <v>3065</v>
      </c>
      <c r="P5" s="1867" t="s">
        <v>319</v>
      </c>
      <c r="Q5" s="1867">
        <v>1</v>
      </c>
      <c r="R5" s="1867" t="s">
        <v>256</v>
      </c>
      <c r="S5" s="1867" t="s">
        <v>257</v>
      </c>
      <c r="T5" s="1867" t="s">
        <v>260</v>
      </c>
      <c r="U5" s="1863" t="s">
        <v>148</v>
      </c>
      <c r="V5" s="1040"/>
      <c r="W5" s="1523"/>
      <c r="Z5" s="334"/>
    </row>
    <row r="6" spans="1:26" ht="18" x14ac:dyDescent="0.25">
      <c r="A6" s="78"/>
      <c r="B6" s="1865" t="s">
        <v>805</v>
      </c>
      <c r="C6" s="1866" t="s">
        <v>2871</v>
      </c>
      <c r="D6" s="1260" t="s">
        <v>1210</v>
      </c>
      <c r="E6" s="2490">
        <v>1E-50</v>
      </c>
      <c r="F6" s="2452" t="s">
        <v>1210</v>
      </c>
      <c r="G6" s="2452" t="s">
        <v>1210</v>
      </c>
      <c r="H6" s="2452" t="s">
        <v>1210</v>
      </c>
      <c r="I6" s="2452" t="s">
        <v>1210</v>
      </c>
      <c r="J6" s="1260">
        <v>0.01</v>
      </c>
      <c r="K6" s="1261" t="s">
        <v>1210</v>
      </c>
      <c r="L6" s="1261" t="s">
        <v>1210</v>
      </c>
      <c r="M6" s="1261" t="s">
        <v>1210</v>
      </c>
      <c r="N6" s="1262" t="s">
        <v>3064</v>
      </c>
      <c r="O6" s="1262" t="s">
        <v>3065</v>
      </c>
      <c r="P6" s="1867" t="s">
        <v>319</v>
      </c>
      <c r="Q6" s="1867">
        <v>1</v>
      </c>
      <c r="R6" s="1867" t="s">
        <v>256</v>
      </c>
      <c r="S6" s="1867" t="s">
        <v>257</v>
      </c>
      <c r="T6" s="1867" t="s">
        <v>260</v>
      </c>
      <c r="U6" s="1863" t="s">
        <v>148</v>
      </c>
      <c r="V6" s="1040"/>
      <c r="W6" s="1523"/>
      <c r="Z6" s="334"/>
    </row>
    <row r="7" spans="1:26" ht="18" x14ac:dyDescent="0.25">
      <c r="A7" s="78"/>
      <c r="B7" s="1865" t="s">
        <v>806</v>
      </c>
      <c r="C7" s="1866" t="s">
        <v>214</v>
      </c>
      <c r="D7" s="1260">
        <v>68</v>
      </c>
      <c r="E7" s="2452">
        <v>0.01</v>
      </c>
      <c r="F7" s="2452">
        <v>68.000000000000199</v>
      </c>
      <c r="G7" s="2455">
        <v>0.5</v>
      </c>
      <c r="H7" s="2455">
        <v>0.01</v>
      </c>
      <c r="I7" s="2452">
        <v>0.01</v>
      </c>
      <c r="J7" s="1260" t="s">
        <v>1210</v>
      </c>
      <c r="K7" s="1261">
        <v>0.01</v>
      </c>
      <c r="L7" s="1261" t="s">
        <v>1210</v>
      </c>
      <c r="M7" s="1261" t="s">
        <v>1210</v>
      </c>
      <c r="N7" s="1262" t="s">
        <v>3064</v>
      </c>
      <c r="O7" s="1262" t="s">
        <v>3065</v>
      </c>
      <c r="P7" s="1867" t="s">
        <v>319</v>
      </c>
      <c r="Q7" s="1867">
        <v>1</v>
      </c>
      <c r="R7" s="1867" t="s">
        <v>256</v>
      </c>
      <c r="S7" s="1867" t="s">
        <v>258</v>
      </c>
      <c r="T7" s="1867" t="s">
        <v>260</v>
      </c>
      <c r="U7" s="1863" t="s">
        <v>148</v>
      </c>
      <c r="V7" s="1040"/>
      <c r="W7" s="1523"/>
      <c r="Z7" s="334"/>
    </row>
    <row r="8" spans="1:26" s="69" customFormat="1" ht="18" x14ac:dyDescent="0.25">
      <c r="A8" s="78"/>
      <c r="B8" s="2451" t="s">
        <v>5243</v>
      </c>
      <c r="C8" s="2430" t="s">
        <v>215</v>
      </c>
      <c r="D8" s="2452">
        <v>165.1</v>
      </c>
      <c r="E8" s="2452">
        <v>14</v>
      </c>
      <c r="F8" s="2452">
        <v>66.7</v>
      </c>
      <c r="G8" s="2452">
        <v>14</v>
      </c>
      <c r="H8" s="2455">
        <v>85</v>
      </c>
      <c r="I8" s="2452">
        <v>40</v>
      </c>
      <c r="J8" s="2452">
        <v>100</v>
      </c>
      <c r="K8" s="1261">
        <v>5.6000000000000005</v>
      </c>
      <c r="L8" s="1261">
        <v>11.280799999999999</v>
      </c>
      <c r="M8" s="1261">
        <v>17.7393775</v>
      </c>
      <c r="N8" s="2453" t="s">
        <v>3064</v>
      </c>
      <c r="O8" s="2453" t="s">
        <v>3065</v>
      </c>
      <c r="P8" s="2453" t="s">
        <v>319</v>
      </c>
      <c r="Q8" s="2453">
        <v>1</v>
      </c>
      <c r="R8" s="2453" t="s">
        <v>256</v>
      </c>
      <c r="S8" s="2453" t="s">
        <v>259</v>
      </c>
      <c r="T8" s="2453" t="s">
        <v>260</v>
      </c>
      <c r="U8" s="1863" t="s">
        <v>148</v>
      </c>
      <c r="V8" s="2454" t="s">
        <v>5244</v>
      </c>
      <c r="W8" s="2153"/>
      <c r="Z8" s="913"/>
    </row>
    <row r="9" spans="1:26" s="69" customFormat="1" ht="18" x14ac:dyDescent="0.25">
      <c r="A9" s="78"/>
      <c r="B9" s="2451" t="s">
        <v>5240</v>
      </c>
      <c r="C9" s="2430" t="s">
        <v>5241</v>
      </c>
      <c r="D9" s="1260" t="s">
        <v>1210</v>
      </c>
      <c r="E9" s="2455">
        <v>65</v>
      </c>
      <c r="F9" s="1260" t="s">
        <v>1210</v>
      </c>
      <c r="G9" s="2455">
        <v>65</v>
      </c>
      <c r="H9" s="2455">
        <v>260</v>
      </c>
      <c r="I9" s="2455">
        <v>400</v>
      </c>
      <c r="J9" s="2452">
        <v>100</v>
      </c>
      <c r="K9" s="1261">
        <v>5.6000000000000005</v>
      </c>
      <c r="L9" s="1261">
        <v>11.280799999999999</v>
      </c>
      <c r="M9" s="1261">
        <v>17.7393775</v>
      </c>
      <c r="N9" s="2453" t="s">
        <v>3064</v>
      </c>
      <c r="O9" s="2453" t="s">
        <v>3065</v>
      </c>
      <c r="P9" s="2453" t="s">
        <v>319</v>
      </c>
      <c r="Q9" s="2453">
        <v>1</v>
      </c>
      <c r="R9" s="2453" t="s">
        <v>256</v>
      </c>
      <c r="S9" s="2453" t="s">
        <v>259</v>
      </c>
      <c r="T9" s="2453" t="s">
        <v>260</v>
      </c>
      <c r="U9" s="1863" t="s">
        <v>148</v>
      </c>
      <c r="V9" s="2454" t="s">
        <v>5242</v>
      </c>
      <c r="W9" s="2153"/>
      <c r="Z9" s="913"/>
    </row>
    <row r="10" spans="1:26" ht="18" x14ac:dyDescent="0.25">
      <c r="A10" s="78"/>
      <c r="B10" s="1865" t="s">
        <v>808</v>
      </c>
      <c r="C10" s="1866" t="s">
        <v>216</v>
      </c>
      <c r="D10" s="1260">
        <v>20</v>
      </c>
      <c r="E10" s="2455">
        <v>20</v>
      </c>
      <c r="F10" s="2452">
        <v>20</v>
      </c>
      <c r="G10" s="2455">
        <v>20</v>
      </c>
      <c r="H10" s="2455">
        <v>20</v>
      </c>
      <c r="I10" s="2455">
        <v>20</v>
      </c>
      <c r="J10" s="1260">
        <v>7</v>
      </c>
      <c r="K10" s="1261">
        <v>7</v>
      </c>
      <c r="L10" s="1261">
        <v>20</v>
      </c>
      <c r="M10" s="1261">
        <v>20</v>
      </c>
      <c r="N10" s="1262" t="s">
        <v>3064</v>
      </c>
      <c r="O10" s="1262" t="s">
        <v>3065</v>
      </c>
      <c r="P10" s="1867" t="s">
        <v>319</v>
      </c>
      <c r="Q10" s="1867">
        <v>1</v>
      </c>
      <c r="R10" s="1867" t="s">
        <v>256</v>
      </c>
      <c r="S10" s="1867" t="s">
        <v>257</v>
      </c>
      <c r="T10" s="1867" t="s">
        <v>260</v>
      </c>
      <c r="U10" s="1863" t="s">
        <v>148</v>
      </c>
      <c r="V10" s="1040"/>
      <c r="W10" s="1523"/>
      <c r="Z10" s="334"/>
    </row>
    <row r="11" spans="1:26" ht="18" x14ac:dyDescent="0.25">
      <c r="A11" s="78"/>
      <c r="B11" s="1865" t="s">
        <v>809</v>
      </c>
      <c r="C11" s="1866" t="s">
        <v>217</v>
      </c>
      <c r="D11" s="1260">
        <v>17</v>
      </c>
      <c r="E11" s="1260">
        <v>0.01</v>
      </c>
      <c r="F11" s="1883">
        <v>17</v>
      </c>
      <c r="G11" s="1260">
        <v>0.01</v>
      </c>
      <c r="H11" s="1260">
        <v>0.01</v>
      </c>
      <c r="I11" s="1260">
        <v>0.01</v>
      </c>
      <c r="J11" s="1260" t="s">
        <v>1210</v>
      </c>
      <c r="K11" s="1261">
        <v>0.01</v>
      </c>
      <c r="L11" s="1261" t="s">
        <v>1210</v>
      </c>
      <c r="M11" s="1261" t="s">
        <v>1210</v>
      </c>
      <c r="N11" s="1262" t="s">
        <v>3064</v>
      </c>
      <c r="O11" s="1262" t="s">
        <v>3065</v>
      </c>
      <c r="P11" s="1867" t="s">
        <v>319</v>
      </c>
      <c r="Q11" s="1867">
        <v>1</v>
      </c>
      <c r="R11" s="1867" t="s">
        <v>256</v>
      </c>
      <c r="S11" s="1867" t="s">
        <v>258</v>
      </c>
      <c r="T11" s="1867" t="s">
        <v>260</v>
      </c>
      <c r="U11" s="1863" t="s">
        <v>148</v>
      </c>
      <c r="V11" s="1040"/>
      <c r="W11" s="1523"/>
      <c r="Z11" s="334"/>
    </row>
    <row r="12" spans="1:26" ht="18" x14ac:dyDescent="0.25">
      <c r="A12" s="78"/>
      <c r="B12" s="1865" t="s">
        <v>810</v>
      </c>
      <c r="C12" s="1866" t="s">
        <v>218</v>
      </c>
      <c r="D12" s="1260">
        <v>58.8</v>
      </c>
      <c r="E12" s="1260">
        <v>1000</v>
      </c>
      <c r="F12" s="1883">
        <v>25.25</v>
      </c>
      <c r="G12" s="1260">
        <v>1000</v>
      </c>
      <c r="H12" s="2455">
        <v>16600</v>
      </c>
      <c r="I12" s="1260">
        <v>18000</v>
      </c>
      <c r="J12" s="1260">
        <v>1700</v>
      </c>
      <c r="K12" s="1261">
        <v>400</v>
      </c>
      <c r="L12" s="1261">
        <v>68.736199999999997</v>
      </c>
      <c r="M12" s="1261">
        <v>96655.975000000006</v>
      </c>
      <c r="N12" s="1262" t="s">
        <v>3064</v>
      </c>
      <c r="O12" s="1262" t="s">
        <v>3065</v>
      </c>
      <c r="P12" s="1867" t="s">
        <v>319</v>
      </c>
      <c r="Q12" s="1867">
        <v>1</v>
      </c>
      <c r="R12" s="1867" t="s">
        <v>256</v>
      </c>
      <c r="S12" s="1867" t="s">
        <v>259</v>
      </c>
      <c r="T12" s="1867" t="s">
        <v>260</v>
      </c>
      <c r="U12" s="1863" t="s">
        <v>148</v>
      </c>
      <c r="V12" s="1040" t="s">
        <v>4889</v>
      </c>
      <c r="W12" s="1523"/>
      <c r="Z12" s="334"/>
    </row>
    <row r="13" spans="1:26" ht="18" x14ac:dyDescent="0.25">
      <c r="A13" s="78"/>
      <c r="B13" s="2451" t="s">
        <v>5138</v>
      </c>
      <c r="C13" s="2430" t="s">
        <v>5139</v>
      </c>
      <c r="D13" s="1268">
        <v>0.1</v>
      </c>
      <c r="E13" s="1264">
        <v>20</v>
      </c>
      <c r="F13" s="1883">
        <v>4.2999999999999997E-2</v>
      </c>
      <c r="G13" s="1264">
        <v>20</v>
      </c>
      <c r="H13" s="2491">
        <v>0.5</v>
      </c>
      <c r="I13" s="1269">
        <v>1.0000000000000001E-5</v>
      </c>
      <c r="J13" s="1265">
        <v>215</v>
      </c>
      <c r="K13" s="1266">
        <v>88.800000000000011</v>
      </c>
      <c r="L13" s="1266">
        <v>5.7214199999999996E-3</v>
      </c>
      <c r="M13" s="1266">
        <v>81.744</v>
      </c>
      <c r="N13" s="1262" t="s">
        <v>3064</v>
      </c>
      <c r="O13" s="1262" t="s">
        <v>3065</v>
      </c>
      <c r="P13" s="1867" t="s">
        <v>319</v>
      </c>
      <c r="Q13" s="1867">
        <v>1</v>
      </c>
      <c r="R13" s="1867" t="s">
        <v>256</v>
      </c>
      <c r="S13" s="1867" t="s">
        <v>259</v>
      </c>
      <c r="T13" s="1867" t="s">
        <v>260</v>
      </c>
      <c r="U13" s="1863" t="s">
        <v>148</v>
      </c>
      <c r="V13" s="1040" t="s">
        <v>5238</v>
      </c>
      <c r="W13" s="1523"/>
      <c r="Z13" s="334"/>
    </row>
    <row r="14" spans="1:26" ht="18" x14ac:dyDescent="0.25">
      <c r="A14" s="78"/>
      <c r="B14" s="2451" t="s">
        <v>5140</v>
      </c>
      <c r="C14" s="2430" t="s">
        <v>5141</v>
      </c>
      <c r="D14" s="1268">
        <v>0.1</v>
      </c>
      <c r="E14" s="1264">
        <v>3</v>
      </c>
      <c r="F14" s="1883">
        <v>4.2999999999999997E-2</v>
      </c>
      <c r="G14" s="1264">
        <v>3</v>
      </c>
      <c r="H14" s="2491">
        <v>0.5</v>
      </c>
      <c r="I14" s="1265">
        <v>0.1</v>
      </c>
      <c r="J14" s="1265">
        <v>75</v>
      </c>
      <c r="K14" s="1266">
        <v>12</v>
      </c>
      <c r="L14" s="1266">
        <v>1.0054499999999999E-2</v>
      </c>
      <c r="M14" s="1266">
        <v>3773.12</v>
      </c>
      <c r="N14" s="1262" t="s">
        <v>3064</v>
      </c>
      <c r="O14" s="1262" t="s">
        <v>3065</v>
      </c>
      <c r="P14" s="1867" t="s">
        <v>319</v>
      </c>
      <c r="Q14" s="1867">
        <v>1</v>
      </c>
      <c r="R14" s="1867" t="s">
        <v>256</v>
      </c>
      <c r="S14" s="1867" t="s">
        <v>259</v>
      </c>
      <c r="T14" s="1867" t="s">
        <v>260</v>
      </c>
      <c r="U14" s="1863" t="s">
        <v>148</v>
      </c>
      <c r="V14" s="1040" t="s">
        <v>5238</v>
      </c>
      <c r="W14" s="1523"/>
      <c r="Z14" s="334"/>
    </row>
    <row r="15" spans="1:26" ht="18" x14ac:dyDescent="0.25">
      <c r="A15" s="78"/>
      <c r="B15" s="1865" t="s">
        <v>811</v>
      </c>
      <c r="C15" s="1866" t="s">
        <v>219</v>
      </c>
      <c r="D15" s="1260">
        <v>4.2</v>
      </c>
      <c r="E15" s="1260">
        <v>300</v>
      </c>
      <c r="F15" s="1883">
        <v>1.8</v>
      </c>
      <c r="G15" s="1260">
        <v>300</v>
      </c>
      <c r="H15" s="2455">
        <v>3900</v>
      </c>
      <c r="I15" s="1260">
        <v>11000</v>
      </c>
      <c r="J15" s="1260">
        <v>800</v>
      </c>
      <c r="K15" s="1261">
        <v>120</v>
      </c>
      <c r="L15" s="1261">
        <v>9.2073900000000002</v>
      </c>
      <c r="M15" s="1261">
        <v>2247.9470000000001</v>
      </c>
      <c r="N15" s="1262" t="s">
        <v>3064</v>
      </c>
      <c r="O15" s="1262" t="s">
        <v>3065</v>
      </c>
      <c r="P15" s="1867" t="s">
        <v>319</v>
      </c>
      <c r="Q15" s="1867">
        <v>1</v>
      </c>
      <c r="R15" s="1867" t="s">
        <v>256</v>
      </c>
      <c r="S15" s="1867" t="s">
        <v>259</v>
      </c>
      <c r="T15" s="1867" t="s">
        <v>260</v>
      </c>
      <c r="U15" s="1863" t="s">
        <v>148</v>
      </c>
      <c r="V15" s="1040"/>
      <c r="W15" s="1523"/>
      <c r="Z15" s="334"/>
    </row>
    <row r="16" spans="1:26" ht="18" x14ac:dyDescent="0.25">
      <c r="A16" s="78"/>
      <c r="B16" s="1865" t="s">
        <v>1727</v>
      </c>
      <c r="C16" s="1866" t="s">
        <v>1134</v>
      </c>
      <c r="D16" s="1260" t="s">
        <v>1210</v>
      </c>
      <c r="E16" s="1260">
        <v>0.1</v>
      </c>
      <c r="F16" s="1260" t="s">
        <v>1210</v>
      </c>
      <c r="G16" s="1260">
        <v>0.1</v>
      </c>
      <c r="H16" s="2455">
        <v>840</v>
      </c>
      <c r="I16" s="1260">
        <v>0.01</v>
      </c>
      <c r="J16" s="1260">
        <v>2</v>
      </c>
      <c r="K16" s="1261">
        <v>4.0000000000000008E-2</v>
      </c>
      <c r="L16" s="1261">
        <v>9.3004500000000004E-2</v>
      </c>
      <c r="M16" s="1261">
        <v>16355.365</v>
      </c>
      <c r="N16" s="1262" t="s">
        <v>3064</v>
      </c>
      <c r="O16" s="1262" t="s">
        <v>3065</v>
      </c>
      <c r="P16" s="1867" t="s">
        <v>319</v>
      </c>
      <c r="Q16" s="1867">
        <v>1</v>
      </c>
      <c r="R16" s="1867" t="s">
        <v>256</v>
      </c>
      <c r="S16" s="1867" t="s">
        <v>259</v>
      </c>
      <c r="T16" s="1867" t="s">
        <v>260</v>
      </c>
      <c r="U16" s="1863" t="s">
        <v>148</v>
      </c>
      <c r="V16" s="1040"/>
      <c r="W16" s="1523"/>
      <c r="Z16" s="334"/>
    </row>
    <row r="17" spans="1:26" ht="18" x14ac:dyDescent="0.25">
      <c r="A17" s="78"/>
      <c r="B17" s="1865" t="s">
        <v>812</v>
      </c>
      <c r="C17" s="1866" t="s">
        <v>2872</v>
      </c>
      <c r="D17" s="1260">
        <v>21</v>
      </c>
      <c r="E17" s="1260">
        <v>500</v>
      </c>
      <c r="F17" s="1883">
        <v>9</v>
      </c>
      <c r="G17" s="1260">
        <v>500</v>
      </c>
      <c r="H17" s="2455">
        <v>1750</v>
      </c>
      <c r="I17" s="1260">
        <v>7700</v>
      </c>
      <c r="J17" s="1260">
        <v>3100</v>
      </c>
      <c r="K17" s="1261">
        <v>200</v>
      </c>
      <c r="L17" s="1261">
        <v>134.44999999999999</v>
      </c>
      <c r="M17" s="1261">
        <v>1810.94875</v>
      </c>
      <c r="N17" s="1262" t="s">
        <v>3064</v>
      </c>
      <c r="O17" s="1262" t="s">
        <v>3065</v>
      </c>
      <c r="P17" s="1867" t="s">
        <v>319</v>
      </c>
      <c r="Q17" s="1867">
        <v>1</v>
      </c>
      <c r="R17" s="1867" t="s">
        <v>256</v>
      </c>
      <c r="S17" s="1867" t="s">
        <v>259</v>
      </c>
      <c r="T17" s="1867" t="s">
        <v>260</v>
      </c>
      <c r="U17" s="1863" t="s">
        <v>4314</v>
      </c>
      <c r="V17" s="1040" t="s">
        <v>1866</v>
      </c>
      <c r="W17" s="1523"/>
      <c r="Z17" s="334"/>
    </row>
    <row r="18" spans="1:26" ht="18" x14ac:dyDescent="0.25">
      <c r="A18" s="78"/>
      <c r="B18" s="1865" t="s">
        <v>4079</v>
      </c>
      <c r="C18" s="1866" t="s">
        <v>4078</v>
      </c>
      <c r="D18" s="1260">
        <v>0.1</v>
      </c>
      <c r="E18" s="1263">
        <v>500</v>
      </c>
      <c r="F18" s="1883">
        <v>4.2999999999999997E-2</v>
      </c>
      <c r="G18" s="1263">
        <v>500</v>
      </c>
      <c r="H18" s="2455">
        <v>1</v>
      </c>
      <c r="I18" s="1260">
        <v>2</v>
      </c>
      <c r="J18" s="1260">
        <v>850</v>
      </c>
      <c r="K18" s="1261">
        <v>148</v>
      </c>
      <c r="L18" s="1261">
        <v>0.21495500000000001</v>
      </c>
      <c r="M18" s="1261">
        <v>7960.2250000000004</v>
      </c>
      <c r="N18" s="1262" t="s">
        <v>3064</v>
      </c>
      <c r="O18" s="1262" t="s">
        <v>3065</v>
      </c>
      <c r="P18" s="1867" t="s">
        <v>319</v>
      </c>
      <c r="Q18" s="1867">
        <v>1</v>
      </c>
      <c r="R18" s="1867" t="s">
        <v>256</v>
      </c>
      <c r="S18" s="1867" t="s">
        <v>259</v>
      </c>
      <c r="T18" s="1867" t="s">
        <v>260</v>
      </c>
      <c r="U18" s="1863" t="s">
        <v>4314</v>
      </c>
      <c r="V18" s="1040" t="s">
        <v>5239</v>
      </c>
      <c r="W18" s="1523"/>
      <c r="Z18" s="334"/>
    </row>
    <row r="19" spans="1:26" ht="18" x14ac:dyDescent="0.25">
      <c r="A19" s="78"/>
      <c r="B19" s="1865" t="s">
        <v>813</v>
      </c>
      <c r="C19" s="1866" t="s">
        <v>2873</v>
      </c>
      <c r="D19" s="1260">
        <v>0.1</v>
      </c>
      <c r="E19" s="1260">
        <v>1</v>
      </c>
      <c r="F19" s="1883">
        <v>4.2999999999999997E-2</v>
      </c>
      <c r="G19" s="1260">
        <v>1</v>
      </c>
      <c r="H19" s="2455">
        <v>1</v>
      </c>
      <c r="I19" s="1260">
        <v>6</v>
      </c>
      <c r="J19" s="1260">
        <v>3</v>
      </c>
      <c r="K19" s="1261">
        <v>0.4</v>
      </c>
      <c r="L19" s="1261">
        <v>8.2916900000000002E-2</v>
      </c>
      <c r="M19" s="1261">
        <v>12.372132499999999</v>
      </c>
      <c r="N19" s="1262" t="s">
        <v>3064</v>
      </c>
      <c r="O19" s="1262" t="s">
        <v>3065</v>
      </c>
      <c r="P19" s="1867" t="s">
        <v>319</v>
      </c>
      <c r="Q19" s="1867">
        <v>1</v>
      </c>
      <c r="R19" s="1867" t="s">
        <v>256</v>
      </c>
      <c r="S19" s="1867" t="s">
        <v>259</v>
      </c>
      <c r="T19" s="1867" t="s">
        <v>260</v>
      </c>
      <c r="U19" s="1863" t="s">
        <v>4314</v>
      </c>
      <c r="V19" s="1040" t="s">
        <v>1866</v>
      </c>
      <c r="W19" s="1523"/>
      <c r="Z19" s="334"/>
    </row>
    <row r="20" spans="1:26" s="116" customFormat="1" ht="18" x14ac:dyDescent="0.25">
      <c r="B20" s="1865" t="s">
        <v>2189</v>
      </c>
      <c r="C20" s="1866" t="s">
        <v>2874</v>
      </c>
      <c r="D20" s="1260">
        <v>0.1</v>
      </c>
      <c r="E20" s="1260">
        <v>33</v>
      </c>
      <c r="F20" s="1883">
        <v>4.2999999999999997E-2</v>
      </c>
      <c r="G20" s="1260">
        <v>33</v>
      </c>
      <c r="H20" s="1260">
        <v>4</v>
      </c>
      <c r="I20" s="1260">
        <v>250</v>
      </c>
      <c r="J20" s="1260">
        <v>50</v>
      </c>
      <c r="K20" s="1261">
        <v>13.200000000000001</v>
      </c>
      <c r="L20" s="1260">
        <v>0.13059299999999999</v>
      </c>
      <c r="M20" s="1260">
        <v>6.1837749999999998</v>
      </c>
      <c r="N20" s="1262" t="s">
        <v>3064</v>
      </c>
      <c r="O20" s="1262" t="s">
        <v>3065</v>
      </c>
      <c r="P20" s="1867" t="s">
        <v>319</v>
      </c>
      <c r="Q20" s="1867">
        <v>1</v>
      </c>
      <c r="R20" s="1867" t="s">
        <v>256</v>
      </c>
      <c r="S20" s="1867" t="s">
        <v>259</v>
      </c>
      <c r="T20" s="1867" t="s">
        <v>260</v>
      </c>
      <c r="U20" s="1863" t="s">
        <v>4314</v>
      </c>
      <c r="V20" s="1040" t="s">
        <v>1866</v>
      </c>
      <c r="W20" s="1523"/>
    </row>
    <row r="21" spans="1:26" s="116" customFormat="1" ht="18" x14ac:dyDescent="0.25">
      <c r="B21" s="1865" t="s">
        <v>2190</v>
      </c>
      <c r="C21" s="1866" t="s">
        <v>2875</v>
      </c>
      <c r="D21" s="1260">
        <v>0.1</v>
      </c>
      <c r="E21" s="1260">
        <v>20</v>
      </c>
      <c r="F21" s="1883">
        <v>4.2999999999999997E-2</v>
      </c>
      <c r="G21" s="1260">
        <v>20</v>
      </c>
      <c r="H21" s="1260">
        <v>3</v>
      </c>
      <c r="I21" s="1260">
        <v>150</v>
      </c>
      <c r="J21" s="1260">
        <v>30</v>
      </c>
      <c r="K21" s="1261">
        <v>8</v>
      </c>
      <c r="L21" s="1260">
        <v>7.7665999999999999E-2</v>
      </c>
      <c r="M21" s="1260">
        <v>4.1657199999999994</v>
      </c>
      <c r="N21" s="1262" t="s">
        <v>3064</v>
      </c>
      <c r="O21" s="1262" t="s">
        <v>3065</v>
      </c>
      <c r="P21" s="1867" t="s">
        <v>319</v>
      </c>
      <c r="Q21" s="1867">
        <v>1</v>
      </c>
      <c r="R21" s="1867" t="s">
        <v>256</v>
      </c>
      <c r="S21" s="1867" t="s">
        <v>259</v>
      </c>
      <c r="T21" s="1867" t="s">
        <v>260</v>
      </c>
      <c r="U21" s="1863" t="s">
        <v>4314</v>
      </c>
      <c r="V21" s="1040" t="s">
        <v>1866</v>
      </c>
      <c r="W21" s="1523"/>
    </row>
    <row r="22" spans="1:26" s="116" customFormat="1" ht="18" x14ac:dyDescent="0.25">
      <c r="B22" s="1865" t="s">
        <v>2213</v>
      </c>
      <c r="C22" s="1866" t="s">
        <v>2876</v>
      </c>
      <c r="D22" s="1260">
        <v>0.1</v>
      </c>
      <c r="E22" s="1260">
        <v>1</v>
      </c>
      <c r="F22" s="1883">
        <v>4.2999999999999997E-2</v>
      </c>
      <c r="G22" s="1260">
        <v>1</v>
      </c>
      <c r="H22" s="1260">
        <v>17</v>
      </c>
      <c r="I22" s="1260">
        <v>10</v>
      </c>
      <c r="J22" s="1260">
        <v>50</v>
      </c>
      <c r="K22" s="1261">
        <v>0.4</v>
      </c>
      <c r="L22" s="1260">
        <v>8.8936600000000005E-2</v>
      </c>
      <c r="M22" s="1261">
        <v>29.662099999999999</v>
      </c>
      <c r="N22" s="1262" t="s">
        <v>3064</v>
      </c>
      <c r="O22" s="1262" t="s">
        <v>3065</v>
      </c>
      <c r="P22" s="1867" t="s">
        <v>319</v>
      </c>
      <c r="Q22" s="1867">
        <v>1</v>
      </c>
      <c r="R22" s="1867" t="s">
        <v>256</v>
      </c>
      <c r="S22" s="1867" t="s">
        <v>259</v>
      </c>
      <c r="T22" s="1867" t="s">
        <v>260</v>
      </c>
      <c r="U22" s="1863" t="s">
        <v>4314</v>
      </c>
      <c r="V22" s="1040" t="s">
        <v>1866</v>
      </c>
      <c r="W22" s="1523"/>
    </row>
    <row r="23" spans="1:26" ht="18" x14ac:dyDescent="0.25">
      <c r="A23" s="78"/>
      <c r="B23" s="1865" t="s">
        <v>814</v>
      </c>
      <c r="C23" s="1866" t="s">
        <v>2877</v>
      </c>
      <c r="D23" s="1260">
        <v>0.1</v>
      </c>
      <c r="E23" s="1260">
        <v>0.3</v>
      </c>
      <c r="F23" s="1883">
        <v>4.2999999999999997E-2</v>
      </c>
      <c r="G23" s="1260">
        <v>0.3</v>
      </c>
      <c r="H23" s="2455">
        <v>860</v>
      </c>
      <c r="I23" s="1260">
        <v>2</v>
      </c>
      <c r="J23" s="1260">
        <v>50</v>
      </c>
      <c r="K23" s="1261">
        <v>0.12</v>
      </c>
      <c r="L23" s="1261">
        <v>6.0346200000000003E-2</v>
      </c>
      <c r="M23" s="1261">
        <v>810.524</v>
      </c>
      <c r="N23" s="1262" t="s">
        <v>3064</v>
      </c>
      <c r="O23" s="1262" t="s">
        <v>3065</v>
      </c>
      <c r="P23" s="1867" t="s">
        <v>319</v>
      </c>
      <c r="Q23" s="1867">
        <v>1</v>
      </c>
      <c r="R23" s="1867" t="s">
        <v>256</v>
      </c>
      <c r="S23" s="1867" t="s">
        <v>259</v>
      </c>
      <c r="T23" s="1867" t="s">
        <v>260</v>
      </c>
      <c r="U23" s="1863" t="s">
        <v>4314</v>
      </c>
      <c r="V23" s="1040" t="s">
        <v>1866</v>
      </c>
      <c r="W23" s="1523"/>
      <c r="Z23" s="334"/>
    </row>
    <row r="24" spans="1:26" ht="18" x14ac:dyDescent="0.25">
      <c r="A24" s="78"/>
      <c r="B24" s="1865" t="s">
        <v>815</v>
      </c>
      <c r="C24" s="1866" t="s">
        <v>2878</v>
      </c>
      <c r="D24" s="1260">
        <v>0.1</v>
      </c>
      <c r="E24" s="1260">
        <v>0.2</v>
      </c>
      <c r="F24" s="1883">
        <v>4.2999999999999997E-2</v>
      </c>
      <c r="G24" s="1260">
        <v>0.2</v>
      </c>
      <c r="H24" s="2455">
        <v>210</v>
      </c>
      <c r="I24" s="1260">
        <v>0.5</v>
      </c>
      <c r="J24" s="1260">
        <v>10</v>
      </c>
      <c r="K24" s="1261">
        <v>8.0000000000000016E-2</v>
      </c>
      <c r="L24" s="1261">
        <v>3.18272E-2</v>
      </c>
      <c r="M24" s="1261">
        <v>33.574125000000002</v>
      </c>
      <c r="N24" s="1262" t="s">
        <v>3064</v>
      </c>
      <c r="O24" s="1262" t="s">
        <v>3065</v>
      </c>
      <c r="P24" s="1867" t="s">
        <v>319</v>
      </c>
      <c r="Q24" s="1867">
        <v>1</v>
      </c>
      <c r="R24" s="1867" t="s">
        <v>256</v>
      </c>
      <c r="S24" s="1867" t="s">
        <v>259</v>
      </c>
      <c r="T24" s="1867" t="s">
        <v>260</v>
      </c>
      <c r="U24" s="1863" t="s">
        <v>4314</v>
      </c>
      <c r="V24" s="1040" t="s">
        <v>1866</v>
      </c>
      <c r="W24" s="1523"/>
      <c r="Z24" s="334"/>
    </row>
    <row r="25" spans="1:26" s="69" customFormat="1" ht="18" x14ac:dyDescent="0.25">
      <c r="A25" s="2051"/>
      <c r="B25" s="1885" t="s">
        <v>4632</v>
      </c>
      <c r="C25" s="1886" t="s">
        <v>4633</v>
      </c>
      <c r="D25" s="1260" t="s">
        <v>1210</v>
      </c>
      <c r="E25" s="1883">
        <v>0</v>
      </c>
      <c r="F25" s="1883" t="s">
        <v>1210</v>
      </c>
      <c r="G25" s="1883" t="s">
        <v>1210</v>
      </c>
      <c r="H25" s="1883" t="s">
        <v>1210</v>
      </c>
      <c r="I25" s="1883" t="s">
        <v>1210</v>
      </c>
      <c r="J25" s="1883" t="s">
        <v>1210</v>
      </c>
      <c r="K25" s="1883" t="s">
        <v>1210</v>
      </c>
      <c r="L25" s="1878">
        <v>0.131192</v>
      </c>
      <c r="M25" s="1883">
        <v>198.26332500000001</v>
      </c>
      <c r="N25" s="1795" t="s">
        <v>3064</v>
      </c>
      <c r="O25" s="1795" t="s">
        <v>3065</v>
      </c>
      <c r="P25" s="1795" t="s">
        <v>319</v>
      </c>
      <c r="Q25" s="1795">
        <v>1</v>
      </c>
      <c r="R25" s="1795" t="s">
        <v>256</v>
      </c>
      <c r="S25" s="1795" t="s">
        <v>259</v>
      </c>
      <c r="T25" s="1795" t="s">
        <v>260</v>
      </c>
      <c r="U25" s="1862" t="s">
        <v>4314</v>
      </c>
      <c r="V25" s="1888" t="s">
        <v>4890</v>
      </c>
      <c r="W25" s="1523"/>
      <c r="Y25" s="913"/>
    </row>
    <row r="26" spans="1:26" ht="18" x14ac:dyDescent="0.25">
      <c r="A26" s="78"/>
      <c r="B26" s="1865" t="s">
        <v>816</v>
      </c>
      <c r="C26" s="1866" t="s">
        <v>2879</v>
      </c>
      <c r="D26" s="1260">
        <v>24</v>
      </c>
      <c r="E26" s="1260">
        <v>1</v>
      </c>
      <c r="F26" s="1883">
        <v>24</v>
      </c>
      <c r="G26" s="1260">
        <v>1</v>
      </c>
      <c r="H26" s="2455">
        <v>950</v>
      </c>
      <c r="I26" s="1260">
        <v>1</v>
      </c>
      <c r="J26" s="1260">
        <v>30</v>
      </c>
      <c r="K26" s="1261">
        <v>1</v>
      </c>
      <c r="L26" s="1261">
        <v>22.2742</v>
      </c>
      <c r="M26" s="1261">
        <v>79.742599999999996</v>
      </c>
      <c r="N26" s="1262" t="s">
        <v>3064</v>
      </c>
      <c r="O26" s="1262" t="s">
        <v>3065</v>
      </c>
      <c r="P26" s="1867" t="s">
        <v>334</v>
      </c>
      <c r="Q26" s="1867">
        <v>1</v>
      </c>
      <c r="R26" s="1867" t="s">
        <v>256</v>
      </c>
      <c r="S26" s="1867" t="s">
        <v>257</v>
      </c>
      <c r="T26" s="1867" t="s">
        <v>260</v>
      </c>
      <c r="U26" s="1869" t="s">
        <v>254</v>
      </c>
      <c r="V26" s="1040"/>
      <c r="W26" s="1523"/>
      <c r="Z26" s="334"/>
    </row>
    <row r="27" spans="1:26" s="116" customFormat="1" ht="18" x14ac:dyDescent="0.25">
      <c r="B27" s="1865" t="s">
        <v>2186</v>
      </c>
      <c r="C27" s="1866" t="s">
        <v>2880</v>
      </c>
      <c r="D27" s="1260" t="s">
        <v>1210</v>
      </c>
      <c r="E27" s="1260">
        <v>0.1</v>
      </c>
      <c r="F27" s="1883" t="s">
        <v>1210</v>
      </c>
      <c r="G27" s="1260">
        <v>0.1</v>
      </c>
      <c r="H27" s="1260">
        <v>1.0000000000000001E-5</v>
      </c>
      <c r="I27" s="1260">
        <v>0.1</v>
      </c>
      <c r="J27" s="1260">
        <v>5</v>
      </c>
      <c r="K27" s="1261">
        <v>0.1</v>
      </c>
      <c r="L27" s="1261" t="s">
        <v>1210</v>
      </c>
      <c r="M27" s="1261" t="s">
        <v>1210</v>
      </c>
      <c r="N27" s="1262" t="s">
        <v>3064</v>
      </c>
      <c r="O27" s="1262" t="s">
        <v>3065</v>
      </c>
      <c r="P27" s="1867" t="s">
        <v>334</v>
      </c>
      <c r="Q27" s="1867">
        <v>1</v>
      </c>
      <c r="R27" s="1867" t="s">
        <v>256</v>
      </c>
      <c r="S27" s="1867" t="s">
        <v>257</v>
      </c>
      <c r="T27" s="1867" t="s">
        <v>260</v>
      </c>
      <c r="U27" s="1869" t="s">
        <v>254</v>
      </c>
      <c r="V27" s="1040" t="s">
        <v>2187</v>
      </c>
      <c r="W27" s="1523"/>
    </row>
    <row r="28" spans="1:26" s="116" customFormat="1" ht="18" x14ac:dyDescent="0.25">
      <c r="B28" s="1865" t="s">
        <v>2188</v>
      </c>
      <c r="C28" s="1866" t="s">
        <v>2881</v>
      </c>
      <c r="D28" s="1260" t="s">
        <v>1210</v>
      </c>
      <c r="E28" s="1260">
        <v>5</v>
      </c>
      <c r="F28" s="1883" t="s">
        <v>1210</v>
      </c>
      <c r="G28" s="1260">
        <v>5</v>
      </c>
      <c r="H28" s="1260">
        <v>1.0000000000000001E-5</v>
      </c>
      <c r="I28" s="2455">
        <v>20</v>
      </c>
      <c r="J28" s="1260">
        <v>30</v>
      </c>
      <c r="K28" s="1261">
        <v>5</v>
      </c>
      <c r="L28" s="1261" t="s">
        <v>1210</v>
      </c>
      <c r="M28" s="1261" t="s">
        <v>1210</v>
      </c>
      <c r="N28" s="1262" t="s">
        <v>3064</v>
      </c>
      <c r="O28" s="1262" t="s">
        <v>3065</v>
      </c>
      <c r="P28" s="1867" t="s">
        <v>334</v>
      </c>
      <c r="Q28" s="1867">
        <v>1</v>
      </c>
      <c r="R28" s="1867" t="s">
        <v>256</v>
      </c>
      <c r="S28" s="1867" t="s">
        <v>257</v>
      </c>
      <c r="T28" s="1867" t="s">
        <v>260</v>
      </c>
      <c r="U28" s="1869" t="s">
        <v>254</v>
      </c>
      <c r="V28" s="1040" t="s">
        <v>2187</v>
      </c>
      <c r="W28" s="1523"/>
    </row>
    <row r="29" spans="1:26" ht="18" x14ac:dyDescent="0.25">
      <c r="A29" s="78"/>
      <c r="B29" s="1865" t="s">
        <v>817</v>
      </c>
      <c r="C29" s="1866" t="s">
        <v>2882</v>
      </c>
      <c r="D29" s="1260">
        <v>16</v>
      </c>
      <c r="E29" s="1260">
        <v>18</v>
      </c>
      <c r="F29" s="1883">
        <v>16</v>
      </c>
      <c r="G29" s="1260">
        <v>18</v>
      </c>
      <c r="H29" s="1260">
        <v>0.1</v>
      </c>
      <c r="I29" s="1260">
        <v>18</v>
      </c>
      <c r="J29" s="1260">
        <v>18</v>
      </c>
      <c r="K29" s="1261">
        <v>18</v>
      </c>
      <c r="L29" s="1261">
        <v>16.721599999999999</v>
      </c>
      <c r="M29" s="1261">
        <v>18.270700000000001</v>
      </c>
      <c r="N29" s="1262" t="s">
        <v>3064</v>
      </c>
      <c r="O29" s="1262" t="s">
        <v>3065</v>
      </c>
      <c r="P29" s="1867" t="s">
        <v>334</v>
      </c>
      <c r="Q29" s="1867">
        <v>1</v>
      </c>
      <c r="R29" s="1867" t="s">
        <v>256</v>
      </c>
      <c r="S29" s="1867" t="s">
        <v>257</v>
      </c>
      <c r="T29" s="1867" t="s">
        <v>260</v>
      </c>
      <c r="U29" s="1869" t="s">
        <v>254</v>
      </c>
      <c r="V29" s="1040"/>
      <c r="W29" s="1523"/>
      <c r="Z29" s="334"/>
    </row>
    <row r="30" spans="1:26" ht="18" x14ac:dyDescent="0.25">
      <c r="A30" s="78"/>
      <c r="B30" s="1865" t="s">
        <v>818</v>
      </c>
      <c r="C30" s="1866" t="s">
        <v>819</v>
      </c>
      <c r="D30" s="1260">
        <v>1.8</v>
      </c>
      <c r="E30" s="1260">
        <v>0.5</v>
      </c>
      <c r="F30" s="1883">
        <v>1.8</v>
      </c>
      <c r="G30" s="1260">
        <v>0.5</v>
      </c>
      <c r="H30" s="1260">
        <v>0.5</v>
      </c>
      <c r="I30" s="1260">
        <v>1</v>
      </c>
      <c r="J30" s="1260">
        <v>1</v>
      </c>
      <c r="K30" s="1261">
        <v>0.5</v>
      </c>
      <c r="L30" s="1261">
        <v>0.70653500000000002</v>
      </c>
      <c r="M30" s="1261">
        <v>4.3696800000000001E-2</v>
      </c>
      <c r="N30" s="1262" t="s">
        <v>3064</v>
      </c>
      <c r="O30" s="1262" t="s">
        <v>3065</v>
      </c>
      <c r="P30" s="1867" t="s">
        <v>334</v>
      </c>
      <c r="Q30" s="1867">
        <v>1</v>
      </c>
      <c r="R30" s="1867" t="s">
        <v>256</v>
      </c>
      <c r="S30" s="1867" t="s">
        <v>257</v>
      </c>
      <c r="T30" s="1867" t="s">
        <v>260</v>
      </c>
      <c r="U30" s="1869" t="s">
        <v>254</v>
      </c>
      <c r="V30" s="1040"/>
      <c r="W30" s="1523"/>
      <c r="Z30" s="334"/>
    </row>
    <row r="31" spans="1:26" s="69" customFormat="1" ht="18" x14ac:dyDescent="0.25">
      <c r="A31" s="78"/>
      <c r="B31" s="2451" t="s">
        <v>5248</v>
      </c>
      <c r="C31" s="2430" t="s">
        <v>2883</v>
      </c>
      <c r="D31" s="2452">
        <v>5.2</v>
      </c>
      <c r="E31" s="2455">
        <v>0.5</v>
      </c>
      <c r="F31" s="2452">
        <v>1.93</v>
      </c>
      <c r="G31" s="2455">
        <v>0.5</v>
      </c>
      <c r="H31" s="2452">
        <v>3</v>
      </c>
      <c r="I31" s="2452">
        <v>2</v>
      </c>
      <c r="J31" s="2452">
        <v>7</v>
      </c>
      <c r="K31" s="1261">
        <v>0.4</v>
      </c>
      <c r="L31" s="1261">
        <v>0.45406000000000002</v>
      </c>
      <c r="M31" s="1261">
        <v>1.1923404999999998</v>
      </c>
      <c r="N31" s="2453" t="s">
        <v>3064</v>
      </c>
      <c r="O31" s="2453" t="s">
        <v>3065</v>
      </c>
      <c r="P31" s="2453" t="s">
        <v>334</v>
      </c>
      <c r="Q31" s="2453">
        <v>1</v>
      </c>
      <c r="R31" s="2453" t="s">
        <v>256</v>
      </c>
      <c r="S31" s="2453" t="s">
        <v>259</v>
      </c>
      <c r="T31" s="2453" t="s">
        <v>260</v>
      </c>
      <c r="U31" s="2453" t="s">
        <v>254</v>
      </c>
      <c r="V31" s="2454" t="s">
        <v>1615</v>
      </c>
      <c r="W31" s="2153"/>
      <c r="Z31" s="913"/>
    </row>
    <row r="32" spans="1:26" s="69" customFormat="1" ht="18" x14ac:dyDescent="0.25">
      <c r="A32" s="78"/>
      <c r="B32" s="2451" t="s">
        <v>5245</v>
      </c>
      <c r="C32" s="2430" t="s">
        <v>5246</v>
      </c>
      <c r="D32" s="1260" t="s">
        <v>1210</v>
      </c>
      <c r="E32" s="2455">
        <v>5</v>
      </c>
      <c r="F32" s="1260" t="s">
        <v>1210</v>
      </c>
      <c r="G32" s="2455">
        <v>5</v>
      </c>
      <c r="H32" s="2455">
        <v>18</v>
      </c>
      <c r="I32" s="2455">
        <v>30</v>
      </c>
      <c r="J32" s="2452">
        <v>7</v>
      </c>
      <c r="K32" s="1261">
        <v>0.4</v>
      </c>
      <c r="L32" s="1261">
        <v>0.45406000000000002</v>
      </c>
      <c r="M32" s="1261">
        <v>1.1923404999999998</v>
      </c>
      <c r="N32" s="2453" t="s">
        <v>3064</v>
      </c>
      <c r="O32" s="2453" t="s">
        <v>3065</v>
      </c>
      <c r="P32" s="2453" t="s">
        <v>334</v>
      </c>
      <c r="Q32" s="2453">
        <v>1</v>
      </c>
      <c r="R32" s="2453" t="s">
        <v>256</v>
      </c>
      <c r="S32" s="2453" t="s">
        <v>259</v>
      </c>
      <c r="T32" s="2453" t="s">
        <v>260</v>
      </c>
      <c r="U32" s="2453" t="s">
        <v>254</v>
      </c>
      <c r="V32" s="2454" t="s">
        <v>5247</v>
      </c>
      <c r="W32" s="2153"/>
      <c r="Z32" s="913"/>
    </row>
    <row r="33" spans="1:26" ht="18" x14ac:dyDescent="0.25">
      <c r="A33" s="78"/>
      <c r="B33" s="1865" t="s">
        <v>821</v>
      </c>
      <c r="C33" s="1866" t="s">
        <v>273</v>
      </c>
      <c r="D33" s="1260">
        <v>0.59</v>
      </c>
      <c r="E33" s="1260">
        <v>10</v>
      </c>
      <c r="F33" s="1883">
        <v>0.25</v>
      </c>
      <c r="G33" s="1260">
        <v>10</v>
      </c>
      <c r="H33" s="2455">
        <v>160</v>
      </c>
      <c r="I33" s="2455">
        <v>160</v>
      </c>
      <c r="J33" s="1260">
        <v>17</v>
      </c>
      <c r="K33" s="1261">
        <v>4</v>
      </c>
      <c r="L33" s="1261">
        <v>0.68736200000000003</v>
      </c>
      <c r="M33" s="1261">
        <v>884.52650000000006</v>
      </c>
      <c r="N33" s="1262" t="s">
        <v>3064</v>
      </c>
      <c r="O33" s="1262" t="s">
        <v>3065</v>
      </c>
      <c r="P33" s="1867" t="s">
        <v>334</v>
      </c>
      <c r="Q33" s="1867">
        <v>1</v>
      </c>
      <c r="R33" s="1867" t="s">
        <v>256</v>
      </c>
      <c r="S33" s="1867" t="s">
        <v>259</v>
      </c>
      <c r="T33" s="1867" t="s">
        <v>260</v>
      </c>
      <c r="U33" s="1869" t="s">
        <v>254</v>
      </c>
      <c r="V33" s="1040"/>
      <c r="W33" s="1523"/>
      <c r="Z33" s="334"/>
    </row>
    <row r="34" spans="1:26" ht="18" x14ac:dyDescent="0.25">
      <c r="A34" s="78"/>
      <c r="B34" s="1865" t="s">
        <v>822</v>
      </c>
      <c r="C34" s="1866" t="s">
        <v>2884</v>
      </c>
      <c r="D34" s="1260">
        <v>2.5</v>
      </c>
      <c r="E34" s="1260">
        <v>0.5</v>
      </c>
      <c r="F34" s="1883">
        <v>2.5</v>
      </c>
      <c r="G34" s="1260">
        <v>0.5</v>
      </c>
      <c r="H34" s="2455">
        <v>300</v>
      </c>
      <c r="I34" s="2452">
        <v>2</v>
      </c>
      <c r="J34" s="1260">
        <v>0.5</v>
      </c>
      <c r="K34" s="1261">
        <v>0.5</v>
      </c>
      <c r="L34" s="1261">
        <v>2.4294899999999999</v>
      </c>
      <c r="M34" s="1261">
        <v>19.219000000000001</v>
      </c>
      <c r="N34" s="1262" t="s">
        <v>3064</v>
      </c>
      <c r="O34" s="1262" t="s">
        <v>3065</v>
      </c>
      <c r="P34" s="1867" t="s">
        <v>790</v>
      </c>
      <c r="Q34" s="1867">
        <v>1</v>
      </c>
      <c r="R34" s="1867" t="s">
        <v>256</v>
      </c>
      <c r="S34" s="1867" t="s">
        <v>257</v>
      </c>
      <c r="T34" s="1867" t="s">
        <v>260</v>
      </c>
      <c r="U34" s="1869" t="s">
        <v>255</v>
      </c>
      <c r="V34" s="1040"/>
      <c r="W34" s="1523"/>
      <c r="Z34" s="334"/>
    </row>
    <row r="35" spans="1:26" ht="18" x14ac:dyDescent="0.25">
      <c r="A35" s="78"/>
      <c r="B35" s="1865" t="s">
        <v>2104</v>
      </c>
      <c r="C35" s="1866" t="s">
        <v>2885</v>
      </c>
      <c r="D35" s="1265">
        <v>0.1</v>
      </c>
      <c r="E35" s="1264">
        <v>60</v>
      </c>
      <c r="F35" s="1883">
        <v>4.2999999999999997E-2</v>
      </c>
      <c r="G35" s="1264">
        <v>60</v>
      </c>
      <c r="H35" s="2491">
        <v>0.5</v>
      </c>
      <c r="I35" s="2492">
        <f t="shared" ref="I35" si="0">0.2*I21</f>
        <v>30</v>
      </c>
      <c r="J35" s="1265">
        <v>370</v>
      </c>
      <c r="K35" s="1266">
        <v>88.800000000000011</v>
      </c>
      <c r="L35" s="1266">
        <v>8.2460699999999998E-2</v>
      </c>
      <c r="M35" s="1266" t="s">
        <v>1210</v>
      </c>
      <c r="N35" s="1262" t="s">
        <v>3064</v>
      </c>
      <c r="O35" s="1262" t="s">
        <v>3065</v>
      </c>
      <c r="P35" s="1867" t="s">
        <v>790</v>
      </c>
      <c r="Q35" s="1867">
        <v>1</v>
      </c>
      <c r="R35" s="1867" t="s">
        <v>256</v>
      </c>
      <c r="S35" s="1867" t="s">
        <v>259</v>
      </c>
      <c r="T35" s="1867" t="s">
        <v>260</v>
      </c>
      <c r="U35" s="1869" t="s">
        <v>255</v>
      </c>
      <c r="V35" s="2454" t="s">
        <v>5238</v>
      </c>
      <c r="W35" s="1523"/>
      <c r="Z35" s="334"/>
    </row>
    <row r="36" spans="1:26" ht="18" x14ac:dyDescent="0.25">
      <c r="A36" s="78"/>
      <c r="B36" s="1865" t="s">
        <v>823</v>
      </c>
      <c r="C36" s="1866" t="s">
        <v>2886</v>
      </c>
      <c r="D36" s="1260">
        <v>0.45</v>
      </c>
      <c r="E36" s="1260">
        <v>0.01</v>
      </c>
      <c r="F36" s="1883">
        <v>0.45</v>
      </c>
      <c r="G36" s="1260">
        <v>0.01</v>
      </c>
      <c r="H36" s="1260">
        <v>0.01</v>
      </c>
      <c r="I36" s="1260">
        <v>0.03</v>
      </c>
      <c r="J36" s="1260">
        <v>0.03</v>
      </c>
      <c r="K36" s="1261">
        <v>0.01</v>
      </c>
      <c r="L36" s="1261">
        <v>1.58154E-2</v>
      </c>
      <c r="M36" s="1261">
        <v>1.2296200000000001E-3</v>
      </c>
      <c r="N36" s="1262" t="s">
        <v>3064</v>
      </c>
      <c r="O36" s="1262" t="s">
        <v>3065</v>
      </c>
      <c r="P36" s="1867" t="s">
        <v>790</v>
      </c>
      <c r="Q36" s="1867">
        <v>1</v>
      </c>
      <c r="R36" s="1867" t="s">
        <v>256</v>
      </c>
      <c r="S36" s="1867" t="s">
        <v>257</v>
      </c>
      <c r="T36" s="1867" t="s">
        <v>260</v>
      </c>
      <c r="U36" s="1869" t="s">
        <v>255</v>
      </c>
      <c r="V36" s="1040"/>
      <c r="W36" s="1523"/>
      <c r="Z36" s="334"/>
    </row>
    <row r="37" spans="1:26" s="69" customFormat="1" ht="18" x14ac:dyDescent="0.25">
      <c r="A37" s="78"/>
      <c r="B37" s="2451" t="s">
        <v>5251</v>
      </c>
      <c r="C37" s="2430" t="s">
        <v>2887</v>
      </c>
      <c r="D37" s="2452">
        <v>0.46</v>
      </c>
      <c r="E37" s="2455">
        <v>0.1</v>
      </c>
      <c r="F37" s="2452">
        <v>0.19</v>
      </c>
      <c r="G37" s="2455">
        <v>0.1</v>
      </c>
      <c r="H37" s="2455">
        <v>0.3</v>
      </c>
      <c r="I37" s="2452">
        <v>0.5</v>
      </c>
      <c r="J37" s="2452">
        <v>2</v>
      </c>
      <c r="K37" s="1261">
        <v>0.2</v>
      </c>
      <c r="L37" s="1261">
        <v>9.4807100000000005E-2</v>
      </c>
      <c r="M37" s="1261">
        <v>0.33840949999999997</v>
      </c>
      <c r="N37" s="2453" t="s">
        <v>3064</v>
      </c>
      <c r="O37" s="2453" t="s">
        <v>3065</v>
      </c>
      <c r="P37" s="2453" t="s">
        <v>790</v>
      </c>
      <c r="Q37" s="2453">
        <v>1</v>
      </c>
      <c r="R37" s="2453" t="s">
        <v>256</v>
      </c>
      <c r="S37" s="2453" t="s">
        <v>259</v>
      </c>
      <c r="T37" s="2453" t="s">
        <v>260</v>
      </c>
      <c r="U37" s="2453" t="s">
        <v>255</v>
      </c>
      <c r="V37" s="2454" t="s">
        <v>1615</v>
      </c>
      <c r="W37" s="2153"/>
      <c r="Z37" s="913"/>
    </row>
    <row r="38" spans="1:26" s="69" customFormat="1" ht="18" x14ac:dyDescent="0.25">
      <c r="A38" s="78"/>
      <c r="B38" s="2451" t="s">
        <v>5249</v>
      </c>
      <c r="C38" s="2430" t="s">
        <v>5250</v>
      </c>
      <c r="D38" s="1260" t="s">
        <v>1210</v>
      </c>
      <c r="E38" s="2455">
        <v>1</v>
      </c>
      <c r="F38" s="1260" t="s">
        <v>1210</v>
      </c>
      <c r="G38" s="2455">
        <v>1</v>
      </c>
      <c r="H38" s="2455">
        <v>5</v>
      </c>
      <c r="I38" s="2455">
        <v>5</v>
      </c>
      <c r="J38" s="2452">
        <v>2</v>
      </c>
      <c r="K38" s="1261">
        <v>0.2</v>
      </c>
      <c r="L38" s="1261">
        <v>9.4807100000000005E-2</v>
      </c>
      <c r="M38" s="1261">
        <v>0.33840949999999997</v>
      </c>
      <c r="N38" s="2453" t="s">
        <v>3064</v>
      </c>
      <c r="O38" s="2453" t="s">
        <v>3065</v>
      </c>
      <c r="P38" s="2453" t="s">
        <v>790</v>
      </c>
      <c r="Q38" s="2453">
        <v>1</v>
      </c>
      <c r="R38" s="2453" t="s">
        <v>256</v>
      </c>
      <c r="S38" s="2453" t="s">
        <v>259</v>
      </c>
      <c r="T38" s="2453" t="s">
        <v>260</v>
      </c>
      <c r="U38" s="2453" t="s">
        <v>255</v>
      </c>
      <c r="V38" s="2454" t="s">
        <v>5247</v>
      </c>
      <c r="W38" s="2153"/>
      <c r="Z38" s="913"/>
    </row>
    <row r="39" spans="1:26" ht="18" x14ac:dyDescent="0.25">
      <c r="A39" s="78"/>
      <c r="B39" s="1865" t="s">
        <v>825</v>
      </c>
      <c r="C39" s="1866" t="s">
        <v>2888</v>
      </c>
      <c r="D39" s="1260">
        <v>5.8999999999999997E-2</v>
      </c>
      <c r="E39" s="1260">
        <v>2</v>
      </c>
      <c r="F39" s="1883">
        <v>2.5000000000000001E-2</v>
      </c>
      <c r="G39" s="1260">
        <v>2</v>
      </c>
      <c r="H39" s="2455">
        <v>20</v>
      </c>
      <c r="I39" s="2455">
        <v>20</v>
      </c>
      <c r="J39" s="1260">
        <v>3</v>
      </c>
      <c r="K39" s="1261">
        <v>0.8</v>
      </c>
      <c r="L39" s="1261">
        <v>8.4211599999999998E-2</v>
      </c>
      <c r="M39" s="1261">
        <v>109.20065</v>
      </c>
      <c r="N39" s="1262" t="s">
        <v>3064</v>
      </c>
      <c r="O39" s="1262" t="s">
        <v>3065</v>
      </c>
      <c r="P39" s="1867" t="s">
        <v>790</v>
      </c>
      <c r="Q39" s="1867">
        <v>1</v>
      </c>
      <c r="R39" s="1867" t="s">
        <v>256</v>
      </c>
      <c r="S39" s="1867" t="s">
        <v>259</v>
      </c>
      <c r="T39" s="1867" t="s">
        <v>260</v>
      </c>
      <c r="U39" s="1869" t="s">
        <v>255</v>
      </c>
      <c r="V39" s="1040"/>
      <c r="W39" s="1523"/>
      <c r="Z39" s="334"/>
    </row>
    <row r="40" spans="1:26" ht="18" x14ac:dyDescent="0.25">
      <c r="A40" s="78"/>
      <c r="B40" s="1865" t="s">
        <v>826</v>
      </c>
      <c r="C40" s="1866" t="s">
        <v>2889</v>
      </c>
      <c r="D40" s="1260" t="s">
        <v>1210</v>
      </c>
      <c r="E40" s="1260">
        <v>2</v>
      </c>
      <c r="F40" s="1883" t="s">
        <v>1210</v>
      </c>
      <c r="G40" s="1260">
        <v>2</v>
      </c>
      <c r="H40" s="1260" t="s">
        <v>1210</v>
      </c>
      <c r="I40" s="1260">
        <v>2</v>
      </c>
      <c r="J40" s="1260">
        <v>2</v>
      </c>
      <c r="K40" s="1261" t="s">
        <v>1210</v>
      </c>
      <c r="L40" s="1261">
        <v>6.5832799999999997E-2</v>
      </c>
      <c r="M40" s="1261" t="s">
        <v>1210</v>
      </c>
      <c r="N40" s="1262" t="s">
        <v>3064</v>
      </c>
      <c r="O40" s="1262" t="s">
        <v>3065</v>
      </c>
      <c r="P40" s="1867" t="s">
        <v>827</v>
      </c>
      <c r="Q40" s="1867">
        <v>1</v>
      </c>
      <c r="R40" s="1867" t="s">
        <v>256</v>
      </c>
      <c r="S40" s="1867" t="s">
        <v>257</v>
      </c>
      <c r="T40" s="1867" t="s">
        <v>800</v>
      </c>
      <c r="U40" s="1869" t="s">
        <v>4315</v>
      </c>
      <c r="V40" s="1040"/>
      <c r="W40" s="1523"/>
      <c r="Z40" s="334"/>
    </row>
    <row r="41" spans="1:26" ht="18" x14ac:dyDescent="0.25">
      <c r="A41" s="78"/>
      <c r="B41" s="1865" t="s">
        <v>828</v>
      </c>
      <c r="C41" s="1866" t="s">
        <v>2890</v>
      </c>
      <c r="D41" s="1260" t="s">
        <v>1210</v>
      </c>
      <c r="E41" s="1260">
        <v>0.01</v>
      </c>
      <c r="F41" s="1260" t="s">
        <v>1210</v>
      </c>
      <c r="G41" s="1260">
        <v>0.01</v>
      </c>
      <c r="H41" s="2455">
        <v>42</v>
      </c>
      <c r="I41" s="1260">
        <v>2.5</v>
      </c>
      <c r="J41" s="1260">
        <v>0.5</v>
      </c>
      <c r="K41" s="1261">
        <v>0.01</v>
      </c>
      <c r="L41" s="1261">
        <v>4.4120499999999998E-3</v>
      </c>
      <c r="M41" s="1261">
        <v>19.578700000000001</v>
      </c>
      <c r="N41" s="1262" t="s">
        <v>3064</v>
      </c>
      <c r="O41" s="1262" t="s">
        <v>3065</v>
      </c>
      <c r="P41" s="1867" t="s">
        <v>319</v>
      </c>
      <c r="Q41" s="1867">
        <v>1</v>
      </c>
      <c r="R41" s="1867" t="s">
        <v>256</v>
      </c>
      <c r="S41" s="1867" t="s">
        <v>257</v>
      </c>
      <c r="T41" s="1867" t="s">
        <v>260</v>
      </c>
      <c r="U41" s="1869" t="s">
        <v>148</v>
      </c>
      <c r="V41" s="1040"/>
      <c r="W41" s="1523"/>
      <c r="Z41" s="334"/>
    </row>
    <row r="42" spans="1:26" ht="18" x14ac:dyDescent="0.25">
      <c r="A42" s="78"/>
      <c r="B42" s="1865" t="s">
        <v>829</v>
      </c>
      <c r="C42" s="1866" t="s">
        <v>2891</v>
      </c>
      <c r="D42" s="1260" t="s">
        <v>1210</v>
      </c>
      <c r="E42" s="1260">
        <v>0.01</v>
      </c>
      <c r="F42" s="1260" t="s">
        <v>1210</v>
      </c>
      <c r="G42" s="1260">
        <v>0.01</v>
      </c>
      <c r="H42" s="2455">
        <v>0.01</v>
      </c>
      <c r="I42" s="1260">
        <v>0.01</v>
      </c>
      <c r="J42" s="1260">
        <v>1</v>
      </c>
      <c r="K42" s="1261">
        <v>0.01</v>
      </c>
      <c r="L42" s="1261">
        <v>2.79767E-2</v>
      </c>
      <c r="M42" s="1261">
        <v>1.12587E-2</v>
      </c>
      <c r="N42" s="1262" t="s">
        <v>3064</v>
      </c>
      <c r="O42" s="1262" t="s">
        <v>3065</v>
      </c>
      <c r="P42" s="1867" t="s">
        <v>319</v>
      </c>
      <c r="Q42" s="1867">
        <v>1</v>
      </c>
      <c r="R42" s="1867" t="s">
        <v>256</v>
      </c>
      <c r="S42" s="1867" t="s">
        <v>257</v>
      </c>
      <c r="T42" s="1867" t="s">
        <v>260</v>
      </c>
      <c r="U42" s="1869" t="s">
        <v>148</v>
      </c>
      <c r="V42" s="1040"/>
      <c r="W42" s="1523"/>
      <c r="Z42" s="334"/>
    </row>
    <row r="43" spans="1:26" ht="18" x14ac:dyDescent="0.25">
      <c r="A43" s="78"/>
      <c r="B43" s="1865" t="s">
        <v>830</v>
      </c>
      <c r="C43" s="1870" t="s">
        <v>2892</v>
      </c>
      <c r="D43" s="1871">
        <v>90</v>
      </c>
      <c r="E43" s="1871">
        <v>74</v>
      </c>
      <c r="F43" s="1883">
        <v>90</v>
      </c>
      <c r="G43" s="1871">
        <v>74</v>
      </c>
      <c r="H43" s="2455">
        <v>750</v>
      </c>
      <c r="I43" s="1871">
        <v>123</v>
      </c>
      <c r="J43" s="1871">
        <v>55</v>
      </c>
      <c r="K43" s="1261">
        <v>74</v>
      </c>
      <c r="L43" s="1261">
        <v>50.839700000000001</v>
      </c>
      <c r="M43" s="1261">
        <v>82.4131</v>
      </c>
      <c r="N43" s="1262" t="s">
        <v>3064</v>
      </c>
      <c r="O43" s="1262" t="s">
        <v>3065</v>
      </c>
      <c r="P43" s="1867" t="s">
        <v>1133</v>
      </c>
      <c r="Q43" s="1867">
        <v>1</v>
      </c>
      <c r="R43" s="1867" t="s">
        <v>256</v>
      </c>
      <c r="S43" s="1867" t="s">
        <v>257</v>
      </c>
      <c r="T43" s="1867" t="s">
        <v>260</v>
      </c>
      <c r="U43" s="1869" t="s">
        <v>4316</v>
      </c>
      <c r="V43" s="1040"/>
      <c r="W43" s="1523"/>
      <c r="Z43" s="334"/>
    </row>
    <row r="44" spans="1:26" ht="18" x14ac:dyDescent="0.25">
      <c r="A44" s="78"/>
      <c r="B44" s="1865" t="s">
        <v>831</v>
      </c>
      <c r="C44" s="1866" t="s">
        <v>2432</v>
      </c>
      <c r="D44" s="1260">
        <v>27.7</v>
      </c>
      <c r="E44" s="1260">
        <v>460</v>
      </c>
      <c r="F44" s="1883">
        <v>8</v>
      </c>
      <c r="G44" s="1260">
        <v>460</v>
      </c>
      <c r="H44" s="2455">
        <v>6500</v>
      </c>
      <c r="I44" s="1260">
        <v>6500</v>
      </c>
      <c r="J44" s="1260">
        <v>1100</v>
      </c>
      <c r="K44" s="1261">
        <v>184</v>
      </c>
      <c r="L44" s="1261">
        <v>37.444000000000003</v>
      </c>
      <c r="M44" s="1261">
        <v>31728.255000000001</v>
      </c>
      <c r="N44" s="1262" t="s">
        <v>3064</v>
      </c>
      <c r="O44" s="1262" t="s">
        <v>3065</v>
      </c>
      <c r="P44" s="1867" t="s">
        <v>358</v>
      </c>
      <c r="Q44" s="1867">
        <v>1</v>
      </c>
      <c r="R44" s="1867" t="s">
        <v>256</v>
      </c>
      <c r="S44" s="1867" t="s">
        <v>259</v>
      </c>
      <c r="T44" s="1867" t="s">
        <v>260</v>
      </c>
      <c r="U44" s="1869" t="s">
        <v>4317</v>
      </c>
      <c r="V44" s="1040"/>
      <c r="W44" s="1523"/>
      <c r="Z44" s="334"/>
    </row>
    <row r="45" spans="1:26" ht="18" x14ac:dyDescent="0.25">
      <c r="A45" s="78"/>
      <c r="B45" s="1865" t="s">
        <v>1158</v>
      </c>
      <c r="C45" s="1866" t="s">
        <v>2893</v>
      </c>
      <c r="D45" s="1260">
        <v>109.9</v>
      </c>
      <c r="E45" s="1260">
        <v>35</v>
      </c>
      <c r="F45" s="1883">
        <v>109.9</v>
      </c>
      <c r="G45" s="1260">
        <v>35</v>
      </c>
      <c r="H45" s="2455">
        <v>260</v>
      </c>
      <c r="I45" s="1260">
        <v>130</v>
      </c>
      <c r="J45" s="1260">
        <v>120</v>
      </c>
      <c r="K45" s="1261">
        <v>35</v>
      </c>
      <c r="L45" s="1261">
        <v>108.55200000000001</v>
      </c>
      <c r="M45" s="1261">
        <v>131.96799999999999</v>
      </c>
      <c r="N45" s="1262" t="s">
        <v>3064</v>
      </c>
      <c r="O45" s="1262" t="s">
        <v>3065</v>
      </c>
      <c r="P45" s="1867" t="s">
        <v>1045</v>
      </c>
      <c r="Q45" s="1867">
        <v>1</v>
      </c>
      <c r="R45" s="1867" t="s">
        <v>256</v>
      </c>
      <c r="S45" s="1867" t="s">
        <v>257</v>
      </c>
      <c r="T45" s="1867" t="s">
        <v>260</v>
      </c>
      <c r="U45" s="1869" t="s">
        <v>1112</v>
      </c>
      <c r="V45" s="1040"/>
      <c r="W45" s="1523" t="s">
        <v>1061</v>
      </c>
      <c r="Z45" s="334"/>
    </row>
    <row r="46" spans="1:26" ht="18" x14ac:dyDescent="0.25">
      <c r="A46" s="78"/>
      <c r="B46" s="1865" t="s">
        <v>1159</v>
      </c>
      <c r="C46" s="1866" t="s">
        <v>2894</v>
      </c>
      <c r="D46" s="1260">
        <v>300</v>
      </c>
      <c r="E46" s="1260">
        <v>150</v>
      </c>
      <c r="F46" s="1883">
        <v>300</v>
      </c>
      <c r="G46" s="1260">
        <v>150</v>
      </c>
      <c r="H46" s="2455">
        <v>670</v>
      </c>
      <c r="I46" s="1260">
        <v>300</v>
      </c>
      <c r="J46" s="1260">
        <v>300</v>
      </c>
      <c r="K46" s="1261">
        <v>150</v>
      </c>
      <c r="L46" s="1261">
        <v>296.71600000000001</v>
      </c>
      <c r="M46" s="1261">
        <v>353.779</v>
      </c>
      <c r="N46" s="1262" t="s">
        <v>3064</v>
      </c>
      <c r="O46" s="1262" t="s">
        <v>3065</v>
      </c>
      <c r="P46" s="1867" t="s">
        <v>1047</v>
      </c>
      <c r="Q46" s="1867">
        <v>1</v>
      </c>
      <c r="R46" s="1867" t="s">
        <v>256</v>
      </c>
      <c r="S46" s="1867" t="s">
        <v>257</v>
      </c>
      <c r="T46" s="1867" t="s">
        <v>260</v>
      </c>
      <c r="U46" s="1869" t="s">
        <v>142</v>
      </c>
      <c r="V46" s="1040"/>
      <c r="W46" s="1523" t="s">
        <v>1062</v>
      </c>
      <c r="Z46" s="334"/>
    </row>
    <row r="47" spans="1:26" ht="18" x14ac:dyDescent="0.25">
      <c r="A47" s="78"/>
      <c r="B47" s="1865" t="s">
        <v>997</v>
      </c>
      <c r="C47" s="1866" t="s">
        <v>983</v>
      </c>
      <c r="D47" s="1260">
        <v>150</v>
      </c>
      <c r="E47" s="1260">
        <v>150</v>
      </c>
      <c r="F47" s="1260">
        <v>150</v>
      </c>
      <c r="G47" s="1260">
        <v>150</v>
      </c>
      <c r="H47" s="2455">
        <v>45</v>
      </c>
      <c r="I47" s="1260">
        <v>150</v>
      </c>
      <c r="J47" s="1260">
        <v>150</v>
      </c>
      <c r="K47" s="1261">
        <v>150</v>
      </c>
      <c r="L47" s="1261">
        <v>149.751</v>
      </c>
      <c r="M47" s="1261">
        <v>154.29</v>
      </c>
      <c r="N47" s="1262" t="s">
        <v>3064</v>
      </c>
      <c r="O47" s="1262" t="s">
        <v>3065</v>
      </c>
      <c r="P47" s="1867" t="s">
        <v>984</v>
      </c>
      <c r="Q47" s="1867">
        <v>1</v>
      </c>
      <c r="R47" s="1867" t="s">
        <v>256</v>
      </c>
      <c r="S47" s="1867" t="s">
        <v>257</v>
      </c>
      <c r="T47" s="1867" t="s">
        <v>260</v>
      </c>
      <c r="U47" s="1869" t="s">
        <v>985</v>
      </c>
      <c r="V47" s="1040"/>
      <c r="W47" s="1523"/>
      <c r="Z47" s="334"/>
    </row>
    <row r="48" spans="1:26" ht="18" x14ac:dyDescent="0.25">
      <c r="A48" s="78"/>
      <c r="B48" s="1865" t="s">
        <v>832</v>
      </c>
      <c r="C48" s="1866" t="s">
        <v>353</v>
      </c>
      <c r="D48" s="1260">
        <v>15</v>
      </c>
      <c r="E48" s="1260">
        <v>15</v>
      </c>
      <c r="F48" s="1260">
        <v>15</v>
      </c>
      <c r="G48" s="1260">
        <v>15</v>
      </c>
      <c r="H48" s="2455">
        <v>20</v>
      </c>
      <c r="I48" s="1260">
        <v>15</v>
      </c>
      <c r="J48" s="1260">
        <v>7</v>
      </c>
      <c r="K48" s="1261">
        <v>15</v>
      </c>
      <c r="L48" s="1261">
        <v>14.759499999999999</v>
      </c>
      <c r="M48" s="1261">
        <v>19.3764</v>
      </c>
      <c r="N48" s="1262" t="s">
        <v>3064</v>
      </c>
      <c r="O48" s="1262" t="s">
        <v>3065</v>
      </c>
      <c r="P48" s="1867" t="s">
        <v>833</v>
      </c>
      <c r="Q48" s="1867">
        <v>1</v>
      </c>
      <c r="R48" s="1867" t="s">
        <v>256</v>
      </c>
      <c r="S48" s="1867" t="s">
        <v>257</v>
      </c>
      <c r="T48" s="1867" t="s">
        <v>260</v>
      </c>
      <c r="U48" s="1869" t="s">
        <v>986</v>
      </c>
      <c r="V48" s="1040"/>
      <c r="W48" s="1523"/>
      <c r="Z48" s="334"/>
    </row>
    <row r="49" spans="1:26" ht="18" x14ac:dyDescent="0.25">
      <c r="A49" s="78"/>
      <c r="B49" s="1865" t="s">
        <v>1043</v>
      </c>
      <c r="C49" s="1866" t="s">
        <v>1044</v>
      </c>
      <c r="D49" s="1260">
        <v>16</v>
      </c>
      <c r="E49" s="1260">
        <v>15</v>
      </c>
      <c r="F49" s="1260">
        <v>16</v>
      </c>
      <c r="G49" s="1260">
        <v>15</v>
      </c>
      <c r="H49" s="2455">
        <v>20</v>
      </c>
      <c r="I49" s="1260">
        <v>16</v>
      </c>
      <c r="J49" s="1260">
        <v>5</v>
      </c>
      <c r="K49" s="1261">
        <v>15</v>
      </c>
      <c r="L49" s="1261">
        <v>16.0077</v>
      </c>
      <c r="M49" s="1261">
        <v>16.0748</v>
      </c>
      <c r="N49" s="1262" t="s">
        <v>3064</v>
      </c>
      <c r="O49" s="1262" t="s">
        <v>3065</v>
      </c>
      <c r="P49" s="1867" t="s">
        <v>1046</v>
      </c>
      <c r="Q49" s="1867">
        <v>1</v>
      </c>
      <c r="R49" s="1867" t="s">
        <v>256</v>
      </c>
      <c r="S49" s="1867" t="s">
        <v>257</v>
      </c>
      <c r="T49" s="1867" t="s">
        <v>260</v>
      </c>
      <c r="U49" s="1869" t="s">
        <v>474</v>
      </c>
      <c r="V49" s="1040"/>
      <c r="W49" s="1523"/>
      <c r="Z49" s="334"/>
    </row>
    <row r="50" spans="1:26" ht="18.75" customHeight="1" x14ac:dyDescent="0.25">
      <c r="B50" s="1872" t="s">
        <v>1597</v>
      </c>
      <c r="C50" s="1866" t="s">
        <v>2895</v>
      </c>
      <c r="D50" s="1260" t="s">
        <v>1210</v>
      </c>
      <c r="E50" s="1868">
        <v>1E-50</v>
      </c>
      <c r="F50" s="1260" t="s">
        <v>1210</v>
      </c>
      <c r="G50" s="1868" t="s">
        <v>1210</v>
      </c>
      <c r="H50" s="1868" t="s">
        <v>1210</v>
      </c>
      <c r="I50" s="1868" t="s">
        <v>1210</v>
      </c>
      <c r="J50" s="1868" t="s">
        <v>1210</v>
      </c>
      <c r="K50" s="1261" t="s">
        <v>1210</v>
      </c>
      <c r="L50" s="1261">
        <v>4.1250599999999998E-3</v>
      </c>
      <c r="M50" s="1261">
        <v>8.43005E-2</v>
      </c>
      <c r="N50" s="1262" t="s">
        <v>3064</v>
      </c>
      <c r="O50" s="1262" t="s">
        <v>3065</v>
      </c>
      <c r="P50" s="1867" t="s">
        <v>835</v>
      </c>
      <c r="Q50" s="1867">
        <v>1</v>
      </c>
      <c r="R50" s="1867" t="s">
        <v>256</v>
      </c>
      <c r="S50" s="1867" t="s">
        <v>257</v>
      </c>
      <c r="T50" s="1867" t="s">
        <v>260</v>
      </c>
      <c r="U50" s="1869" t="s">
        <v>2956</v>
      </c>
      <c r="V50" s="1040"/>
      <c r="W50" s="1523"/>
      <c r="Z50" s="334"/>
    </row>
    <row r="51" spans="1:26" ht="18" x14ac:dyDescent="0.25">
      <c r="B51" s="1865" t="s">
        <v>837</v>
      </c>
      <c r="C51" s="1866" t="s">
        <v>2896</v>
      </c>
      <c r="D51" s="1260" t="s">
        <v>1210</v>
      </c>
      <c r="E51" s="1868">
        <v>1E-50</v>
      </c>
      <c r="F51" s="1260" t="s">
        <v>1210</v>
      </c>
      <c r="G51" s="1260" t="s">
        <v>1210</v>
      </c>
      <c r="H51" s="1260" t="s">
        <v>1210</v>
      </c>
      <c r="I51" s="1260" t="s">
        <v>1210</v>
      </c>
      <c r="J51" s="1868" t="s">
        <v>1210</v>
      </c>
      <c r="K51" s="1261" t="s">
        <v>1210</v>
      </c>
      <c r="L51" s="1261" t="s">
        <v>1210</v>
      </c>
      <c r="M51" s="1261" t="s">
        <v>1210</v>
      </c>
      <c r="N51" s="1262" t="s">
        <v>3064</v>
      </c>
      <c r="O51" s="1262" t="s">
        <v>3065</v>
      </c>
      <c r="P51" s="1867" t="s">
        <v>835</v>
      </c>
      <c r="Q51" s="1867">
        <v>1</v>
      </c>
      <c r="R51" s="1867" t="s">
        <v>256</v>
      </c>
      <c r="S51" s="1867" t="s">
        <v>259</v>
      </c>
      <c r="T51" s="1867" t="s">
        <v>260</v>
      </c>
      <c r="U51" s="1869" t="s">
        <v>2956</v>
      </c>
      <c r="V51" s="1040"/>
      <c r="W51" s="1523"/>
      <c r="Z51" s="334"/>
    </row>
    <row r="52" spans="1:26" ht="18" x14ac:dyDescent="0.25">
      <c r="B52" s="1865" t="s">
        <v>836</v>
      </c>
      <c r="C52" s="1866" t="s">
        <v>2897</v>
      </c>
      <c r="D52" s="1260" t="s">
        <v>1210</v>
      </c>
      <c r="E52" s="1868">
        <v>1E-50</v>
      </c>
      <c r="F52" s="1260" t="s">
        <v>1210</v>
      </c>
      <c r="G52" s="1260" t="s">
        <v>1210</v>
      </c>
      <c r="H52" s="1260" t="s">
        <v>1210</v>
      </c>
      <c r="I52" s="1260" t="s">
        <v>1210</v>
      </c>
      <c r="J52" s="1868" t="s">
        <v>1210</v>
      </c>
      <c r="K52" s="1261" t="s">
        <v>1210</v>
      </c>
      <c r="L52" s="1261" t="s">
        <v>1210</v>
      </c>
      <c r="M52" s="1261" t="s">
        <v>1210</v>
      </c>
      <c r="N52" s="1262" t="s">
        <v>3064</v>
      </c>
      <c r="O52" s="1262" t="s">
        <v>3065</v>
      </c>
      <c r="P52" s="1867" t="s">
        <v>835</v>
      </c>
      <c r="Q52" s="1867">
        <v>1</v>
      </c>
      <c r="R52" s="1867" t="s">
        <v>256</v>
      </c>
      <c r="S52" s="1867" t="s">
        <v>259</v>
      </c>
      <c r="T52" s="1867" t="s">
        <v>260</v>
      </c>
      <c r="U52" s="1869" t="s">
        <v>2956</v>
      </c>
      <c r="V52" s="1040"/>
      <c r="W52" s="1523"/>
      <c r="Z52" s="334"/>
    </row>
    <row r="53" spans="1:26" ht="18.75" customHeight="1" x14ac:dyDescent="0.25">
      <c r="B53" s="1872" t="s">
        <v>463</v>
      </c>
      <c r="C53" s="1866" t="s">
        <v>2898</v>
      </c>
      <c r="D53" s="1267">
        <v>0.01</v>
      </c>
      <c r="E53" s="1267">
        <v>0.01</v>
      </c>
      <c r="F53" s="1267">
        <v>3.0000000000000001E-3</v>
      </c>
      <c r="G53" s="1260" t="s">
        <v>1210</v>
      </c>
      <c r="H53" s="1260" t="s">
        <v>1210</v>
      </c>
      <c r="I53" s="1260" t="s">
        <v>1210</v>
      </c>
      <c r="J53" s="1868" t="s">
        <v>1210</v>
      </c>
      <c r="K53" s="1261" t="s">
        <v>1210</v>
      </c>
      <c r="L53" s="1261">
        <v>9.2871700000000008E-3</v>
      </c>
      <c r="M53" s="1261">
        <v>9.7224725000000008E-3</v>
      </c>
      <c r="N53" s="1262" t="s">
        <v>3064</v>
      </c>
      <c r="O53" s="1262" t="s">
        <v>3065</v>
      </c>
      <c r="P53" s="1867" t="s">
        <v>835</v>
      </c>
      <c r="Q53" s="1867">
        <v>1</v>
      </c>
      <c r="R53" s="1867" t="s">
        <v>256</v>
      </c>
      <c r="S53" s="1867" t="s">
        <v>259</v>
      </c>
      <c r="T53" s="1867" t="s">
        <v>260</v>
      </c>
      <c r="U53" s="1869" t="s">
        <v>2956</v>
      </c>
      <c r="V53" s="1040"/>
      <c r="W53" s="1523"/>
      <c r="Z53" s="334"/>
    </row>
    <row r="54" spans="1:26" ht="18" x14ac:dyDescent="0.25">
      <c r="B54" s="1865" t="s">
        <v>462</v>
      </c>
      <c r="C54" s="1866" t="s">
        <v>2899</v>
      </c>
      <c r="D54" s="1260" t="s">
        <v>1210</v>
      </c>
      <c r="E54" s="1868">
        <v>1E-50</v>
      </c>
      <c r="F54" s="1260" t="s">
        <v>1210</v>
      </c>
      <c r="G54" s="1260" t="s">
        <v>1210</v>
      </c>
      <c r="H54" s="1260" t="s">
        <v>1210</v>
      </c>
      <c r="I54" s="1260" t="s">
        <v>1210</v>
      </c>
      <c r="J54" s="1868" t="s">
        <v>1210</v>
      </c>
      <c r="K54" s="1261" t="s">
        <v>1210</v>
      </c>
      <c r="L54" s="1261" t="s">
        <v>1210</v>
      </c>
      <c r="M54" s="1261" t="s">
        <v>1210</v>
      </c>
      <c r="N54" s="1262" t="s">
        <v>3064</v>
      </c>
      <c r="O54" s="1262" t="s">
        <v>3065</v>
      </c>
      <c r="P54" s="1867" t="s">
        <v>835</v>
      </c>
      <c r="Q54" s="1867">
        <v>1</v>
      </c>
      <c r="R54" s="1867" t="s">
        <v>256</v>
      </c>
      <c r="S54" s="1867" t="s">
        <v>259</v>
      </c>
      <c r="T54" s="1867" t="s">
        <v>260</v>
      </c>
      <c r="U54" s="1869" t="s">
        <v>2956</v>
      </c>
      <c r="V54" s="1040"/>
      <c r="W54" s="1523"/>
      <c r="Z54" s="334"/>
    </row>
    <row r="55" spans="1:26" ht="18" x14ac:dyDescent="0.25">
      <c r="B55" s="1865" t="s">
        <v>461</v>
      </c>
      <c r="C55" s="1866" t="s">
        <v>2900</v>
      </c>
      <c r="D55" s="1260" t="s">
        <v>1210</v>
      </c>
      <c r="E55" s="1868">
        <v>1E-50</v>
      </c>
      <c r="F55" s="1260" t="s">
        <v>1210</v>
      </c>
      <c r="G55" s="1260" t="s">
        <v>1210</v>
      </c>
      <c r="H55" s="1260" t="s">
        <v>1210</v>
      </c>
      <c r="I55" s="1260" t="s">
        <v>1210</v>
      </c>
      <c r="J55" s="1868" t="s">
        <v>1210</v>
      </c>
      <c r="K55" s="1261" t="s">
        <v>1210</v>
      </c>
      <c r="L55" s="1261" t="s">
        <v>1210</v>
      </c>
      <c r="M55" s="1261" t="s">
        <v>1210</v>
      </c>
      <c r="N55" s="1262" t="s">
        <v>3064</v>
      </c>
      <c r="O55" s="1262" t="s">
        <v>3065</v>
      </c>
      <c r="P55" s="1867" t="s">
        <v>835</v>
      </c>
      <c r="Q55" s="1867">
        <v>1</v>
      </c>
      <c r="R55" s="1867" t="s">
        <v>256</v>
      </c>
      <c r="S55" s="1867" t="s">
        <v>259</v>
      </c>
      <c r="T55" s="1867" t="s">
        <v>260</v>
      </c>
      <c r="U55" s="1869" t="s">
        <v>2956</v>
      </c>
      <c r="V55" s="1040"/>
      <c r="W55" s="1523"/>
      <c r="Z55" s="334"/>
    </row>
    <row r="56" spans="1:26" s="3" customFormat="1" ht="18" x14ac:dyDescent="0.25">
      <c r="A56" s="5"/>
      <c r="B56" s="1873" t="s">
        <v>844</v>
      </c>
      <c r="C56" s="1866" t="s">
        <v>4564</v>
      </c>
      <c r="D56" s="1260" t="s">
        <v>1210</v>
      </c>
      <c r="E56" s="1868">
        <v>1E-50</v>
      </c>
      <c r="F56" s="1260" t="s">
        <v>1210</v>
      </c>
      <c r="G56" s="1868" t="s">
        <v>1210</v>
      </c>
      <c r="H56" s="1868" t="s">
        <v>1210</v>
      </c>
      <c r="I56" s="1868" t="s">
        <v>1210</v>
      </c>
      <c r="J56" s="1868" t="s">
        <v>1210</v>
      </c>
      <c r="K56" s="1261" t="s">
        <v>1210</v>
      </c>
      <c r="L56" s="1261" t="s">
        <v>1210</v>
      </c>
      <c r="M56" s="1261" t="s">
        <v>1210</v>
      </c>
      <c r="N56" s="1262" t="s">
        <v>3064</v>
      </c>
      <c r="O56" s="1262" t="s">
        <v>3065</v>
      </c>
      <c r="P56" s="1867" t="s">
        <v>468</v>
      </c>
      <c r="Q56" s="1867">
        <v>1</v>
      </c>
      <c r="R56" s="1867" t="s">
        <v>256</v>
      </c>
      <c r="S56" s="1867" t="s">
        <v>259</v>
      </c>
      <c r="T56" s="1867" t="s">
        <v>260</v>
      </c>
      <c r="U56" s="1869" t="s">
        <v>2956</v>
      </c>
      <c r="V56" s="1040"/>
      <c r="W56" s="1523"/>
      <c r="Z56" s="335"/>
    </row>
    <row r="57" spans="1:26" s="3" customFormat="1" ht="18" x14ac:dyDescent="0.25">
      <c r="A57" s="5"/>
      <c r="B57" s="1873" t="s">
        <v>845</v>
      </c>
      <c r="C57" s="1866" t="s">
        <v>4565</v>
      </c>
      <c r="D57" s="1260" t="s">
        <v>1210</v>
      </c>
      <c r="E57" s="1868">
        <v>1E-50</v>
      </c>
      <c r="F57" s="1260" t="s">
        <v>1210</v>
      </c>
      <c r="G57" s="1868" t="s">
        <v>1210</v>
      </c>
      <c r="H57" s="1868" t="s">
        <v>1210</v>
      </c>
      <c r="I57" s="1868" t="s">
        <v>1210</v>
      </c>
      <c r="J57" s="1868" t="s">
        <v>1210</v>
      </c>
      <c r="K57" s="1261" t="s">
        <v>1210</v>
      </c>
      <c r="L57" s="1261" t="s">
        <v>1210</v>
      </c>
      <c r="M57" s="1261" t="s">
        <v>1210</v>
      </c>
      <c r="N57" s="1262" t="s">
        <v>3064</v>
      </c>
      <c r="O57" s="1262" t="s">
        <v>3065</v>
      </c>
      <c r="P57" s="1867" t="s">
        <v>468</v>
      </c>
      <c r="Q57" s="1867">
        <v>1</v>
      </c>
      <c r="R57" s="1867" t="s">
        <v>256</v>
      </c>
      <c r="S57" s="1867" t="s">
        <v>259</v>
      </c>
      <c r="T57" s="1867" t="s">
        <v>260</v>
      </c>
      <c r="U57" s="1869" t="s">
        <v>2956</v>
      </c>
      <c r="V57" s="1040"/>
      <c r="W57" s="1523"/>
      <c r="Z57" s="335"/>
    </row>
    <row r="58" spans="1:26" s="69" customFormat="1" ht="18" x14ac:dyDescent="0.25">
      <c r="B58" s="1874" t="s">
        <v>3721</v>
      </c>
      <c r="C58" s="1875" t="s">
        <v>3722</v>
      </c>
      <c r="D58" s="1876" t="s">
        <v>1210</v>
      </c>
      <c r="E58" s="1868">
        <v>1E-50</v>
      </c>
      <c r="F58" s="1876" t="s">
        <v>1210</v>
      </c>
      <c r="G58" s="1877" t="s">
        <v>1210</v>
      </c>
      <c r="H58" s="1877" t="s">
        <v>1210</v>
      </c>
      <c r="I58" s="1877" t="s">
        <v>1210</v>
      </c>
      <c r="J58" s="1271" t="s">
        <v>1210</v>
      </c>
      <c r="K58" s="1878" t="s">
        <v>1210</v>
      </c>
      <c r="L58" s="1261" t="s">
        <v>1210</v>
      </c>
      <c r="M58" s="1261" t="s">
        <v>1210</v>
      </c>
      <c r="N58" s="1879" t="s">
        <v>3064</v>
      </c>
      <c r="O58" s="1879" t="s">
        <v>3065</v>
      </c>
      <c r="P58" s="1879" t="s">
        <v>3723</v>
      </c>
      <c r="Q58" s="1879">
        <v>1</v>
      </c>
      <c r="R58" s="1879" t="s">
        <v>256</v>
      </c>
      <c r="S58" s="1879" t="s">
        <v>259</v>
      </c>
      <c r="T58" s="1879" t="s">
        <v>260</v>
      </c>
      <c r="U58" s="1869" t="s">
        <v>2957</v>
      </c>
      <c r="V58" s="1038"/>
      <c r="W58" s="1519"/>
    </row>
    <row r="59" spans="1:26" s="69" customFormat="1" ht="18" x14ac:dyDescent="0.25">
      <c r="B59" s="1874" t="s">
        <v>3724</v>
      </c>
      <c r="C59" s="1875" t="s">
        <v>3725</v>
      </c>
      <c r="D59" s="1876" t="s">
        <v>1210</v>
      </c>
      <c r="E59" s="1868">
        <v>1E-50</v>
      </c>
      <c r="F59" s="1876" t="s">
        <v>1210</v>
      </c>
      <c r="G59" s="1877" t="s">
        <v>1210</v>
      </c>
      <c r="H59" s="1877" t="s">
        <v>1210</v>
      </c>
      <c r="I59" s="1877" t="s">
        <v>1210</v>
      </c>
      <c r="J59" s="1271" t="s">
        <v>1210</v>
      </c>
      <c r="K59" s="1878" t="s">
        <v>1210</v>
      </c>
      <c r="L59" s="1261" t="s">
        <v>1210</v>
      </c>
      <c r="M59" s="1261" t="s">
        <v>1210</v>
      </c>
      <c r="N59" s="1879" t="s">
        <v>3064</v>
      </c>
      <c r="O59" s="1879" t="s">
        <v>3065</v>
      </c>
      <c r="P59" s="1879" t="s">
        <v>3723</v>
      </c>
      <c r="Q59" s="1879">
        <v>1</v>
      </c>
      <c r="R59" s="1879" t="s">
        <v>256</v>
      </c>
      <c r="S59" s="1879" t="s">
        <v>259</v>
      </c>
      <c r="T59" s="1879" t="s">
        <v>260</v>
      </c>
      <c r="U59" s="1869" t="s">
        <v>2957</v>
      </c>
      <c r="V59" s="1038"/>
      <c r="W59" s="1519"/>
    </row>
    <row r="60" spans="1:26" s="69" customFormat="1" ht="18" x14ac:dyDescent="0.25">
      <c r="B60" s="1874" t="s">
        <v>3726</v>
      </c>
      <c r="C60" s="1875" t="s">
        <v>3727</v>
      </c>
      <c r="D60" s="1267">
        <v>0.01</v>
      </c>
      <c r="E60" s="1267">
        <v>0.01</v>
      </c>
      <c r="F60" s="1267">
        <v>3.0000000000000001E-3</v>
      </c>
      <c r="G60" s="1877" t="s">
        <v>1210</v>
      </c>
      <c r="H60" s="1877" t="s">
        <v>1210</v>
      </c>
      <c r="I60" s="1877" t="s">
        <v>1210</v>
      </c>
      <c r="J60" s="1271" t="s">
        <v>1210</v>
      </c>
      <c r="K60" s="1878" t="s">
        <v>1210</v>
      </c>
      <c r="L60" s="1261">
        <v>9.0579500000000004E-3</v>
      </c>
      <c r="M60" s="1261">
        <v>11.684659999999999</v>
      </c>
      <c r="N60" s="1879" t="s">
        <v>3064</v>
      </c>
      <c r="O60" s="1879" t="s">
        <v>3065</v>
      </c>
      <c r="P60" s="1879" t="s">
        <v>3723</v>
      </c>
      <c r="Q60" s="1879">
        <v>1</v>
      </c>
      <c r="R60" s="1879" t="s">
        <v>256</v>
      </c>
      <c r="S60" s="1879" t="s">
        <v>259</v>
      </c>
      <c r="T60" s="1879" t="s">
        <v>260</v>
      </c>
      <c r="U60" s="1869" t="s">
        <v>2957</v>
      </c>
      <c r="V60" s="1038"/>
      <c r="W60" s="1519"/>
    </row>
    <row r="61" spans="1:26" s="69" customFormat="1" ht="18" x14ac:dyDescent="0.25">
      <c r="B61" s="1874" t="s">
        <v>3728</v>
      </c>
      <c r="C61" s="1875" t="s">
        <v>3729</v>
      </c>
      <c r="D61" s="1876" t="s">
        <v>1210</v>
      </c>
      <c r="E61" s="1868">
        <v>1E-50</v>
      </c>
      <c r="F61" s="1876" t="s">
        <v>1210</v>
      </c>
      <c r="G61" s="1877" t="s">
        <v>1210</v>
      </c>
      <c r="H61" s="1877" t="s">
        <v>1210</v>
      </c>
      <c r="I61" s="1877" t="s">
        <v>1210</v>
      </c>
      <c r="J61" s="1271" t="s">
        <v>1210</v>
      </c>
      <c r="K61" s="1878" t="s">
        <v>1210</v>
      </c>
      <c r="L61" s="1261" t="s">
        <v>1210</v>
      </c>
      <c r="M61" s="1261" t="s">
        <v>1210</v>
      </c>
      <c r="N61" s="1879" t="s">
        <v>3064</v>
      </c>
      <c r="O61" s="1879" t="s">
        <v>3065</v>
      </c>
      <c r="P61" s="1879" t="s">
        <v>3723</v>
      </c>
      <c r="Q61" s="1879">
        <v>1</v>
      </c>
      <c r="R61" s="1879" t="s">
        <v>256</v>
      </c>
      <c r="S61" s="1879" t="s">
        <v>259</v>
      </c>
      <c r="T61" s="1879" t="s">
        <v>260</v>
      </c>
      <c r="U61" s="1869" t="s">
        <v>2957</v>
      </c>
      <c r="V61" s="1038"/>
      <c r="W61" s="1519"/>
    </row>
    <row r="62" spans="1:26" s="69" customFormat="1" ht="18" x14ac:dyDescent="0.25">
      <c r="B62" s="1874" t="s">
        <v>3730</v>
      </c>
      <c r="C62" s="1875" t="s">
        <v>3731</v>
      </c>
      <c r="D62" s="1876" t="s">
        <v>1210</v>
      </c>
      <c r="E62" s="1868">
        <v>1E-50</v>
      </c>
      <c r="F62" s="1876" t="s">
        <v>1210</v>
      </c>
      <c r="G62" s="1877" t="s">
        <v>1210</v>
      </c>
      <c r="H62" s="1877" t="s">
        <v>1210</v>
      </c>
      <c r="I62" s="1877" t="s">
        <v>1210</v>
      </c>
      <c r="J62" s="1271" t="s">
        <v>1210</v>
      </c>
      <c r="K62" s="1878" t="s">
        <v>1210</v>
      </c>
      <c r="L62" s="1261" t="s">
        <v>1210</v>
      </c>
      <c r="M62" s="1261" t="s">
        <v>1210</v>
      </c>
      <c r="N62" s="1879" t="s">
        <v>3064</v>
      </c>
      <c r="O62" s="1879" t="s">
        <v>3065</v>
      </c>
      <c r="P62" s="1879" t="s">
        <v>3723</v>
      </c>
      <c r="Q62" s="1879">
        <v>1</v>
      </c>
      <c r="R62" s="1879" t="s">
        <v>256</v>
      </c>
      <c r="S62" s="1879" t="s">
        <v>259</v>
      </c>
      <c r="T62" s="1879" t="s">
        <v>260</v>
      </c>
      <c r="U62" s="1869" t="s">
        <v>2957</v>
      </c>
      <c r="V62" s="1038"/>
      <c r="W62" s="1519"/>
    </row>
    <row r="63" spans="1:26" s="69" customFormat="1" ht="18" x14ac:dyDescent="0.25">
      <c r="B63" s="1874" t="s">
        <v>3732</v>
      </c>
      <c r="C63" s="1875" t="s">
        <v>3733</v>
      </c>
      <c r="D63" s="1876" t="s">
        <v>1210</v>
      </c>
      <c r="E63" s="1868">
        <v>1E-50</v>
      </c>
      <c r="F63" s="1876" t="s">
        <v>1210</v>
      </c>
      <c r="G63" s="1877" t="s">
        <v>1210</v>
      </c>
      <c r="H63" s="1877" t="s">
        <v>1210</v>
      </c>
      <c r="I63" s="1877" t="s">
        <v>1210</v>
      </c>
      <c r="J63" s="1272" t="s">
        <v>1210</v>
      </c>
      <c r="K63" s="1878" t="s">
        <v>1210</v>
      </c>
      <c r="L63" s="1261" t="s">
        <v>1210</v>
      </c>
      <c r="M63" s="1261" t="s">
        <v>1210</v>
      </c>
      <c r="N63" s="1879" t="s">
        <v>3064</v>
      </c>
      <c r="O63" s="1879" t="s">
        <v>3065</v>
      </c>
      <c r="P63" s="1879" t="s">
        <v>3723</v>
      </c>
      <c r="Q63" s="1879">
        <v>1</v>
      </c>
      <c r="R63" s="1879" t="s">
        <v>256</v>
      </c>
      <c r="S63" s="1879" t="s">
        <v>259</v>
      </c>
      <c r="T63" s="1879" t="s">
        <v>260</v>
      </c>
      <c r="U63" s="1869" t="s">
        <v>2957</v>
      </c>
      <c r="V63" s="1038"/>
      <c r="W63" s="1519"/>
    </row>
    <row r="64" spans="1:26" s="69" customFormat="1" ht="18" x14ac:dyDescent="0.25">
      <c r="B64" s="1874" t="s">
        <v>3734</v>
      </c>
      <c r="C64" s="1875" t="s">
        <v>3735</v>
      </c>
      <c r="D64" s="1876" t="s">
        <v>1210</v>
      </c>
      <c r="E64" s="1868">
        <v>1E-50</v>
      </c>
      <c r="F64" s="1876" t="s">
        <v>1210</v>
      </c>
      <c r="G64" s="1877" t="s">
        <v>1210</v>
      </c>
      <c r="H64" s="1877" t="s">
        <v>1210</v>
      </c>
      <c r="I64" s="1877" t="s">
        <v>1210</v>
      </c>
      <c r="J64" s="1272" t="s">
        <v>1210</v>
      </c>
      <c r="K64" s="1878" t="s">
        <v>1210</v>
      </c>
      <c r="L64" s="1261" t="s">
        <v>1210</v>
      </c>
      <c r="M64" s="1261" t="s">
        <v>1210</v>
      </c>
      <c r="N64" s="1879" t="s">
        <v>3064</v>
      </c>
      <c r="O64" s="1879" t="s">
        <v>3065</v>
      </c>
      <c r="P64" s="1879" t="s">
        <v>3723</v>
      </c>
      <c r="Q64" s="1879">
        <v>1</v>
      </c>
      <c r="R64" s="1879" t="s">
        <v>256</v>
      </c>
      <c r="S64" s="1879" t="s">
        <v>259</v>
      </c>
      <c r="T64" s="1879" t="s">
        <v>260</v>
      </c>
      <c r="U64" s="1869" t="s">
        <v>2957</v>
      </c>
      <c r="V64" s="1038"/>
      <c r="W64" s="1519"/>
    </row>
    <row r="65" spans="1:26" ht="18.75" customHeight="1" x14ac:dyDescent="0.25">
      <c r="B65" s="1872" t="s">
        <v>998</v>
      </c>
      <c r="C65" s="1866" t="s">
        <v>2901</v>
      </c>
      <c r="D65" s="1260" t="s">
        <v>1210</v>
      </c>
      <c r="E65" s="1868">
        <v>1E-50</v>
      </c>
      <c r="F65" s="1260" t="s">
        <v>1210</v>
      </c>
      <c r="G65" s="1868" t="s">
        <v>1210</v>
      </c>
      <c r="H65" s="1868" t="s">
        <v>1210</v>
      </c>
      <c r="I65" s="1868" t="s">
        <v>1210</v>
      </c>
      <c r="J65" s="1868" t="s">
        <v>1210</v>
      </c>
      <c r="K65" s="1261" t="s">
        <v>1210</v>
      </c>
      <c r="L65" s="1261" t="s">
        <v>1210</v>
      </c>
      <c r="M65" s="1261" t="s">
        <v>1210</v>
      </c>
      <c r="N65" s="1262" t="s">
        <v>3064</v>
      </c>
      <c r="O65" s="1262" t="s">
        <v>3065</v>
      </c>
      <c r="P65" s="1867" t="s">
        <v>358</v>
      </c>
      <c r="Q65" s="1867">
        <v>1</v>
      </c>
      <c r="R65" s="1867" t="s">
        <v>256</v>
      </c>
      <c r="S65" s="1867" t="s">
        <v>259</v>
      </c>
      <c r="T65" s="1867" t="s">
        <v>260</v>
      </c>
      <c r="U65" s="1869" t="s">
        <v>4317</v>
      </c>
      <c r="V65" s="1040"/>
      <c r="W65" s="1523"/>
      <c r="Z65" s="334"/>
    </row>
    <row r="66" spans="1:26" ht="18.75" customHeight="1" x14ac:dyDescent="0.25">
      <c r="B66" s="1872" t="s">
        <v>1132</v>
      </c>
      <c r="C66" s="1866" t="s">
        <v>2902</v>
      </c>
      <c r="D66" s="1260" t="s">
        <v>1210</v>
      </c>
      <c r="E66" s="1868">
        <v>1E-50</v>
      </c>
      <c r="F66" s="1260" t="s">
        <v>1210</v>
      </c>
      <c r="G66" s="1868" t="s">
        <v>1210</v>
      </c>
      <c r="H66" s="2493">
        <v>55</v>
      </c>
      <c r="I66" s="1868" t="s">
        <v>1210</v>
      </c>
      <c r="J66" s="1868" t="s">
        <v>1210</v>
      </c>
      <c r="K66" s="1261" t="s">
        <v>1210</v>
      </c>
      <c r="L66" s="1261" t="s">
        <v>1210</v>
      </c>
      <c r="M66" s="1261" t="s">
        <v>1210</v>
      </c>
      <c r="N66" s="1262" t="s">
        <v>3064</v>
      </c>
      <c r="O66" s="1262" t="s">
        <v>3065</v>
      </c>
      <c r="P66" s="1867" t="s">
        <v>358</v>
      </c>
      <c r="Q66" s="1867">
        <v>1</v>
      </c>
      <c r="R66" s="1867" t="s">
        <v>256</v>
      </c>
      <c r="S66" s="1867" t="s">
        <v>259</v>
      </c>
      <c r="T66" s="1867" t="s">
        <v>260</v>
      </c>
      <c r="U66" s="1869" t="s">
        <v>4317</v>
      </c>
      <c r="V66" s="1040"/>
      <c r="W66" s="1523"/>
      <c r="Z66" s="334"/>
    </row>
    <row r="67" spans="1:26" s="69" customFormat="1" ht="18.75" customHeight="1" x14ac:dyDescent="0.25">
      <c r="B67" s="1872" t="s">
        <v>3736</v>
      </c>
      <c r="C67" s="1875" t="s">
        <v>3737</v>
      </c>
      <c r="D67" s="1880" t="s">
        <v>1210</v>
      </c>
      <c r="E67" s="1877">
        <v>1E-50</v>
      </c>
      <c r="F67" s="1880" t="s">
        <v>1210</v>
      </c>
      <c r="G67" s="1877" t="s">
        <v>1210</v>
      </c>
      <c r="H67" s="2493">
        <v>500</v>
      </c>
      <c r="I67" s="1877" t="s">
        <v>1210</v>
      </c>
      <c r="J67" s="1877" t="s">
        <v>1210</v>
      </c>
      <c r="K67" s="1878" t="s">
        <v>1210</v>
      </c>
      <c r="L67" s="1261" t="s">
        <v>1210</v>
      </c>
      <c r="M67" s="1261" t="s">
        <v>1210</v>
      </c>
      <c r="N67" s="1879" t="s">
        <v>3064</v>
      </c>
      <c r="O67" s="1879" t="s">
        <v>3065</v>
      </c>
      <c r="P67" s="1879" t="s">
        <v>358</v>
      </c>
      <c r="Q67" s="1879">
        <v>1</v>
      </c>
      <c r="R67" s="1879" t="s">
        <v>256</v>
      </c>
      <c r="S67" s="1879" t="s">
        <v>259</v>
      </c>
      <c r="T67" s="1879" t="s">
        <v>260</v>
      </c>
      <c r="U67" s="1869" t="s">
        <v>4317</v>
      </c>
      <c r="V67" s="1038"/>
      <c r="W67" s="1519"/>
      <c r="Z67" s="913"/>
    </row>
    <row r="68" spans="1:26" ht="18.75" customHeight="1" x14ac:dyDescent="0.25">
      <c r="B68" s="1881" t="s">
        <v>354</v>
      </c>
      <c r="C68" s="1866" t="s">
        <v>2903</v>
      </c>
      <c r="D68" s="1260" t="s">
        <v>1210</v>
      </c>
      <c r="E68" s="1868">
        <v>1E-50</v>
      </c>
      <c r="F68" s="1260" t="s">
        <v>1210</v>
      </c>
      <c r="G68" s="1868" t="s">
        <v>1210</v>
      </c>
      <c r="H68" s="2493">
        <v>300</v>
      </c>
      <c r="I68" s="1868" t="s">
        <v>1210</v>
      </c>
      <c r="J68" s="1868" t="s">
        <v>1210</v>
      </c>
      <c r="K68" s="1261" t="s">
        <v>1210</v>
      </c>
      <c r="L68" s="1261" t="s">
        <v>1210</v>
      </c>
      <c r="M68" s="1261" t="s">
        <v>1210</v>
      </c>
      <c r="N68" s="1262" t="s">
        <v>3064</v>
      </c>
      <c r="O68" s="1262" t="s">
        <v>3065</v>
      </c>
      <c r="P68" s="1867" t="s">
        <v>358</v>
      </c>
      <c r="Q68" s="1867">
        <v>1</v>
      </c>
      <c r="R68" s="1867" t="s">
        <v>256</v>
      </c>
      <c r="S68" s="1867" t="s">
        <v>259</v>
      </c>
      <c r="T68" s="1867" t="s">
        <v>260</v>
      </c>
      <c r="U68" s="1869" t="s">
        <v>4317</v>
      </c>
      <c r="V68" s="1040"/>
      <c r="W68" s="1523"/>
      <c r="Z68" s="334"/>
    </row>
    <row r="69" spans="1:26" ht="18" x14ac:dyDescent="0.25">
      <c r="B69" s="1872" t="s">
        <v>1113</v>
      </c>
      <c r="C69" s="1866" t="s">
        <v>2904</v>
      </c>
      <c r="D69" s="1260" t="s">
        <v>1210</v>
      </c>
      <c r="E69" s="1868">
        <v>1E-50</v>
      </c>
      <c r="F69" s="1260" t="s">
        <v>1210</v>
      </c>
      <c r="G69" s="1868" t="s">
        <v>1210</v>
      </c>
      <c r="H69" s="2493">
        <v>5</v>
      </c>
      <c r="I69" s="1868" t="s">
        <v>1210</v>
      </c>
      <c r="J69" s="1868" t="s">
        <v>1210</v>
      </c>
      <c r="K69" s="1261" t="s">
        <v>1210</v>
      </c>
      <c r="L69" s="1261" t="s">
        <v>1210</v>
      </c>
      <c r="M69" s="1261" t="s">
        <v>1210</v>
      </c>
      <c r="N69" s="1262" t="s">
        <v>3064</v>
      </c>
      <c r="O69" s="1262" t="s">
        <v>3065</v>
      </c>
      <c r="P69" s="1867" t="s">
        <v>358</v>
      </c>
      <c r="Q69" s="1867">
        <v>1</v>
      </c>
      <c r="R69" s="1867" t="s">
        <v>256</v>
      </c>
      <c r="S69" s="1867" t="s">
        <v>259</v>
      </c>
      <c r="T69" s="1867" t="s">
        <v>260</v>
      </c>
      <c r="U69" s="1869" t="s">
        <v>4317</v>
      </c>
      <c r="V69" s="1040"/>
      <c r="W69" s="1523"/>
      <c r="Z69" s="334"/>
    </row>
    <row r="70" spans="1:26" ht="18.75" x14ac:dyDescent="0.35">
      <c r="B70" s="2324" t="s">
        <v>4742</v>
      </c>
      <c r="C70" s="2325" t="s">
        <v>4743</v>
      </c>
      <c r="D70" s="2326">
        <v>9.9999999999999995E-7</v>
      </c>
      <c r="E70" s="2326">
        <v>9.9999999999999995E-7</v>
      </c>
      <c r="F70" s="2326">
        <v>9.9999999999999995E-7</v>
      </c>
      <c r="G70" s="2326">
        <v>9.9999999999999995E-7</v>
      </c>
      <c r="H70" s="2326">
        <v>9.9999999999999995E-7</v>
      </c>
      <c r="I70" s="2326">
        <v>9.9999999999999995E-7</v>
      </c>
      <c r="J70" s="2326">
        <v>9.9999999999999995E-7</v>
      </c>
      <c r="K70" s="2326">
        <v>9.9999999999999995E-7</v>
      </c>
      <c r="L70" s="2326">
        <v>9.9999999999999995E-7</v>
      </c>
      <c r="M70" s="2326">
        <v>9.9999999999999995E-7</v>
      </c>
      <c r="N70" s="1795" t="s">
        <v>3064</v>
      </c>
      <c r="O70" s="1795" t="s">
        <v>3065</v>
      </c>
      <c r="P70" s="2327" t="s">
        <v>4744</v>
      </c>
      <c r="Q70" s="2089">
        <v>4</v>
      </c>
      <c r="R70" s="2089" t="s">
        <v>256</v>
      </c>
      <c r="S70" s="2089" t="s">
        <v>257</v>
      </c>
      <c r="T70" s="2089" t="s">
        <v>260</v>
      </c>
      <c r="U70" s="2328" t="s">
        <v>4745</v>
      </c>
      <c r="V70" s="2329" t="s">
        <v>4745</v>
      </c>
      <c r="W70" s="2330"/>
    </row>
    <row r="71" spans="1:26" ht="18.75" x14ac:dyDescent="0.35">
      <c r="B71" s="2324" t="s">
        <v>4746</v>
      </c>
      <c r="C71" s="2325" t="s">
        <v>4747</v>
      </c>
      <c r="D71" s="2326">
        <v>9.9999999999999995E-7</v>
      </c>
      <c r="E71" s="2326">
        <v>9.9999999999999995E-7</v>
      </c>
      <c r="F71" s="2326">
        <v>9.9999999999999995E-7</v>
      </c>
      <c r="G71" s="2326">
        <v>9.9999999999999995E-7</v>
      </c>
      <c r="H71" s="2326">
        <v>9.9999999999999995E-7</v>
      </c>
      <c r="I71" s="2326">
        <v>9.9999999999999995E-7</v>
      </c>
      <c r="J71" s="2326">
        <v>9.9999999999999995E-7</v>
      </c>
      <c r="K71" s="2326">
        <v>9.9999999999999995E-7</v>
      </c>
      <c r="L71" s="2326">
        <v>9.9999999999999995E-7</v>
      </c>
      <c r="M71" s="2326">
        <v>9.9999999999999995E-7</v>
      </c>
      <c r="N71" s="1795" t="s">
        <v>3064</v>
      </c>
      <c r="O71" s="1795" t="s">
        <v>3065</v>
      </c>
      <c r="P71" s="2327" t="s">
        <v>4744</v>
      </c>
      <c r="Q71" s="2089">
        <v>4</v>
      </c>
      <c r="R71" s="2089" t="s">
        <v>256</v>
      </c>
      <c r="S71" s="2089" t="s">
        <v>259</v>
      </c>
      <c r="T71" s="2089" t="s">
        <v>260</v>
      </c>
      <c r="U71" s="2328" t="s">
        <v>4745</v>
      </c>
      <c r="V71" s="2329" t="s">
        <v>4745</v>
      </c>
      <c r="W71" s="2330"/>
    </row>
    <row r="72" spans="1:26" ht="18.75" x14ac:dyDescent="0.35">
      <c r="B72" s="2324" t="s">
        <v>4748</v>
      </c>
      <c r="C72" s="2325" t="s">
        <v>4749</v>
      </c>
      <c r="D72" s="2326">
        <v>9.9999999999999995E-7</v>
      </c>
      <c r="E72" s="2326">
        <v>9.9999999999999995E-7</v>
      </c>
      <c r="F72" s="2326">
        <v>9.9999999999999995E-7</v>
      </c>
      <c r="G72" s="2326">
        <v>9.9999999999999995E-7</v>
      </c>
      <c r="H72" s="2326">
        <v>9.9999999999999995E-7</v>
      </c>
      <c r="I72" s="2326">
        <v>9.9999999999999995E-7</v>
      </c>
      <c r="J72" s="2326">
        <v>9.9999999999999995E-7</v>
      </c>
      <c r="K72" s="2326">
        <v>9.9999999999999995E-7</v>
      </c>
      <c r="L72" s="2326">
        <v>9.9999999999999995E-7</v>
      </c>
      <c r="M72" s="2326">
        <v>9.9999999999999995E-7</v>
      </c>
      <c r="N72" s="1795" t="s">
        <v>3064</v>
      </c>
      <c r="O72" s="1795" t="s">
        <v>3065</v>
      </c>
      <c r="P72" s="2327" t="s">
        <v>4744</v>
      </c>
      <c r="Q72" s="2089">
        <v>4</v>
      </c>
      <c r="R72" s="2089" t="s">
        <v>256</v>
      </c>
      <c r="S72" s="2089" t="s">
        <v>257</v>
      </c>
      <c r="T72" s="2089" t="s">
        <v>260</v>
      </c>
      <c r="U72" s="2328" t="s">
        <v>4745</v>
      </c>
      <c r="V72" s="2329" t="s">
        <v>4745</v>
      </c>
      <c r="W72" s="2330"/>
    </row>
    <row r="73" spans="1:26" ht="18.75" x14ac:dyDescent="0.35">
      <c r="B73" s="2324" t="s">
        <v>4750</v>
      </c>
      <c r="C73" s="2325" t="s">
        <v>4751</v>
      </c>
      <c r="D73" s="2326">
        <v>9.9999999999999995E-7</v>
      </c>
      <c r="E73" s="2326">
        <v>9.9999999999999995E-7</v>
      </c>
      <c r="F73" s="2326">
        <v>9.9999999999999995E-7</v>
      </c>
      <c r="G73" s="2326">
        <v>9.9999999999999995E-7</v>
      </c>
      <c r="H73" s="2326">
        <v>9.9999999999999995E-7</v>
      </c>
      <c r="I73" s="2326">
        <v>9.9999999999999995E-7</v>
      </c>
      <c r="J73" s="2326">
        <v>9.9999999999999995E-7</v>
      </c>
      <c r="K73" s="2326">
        <v>9.9999999999999995E-7</v>
      </c>
      <c r="L73" s="2326">
        <v>9.9999999999999995E-7</v>
      </c>
      <c r="M73" s="2326">
        <v>9.9999999999999995E-7</v>
      </c>
      <c r="N73" s="1795" t="s">
        <v>3064</v>
      </c>
      <c r="O73" s="1795" t="s">
        <v>3065</v>
      </c>
      <c r="P73" s="2327" t="s">
        <v>4744</v>
      </c>
      <c r="Q73" s="2089">
        <v>4</v>
      </c>
      <c r="R73" s="2089" t="s">
        <v>256</v>
      </c>
      <c r="S73" s="2089" t="s">
        <v>259</v>
      </c>
      <c r="T73" s="2089" t="s">
        <v>260</v>
      </c>
      <c r="U73" s="2328" t="s">
        <v>4745</v>
      </c>
      <c r="V73" s="2329" t="s">
        <v>4745</v>
      </c>
      <c r="W73" s="2330"/>
    </row>
    <row r="74" spans="1:26" ht="18.75" x14ac:dyDescent="0.25">
      <c r="B74" s="1881" t="s">
        <v>4730</v>
      </c>
      <c r="C74" s="1866" t="s">
        <v>1286</v>
      </c>
      <c r="D74" s="1260">
        <v>83.626000000000005</v>
      </c>
      <c r="E74" s="1260">
        <v>83.626000000000005</v>
      </c>
      <c r="F74" s="1260">
        <v>83.626000000000005</v>
      </c>
      <c r="G74" s="1260">
        <v>83.626000000000005</v>
      </c>
      <c r="H74" s="1260">
        <v>146.34549999999999</v>
      </c>
      <c r="I74" s="1260">
        <v>83.626000000000005</v>
      </c>
      <c r="J74" s="1260">
        <v>83.626000000000005</v>
      </c>
      <c r="K74" s="1261">
        <v>83.626000000000005</v>
      </c>
      <c r="L74" s="1261">
        <v>83.626000000000005</v>
      </c>
      <c r="M74" s="1261">
        <v>83.626000000000005</v>
      </c>
      <c r="N74" s="1262" t="s">
        <v>3064</v>
      </c>
      <c r="O74" s="1262" t="s">
        <v>3065</v>
      </c>
      <c r="P74" s="1867" t="s">
        <v>3323</v>
      </c>
      <c r="Q74" s="1867">
        <v>1</v>
      </c>
      <c r="R74" s="1867" t="s">
        <v>256</v>
      </c>
      <c r="S74" s="1867" t="s">
        <v>257</v>
      </c>
      <c r="T74" s="1867" t="s">
        <v>260</v>
      </c>
      <c r="U74" s="1869" t="s">
        <v>4734</v>
      </c>
      <c r="V74" s="1040"/>
      <c r="W74" s="1523" t="s">
        <v>1287</v>
      </c>
      <c r="Z74" s="334"/>
    </row>
    <row r="75" spans="1:26" s="69" customFormat="1" ht="18" x14ac:dyDescent="0.25">
      <c r="B75" s="1882" t="s">
        <v>4074</v>
      </c>
      <c r="C75" s="1148" t="s">
        <v>4073</v>
      </c>
      <c r="D75" s="1263">
        <v>0.18</v>
      </c>
      <c r="E75" s="1263">
        <v>0.5</v>
      </c>
      <c r="F75" s="1263">
        <v>0.18</v>
      </c>
      <c r="G75" s="1263">
        <v>0.5</v>
      </c>
      <c r="H75" s="2455">
        <v>0.01</v>
      </c>
      <c r="I75" s="1263">
        <v>0.5</v>
      </c>
      <c r="J75" s="1263">
        <v>0.5</v>
      </c>
      <c r="K75" s="1263">
        <v>0.5</v>
      </c>
      <c r="L75" s="1883">
        <v>0.68469400000000002</v>
      </c>
      <c r="M75" s="1883">
        <v>0.99993900000000002</v>
      </c>
      <c r="N75" s="1884">
        <v>0</v>
      </c>
      <c r="O75" s="1884">
        <v>1</v>
      </c>
      <c r="P75" s="1884" t="s">
        <v>1989</v>
      </c>
      <c r="Q75" s="1884">
        <v>2</v>
      </c>
      <c r="R75" s="1884" t="s">
        <v>256</v>
      </c>
      <c r="S75" s="1884" t="s">
        <v>257</v>
      </c>
      <c r="T75" s="1884" t="s">
        <v>260</v>
      </c>
      <c r="U75" s="1869" t="s">
        <v>4318</v>
      </c>
      <c r="V75" s="1138"/>
      <c r="W75" s="1521"/>
      <c r="Z75" s="913"/>
    </row>
    <row r="76" spans="1:26" ht="18" x14ac:dyDescent="0.25">
      <c r="A76" s="69"/>
      <c r="B76" s="1885" t="s">
        <v>4504</v>
      </c>
      <c r="C76" s="1886" t="s">
        <v>4505</v>
      </c>
      <c r="D76" s="1887">
        <v>900</v>
      </c>
      <c r="E76" s="1887">
        <v>1000</v>
      </c>
      <c r="F76" s="1887">
        <v>900</v>
      </c>
      <c r="G76" s="1887">
        <v>1000</v>
      </c>
      <c r="H76" s="2493">
        <v>730</v>
      </c>
      <c r="I76" s="1887">
        <v>1000</v>
      </c>
      <c r="J76" s="1887">
        <v>1000</v>
      </c>
      <c r="K76" s="1887">
        <v>1000</v>
      </c>
      <c r="L76" s="1887">
        <v>1000</v>
      </c>
      <c r="M76" s="1887">
        <v>800</v>
      </c>
      <c r="N76" s="1795" t="s">
        <v>3064</v>
      </c>
      <c r="O76" s="1795" t="s">
        <v>3065</v>
      </c>
      <c r="P76" s="1795" t="s">
        <v>1989</v>
      </c>
      <c r="Q76" s="1795">
        <v>0</v>
      </c>
      <c r="R76" s="1795" t="s">
        <v>506</v>
      </c>
      <c r="S76" s="1795" t="s">
        <v>257</v>
      </c>
      <c r="T76" s="1795" t="s">
        <v>260</v>
      </c>
      <c r="U76" s="1795" t="s">
        <v>2148</v>
      </c>
      <c r="V76" s="1888"/>
      <c r="W76" s="1889"/>
    </row>
    <row r="77" spans="1:26" ht="18" x14ac:dyDescent="0.25">
      <c r="B77" s="1890" t="s">
        <v>434</v>
      </c>
      <c r="C77" s="1891" t="s">
        <v>3070</v>
      </c>
      <c r="D77" s="1892">
        <v>0.1258</v>
      </c>
      <c r="E77" s="1892">
        <v>0.1258</v>
      </c>
      <c r="F77" s="1892">
        <v>0.1258</v>
      </c>
      <c r="G77" s="1892">
        <v>0.1258</v>
      </c>
      <c r="H77" s="2491">
        <v>8</v>
      </c>
      <c r="I77" s="1892">
        <v>0.1258</v>
      </c>
      <c r="J77" s="1892">
        <v>0.1258</v>
      </c>
      <c r="K77" s="1892">
        <v>0.1258</v>
      </c>
      <c r="L77" s="1893">
        <v>0.1258</v>
      </c>
      <c r="M77" s="1893">
        <v>0.1258</v>
      </c>
      <c r="N77" s="1262" t="s">
        <v>3064</v>
      </c>
      <c r="O77" s="1262" t="s">
        <v>3065</v>
      </c>
      <c r="P77" s="1894" t="s">
        <v>3071</v>
      </c>
      <c r="Q77" s="1262">
        <v>1</v>
      </c>
      <c r="R77" s="1262" t="s">
        <v>435</v>
      </c>
      <c r="S77" s="1262" t="s">
        <v>257</v>
      </c>
      <c r="T77" s="1262" t="s">
        <v>800</v>
      </c>
      <c r="U77" s="1869" t="s">
        <v>4316</v>
      </c>
      <c r="V77" s="1891"/>
      <c r="W77" s="1536"/>
    </row>
    <row r="78" spans="1:26" ht="18" x14ac:dyDescent="0.25">
      <c r="B78" s="1890" t="s">
        <v>436</v>
      </c>
      <c r="C78" s="1895" t="s">
        <v>3072</v>
      </c>
      <c r="D78" s="1896">
        <v>5.3E-3</v>
      </c>
      <c r="E78" s="1896">
        <v>5.3E-3</v>
      </c>
      <c r="F78" s="1896">
        <v>5.3E-3</v>
      </c>
      <c r="G78" s="1896">
        <v>5.3E-3</v>
      </c>
      <c r="H78" s="2494">
        <v>90</v>
      </c>
      <c r="I78" s="1896">
        <v>5.3E-3</v>
      </c>
      <c r="J78" s="1896">
        <v>5.3E-3</v>
      </c>
      <c r="K78" s="1896">
        <v>5.3E-3</v>
      </c>
      <c r="L78" s="1795">
        <v>1.7299999999999999E-2</v>
      </c>
      <c r="M78" s="1795">
        <v>1.7299999999999999E-2</v>
      </c>
      <c r="N78" s="1262" t="s">
        <v>3064</v>
      </c>
      <c r="O78" s="1262" t="s">
        <v>3065</v>
      </c>
      <c r="P78" s="1897" t="s">
        <v>3073</v>
      </c>
      <c r="Q78" s="1262">
        <v>1</v>
      </c>
      <c r="R78" s="1262" t="s">
        <v>435</v>
      </c>
      <c r="S78" s="1262" t="s">
        <v>257</v>
      </c>
      <c r="T78" s="1262" t="s">
        <v>800</v>
      </c>
      <c r="U78" s="1869" t="s">
        <v>148</v>
      </c>
      <c r="V78" s="1891"/>
      <c r="W78" s="1536"/>
    </row>
    <row r="79" spans="1:26" ht="18" x14ac:dyDescent="0.25">
      <c r="B79" s="1890" t="s">
        <v>437</v>
      </c>
      <c r="C79" s="1895" t="s">
        <v>3074</v>
      </c>
      <c r="D79" s="1896">
        <v>5.4999999999999997E-3</v>
      </c>
      <c r="E79" s="1896">
        <v>5.4999999999999997E-3</v>
      </c>
      <c r="F79" s="1896">
        <v>5.4999999999999997E-3</v>
      </c>
      <c r="G79" s="1896">
        <v>5.4999999999999997E-3</v>
      </c>
      <c r="H79" s="2494">
        <v>0.05</v>
      </c>
      <c r="I79" s="1896">
        <v>5.4999999999999997E-3</v>
      </c>
      <c r="J79" s="1896">
        <v>5.4999999999999997E-3</v>
      </c>
      <c r="K79" s="1896">
        <v>5.4999999999999997E-3</v>
      </c>
      <c r="L79" s="1795">
        <v>7.9000000000000008E-3</v>
      </c>
      <c r="M79" s="1795">
        <v>7.9000000000000008E-3</v>
      </c>
      <c r="N79" s="1262" t="s">
        <v>3064</v>
      </c>
      <c r="O79" s="1262" t="s">
        <v>3065</v>
      </c>
      <c r="P79" s="1898" t="s">
        <v>3073</v>
      </c>
      <c r="Q79" s="1262">
        <v>1</v>
      </c>
      <c r="R79" s="1262" t="s">
        <v>435</v>
      </c>
      <c r="S79" s="1262" t="s">
        <v>257</v>
      </c>
      <c r="T79" s="1262" t="s">
        <v>800</v>
      </c>
      <c r="U79" s="1869" t="s">
        <v>148</v>
      </c>
      <c r="V79" s="1891"/>
      <c r="W79" s="1536"/>
    </row>
    <row r="80" spans="1:26" ht="18" x14ac:dyDescent="0.25">
      <c r="B80" s="1890" t="s">
        <v>438</v>
      </c>
      <c r="C80" s="1891" t="s">
        <v>3075</v>
      </c>
      <c r="D80" s="1892">
        <v>3.0244</v>
      </c>
      <c r="E80" s="1892">
        <v>3.0244</v>
      </c>
      <c r="F80" s="1892">
        <v>3.0244</v>
      </c>
      <c r="G80" s="1892">
        <v>3.0244</v>
      </c>
      <c r="H80" s="1899" t="s">
        <v>1210</v>
      </c>
      <c r="I80" s="1892">
        <v>3.0244</v>
      </c>
      <c r="J80" s="1892">
        <v>3.0244</v>
      </c>
      <c r="K80" s="1892">
        <v>3.0244</v>
      </c>
      <c r="L80" s="1893">
        <v>2.9916999999999998</v>
      </c>
      <c r="M80" s="1893">
        <v>2.9916999999999998</v>
      </c>
      <c r="N80" s="1262" t="s">
        <v>3064</v>
      </c>
      <c r="O80" s="1262" t="s">
        <v>3065</v>
      </c>
      <c r="P80" s="1900" t="s">
        <v>3076</v>
      </c>
      <c r="Q80" s="1901">
        <v>1</v>
      </c>
      <c r="R80" s="1901" t="s">
        <v>435</v>
      </c>
      <c r="S80" s="1901" t="s">
        <v>257</v>
      </c>
      <c r="T80" s="1901" t="s">
        <v>800</v>
      </c>
      <c r="U80" s="1902" t="s">
        <v>4315</v>
      </c>
      <c r="V80" s="1891"/>
      <c r="W80" s="1536"/>
    </row>
    <row r="81" spans="2:23" ht="18" x14ac:dyDescent="0.25">
      <c r="B81" s="1890" t="s">
        <v>1048</v>
      </c>
      <c r="C81" s="1903" t="s">
        <v>3077</v>
      </c>
      <c r="D81" s="1899" t="s">
        <v>1210</v>
      </c>
      <c r="E81" s="1868">
        <v>1E-50</v>
      </c>
      <c r="F81" s="1899" t="s">
        <v>1210</v>
      </c>
      <c r="G81" s="1899" t="s">
        <v>1210</v>
      </c>
      <c r="H81" s="2495">
        <v>4.0000000000000001E-3</v>
      </c>
      <c r="I81" s="1899" t="s">
        <v>1210</v>
      </c>
      <c r="J81" s="1899" t="s">
        <v>1210</v>
      </c>
      <c r="K81" s="1899" t="s">
        <v>1210</v>
      </c>
      <c r="L81" s="1904" t="s">
        <v>1210</v>
      </c>
      <c r="M81" s="1904" t="s">
        <v>1210</v>
      </c>
      <c r="N81" s="1262" t="s">
        <v>3064</v>
      </c>
      <c r="O81" s="1262" t="s">
        <v>3065</v>
      </c>
      <c r="P81" s="1905" t="s">
        <v>3078</v>
      </c>
      <c r="Q81" s="1901">
        <v>1</v>
      </c>
      <c r="R81" s="1901" t="s">
        <v>435</v>
      </c>
      <c r="S81" s="1901" t="s">
        <v>257</v>
      </c>
      <c r="T81" s="1901" t="s">
        <v>800</v>
      </c>
      <c r="U81" s="1902" t="s">
        <v>254</v>
      </c>
      <c r="V81" s="1891"/>
      <c r="W81" s="1536"/>
    </row>
    <row r="82" spans="2:23" ht="18.75" thickBot="1" x14ac:dyDescent="0.3">
      <c r="B82" s="1906" t="s">
        <v>439</v>
      </c>
      <c r="C82" s="1907" t="s">
        <v>3079</v>
      </c>
      <c r="D82" s="1908">
        <v>11.542299999999999</v>
      </c>
      <c r="E82" s="1908">
        <v>11.542299999999999</v>
      </c>
      <c r="F82" s="1908">
        <v>11.542299999999999</v>
      </c>
      <c r="G82" s="1908">
        <v>11.542299999999999</v>
      </c>
      <c r="H82" s="2496">
        <v>7.0000000000000007E-2</v>
      </c>
      <c r="I82" s="1908">
        <v>11.542299999999999</v>
      </c>
      <c r="J82" s="1908">
        <v>11.542299999999999</v>
      </c>
      <c r="K82" s="1908">
        <v>11.542299999999999</v>
      </c>
      <c r="L82" s="1909">
        <v>11.854799999999999</v>
      </c>
      <c r="M82" s="1909">
        <v>11.854799999999999</v>
      </c>
      <c r="N82" s="1910" t="s">
        <v>3064</v>
      </c>
      <c r="O82" s="1911" t="s">
        <v>3065</v>
      </c>
      <c r="P82" s="1912" t="s">
        <v>3080</v>
      </c>
      <c r="Q82" s="1911">
        <v>1</v>
      </c>
      <c r="R82" s="1911" t="s">
        <v>435</v>
      </c>
      <c r="S82" s="1911" t="s">
        <v>257</v>
      </c>
      <c r="T82" s="1911" t="s">
        <v>800</v>
      </c>
      <c r="U82" s="1913" t="s">
        <v>254</v>
      </c>
      <c r="V82" s="1907"/>
      <c r="W82" s="1914"/>
    </row>
    <row r="83" spans="2:23" ht="18" x14ac:dyDescent="0.25">
      <c r="B83" s="1915" t="s">
        <v>3081</v>
      </c>
      <c r="C83" s="1916" t="s">
        <v>3070</v>
      </c>
      <c r="D83" s="1917">
        <v>0.04</v>
      </c>
      <c r="E83" s="1917">
        <v>0.04</v>
      </c>
      <c r="F83" s="1917">
        <v>0.04</v>
      </c>
      <c r="G83" s="1917">
        <v>0.04</v>
      </c>
      <c r="H83" s="1917">
        <v>0.04</v>
      </c>
      <c r="I83" s="1917">
        <v>0.04</v>
      </c>
      <c r="J83" s="1917">
        <v>0.04</v>
      </c>
      <c r="K83" s="1917">
        <v>0.04</v>
      </c>
      <c r="L83" s="1918">
        <v>0.04</v>
      </c>
      <c r="M83" s="1918">
        <v>0.04</v>
      </c>
      <c r="N83" s="1917">
        <v>0</v>
      </c>
      <c r="O83" s="1919">
        <v>100</v>
      </c>
      <c r="P83" s="1920" t="s">
        <v>1863</v>
      </c>
      <c r="Q83" s="1919">
        <v>2</v>
      </c>
      <c r="R83" s="1919" t="s">
        <v>28</v>
      </c>
      <c r="S83" s="1919" t="s">
        <v>257</v>
      </c>
      <c r="T83" s="1919" t="s">
        <v>3082</v>
      </c>
      <c r="U83" s="1921" t="s">
        <v>4316</v>
      </c>
      <c r="V83" s="1916"/>
      <c r="W83" s="1922"/>
    </row>
    <row r="84" spans="2:23" ht="18" x14ac:dyDescent="0.25">
      <c r="B84" s="1890" t="s">
        <v>3083</v>
      </c>
      <c r="C84" s="1895" t="s">
        <v>3072</v>
      </c>
      <c r="D84" s="1923" t="s">
        <v>1210</v>
      </c>
      <c r="E84" s="1868">
        <v>1E-50</v>
      </c>
      <c r="F84" s="1923" t="s">
        <v>1210</v>
      </c>
      <c r="G84" s="1923" t="s">
        <v>1210</v>
      </c>
      <c r="H84" s="1923" t="s">
        <v>1210</v>
      </c>
      <c r="I84" s="1923" t="s">
        <v>1210</v>
      </c>
      <c r="J84" s="1923" t="s">
        <v>1210</v>
      </c>
      <c r="K84" s="1923" t="s">
        <v>1210</v>
      </c>
      <c r="L84" s="1924" t="s">
        <v>1210</v>
      </c>
      <c r="M84" s="1924" t="s">
        <v>1210</v>
      </c>
      <c r="N84" s="1923">
        <v>0</v>
      </c>
      <c r="O84" s="1262">
        <v>100</v>
      </c>
      <c r="P84" s="1894" t="s">
        <v>1863</v>
      </c>
      <c r="Q84" s="1262">
        <v>2</v>
      </c>
      <c r="R84" s="1262" t="s">
        <v>28</v>
      </c>
      <c r="S84" s="1262" t="s">
        <v>257</v>
      </c>
      <c r="T84" s="1262" t="s">
        <v>3082</v>
      </c>
      <c r="U84" s="1869" t="s">
        <v>148</v>
      </c>
      <c r="V84" s="1891"/>
      <c r="W84" s="1536"/>
    </row>
    <row r="85" spans="2:23" ht="18" x14ac:dyDescent="0.25">
      <c r="B85" s="1890" t="s">
        <v>3084</v>
      </c>
      <c r="C85" s="1895" t="s">
        <v>3074</v>
      </c>
      <c r="D85" s="1923" t="s">
        <v>1210</v>
      </c>
      <c r="E85" s="1868">
        <v>1E-50</v>
      </c>
      <c r="F85" s="1923" t="s">
        <v>1210</v>
      </c>
      <c r="G85" s="1923" t="s">
        <v>1210</v>
      </c>
      <c r="H85" s="1923" t="s">
        <v>1210</v>
      </c>
      <c r="I85" s="1923" t="s">
        <v>1210</v>
      </c>
      <c r="J85" s="1923" t="s">
        <v>1210</v>
      </c>
      <c r="K85" s="1923" t="s">
        <v>1210</v>
      </c>
      <c r="L85" s="1924" t="s">
        <v>1210</v>
      </c>
      <c r="M85" s="1924" t="s">
        <v>1210</v>
      </c>
      <c r="N85" s="1923">
        <v>0</v>
      </c>
      <c r="O85" s="1262">
        <v>100</v>
      </c>
      <c r="P85" s="1894" t="s">
        <v>1863</v>
      </c>
      <c r="Q85" s="1262">
        <v>2</v>
      </c>
      <c r="R85" s="1262" t="s">
        <v>28</v>
      </c>
      <c r="S85" s="1262" t="s">
        <v>257</v>
      </c>
      <c r="T85" s="1262" t="s">
        <v>3082</v>
      </c>
      <c r="U85" s="1869" t="s">
        <v>148</v>
      </c>
      <c r="V85" s="1891"/>
      <c r="W85" s="1536"/>
    </row>
    <row r="86" spans="2:23" ht="18" x14ac:dyDescent="0.25">
      <c r="B86" s="1890" t="s">
        <v>3085</v>
      </c>
      <c r="C86" s="1891" t="s">
        <v>3075</v>
      </c>
      <c r="D86" s="1923">
        <v>20.95</v>
      </c>
      <c r="E86" s="1923">
        <v>20.95</v>
      </c>
      <c r="F86" s="1923">
        <v>20.95</v>
      </c>
      <c r="G86" s="1923">
        <v>20.95</v>
      </c>
      <c r="H86" s="1923">
        <v>20.95</v>
      </c>
      <c r="I86" s="1923">
        <v>20.95</v>
      </c>
      <c r="J86" s="1923">
        <v>20.95</v>
      </c>
      <c r="K86" s="1923">
        <v>20.95</v>
      </c>
      <c r="L86" s="1924">
        <v>20.95</v>
      </c>
      <c r="M86" s="1924">
        <v>20.95</v>
      </c>
      <c r="N86" s="1923">
        <v>0</v>
      </c>
      <c r="O86" s="1262">
        <v>100</v>
      </c>
      <c r="P86" s="1894" t="s">
        <v>1863</v>
      </c>
      <c r="Q86" s="1262">
        <v>2</v>
      </c>
      <c r="R86" s="1901" t="s">
        <v>28</v>
      </c>
      <c r="S86" s="1901" t="s">
        <v>257</v>
      </c>
      <c r="T86" s="1901" t="s">
        <v>3082</v>
      </c>
      <c r="U86" s="1902" t="s">
        <v>4315</v>
      </c>
      <c r="V86" s="1891"/>
      <c r="W86" s="1536"/>
    </row>
    <row r="87" spans="2:23" ht="18" x14ac:dyDescent="0.25">
      <c r="B87" s="1890" t="s">
        <v>3086</v>
      </c>
      <c r="C87" s="1903" t="s">
        <v>3077</v>
      </c>
      <c r="D87" s="1923" t="s">
        <v>1210</v>
      </c>
      <c r="E87" s="1868">
        <v>1E-50</v>
      </c>
      <c r="F87" s="1923" t="s">
        <v>1210</v>
      </c>
      <c r="G87" s="1923" t="s">
        <v>1210</v>
      </c>
      <c r="H87" s="1923" t="s">
        <v>1210</v>
      </c>
      <c r="I87" s="1923" t="s">
        <v>1210</v>
      </c>
      <c r="J87" s="1923" t="s">
        <v>1210</v>
      </c>
      <c r="K87" s="1923" t="s">
        <v>1210</v>
      </c>
      <c r="L87" s="1924" t="s">
        <v>1210</v>
      </c>
      <c r="M87" s="1924" t="s">
        <v>1210</v>
      </c>
      <c r="N87" s="1923">
        <v>0</v>
      </c>
      <c r="O87" s="1262">
        <v>100</v>
      </c>
      <c r="P87" s="1894" t="s">
        <v>1863</v>
      </c>
      <c r="Q87" s="1262">
        <v>2</v>
      </c>
      <c r="R87" s="1901" t="s">
        <v>28</v>
      </c>
      <c r="S87" s="1901" t="s">
        <v>257</v>
      </c>
      <c r="T87" s="1901" t="s">
        <v>3082</v>
      </c>
      <c r="U87" s="1902" t="s">
        <v>254</v>
      </c>
      <c r="V87" s="1891"/>
      <c r="W87" s="1536"/>
    </row>
    <row r="88" spans="2:23" ht="18.75" thickBot="1" x14ac:dyDescent="0.3">
      <c r="B88" s="1906" t="s">
        <v>3087</v>
      </c>
      <c r="C88" s="1907" t="s">
        <v>3079</v>
      </c>
      <c r="D88" s="1925">
        <v>79.010000000000005</v>
      </c>
      <c r="E88" s="1925">
        <v>79.010000000000005</v>
      </c>
      <c r="F88" s="1925">
        <v>79.010000000000005</v>
      </c>
      <c r="G88" s="1925">
        <v>79.010000000000005</v>
      </c>
      <c r="H88" s="1925">
        <v>79.010000000000005</v>
      </c>
      <c r="I88" s="1925">
        <v>79.010000000000005</v>
      </c>
      <c r="J88" s="1925">
        <v>79.010000000000005</v>
      </c>
      <c r="K88" s="1925">
        <v>79.010000000000005</v>
      </c>
      <c r="L88" s="1926">
        <v>79.010000000000005</v>
      </c>
      <c r="M88" s="1926">
        <v>79.010000000000005</v>
      </c>
      <c r="N88" s="1925">
        <v>0</v>
      </c>
      <c r="O88" s="1911">
        <v>100</v>
      </c>
      <c r="P88" s="1927" t="s">
        <v>1863</v>
      </c>
      <c r="Q88" s="1911">
        <v>2</v>
      </c>
      <c r="R88" s="1911" t="s">
        <v>28</v>
      </c>
      <c r="S88" s="1911" t="s">
        <v>257</v>
      </c>
      <c r="T88" s="1911" t="s">
        <v>3082</v>
      </c>
      <c r="U88" s="1913" t="s">
        <v>254</v>
      </c>
      <c r="V88" s="1907"/>
      <c r="W88" s="1914"/>
    </row>
  </sheetData>
  <phoneticPr fontId="31" type="noConversion"/>
  <conditionalFormatting sqref="C58 C60 C62 C64">
    <cfRule type="cellIs" dxfId="146" priority="2" operator="equal">
      <formula>0</formula>
    </cfRule>
  </conditionalFormatting>
  <conditionalFormatting sqref="C59 C61 C63">
    <cfRule type="cellIs" dxfId="145" priority="1" operator="equal">
      <formula>0</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5"/>
  <dimension ref="B1:G4"/>
  <sheetViews>
    <sheetView showGridLines="0" workbookViewId="0">
      <selection activeCell="D23" sqref="D23"/>
    </sheetView>
  </sheetViews>
  <sheetFormatPr baseColWidth="10" defaultColWidth="9.140625" defaultRowHeight="15" x14ac:dyDescent="0.25"/>
  <cols>
    <col min="1" max="1" width="16.7109375" customWidth="1"/>
    <col min="2" max="2" width="7.5703125" bestFit="1" customWidth="1"/>
    <col min="3" max="3" width="19.28515625" customWidth="1"/>
    <col min="4" max="4" width="51.7109375" customWidth="1"/>
    <col min="5" max="5" width="4.7109375" bestFit="1" customWidth="1"/>
    <col min="6" max="6" width="5" bestFit="1" customWidth="1"/>
    <col min="7" max="7" width="22.28515625" customWidth="1"/>
  </cols>
  <sheetData>
    <row r="1" spans="2:7" s="47" customFormat="1" ht="57.75" customHeight="1" thickBot="1" x14ac:dyDescent="0.3"/>
    <row r="2" spans="2:7" ht="15.75" thickBot="1" x14ac:dyDescent="0.3">
      <c r="B2" s="4"/>
      <c r="C2" s="61" t="s">
        <v>115</v>
      </c>
      <c r="D2" s="62" t="s">
        <v>118</v>
      </c>
      <c r="E2" s="4"/>
      <c r="F2" s="4"/>
      <c r="G2" s="4"/>
    </row>
    <row r="3" spans="2:7" x14ac:dyDescent="0.25">
      <c r="B3" s="56" t="s">
        <v>0</v>
      </c>
      <c r="C3" s="57" t="s">
        <v>1</v>
      </c>
      <c r="D3" s="57" t="s">
        <v>5</v>
      </c>
      <c r="E3" s="58" t="s">
        <v>2</v>
      </c>
      <c r="F3" s="59" t="s">
        <v>116</v>
      </c>
      <c r="G3" s="60" t="s">
        <v>117</v>
      </c>
    </row>
    <row r="4" spans="2:7" x14ac:dyDescent="0.25">
      <c r="B4" s="6"/>
      <c r="C4" s="6"/>
      <c r="D4" s="6"/>
      <c r="E4" s="6"/>
      <c r="F4" s="6"/>
      <c r="G4" s="6"/>
    </row>
  </sheetData>
  <phoneticPr fontId="3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6"/>
  <dimension ref="B1:G4"/>
  <sheetViews>
    <sheetView showGridLines="0" workbookViewId="0">
      <selection activeCell="C2" sqref="C2"/>
    </sheetView>
  </sheetViews>
  <sheetFormatPr baseColWidth="10" defaultColWidth="9.140625" defaultRowHeight="15" x14ac:dyDescent="0.25"/>
  <cols>
    <col min="2" max="2" width="15.140625" customWidth="1"/>
    <col min="3" max="3" width="24.7109375" customWidth="1"/>
    <col min="4" max="4" width="20.7109375" customWidth="1"/>
    <col min="7" max="7" width="23.28515625" customWidth="1"/>
  </cols>
  <sheetData>
    <row r="1" spans="2:7" s="47" customFormat="1" ht="43.5" customHeight="1" thickBot="1" x14ac:dyDescent="0.3"/>
    <row r="2" spans="2:7" ht="15.75" thickBot="1" x14ac:dyDescent="0.3">
      <c r="B2" s="4"/>
      <c r="C2" s="2" t="s">
        <v>115</v>
      </c>
      <c r="D2" s="14"/>
      <c r="E2" s="4"/>
      <c r="F2" s="4"/>
      <c r="G2" s="4"/>
    </row>
    <row r="3" spans="2:7" x14ac:dyDescent="0.25">
      <c r="B3" s="15" t="s">
        <v>0</v>
      </c>
      <c r="C3" s="16" t="s">
        <v>1</v>
      </c>
      <c r="D3" s="16" t="s">
        <v>5</v>
      </c>
      <c r="E3" s="17" t="s">
        <v>2</v>
      </c>
      <c r="F3" s="18" t="s">
        <v>116</v>
      </c>
      <c r="G3" s="19" t="s">
        <v>117</v>
      </c>
    </row>
    <row r="4" spans="2:7" x14ac:dyDescent="0.25">
      <c r="B4" s="6"/>
      <c r="C4" s="6"/>
      <c r="D4" s="6"/>
      <c r="E4" s="6"/>
      <c r="F4" s="6"/>
      <c r="G4" s="6"/>
    </row>
  </sheetData>
  <phoneticPr fontId="3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unka9"/>
  <dimension ref="A1:N813"/>
  <sheetViews>
    <sheetView showGridLines="0" zoomScaleNormal="100" workbookViewId="0">
      <pane ySplit="1" topLeftCell="A2" activePane="bottomLeft" state="frozen"/>
      <selection pane="bottomLeft"/>
    </sheetView>
  </sheetViews>
  <sheetFormatPr baseColWidth="10" defaultColWidth="9.140625" defaultRowHeight="18" customHeight="1" outlineLevelRow="1" x14ac:dyDescent="0.25"/>
  <cols>
    <col min="1" max="1" width="3.5703125" style="113" customWidth="1"/>
    <col min="2" max="2" width="23.28515625" style="113" customWidth="1"/>
    <col min="3" max="3" width="61.7109375" style="113" customWidth="1"/>
    <col min="4" max="4" width="78.7109375" style="113" customWidth="1"/>
    <col min="5" max="5" width="13.7109375" style="228" bestFit="1" customWidth="1"/>
    <col min="6" max="6" width="14.140625" style="113" bestFit="1" customWidth="1"/>
    <col min="7" max="7" width="10" style="113" bestFit="1" customWidth="1"/>
    <col min="8" max="8" width="58.140625" style="113" bestFit="1" customWidth="1"/>
    <col min="9" max="9" width="55.140625" style="113" bestFit="1" customWidth="1"/>
    <col min="10" max="10" width="33.140625" style="113" bestFit="1" customWidth="1"/>
    <col min="11" max="11" width="29.28515625" style="113" bestFit="1" customWidth="1"/>
    <col min="12" max="12" width="26.28515625" style="113" customWidth="1"/>
    <col min="13" max="48" width="9.140625" style="113"/>
    <col min="49" max="49" width="12.7109375" style="113" customWidth="1"/>
    <col min="50" max="51" width="9.140625" style="113"/>
    <col min="52" max="52" width="9.28515625" style="113" customWidth="1"/>
    <col min="53" max="16384" width="9.140625" style="113"/>
  </cols>
  <sheetData>
    <row r="1" spans="1:9" s="138" customFormat="1" ht="62.25" customHeight="1" thickBot="1" x14ac:dyDescent="0.3">
      <c r="A1" s="138" t="s">
        <v>1217</v>
      </c>
      <c r="E1" s="339"/>
    </row>
    <row r="2" spans="1:9" s="2133" customFormat="1" ht="18" customHeight="1" thickBot="1" x14ac:dyDescent="0.3">
      <c r="B2" s="113"/>
      <c r="C2" s="1089" t="s">
        <v>318</v>
      </c>
      <c r="D2" s="14" t="s">
        <v>315</v>
      </c>
      <c r="E2" s="14"/>
      <c r="F2" s="113"/>
      <c r="G2" s="113"/>
      <c r="H2" s="113"/>
      <c r="I2" s="113"/>
    </row>
    <row r="3" spans="1:9" s="2133" customFormat="1" ht="18" customHeight="1" thickBot="1" x14ac:dyDescent="0.3">
      <c r="B3" s="1939" t="s">
        <v>0</v>
      </c>
      <c r="C3" s="1942" t="s">
        <v>1</v>
      </c>
      <c r="D3" s="1945" t="s">
        <v>5</v>
      </c>
      <c r="E3" s="1945" t="s">
        <v>152</v>
      </c>
      <c r="F3" s="1945" t="s">
        <v>2</v>
      </c>
      <c r="G3" s="1945" t="s">
        <v>298</v>
      </c>
      <c r="H3" s="1945" t="s">
        <v>116</v>
      </c>
      <c r="I3" s="1948" t="s">
        <v>117</v>
      </c>
    </row>
    <row r="4" spans="1:9" outlineLevel="1" x14ac:dyDescent="0.25">
      <c r="B4" s="1026" t="s">
        <v>1742</v>
      </c>
      <c r="C4" s="1041" t="s">
        <v>281</v>
      </c>
      <c r="D4" s="2447" t="s">
        <v>5169</v>
      </c>
      <c r="E4" s="1054">
        <f>X_OHO+X_CASTO+X_MEOLO+X_AOB+X_NOB+X_AMX+X_AMETO+X_HMETO+X_ALGAE</f>
        <v>1055.5</v>
      </c>
      <c r="F4" s="1034" t="s">
        <v>1180</v>
      </c>
      <c r="G4" s="1034">
        <v>1</v>
      </c>
      <c r="H4" s="1034"/>
      <c r="I4" s="1076"/>
    </row>
    <row r="5" spans="1:9" outlineLevel="1" x14ac:dyDescent="0.25">
      <c r="B5" s="2127" t="s">
        <v>5170</v>
      </c>
      <c r="C5" s="2446" t="s">
        <v>5171</v>
      </c>
      <c r="D5" s="2446" t="s">
        <v>5172</v>
      </c>
      <c r="E5" s="2445">
        <f>X_OHO+X_CASTO+X_MEOLO+X_AOB+X_NOB+X_AMX+X_AMETO+X_HMETO</f>
        <v>1055.5</v>
      </c>
      <c r="F5" s="2131" t="s">
        <v>1180</v>
      </c>
      <c r="G5" s="2131">
        <v>1</v>
      </c>
      <c r="H5" s="2131"/>
      <c r="I5" s="2132"/>
    </row>
    <row r="6" spans="1:9" outlineLevel="1" x14ac:dyDescent="0.25">
      <c r="B6" s="1702" t="s">
        <v>4675</v>
      </c>
      <c r="C6" s="2122" t="s">
        <v>4676</v>
      </c>
      <c r="D6" s="2122" t="s">
        <v>4685</v>
      </c>
      <c r="E6" s="2123">
        <f>X_OHO+X_CASTO+X_AMETO</f>
        <v>1000.3</v>
      </c>
      <c r="F6" s="1706" t="s">
        <v>1180</v>
      </c>
      <c r="G6" s="1706">
        <v>1</v>
      </c>
      <c r="H6" s="1706"/>
      <c r="I6" s="1707"/>
    </row>
    <row r="7" spans="1:9" outlineLevel="1" x14ac:dyDescent="0.25">
      <c r="B7" s="1027" t="s">
        <v>1743</v>
      </c>
      <c r="C7" s="1049" t="s">
        <v>2624</v>
      </c>
      <c r="D7" s="2446" t="s">
        <v>5283</v>
      </c>
      <c r="E7" s="1055">
        <f>X_BIO+X_B+X_B_e+X_U+X_PHA_PAO+X_PHA_GAO+X_E_ana+X_E</f>
        <v>2457.6</v>
      </c>
      <c r="F7" s="1013" t="s">
        <v>1180</v>
      </c>
      <c r="G7" s="1013">
        <v>1</v>
      </c>
      <c r="H7" s="1013"/>
      <c r="I7" s="1077"/>
    </row>
    <row r="8" spans="1:9" s="2133" customFormat="1" outlineLevel="1" x14ac:dyDescent="0.25">
      <c r="B8" s="1028" t="s">
        <v>2931</v>
      </c>
      <c r="C8" s="1158" t="s">
        <v>2932</v>
      </c>
      <c r="D8" s="1157" t="s">
        <v>4291</v>
      </c>
      <c r="E8" s="1056">
        <f>S_B+S_VFA+S_MEOL</f>
        <v>1.01</v>
      </c>
      <c r="F8" s="1013" t="s">
        <v>1180</v>
      </c>
      <c r="G8" s="1035">
        <v>1</v>
      </c>
      <c r="H8" s="1035"/>
      <c r="I8" s="1536"/>
    </row>
    <row r="9" spans="1:9" s="2133" customFormat="1" outlineLevel="1" x14ac:dyDescent="0.25">
      <c r="B9" s="1028" t="s">
        <v>2933</v>
      </c>
      <c r="C9" s="1158" t="s">
        <v>2934</v>
      </c>
      <c r="D9" s="1158" t="s">
        <v>5395</v>
      </c>
      <c r="E9" s="1056">
        <f>X_B+X_B_e+C_B</f>
        <v>79.010000000000005</v>
      </c>
      <c r="F9" s="1013" t="s">
        <v>1180</v>
      </c>
      <c r="G9" s="1035">
        <v>1</v>
      </c>
      <c r="H9" s="1035"/>
      <c r="I9" s="1536"/>
    </row>
    <row r="10" spans="1:9" outlineLevel="1" x14ac:dyDescent="0.25">
      <c r="B10" s="1027" t="s">
        <v>1744</v>
      </c>
      <c r="C10" s="1049" t="s">
        <v>2625</v>
      </c>
      <c r="D10" s="1049" t="s">
        <v>1745</v>
      </c>
      <c r="E10" s="1055">
        <f>X_BIO/i_CV_BIO</f>
        <v>743.30985915492965</v>
      </c>
      <c r="F10" s="1013" t="s">
        <v>1746</v>
      </c>
      <c r="G10" s="1013">
        <v>1</v>
      </c>
      <c r="H10" s="1013"/>
      <c r="I10" s="1077"/>
    </row>
    <row r="11" spans="1:9" ht="36" outlineLevel="1" x14ac:dyDescent="0.25">
      <c r="B11" s="1027" t="s">
        <v>1747</v>
      </c>
      <c r="C11" s="1049" t="s">
        <v>2092</v>
      </c>
      <c r="D11" s="1159" t="s">
        <v>5278</v>
      </c>
      <c r="E11" s="1055">
        <f>X_VSS_BIO+X_B/i_CV_XB+X_B_e/i_CV_XBe+X_U/i_CV_XU+X_PHA_PAO/i_CV_PHA+X_PHA_GAO/i_CV_PHA+X_E_ana/i_CV_XE+X_E/i_CV_XE+f_H2O_HFO_VSS*X_HFO*M_MFeOH3/A_MFe+f_H2O_HAO_VSS*X_HAO*M_MAlOH3/A_MAl</f>
        <v>1791.2183915757478</v>
      </c>
      <c r="F11" s="1013" t="s">
        <v>1746</v>
      </c>
      <c r="G11" s="1013">
        <v>1</v>
      </c>
      <c r="H11" s="1013"/>
      <c r="I11" s="1077"/>
    </row>
    <row r="12" spans="1:9" outlineLevel="1" x14ac:dyDescent="0.25">
      <c r="B12" s="1027" t="s">
        <v>1750</v>
      </c>
      <c r="C12" s="1049" t="s">
        <v>2091</v>
      </c>
      <c r="D12" s="1854" t="s">
        <v>4735</v>
      </c>
      <c r="E12" s="1055">
        <f>X_VSS+S_U/i_CV_SU+S_B/i_CV_SB+f_VFA_DM*S_VFA/i_CV_VFA+C_B/i_CV_CB+C_U/i_CV_CU</f>
        <v>1813.7726883126843</v>
      </c>
      <c r="F12" s="1013" t="s">
        <v>1751</v>
      </c>
      <c r="G12" s="1013">
        <v>1</v>
      </c>
      <c r="H12" s="1013"/>
      <c r="I12" s="1077"/>
    </row>
    <row r="13" spans="1:9" outlineLevel="1" x14ac:dyDescent="0.25">
      <c r="B13" s="1027" t="s">
        <v>2093</v>
      </c>
      <c r="C13" s="1049" t="s">
        <v>2626</v>
      </c>
      <c r="D13" s="1049" t="s">
        <v>2616</v>
      </c>
      <c r="E13" s="1055">
        <f>X_U/i_CV_XU+S_U/i_CV_SU+C_U/i_CV_CU</f>
        <v>790.83673367669041</v>
      </c>
      <c r="F13" s="1013" t="s">
        <v>1751</v>
      </c>
      <c r="G13" s="1013">
        <v>1</v>
      </c>
      <c r="H13" s="1013"/>
      <c r="I13" s="1077"/>
    </row>
    <row r="14" spans="1:9" outlineLevel="1" x14ac:dyDescent="0.25">
      <c r="B14" s="1027" t="s">
        <v>1999</v>
      </c>
      <c r="C14" s="1049" t="s">
        <v>2132</v>
      </c>
      <c r="D14" s="1049" t="s">
        <v>3783</v>
      </c>
      <c r="E14" s="1055">
        <f>X_CaCO3+X_ACP+X_STR+X_Vivi+X_BSH</f>
        <v>4.9999999999999997E-50</v>
      </c>
      <c r="F14" s="1013" t="s">
        <v>1749</v>
      </c>
      <c r="G14" s="1013">
        <v>1</v>
      </c>
      <c r="H14" s="1013"/>
      <c r="I14" s="1077"/>
    </row>
    <row r="15" spans="1:9" ht="54" outlineLevel="1" x14ac:dyDescent="0.25">
      <c r="B15" s="1853" t="s">
        <v>4516</v>
      </c>
      <c r="C15" s="1854" t="s">
        <v>4517</v>
      </c>
      <c r="D15" s="1854" t="s">
        <v>4518</v>
      </c>
      <c r="E15" s="1932">
        <f>(1-f_H2O_HFO_VSS)*X_HFO*M_MFeOH3/A_MFe+(X_HFO_L_P+X_HFO_L_P_old)*A_SFHFO_L*(M_MPO4/A_MFe)+(X_HFO_H_P+X_HFO_H_P_old)*A_SFHFO_H*(M_MPO4/A_MFe)</f>
        <v>1.4297448294386249E-2</v>
      </c>
      <c r="F15" s="1013" t="s">
        <v>1749</v>
      </c>
      <c r="G15" s="1930">
        <v>1</v>
      </c>
      <c r="H15" s="1930"/>
      <c r="I15" s="1936"/>
    </row>
    <row r="16" spans="1:9" s="104" customFormat="1" ht="36" outlineLevel="1" x14ac:dyDescent="0.25">
      <c r="A16" s="113"/>
      <c r="B16" s="1853" t="s">
        <v>4519</v>
      </c>
      <c r="C16" s="1854" t="s">
        <v>4520</v>
      </c>
      <c r="D16" s="1854" t="s">
        <v>4521</v>
      </c>
      <c r="E16" s="1932">
        <f>(1-f_H2O_HAO_VSS)*X_HAO*M_MAlOH3/A_MAl+(X_HAO_L_P+X_HAO_L_P_old)*A_SFHAO_L*(M_MPO4/A_MAl)+(X_HAO_H_P+X_HAO_H_P_old)*A_SFHAO_H*(M_MPO4/A_MAl)</f>
        <v>1.8894650037988993E-2</v>
      </c>
      <c r="F16" s="1013" t="s">
        <v>1749</v>
      </c>
      <c r="G16" s="1930">
        <v>1</v>
      </c>
      <c r="H16" s="1930"/>
      <c r="I16" s="1936"/>
    </row>
    <row r="17" spans="1:9" s="104" customFormat="1" outlineLevel="1" x14ac:dyDescent="0.25">
      <c r="A17" s="113"/>
      <c r="B17" s="1853" t="s">
        <v>4522</v>
      </c>
      <c r="C17" s="1854" t="s">
        <v>4523</v>
      </c>
      <c r="D17" s="1854" t="s">
        <v>4524</v>
      </c>
      <c r="E17" s="1932">
        <f>X_HFO_ISS+X_HAO_ISS</f>
        <v>3.3192098332375242E-2</v>
      </c>
      <c r="F17" s="1013" t="s">
        <v>1749</v>
      </c>
      <c r="G17" s="1930">
        <v>1</v>
      </c>
      <c r="H17" s="1930"/>
      <c r="I17" s="1936"/>
    </row>
    <row r="18" spans="1:9" s="104" customFormat="1" ht="36" outlineLevel="1" x14ac:dyDescent="0.25">
      <c r="B18" s="1853" t="s">
        <v>4525</v>
      </c>
      <c r="C18" s="1930" t="s">
        <v>4526</v>
      </c>
      <c r="D18" s="1854" t="s">
        <v>4531</v>
      </c>
      <c r="E18" s="1932">
        <f>(f_H2O_HFO_VSS-f_H2O_HFO_TSS)*X_HFO*M_MFeOH3/A_MFe+(f_H2O_HAO_VSS-f_H2O_HAO_TSS)*X_HAO*M_MAlOH3/A_MAl</f>
        <v>9.9865764606091728E-3</v>
      </c>
      <c r="F18" s="1930" t="s">
        <v>1746</v>
      </c>
      <c r="G18" s="1930">
        <v>1</v>
      </c>
      <c r="H18" s="1930"/>
      <c r="I18" s="1937"/>
    </row>
    <row r="19" spans="1:9" ht="54" outlineLevel="1" x14ac:dyDescent="0.25">
      <c r="B19" s="1027" t="s">
        <v>2000</v>
      </c>
      <c r="C19" s="1049" t="s">
        <v>2001</v>
      </c>
      <c r="D19" s="1050" t="s">
        <v>3787</v>
      </c>
      <c r="E19" s="1055">
        <f>(1-f_H2O_HFO_TSS)*X_HFO*M_MFeOH3/A_MFe+(X_HFO_L_P+X_HFO_L_P_old)*A_SFHFO_L*(M_MPO4/A_MFe)+(X_HFO_H_P+X_HFO_H_P_old)*A_SFHFO_H*(M_MPO4/A_MFe)</f>
        <v>1.7549958643029814E-2</v>
      </c>
      <c r="F19" s="1013" t="s">
        <v>1749</v>
      </c>
      <c r="G19" s="1013">
        <v>1</v>
      </c>
      <c r="H19" s="1013"/>
      <c r="I19" s="1077"/>
    </row>
    <row r="20" spans="1:9" s="104" customFormat="1" ht="36" outlineLevel="1" x14ac:dyDescent="0.25">
      <c r="B20" s="762" t="s">
        <v>3784</v>
      </c>
      <c r="C20" s="1050" t="s">
        <v>3785</v>
      </c>
      <c r="D20" s="1050" t="s">
        <v>3786</v>
      </c>
      <c r="E20" s="1057">
        <f>(1-f_H2O_HAO_TSS)*X_HAO*M_MAlOH3/A_MAl+(X_HAO_L_P+X_HAO_L_P_old)*A_SFHAO_L*(M_MPO4/A_MAl)+(X_HAO_H_P+X_HAO_H_P_old)*A_SFHAO_H*(M_MPO4/A_MAl)</f>
        <v>2.5628716149954593E-2</v>
      </c>
      <c r="F20" s="1036" t="s">
        <v>1749</v>
      </c>
      <c r="G20" s="1036">
        <v>1</v>
      </c>
      <c r="H20" s="1036"/>
      <c r="I20" s="1078"/>
    </row>
    <row r="21" spans="1:9" s="104" customFormat="1" outlineLevel="1" x14ac:dyDescent="0.25">
      <c r="B21" s="1027" t="s">
        <v>2962</v>
      </c>
      <c r="C21" s="1159" t="s">
        <v>2963</v>
      </c>
      <c r="D21" s="1050" t="s">
        <v>5178</v>
      </c>
      <c r="E21" s="1058">
        <f>X_HFO_TSS+X_HAO_TSS</f>
        <v>4.3178674792984408E-2</v>
      </c>
      <c r="F21" s="1015" t="s">
        <v>1749</v>
      </c>
      <c r="G21" s="1015">
        <v>1</v>
      </c>
      <c r="H21" s="1015"/>
      <c r="I21" s="1077"/>
    </row>
    <row r="22" spans="1:9" s="104" customFormat="1" outlineLevel="1" x14ac:dyDescent="0.25">
      <c r="B22" s="1853" t="s">
        <v>4528</v>
      </c>
      <c r="C22" s="1930" t="s">
        <v>4529</v>
      </c>
      <c r="D22" s="1854" t="s">
        <v>4530</v>
      </c>
      <c r="E22" s="1932">
        <f>f_H2O_HFO_TSS*X_HFO*M_MFeOH3/A_MFe+f_H2O_HAO_TSS*X_HAO*M_MAlOH3/A_MAl</f>
        <v>4.8676896521996213E-3</v>
      </c>
      <c r="F22" s="1930" t="s">
        <v>1746</v>
      </c>
      <c r="G22" s="1930">
        <v>1</v>
      </c>
      <c r="H22" s="1930"/>
      <c r="I22" s="1937"/>
    </row>
    <row r="23" spans="1:9" outlineLevel="1" x14ac:dyDescent="0.25">
      <c r="B23" s="1027" t="s">
        <v>1998</v>
      </c>
      <c r="C23" s="1049" t="s">
        <v>2627</v>
      </c>
      <c r="D23" s="1049" t="s">
        <v>5179</v>
      </c>
      <c r="E23" s="1055">
        <f>X_Me_ISS+X_precip+X_INORG+i_TSS_PP*X_PP</f>
        <v>671.00093403381629</v>
      </c>
      <c r="F23" s="1013" t="s">
        <v>1749</v>
      </c>
      <c r="G23" s="1013">
        <v>1</v>
      </c>
      <c r="H23" s="1013"/>
      <c r="I23" s="1077"/>
    </row>
    <row r="24" spans="1:9" outlineLevel="1" x14ac:dyDescent="0.25">
      <c r="B24" s="1027" t="s">
        <v>1748</v>
      </c>
      <c r="C24" s="1049" t="s">
        <v>2628</v>
      </c>
      <c r="D24" s="1854" t="s">
        <v>4527</v>
      </c>
      <c r="E24" s="1055">
        <f>X_VSS+X_ISS-X_Me_H2O_TSS</f>
        <v>2462.2144579199121</v>
      </c>
      <c r="F24" s="1013" t="s">
        <v>1749</v>
      </c>
      <c r="G24" s="1013">
        <v>1</v>
      </c>
      <c r="H24" s="1013"/>
      <c r="I24" s="1077"/>
    </row>
    <row r="25" spans="1:9" ht="36" outlineLevel="1" x14ac:dyDescent="0.25">
      <c r="B25" s="1027" t="s">
        <v>2003</v>
      </c>
      <c r="C25" s="1576" t="s">
        <v>2002</v>
      </c>
      <c r="D25" s="1049" t="s">
        <v>3553</v>
      </c>
      <c r="E25" s="1055">
        <f>X_TSS+S_U/i_CV_SU+S_B/i_CV_SB+f_VFA_DM*S_VFA/i_CV_VFA+C_B/i_CV_CB+C_U/i_CV_CU+S_NO3*M_MNO3/A_MN+S_NO2*M_MNO2/A_MN+S_PO4*M_MPO4/A_MP+S_CAT+S_AN+S_Ca+S_Mg+S_K+S_Fe2</f>
        <v>2873.7643163639987</v>
      </c>
      <c r="F25" s="1013" t="s">
        <v>3602</v>
      </c>
      <c r="G25" s="1013">
        <v>1</v>
      </c>
      <c r="H25" s="1013"/>
      <c r="I25" s="1077"/>
    </row>
    <row r="26" spans="1:9" outlineLevel="1" x14ac:dyDescent="0.25">
      <c r="B26" s="1027" t="s">
        <v>2095</v>
      </c>
      <c r="C26" s="1049" t="s">
        <v>2629</v>
      </c>
      <c r="D26" s="1049" t="s">
        <v>2098</v>
      </c>
      <c r="E26" s="1055">
        <f>Y_BOD_ult*(S_VFA+S_B+S_MEOL+C_B)</f>
        <v>0.96899999999999997</v>
      </c>
      <c r="F26" s="1035" t="s">
        <v>827</v>
      </c>
      <c r="G26" s="1013">
        <v>1</v>
      </c>
      <c r="H26" s="1013"/>
      <c r="I26" s="1078" t="s">
        <v>3552</v>
      </c>
    </row>
    <row r="27" spans="1:9" outlineLevel="1" x14ac:dyDescent="0.25">
      <c r="B27" s="1027" t="s">
        <v>2096</v>
      </c>
      <c r="C27" s="1049" t="s">
        <v>320</v>
      </c>
      <c r="D27" s="1049" t="s">
        <v>5284</v>
      </c>
      <c r="E27" s="1055">
        <f>Y_BOD_ult*(X_BIO+X_B+X_B_e+X_PHA_PAO+X_PHA_GAO)</f>
        <v>1099.625</v>
      </c>
      <c r="F27" s="1035" t="s">
        <v>827</v>
      </c>
      <c r="G27" s="1013">
        <v>1</v>
      </c>
      <c r="H27" s="1013"/>
      <c r="I27" s="1077"/>
    </row>
    <row r="28" spans="1:9" outlineLevel="1" x14ac:dyDescent="0.25">
      <c r="B28" s="1027" t="s">
        <v>2097</v>
      </c>
      <c r="C28" s="1049" t="s">
        <v>321</v>
      </c>
      <c r="D28" s="1049" t="s">
        <v>5173</v>
      </c>
      <c r="E28" s="1055">
        <f>S_BOD_ult+X_BOD_ult</f>
        <v>1100.5940000000001</v>
      </c>
      <c r="F28" s="1035" t="s">
        <v>827</v>
      </c>
      <c r="G28" s="1013">
        <v>1</v>
      </c>
      <c r="H28" s="1013"/>
      <c r="I28" s="1077"/>
    </row>
    <row r="29" spans="1:9" outlineLevel="1" x14ac:dyDescent="0.25">
      <c r="B29" s="1027" t="s">
        <v>322</v>
      </c>
      <c r="C29" s="1049" t="s">
        <v>2630</v>
      </c>
      <c r="D29" s="1049" t="s">
        <v>5177</v>
      </c>
      <c r="E29" s="1055">
        <f>Y_BOD_ult*(S_VFA+S_B+S_MEOL)*f_S_BOD5_BODult+Y_BOD_ult*C_B*f_C_BOD5_BODult</f>
        <v>0.86924999999999997</v>
      </c>
      <c r="F29" s="1035" t="s">
        <v>827</v>
      </c>
      <c r="G29" s="1013">
        <v>1</v>
      </c>
      <c r="H29" s="1013"/>
      <c r="I29" s="1077"/>
    </row>
    <row r="30" spans="1:9" outlineLevel="1" x14ac:dyDescent="0.25">
      <c r="B30" s="1027" t="s">
        <v>323</v>
      </c>
      <c r="C30" s="1049" t="s">
        <v>347</v>
      </c>
      <c r="D30" s="1049" t="s">
        <v>5174</v>
      </c>
      <c r="E30" s="1055">
        <f>X_BOD_ult*f_X_BOD5_BODult</f>
        <v>549.8125</v>
      </c>
      <c r="F30" s="1035" t="s">
        <v>827</v>
      </c>
      <c r="G30" s="1013">
        <v>1</v>
      </c>
      <c r="H30" s="1013"/>
      <c r="I30" s="1077"/>
    </row>
    <row r="31" spans="1:9" outlineLevel="1" x14ac:dyDescent="0.25">
      <c r="B31" s="1027" t="s">
        <v>324</v>
      </c>
      <c r="C31" s="1049" t="s">
        <v>348</v>
      </c>
      <c r="D31" s="1049" t="s">
        <v>5175</v>
      </c>
      <c r="E31" s="1055">
        <f>S_BOD_5+X_BOD_5</f>
        <v>550.68174999999997</v>
      </c>
      <c r="F31" s="1035" t="s">
        <v>827</v>
      </c>
      <c r="G31" s="1013">
        <v>1</v>
      </c>
      <c r="H31" s="1013"/>
      <c r="I31" s="1077"/>
    </row>
    <row r="32" spans="1:9" outlineLevel="1" x14ac:dyDescent="0.25">
      <c r="B32" s="1027" t="s">
        <v>325</v>
      </c>
      <c r="C32" s="1049" t="s">
        <v>350</v>
      </c>
      <c r="D32" s="1049" t="s">
        <v>5176</v>
      </c>
      <c r="E32" s="1055">
        <f>S_U+S_B+S_VFA+S_MEOL</f>
        <v>21.01</v>
      </c>
      <c r="F32" s="1013" t="s">
        <v>1180</v>
      </c>
      <c r="G32" s="1013">
        <v>1</v>
      </c>
      <c r="H32" s="1013"/>
      <c r="I32" s="1077"/>
    </row>
    <row r="33" spans="2:9" outlineLevel="1" x14ac:dyDescent="0.25">
      <c r="B33" s="1027" t="s">
        <v>349</v>
      </c>
      <c r="C33" s="1049" t="s">
        <v>2631</v>
      </c>
      <c r="D33" s="1049" t="s">
        <v>942</v>
      </c>
      <c r="E33" s="1055">
        <f>S_COD+C_B+C_U</f>
        <v>21.030000000000005</v>
      </c>
      <c r="F33" s="1013" t="s">
        <v>1180</v>
      </c>
      <c r="G33" s="1013">
        <v>1</v>
      </c>
      <c r="H33" s="1013"/>
      <c r="I33" s="1077"/>
    </row>
    <row r="34" spans="2:9" outlineLevel="1" x14ac:dyDescent="0.25">
      <c r="B34" s="1027" t="s">
        <v>1752</v>
      </c>
      <c r="C34" s="1049" t="s">
        <v>326</v>
      </c>
      <c r="D34" s="1049" t="s">
        <v>1753</v>
      </c>
      <c r="E34" s="1055">
        <f>S_CCOD+X_COD</f>
        <v>2478.63</v>
      </c>
      <c r="F34" s="1013" t="s">
        <v>1180</v>
      </c>
      <c r="G34" s="1013">
        <v>1</v>
      </c>
      <c r="H34" s="1013"/>
      <c r="I34" s="1077"/>
    </row>
    <row r="35" spans="2:9" s="104" customFormat="1" ht="36" outlineLevel="1" x14ac:dyDescent="0.25">
      <c r="B35" s="1027" t="s">
        <v>2424</v>
      </c>
      <c r="C35" s="1049" t="s">
        <v>2425</v>
      </c>
      <c r="D35" s="1049" t="s">
        <v>2618</v>
      </c>
      <c r="E35" s="1055">
        <f>T_COD+S_H2+S_CH4+E_EQFe2*S_Fe2+(3*A_MFe/M_MVivi*E_EQFe2)*X_Vivi-E_EQNO3*S_NO3-E_EQNO2*S_NO2-E_EQN2*S_N2-S_O2</f>
        <v>2422.6207411453097</v>
      </c>
      <c r="F35" s="1013" t="s">
        <v>1180</v>
      </c>
      <c r="G35" s="1013">
        <v>1</v>
      </c>
      <c r="H35" s="1013"/>
      <c r="I35" s="1077"/>
    </row>
    <row r="36" spans="2:9" ht="36" outlineLevel="1" x14ac:dyDescent="0.25">
      <c r="B36" s="1027" t="s">
        <v>1754</v>
      </c>
      <c r="C36" s="1049" t="s">
        <v>333</v>
      </c>
      <c r="D36" s="1049" t="s">
        <v>5337</v>
      </c>
      <c r="E36" s="1055">
        <f>S_NHx+S_N_B+i_N_CB*C_B+X_N_B+X_N_Be+i_N_SU*S_U+i_N_CU*C_U+X_N_U+i_N_BIO*X_BIO+i_N_XE*(X_E_ana+X_E)+i_N_XSTR*X_STR</f>
        <v>109.0912</v>
      </c>
      <c r="F36" s="1013" t="s">
        <v>884</v>
      </c>
      <c r="G36" s="1013">
        <v>1</v>
      </c>
      <c r="H36" s="1013"/>
      <c r="I36" s="1077"/>
    </row>
    <row r="37" spans="2:9" outlineLevel="1" x14ac:dyDescent="0.25">
      <c r="B37" s="1132" t="s">
        <v>4299</v>
      </c>
      <c r="C37" s="1134" t="s">
        <v>4298</v>
      </c>
      <c r="D37" s="1134" t="s">
        <v>5338</v>
      </c>
      <c r="E37" s="1135">
        <f>S_N_B+i_N_CB*C_B+X_N_B+X_N_Be+i_N_BIO*X_BIO</f>
        <v>79.885100000000008</v>
      </c>
      <c r="F37" s="1133" t="s">
        <v>884</v>
      </c>
      <c r="G37" s="1133">
        <v>1</v>
      </c>
      <c r="H37" s="1133"/>
      <c r="I37" s="1136"/>
    </row>
    <row r="38" spans="2:9" s="4" customFormat="1" outlineLevel="1" x14ac:dyDescent="0.25">
      <c r="B38" s="1028" t="s">
        <v>2272</v>
      </c>
      <c r="C38" s="1049" t="s">
        <v>2632</v>
      </c>
      <c r="D38" s="1158" t="s">
        <v>4282</v>
      </c>
      <c r="E38" s="1056">
        <f>S_NO2+S_NO3</f>
        <v>5.0999999999999996</v>
      </c>
      <c r="F38" s="1035" t="s">
        <v>334</v>
      </c>
      <c r="G38" s="1035">
        <v>1</v>
      </c>
      <c r="H38" s="1035"/>
      <c r="I38" s="1536"/>
    </row>
    <row r="39" spans="2:9" s="4" customFormat="1" outlineLevel="1" x14ac:dyDescent="0.25">
      <c r="B39" s="1137" t="s">
        <v>4278</v>
      </c>
      <c r="C39" s="1578" t="s">
        <v>4279</v>
      </c>
      <c r="D39" s="1049" t="s">
        <v>4281</v>
      </c>
      <c r="E39" s="1139">
        <f>S_NHx+S_NOx</f>
        <v>6.1</v>
      </c>
      <c r="F39" s="1035" t="s">
        <v>334</v>
      </c>
      <c r="G39" s="1035">
        <v>1</v>
      </c>
      <c r="H39" s="1138"/>
      <c r="I39" s="1521"/>
    </row>
    <row r="40" spans="2:9" outlineLevel="1" x14ac:dyDescent="0.25">
      <c r="B40" s="1027" t="s">
        <v>1755</v>
      </c>
      <c r="C40" s="1049" t="s">
        <v>335</v>
      </c>
      <c r="D40" s="1049" t="s">
        <v>4280</v>
      </c>
      <c r="E40" s="1055">
        <f>T_KN+S_NOx</f>
        <v>114.19119999999999</v>
      </c>
      <c r="F40" s="1013" t="s">
        <v>884</v>
      </c>
      <c r="G40" s="1013">
        <v>1</v>
      </c>
      <c r="H40" s="1013"/>
      <c r="I40" s="1077"/>
    </row>
    <row r="41" spans="2:9" outlineLevel="1" x14ac:dyDescent="0.25">
      <c r="B41" s="2127" t="s">
        <v>4741</v>
      </c>
      <c r="C41" s="1854" t="s">
        <v>4736</v>
      </c>
      <c r="D41" s="1854" t="s">
        <v>4737</v>
      </c>
      <c r="E41" s="1932">
        <f>T_KN-S_KN</f>
        <v>107.39100000000001</v>
      </c>
      <c r="F41" s="1930" t="s">
        <v>884</v>
      </c>
      <c r="G41" s="1930">
        <v>1</v>
      </c>
      <c r="H41" s="1930"/>
      <c r="I41" s="2132"/>
    </row>
    <row r="42" spans="2:9" outlineLevel="1" x14ac:dyDescent="0.25">
      <c r="B42" s="762" t="s">
        <v>3453</v>
      </c>
      <c r="C42" s="1018" t="s">
        <v>3454</v>
      </c>
      <c r="D42" s="1018" t="s">
        <v>3455</v>
      </c>
      <c r="E42" s="1059">
        <f>S_NHx+S_N_B+i_N_CB*C_B+i_N_SU*S_U+i_N_CU*C_U</f>
        <v>1.7001999999999999</v>
      </c>
      <c r="F42" s="763" t="s">
        <v>884</v>
      </c>
      <c r="G42" s="763">
        <v>1</v>
      </c>
      <c r="H42" s="763"/>
      <c r="I42" s="1078"/>
    </row>
    <row r="43" spans="2:9" outlineLevel="1" x14ac:dyDescent="0.25">
      <c r="B43" s="1929" t="s">
        <v>4340</v>
      </c>
      <c r="C43" s="1931" t="s">
        <v>4341</v>
      </c>
      <c r="D43" s="1931" t="s">
        <v>4342</v>
      </c>
      <c r="E43" s="1933">
        <f>S_U*i_N_SU</f>
        <v>0.2</v>
      </c>
      <c r="F43" s="1935" t="s">
        <v>884</v>
      </c>
      <c r="G43" s="1935">
        <v>1</v>
      </c>
      <c r="H43" s="1935" t="s">
        <v>3809</v>
      </c>
      <c r="I43" s="1938"/>
    </row>
    <row r="44" spans="2:9" ht="36" outlineLevel="1" x14ac:dyDescent="0.25">
      <c r="B44" s="1027" t="s">
        <v>1756</v>
      </c>
      <c r="C44" s="1049" t="s">
        <v>789</v>
      </c>
      <c r="D44" s="1019" t="s">
        <v>5339</v>
      </c>
      <c r="E44" s="1055">
        <f>i_P_BIO*(X_BIO+X_E_ana+X_E)+S_PO4+S_P_B+i_P_CB*C_B+X_P_B+X_P_Be+i_P_SU*S_U+X_P_U+i_P_CU*C_U+X_PP+i_P_XSTR*X_STR+X_HFO_P+X_HAO_P+i_P_XACP*X_ACP+i_P_XVivi*X_Vivi+i_P_XBSH*X_BSH</f>
        <v>90.762039999999999</v>
      </c>
      <c r="F44" s="1013" t="s">
        <v>886</v>
      </c>
      <c r="G44" s="1013">
        <v>1</v>
      </c>
      <c r="H44" s="1013"/>
      <c r="I44" s="1077"/>
    </row>
    <row r="45" spans="2:9" outlineLevel="1" x14ac:dyDescent="0.25">
      <c r="B45" s="2127" t="s">
        <v>4738</v>
      </c>
      <c r="C45" s="1854" t="s">
        <v>4739</v>
      </c>
      <c r="D45" s="1854" t="s">
        <v>4740</v>
      </c>
      <c r="E45" s="1932">
        <f>T_P-S_P</f>
        <v>90.212000000000003</v>
      </c>
      <c r="F45" s="1930" t="s">
        <v>886</v>
      </c>
      <c r="G45" s="1930">
        <v>1</v>
      </c>
      <c r="H45" s="1930"/>
      <c r="I45" s="2132"/>
    </row>
    <row r="46" spans="2:9" outlineLevel="1" x14ac:dyDescent="0.25">
      <c r="B46" s="762" t="s">
        <v>3456</v>
      </c>
      <c r="C46" s="1018" t="s">
        <v>3457</v>
      </c>
      <c r="D46" s="1019" t="s">
        <v>3458</v>
      </c>
      <c r="E46" s="1059">
        <f>S_PO4+S_P_B+i_P_CB*C_B+i_P_SU*S_U+i_P_CU*C_U</f>
        <v>0.55004000000000008</v>
      </c>
      <c r="F46" s="763" t="s">
        <v>886</v>
      </c>
      <c r="G46" s="763">
        <v>1</v>
      </c>
      <c r="H46" s="763"/>
      <c r="I46" s="1078"/>
    </row>
    <row r="47" spans="2:9" outlineLevel="1" x14ac:dyDescent="0.25">
      <c r="B47" s="1027" t="s">
        <v>1757</v>
      </c>
      <c r="C47" s="1049" t="s">
        <v>467</v>
      </c>
      <c r="D47" s="1049" t="s">
        <v>1758</v>
      </c>
      <c r="E47" s="1069">
        <f>X_HFO_H+X_HFO_L+X_HFO_L_P+X_HFO_H_P+X_HFO_old+X_HFO_L_P_old+X_HFO_H_P_old</f>
        <v>0.01</v>
      </c>
      <c r="F47" s="1013" t="s">
        <v>1939</v>
      </c>
      <c r="G47" s="1013">
        <v>1</v>
      </c>
      <c r="H47" s="1013"/>
      <c r="I47" s="1077"/>
    </row>
    <row r="48" spans="2:9" outlineLevel="1" x14ac:dyDescent="0.25">
      <c r="B48" s="762" t="s">
        <v>3788</v>
      </c>
      <c r="C48" s="1050" t="s">
        <v>3789</v>
      </c>
      <c r="D48" s="1050" t="s">
        <v>3790</v>
      </c>
      <c r="E48" s="1270">
        <f>X_HAO_H+X_HAO_L+X_HAO_L_P+X_HAO_H_P+X_HAO_old+X_HAO_L_P_old+X_HAO_H_P_old</f>
        <v>0.01</v>
      </c>
      <c r="F48" s="1036" t="s">
        <v>3791</v>
      </c>
      <c r="G48" s="1036">
        <v>1</v>
      </c>
      <c r="H48" s="1036"/>
      <c r="I48" s="1078"/>
    </row>
    <row r="49" spans="1:14" outlineLevel="1" x14ac:dyDescent="0.25">
      <c r="B49" s="1027" t="s">
        <v>1759</v>
      </c>
      <c r="C49" s="1049" t="s">
        <v>1599</v>
      </c>
      <c r="D49" s="1049" t="s">
        <v>1876</v>
      </c>
      <c r="E49" s="1055">
        <f>X_HFO+S_Fe2+X_Vivi*3*A_MFe/M_MVivi</f>
        <v>0.01</v>
      </c>
      <c r="F49" s="1013" t="s">
        <v>1939</v>
      </c>
      <c r="G49" s="1013">
        <v>1</v>
      </c>
      <c r="H49" s="1013"/>
      <c r="I49" s="1077"/>
    </row>
    <row r="50" spans="1:14" outlineLevel="1" x14ac:dyDescent="0.25">
      <c r="B50" s="762" t="s">
        <v>3792</v>
      </c>
      <c r="C50" s="1050" t="s">
        <v>3793</v>
      </c>
      <c r="D50" s="1050" t="s">
        <v>3794</v>
      </c>
      <c r="E50" s="1057">
        <f>X_HAO</f>
        <v>0.01</v>
      </c>
      <c r="F50" s="1036" t="s">
        <v>3791</v>
      </c>
      <c r="G50" s="1036">
        <v>1</v>
      </c>
      <c r="H50" s="1036"/>
      <c r="I50" s="1078"/>
    </row>
    <row r="51" spans="1:14" ht="36" outlineLevel="1" x14ac:dyDescent="0.25">
      <c r="B51" s="762" t="s">
        <v>3795</v>
      </c>
      <c r="C51" s="1050" t="s">
        <v>3796</v>
      </c>
      <c r="D51" s="1050" t="s">
        <v>3797</v>
      </c>
      <c r="E51" s="1057">
        <f>S_Ca+i_Ca_PP*A_MCa/A_MP*X_PP+i_Ca_INORG*X_INORG+X_ACP*3*A_MCa/M_MACP+X_CaCO3*A_MCa/M_MCaCO3+X_BSH*A_MCa/M_MBSH</f>
        <v>180.76360322156796</v>
      </c>
      <c r="F51" s="1040" t="s">
        <v>984</v>
      </c>
      <c r="G51" s="1040">
        <v>1</v>
      </c>
      <c r="H51" s="1036"/>
      <c r="I51" s="1078"/>
    </row>
    <row r="52" spans="1:14" outlineLevel="1" x14ac:dyDescent="0.25">
      <c r="B52" s="762" t="s">
        <v>3798</v>
      </c>
      <c r="C52" s="1050" t="s">
        <v>3799</v>
      </c>
      <c r="D52" s="1050" t="s">
        <v>3800</v>
      </c>
      <c r="E52" s="1057">
        <f>S_Mg+i_Mg_PP*A_MMg/A_MP*X_PP+i_Mg_INORG*X_INORG+X_STR*A_MMg/M_MSTR</f>
        <v>54.478624608282161</v>
      </c>
      <c r="F52" s="1040" t="s">
        <v>833</v>
      </c>
      <c r="G52" s="1040">
        <v>1</v>
      </c>
      <c r="H52" s="1036"/>
      <c r="I52" s="1078"/>
    </row>
    <row r="53" spans="1:14" outlineLevel="1" x14ac:dyDescent="0.25">
      <c r="B53" s="1027" t="s">
        <v>1760</v>
      </c>
      <c r="C53" s="1049" t="s">
        <v>2633</v>
      </c>
      <c r="D53" s="1050" t="s">
        <v>3804</v>
      </c>
      <c r="E53" s="1055">
        <f>(X_HFO_L_P+X_HFO_L_P_old)*A_SFHFO_L*(A_MP/A_MFe)+(X_HFO_H_P+X_HFO_H_P_old)*A_SFHFO_H*(A_MP/A_MFe)</f>
        <v>1.5529865549288207E-50</v>
      </c>
      <c r="F53" s="1013" t="s">
        <v>886</v>
      </c>
      <c r="G53" s="1013">
        <v>1</v>
      </c>
      <c r="H53" s="1013"/>
      <c r="I53" s="1077"/>
    </row>
    <row r="54" spans="1:14" outlineLevel="1" x14ac:dyDescent="0.25">
      <c r="B54" s="762" t="s">
        <v>3801</v>
      </c>
      <c r="C54" s="1050" t="s">
        <v>3802</v>
      </c>
      <c r="D54" s="1050" t="s">
        <v>3803</v>
      </c>
      <c r="E54" s="1057">
        <f>(X_HAO_L_P+X_HAO_L_P_old)*A_SFHAO_L*(A_MP/A_MAl)+(X_HAO_H_P+X_HAO_H_P_old)*A_SFHAO_H*(A_MP/A_MAl)</f>
        <v>2.5255184789578044E-50</v>
      </c>
      <c r="F54" s="1036" t="s">
        <v>886</v>
      </c>
      <c r="G54" s="1036">
        <v>1</v>
      </c>
      <c r="H54" s="1036"/>
      <c r="I54" s="1078"/>
    </row>
    <row r="55" spans="1:14" outlineLevel="1" x14ac:dyDescent="0.25">
      <c r="B55" s="1029" t="s">
        <v>3599</v>
      </c>
      <c r="C55" s="1160" t="s">
        <v>3600</v>
      </c>
      <c r="D55" s="1160" t="s">
        <v>3601</v>
      </c>
      <c r="E55" s="1060">
        <f>S_NHx-S_NOx</f>
        <v>-4.0999999999999996</v>
      </c>
      <c r="F55" s="763" t="s">
        <v>884</v>
      </c>
      <c r="G55" s="763">
        <v>1</v>
      </c>
      <c r="H55" s="1037"/>
      <c r="I55" s="1079"/>
    </row>
    <row r="56" spans="1:14" outlineLevel="1" x14ac:dyDescent="0.25">
      <c r="A56" s="2133"/>
      <c r="B56" s="1029" t="s">
        <v>2617</v>
      </c>
      <c r="C56" s="1160" t="s">
        <v>1948</v>
      </c>
      <c r="D56" s="1160" t="s">
        <v>1949</v>
      </c>
      <c r="E56" s="1060">
        <f>X_VSS/X_TSS</f>
        <v>0.72748268771395963</v>
      </c>
      <c r="F56" s="763" t="s">
        <v>3606</v>
      </c>
      <c r="G56" s="763">
        <v>2</v>
      </c>
      <c r="H56" s="1037"/>
      <c r="I56" s="1079"/>
      <c r="J56" s="2133"/>
      <c r="K56" s="2133"/>
      <c r="L56" s="2133"/>
      <c r="M56" s="2133"/>
      <c r="N56" s="2133"/>
    </row>
    <row r="57" spans="1:14" outlineLevel="1" x14ac:dyDescent="0.25">
      <c r="A57" s="2133"/>
      <c r="B57" s="1029" t="s">
        <v>3607</v>
      </c>
      <c r="C57" s="1991" t="s">
        <v>393</v>
      </c>
      <c r="D57" s="1160" t="s">
        <v>1280</v>
      </c>
      <c r="E57" s="1060">
        <f>S_ALK</f>
        <v>5.5299706224952441E-3</v>
      </c>
      <c r="F57" s="763" t="s">
        <v>1879</v>
      </c>
      <c r="G57" s="763">
        <v>1</v>
      </c>
      <c r="H57" s="1037" t="s">
        <v>11</v>
      </c>
      <c r="I57" s="1079"/>
      <c r="J57" s="2133"/>
      <c r="K57" s="2133"/>
      <c r="L57" s="2133"/>
      <c r="M57" s="2133"/>
      <c r="N57" s="2133"/>
    </row>
    <row r="58" spans="1:14" s="3" customFormat="1" outlineLevel="1" x14ac:dyDescent="0.25">
      <c r="B58" s="1030" t="s">
        <v>3805</v>
      </c>
      <c r="C58" s="1577" t="s">
        <v>3806</v>
      </c>
      <c r="D58" s="1161" t="s">
        <v>3807</v>
      </c>
      <c r="E58" s="1061">
        <f>MAX(0,f_TOC_1*T_COD-f_TOC_2)</f>
        <v>826.54809624000006</v>
      </c>
      <c r="F58" s="1038" t="s">
        <v>3808</v>
      </c>
      <c r="G58" s="1038">
        <v>1</v>
      </c>
      <c r="H58" s="1038" t="s">
        <v>3809</v>
      </c>
      <c r="I58" s="1519"/>
    </row>
    <row r="59" spans="1:14" s="3" customFormat="1" ht="72" outlineLevel="1" x14ac:dyDescent="0.25">
      <c r="B59" s="2158" t="s">
        <v>3663</v>
      </c>
      <c r="C59" s="1991" t="s">
        <v>3664</v>
      </c>
      <c r="D59" s="2610" t="s">
        <v>5300</v>
      </c>
      <c r="E59" s="2160">
        <f>(X_VSS_BIO*(i_vw_BIO+i_iw_BIO+i_wh_BIO)+X_VSS_BIO*(i_vw_EPS+i_wh_EPS)+X_E/i_CV_XE*(i_vw_XE+i_wh_XE)+X_E/i_CV_XE*(i_vw_EPS+i_wh_EPS)+X_B/i_CV_XB*(i_vw_XB+i_wh_XB)+X_B_e/i_CV_XBe*(i_vw_XBe+i_wh_XBe)+X_U/i_CV_XU*(i_vw_XU+i_wh_XU)+X_PHA_PAO/i_CV_PHA*(i_vw_PHA+i_wh_PHA)+X_PHA_GAO/i_CV_PHA*(i_vw_PHA+i_wh_PHA)+C_B/i_CV_CB*i_vw_CB+C_U/i_CV_CU*i_vw_CU)/X_VSS</f>
        <v>2.025927517283026</v>
      </c>
      <c r="F59" s="1888" t="s">
        <v>3628</v>
      </c>
      <c r="G59" s="1888">
        <v>1</v>
      </c>
      <c r="H59" s="1888"/>
      <c r="I59" s="2153"/>
    </row>
    <row r="60" spans="1:14" s="4" customFormat="1" ht="30" outlineLevel="1" x14ac:dyDescent="0.25">
      <c r="B60" s="2619" t="s">
        <v>5266</v>
      </c>
      <c r="C60" s="2446" t="s">
        <v>5267</v>
      </c>
      <c r="D60" s="2620" t="s">
        <v>5342</v>
      </c>
      <c r="E60" s="2621">
        <f>(i_CV_BIO-i_CV_XE*f_E)/(1-f_E)</f>
        <v>1.42</v>
      </c>
      <c r="F60" s="2446" t="s">
        <v>1890</v>
      </c>
      <c r="G60" s="2446">
        <v>2</v>
      </c>
      <c r="H60" s="2446"/>
      <c r="I60" s="2622"/>
    </row>
    <row r="61" spans="1:14" s="7" customFormat="1" outlineLevel="1" x14ac:dyDescent="0.25">
      <c r="B61" s="2314" t="s">
        <v>4764</v>
      </c>
      <c r="C61" s="1991" t="s">
        <v>4765</v>
      </c>
      <c r="D61" s="2159" t="s">
        <v>4766</v>
      </c>
      <c r="E61" s="2315">
        <f>S_PFOA+X_PFOA</f>
        <v>1.9999999999999999E-6</v>
      </c>
      <c r="F61" s="1930" t="s">
        <v>4767</v>
      </c>
      <c r="G61" s="1991">
        <v>4</v>
      </c>
      <c r="H61" s="2316" t="s">
        <v>4745</v>
      </c>
      <c r="I61" s="2317"/>
    </row>
    <row r="62" spans="1:14" s="7" customFormat="1" ht="18.75" outlineLevel="1" thickBot="1" x14ac:dyDescent="0.3">
      <c r="B62" s="2318" t="s">
        <v>4768</v>
      </c>
      <c r="C62" s="2319" t="s">
        <v>4769</v>
      </c>
      <c r="D62" s="2320" t="s">
        <v>4770</v>
      </c>
      <c r="E62" s="2321">
        <f>S_PFOS+X_PFOS</f>
        <v>1.9999999999999999E-6</v>
      </c>
      <c r="F62" s="2322" t="s">
        <v>4767</v>
      </c>
      <c r="G62" s="2319">
        <v>4</v>
      </c>
      <c r="H62" s="2319" t="s">
        <v>4745</v>
      </c>
      <c r="I62" s="2323"/>
    </row>
    <row r="63" spans="1:14" s="2133" customFormat="1" ht="18" customHeight="1" thickBot="1" x14ac:dyDescent="0.3">
      <c r="B63" s="4"/>
      <c r="C63" s="4"/>
      <c r="D63" s="4"/>
      <c r="E63" s="1934"/>
      <c r="F63" s="4"/>
      <c r="G63" s="4"/>
      <c r="H63" s="4"/>
      <c r="I63" s="4"/>
    </row>
    <row r="64" spans="1:14" s="2133" customFormat="1" ht="18" customHeight="1" thickBot="1" x14ac:dyDescent="0.3">
      <c r="B64" s="113"/>
      <c r="C64" s="1089" t="s">
        <v>4125</v>
      </c>
      <c r="D64" s="14" t="s">
        <v>299</v>
      </c>
      <c r="E64" s="14"/>
      <c r="F64" s="113"/>
      <c r="G64" s="113"/>
      <c r="H64" s="113"/>
      <c r="I64" s="113"/>
    </row>
    <row r="65" spans="1:9" s="2133" customFormat="1" ht="18" customHeight="1" thickBot="1" x14ac:dyDescent="0.3">
      <c r="B65" s="1939" t="s">
        <v>0</v>
      </c>
      <c r="C65" s="1942" t="s">
        <v>1</v>
      </c>
      <c r="D65" s="1945" t="s">
        <v>5</v>
      </c>
      <c r="E65" s="1945" t="s">
        <v>152</v>
      </c>
      <c r="F65" s="1945" t="s">
        <v>2</v>
      </c>
      <c r="G65" s="1945" t="s">
        <v>298</v>
      </c>
      <c r="H65" s="1945" t="s">
        <v>116</v>
      </c>
      <c r="I65" s="1948" t="s">
        <v>117</v>
      </c>
    </row>
    <row r="66" spans="1:9" ht="18" customHeight="1" outlineLevel="1" x14ac:dyDescent="0.25">
      <c r="A66" s="3"/>
      <c r="B66" s="1132" t="s">
        <v>5181</v>
      </c>
      <c r="C66" s="1134" t="s">
        <v>5182</v>
      </c>
      <c r="D66" s="2446" t="s">
        <v>5180</v>
      </c>
      <c r="E66" s="1135">
        <f>X_PHA_PAO+X_PHA_GAO</f>
        <v>23</v>
      </c>
      <c r="F66" s="1133" t="s">
        <v>1180</v>
      </c>
      <c r="G66" s="1133">
        <v>1</v>
      </c>
      <c r="H66" s="1133"/>
      <c r="I66" s="1136"/>
    </row>
    <row r="67" spans="1:9" ht="18" customHeight="1" outlineLevel="1" x14ac:dyDescent="0.25">
      <c r="A67" s="3"/>
      <c r="B67" s="1132" t="s">
        <v>4126</v>
      </c>
      <c r="C67" s="1134" t="s">
        <v>5183</v>
      </c>
      <c r="D67" s="1134" t="s">
        <v>5181</v>
      </c>
      <c r="E67" s="1135">
        <f>X_PHA_CASTO</f>
        <v>23</v>
      </c>
      <c r="F67" s="1133" t="s">
        <v>1180</v>
      </c>
      <c r="G67" s="1133">
        <v>1</v>
      </c>
      <c r="H67" s="1133"/>
      <c r="I67" s="1136"/>
    </row>
    <row r="68" spans="1:9" s="3" customFormat="1" ht="18" customHeight="1" outlineLevel="1" x14ac:dyDescent="0.25">
      <c r="B68" s="1137" t="s">
        <v>4127</v>
      </c>
      <c r="C68" s="1578" t="s">
        <v>4128</v>
      </c>
      <c r="D68" s="1579" t="s">
        <v>5184</v>
      </c>
      <c r="E68" s="1139">
        <f>X_PHA_PAO/X_STC</f>
        <v>0.86956521739130432</v>
      </c>
      <c r="F68" s="1133" t="s">
        <v>282</v>
      </c>
      <c r="G68" s="1138">
        <v>1</v>
      </c>
      <c r="H68" s="1138"/>
      <c r="I68" s="1521"/>
    </row>
    <row r="69" spans="1:9" s="3" customFormat="1" ht="18" customHeight="1" outlineLevel="1" x14ac:dyDescent="0.25">
      <c r="B69" s="1137" t="s">
        <v>4129</v>
      </c>
      <c r="C69" s="1578" t="s">
        <v>4130</v>
      </c>
      <c r="D69" s="1579" t="s">
        <v>5185</v>
      </c>
      <c r="E69" s="1139">
        <f>X_PHA_GAO/X_STC</f>
        <v>0.13043478260869565</v>
      </c>
      <c r="F69" s="1133" t="s">
        <v>282</v>
      </c>
      <c r="G69" s="1138">
        <v>1</v>
      </c>
      <c r="H69" s="1138"/>
      <c r="I69" s="1521"/>
    </row>
    <row r="70" spans="1:9" ht="18" customHeight="1" outlineLevel="1" x14ac:dyDescent="0.25">
      <c r="A70" s="3"/>
      <c r="B70" s="1132" t="s">
        <v>4131</v>
      </c>
      <c r="C70" s="2446" t="s">
        <v>5340</v>
      </c>
      <c r="D70" s="1134" t="s">
        <v>4132</v>
      </c>
      <c r="E70" s="1135">
        <f>actPAO*X_CASTO</f>
        <v>434.78260869565219</v>
      </c>
      <c r="F70" s="1133" t="s">
        <v>1180</v>
      </c>
      <c r="G70" s="1133">
        <v>1</v>
      </c>
      <c r="H70" s="1133"/>
      <c r="I70" s="1136"/>
    </row>
    <row r="71" spans="1:9" ht="18" customHeight="1" outlineLevel="1" x14ac:dyDescent="0.25">
      <c r="A71" s="3"/>
      <c r="B71" s="1132" t="s">
        <v>4133</v>
      </c>
      <c r="C71" s="2446" t="s">
        <v>5341</v>
      </c>
      <c r="D71" s="1134" t="s">
        <v>4134</v>
      </c>
      <c r="E71" s="1135">
        <f>actGAO*X_CASTO</f>
        <v>65.217391304347828</v>
      </c>
      <c r="F71" s="1133" t="s">
        <v>1180</v>
      </c>
      <c r="G71" s="1133">
        <v>1</v>
      </c>
      <c r="H71" s="1133"/>
      <c r="I71" s="1136"/>
    </row>
    <row r="72" spans="1:9" s="3" customFormat="1" ht="18" customHeight="1" outlineLevel="1" x14ac:dyDescent="0.25">
      <c r="B72" s="1137" t="s">
        <v>4135</v>
      </c>
      <c r="C72" s="1578" t="s">
        <v>4136</v>
      </c>
      <c r="D72" s="1579" t="s">
        <v>4137</v>
      </c>
      <c r="E72" s="1139">
        <f>L_ogsatORP_GAO_T</f>
        <v>0.94784643692158232</v>
      </c>
      <c r="F72" s="1133" t="s">
        <v>282</v>
      </c>
      <c r="G72" s="1138">
        <v>1</v>
      </c>
      <c r="H72" s="1138"/>
      <c r="I72" s="1521"/>
    </row>
    <row r="73" spans="1:9" s="3" customFormat="1" ht="18" customHeight="1" outlineLevel="1" x14ac:dyDescent="0.25">
      <c r="B73" s="1137" t="s">
        <v>4138</v>
      </c>
      <c r="C73" s="1578" t="s">
        <v>4139</v>
      </c>
      <c r="D73" s="1580" t="s">
        <v>4140</v>
      </c>
      <c r="E73" s="1139">
        <f>(1-L_ogsatORP_GAO_T)</f>
        <v>5.2153563078417675E-2</v>
      </c>
      <c r="F73" s="1133" t="s">
        <v>282</v>
      </c>
      <c r="G73" s="1138">
        <v>1</v>
      </c>
      <c r="H73" s="1138"/>
      <c r="I73" s="1521"/>
    </row>
    <row r="74" spans="1:9" s="3" customFormat="1" ht="18" customHeight="1" outlineLevel="1" x14ac:dyDescent="0.25">
      <c r="B74" s="1137" t="s">
        <v>4141</v>
      </c>
      <c r="C74" s="1578" t="s">
        <v>4142</v>
      </c>
      <c r="D74" s="1579" t="s">
        <v>4143</v>
      </c>
      <c r="E74" s="1139">
        <f>(1-L_ogsatORP_GAO_T)*L_oginhORP_PAO</f>
        <v>1.0749650524059162E-10</v>
      </c>
      <c r="F74" s="1133" t="s">
        <v>282</v>
      </c>
      <c r="G74" s="1138">
        <v>1</v>
      </c>
      <c r="H74" s="1138"/>
      <c r="I74" s="1521"/>
    </row>
    <row r="75" spans="1:9" s="1928" customFormat="1" ht="18" customHeight="1" outlineLevel="1" x14ac:dyDescent="0.25">
      <c r="A75" s="113"/>
      <c r="B75" s="1132" t="s">
        <v>4145</v>
      </c>
      <c r="C75" s="2446" t="s">
        <v>5188</v>
      </c>
      <c r="D75" s="1134" t="s">
        <v>5186</v>
      </c>
      <c r="E75" s="1537">
        <f>(Y_PAO_PHA_ox*X_PHA_PAO+Y_GAO_PHA_ox*X_PHA_GAO)/X_STC</f>
        <v>0.63391304347826094</v>
      </c>
      <c r="F75" s="1134" t="s">
        <v>4146</v>
      </c>
      <c r="G75" s="1140">
        <v>2</v>
      </c>
      <c r="H75" s="1133"/>
      <c r="I75" s="1136"/>
    </row>
    <row r="76" spans="1:9" s="1928" customFormat="1" ht="18" customHeight="1" outlineLevel="1" x14ac:dyDescent="0.25">
      <c r="A76" s="113"/>
      <c r="B76" s="1141" t="s">
        <v>4147</v>
      </c>
      <c r="C76" s="2446" t="s">
        <v>5189</v>
      </c>
      <c r="D76" s="1134" t="s">
        <v>5187</v>
      </c>
      <c r="E76" s="1537">
        <f>(Y_PAO_PHA_anox*X_PHA_PAO+Y_GAO_PHA_anox*X_PHA_GAO)/X_STC</f>
        <v>0.5173913043478261</v>
      </c>
      <c r="F76" s="1134" t="s">
        <v>4146</v>
      </c>
      <c r="G76" s="1140">
        <v>2</v>
      </c>
      <c r="H76" s="1133"/>
      <c r="I76" s="1136"/>
    </row>
    <row r="77" spans="1:9" s="1928" customFormat="1" ht="18" customHeight="1" outlineLevel="1" thickBot="1" x14ac:dyDescent="0.3">
      <c r="A77" s="113"/>
      <c r="B77" s="1142" t="s">
        <v>4148</v>
      </c>
      <c r="C77" s="1581" t="s">
        <v>4149</v>
      </c>
      <c r="D77" s="1143" t="s">
        <v>5307</v>
      </c>
      <c r="E77" s="1538">
        <f>(i_CIT_PHA*X_PHA_PAO+i_CIT_PHA*X_PHA_GAO)/X_STC</f>
        <v>0.33300000000000002</v>
      </c>
      <c r="F77" s="1146" t="s">
        <v>1892</v>
      </c>
      <c r="G77" s="1144">
        <v>2</v>
      </c>
      <c r="H77" s="1144"/>
      <c r="I77" s="1539"/>
    </row>
    <row r="78" spans="1:9" s="2133" customFormat="1" ht="18" customHeight="1" thickBot="1" x14ac:dyDescent="0.3">
      <c r="B78" s="4"/>
      <c r="C78" s="4"/>
      <c r="D78" s="4"/>
      <c r="E78" s="1934"/>
      <c r="F78" s="4"/>
      <c r="G78" s="4"/>
      <c r="H78" s="4"/>
      <c r="I78" s="4"/>
    </row>
    <row r="79" spans="1:9" s="2133" customFormat="1" ht="18" customHeight="1" thickBot="1" x14ac:dyDescent="0.3">
      <c r="B79" s="113"/>
      <c r="C79" s="1089" t="s">
        <v>2145</v>
      </c>
      <c r="D79" s="14" t="s">
        <v>299</v>
      </c>
      <c r="E79" s="14"/>
      <c r="F79" s="113"/>
      <c r="G79" s="113"/>
      <c r="H79" s="113"/>
      <c r="I79" s="113"/>
    </row>
    <row r="80" spans="1:9" s="2133" customFormat="1" ht="18" customHeight="1" thickBot="1" x14ac:dyDescent="0.3">
      <c r="B80" s="1939" t="s">
        <v>0</v>
      </c>
      <c r="C80" s="1942" t="s">
        <v>1</v>
      </c>
      <c r="D80" s="1945" t="s">
        <v>5</v>
      </c>
      <c r="E80" s="1945" t="s">
        <v>152</v>
      </c>
      <c r="F80" s="1945" t="s">
        <v>2</v>
      </c>
      <c r="G80" s="1945" t="s">
        <v>298</v>
      </c>
      <c r="H80" s="1945" t="s">
        <v>116</v>
      </c>
      <c r="I80" s="1948" t="s">
        <v>117</v>
      </c>
    </row>
    <row r="81" spans="1:10" s="3" customFormat="1" ht="18" customHeight="1" outlineLevel="1" x14ac:dyDescent="0.25">
      <c r="B81" s="133" t="s">
        <v>2146</v>
      </c>
      <c r="C81" s="1582" t="s">
        <v>2177</v>
      </c>
      <c r="D81" s="1579" t="s">
        <v>4159</v>
      </c>
      <c r="E81" s="1062">
        <f>O_RPbase+(O_RPmax_SO2-O_RPbase)*S_O2/(K_ORP_SO2+S_O2)</f>
        <v>285.36585365853659</v>
      </c>
      <c r="F81" s="88" t="s">
        <v>2140</v>
      </c>
      <c r="G81" s="88">
        <v>1</v>
      </c>
      <c r="H81" s="88"/>
      <c r="I81" s="1522"/>
    </row>
    <row r="82" spans="1:10" s="3" customFormat="1" ht="18" customHeight="1" outlineLevel="1" x14ac:dyDescent="0.25">
      <c r="B82" s="1031" t="s">
        <v>2147</v>
      </c>
      <c r="C82" s="1578" t="s">
        <v>4150</v>
      </c>
      <c r="D82" s="1579" t="s">
        <v>4160</v>
      </c>
      <c r="E82" s="1063">
        <f>O_RPbase+(O_RPmax_SNOx-O_RPbase)*S_NOx/(K_ORP_SNOx+S_NOx)</f>
        <v>62.884615384615415</v>
      </c>
      <c r="F82" s="1040" t="s">
        <v>2140</v>
      </c>
      <c r="G82" s="1040">
        <v>1</v>
      </c>
      <c r="H82" s="1040"/>
      <c r="I82" s="1523"/>
    </row>
    <row r="83" spans="1:10" s="3" customFormat="1" outlineLevel="1" x14ac:dyDescent="0.25">
      <c r="A83" s="4"/>
      <c r="B83" s="2158" t="s">
        <v>5386</v>
      </c>
      <c r="C83" s="2316" t="s">
        <v>5381</v>
      </c>
      <c r="D83" s="1579" t="s">
        <v>5382</v>
      </c>
      <c r="E83" s="2630">
        <f>A_AR/r_bCODDR</f>
        <v>2.0008920658907097E-4</v>
      </c>
      <c r="F83" s="2131" t="s">
        <v>282</v>
      </c>
      <c r="G83" s="2454">
        <v>1</v>
      </c>
      <c r="H83" s="2454"/>
      <c r="I83" s="2153"/>
    </row>
    <row r="84" spans="1:10" s="3" customFormat="1" outlineLevel="1" x14ac:dyDescent="0.25">
      <c r="A84" s="4"/>
      <c r="B84" s="2158" t="s">
        <v>5383</v>
      </c>
      <c r="C84" s="2316" t="s">
        <v>5384</v>
      </c>
      <c r="D84" s="1579" t="s">
        <v>5387</v>
      </c>
      <c r="E84" s="2630">
        <f>O_RPbase*(r_atioAAR_rbCODDR)/(K_ORP_ana+r_atioAAR_rbCODDR)</f>
        <v>-1.1957501057357165</v>
      </c>
      <c r="F84" s="2454" t="s">
        <v>2140</v>
      </c>
      <c r="G84" s="2454">
        <v>1</v>
      </c>
      <c r="H84" s="2454"/>
      <c r="I84" s="2153"/>
    </row>
    <row r="85" spans="1:10" s="3" customFormat="1" ht="18.75" outlineLevel="1" thickBot="1" x14ac:dyDescent="0.3">
      <c r="A85" s="4"/>
      <c r="B85" s="2631" t="s">
        <v>2148</v>
      </c>
      <c r="C85" s="2319" t="s">
        <v>2145</v>
      </c>
      <c r="D85" s="2320" t="s">
        <v>5385</v>
      </c>
      <c r="E85" s="2632">
        <f>MAX(O_RPO2,O_RPNOx,O_RPana)</f>
        <v>285.36585365853659</v>
      </c>
      <c r="F85" s="2633" t="s">
        <v>2140</v>
      </c>
      <c r="G85" s="2633">
        <v>1</v>
      </c>
      <c r="H85" s="2633"/>
      <c r="I85" s="2634"/>
    </row>
    <row r="86" spans="1:10" s="2133" customFormat="1" ht="18" customHeight="1" thickBot="1" x14ac:dyDescent="0.3">
      <c r="B86" s="4"/>
      <c r="C86" s="4"/>
      <c r="D86" s="4"/>
      <c r="E86" s="1934"/>
      <c r="F86" s="4"/>
      <c r="G86" s="4"/>
      <c r="H86" s="4"/>
      <c r="I86" s="4"/>
    </row>
    <row r="87" spans="1:10" s="2133" customFormat="1" ht="18" customHeight="1" thickBot="1" x14ac:dyDescent="0.3">
      <c r="B87" s="113"/>
      <c r="C87" s="1089" t="s">
        <v>4151</v>
      </c>
      <c r="D87" s="14" t="s">
        <v>299</v>
      </c>
      <c r="E87" s="14"/>
      <c r="F87" s="113"/>
      <c r="G87" s="113"/>
      <c r="H87" s="113"/>
      <c r="I87" s="113"/>
    </row>
    <row r="88" spans="1:10" s="2133" customFormat="1" ht="18" customHeight="1" thickBot="1" x14ac:dyDescent="0.3">
      <c r="B88" s="1939" t="s">
        <v>0</v>
      </c>
      <c r="C88" s="1942" t="s">
        <v>1</v>
      </c>
      <c r="D88" s="1945" t="s">
        <v>5</v>
      </c>
      <c r="E88" s="1945" t="s">
        <v>152</v>
      </c>
      <c r="F88" s="1945" t="s">
        <v>2</v>
      </c>
      <c r="G88" s="1945" t="s">
        <v>298</v>
      </c>
      <c r="H88" s="1945" t="s">
        <v>116</v>
      </c>
      <c r="I88" s="1948" t="s">
        <v>117</v>
      </c>
    </row>
    <row r="89" spans="1:10" s="3" customFormat="1" ht="18" customHeight="1" outlineLevel="1" x14ac:dyDescent="0.25">
      <c r="A89" s="2133"/>
      <c r="B89" s="133" t="s">
        <v>2714</v>
      </c>
      <c r="C89" s="1582" t="s">
        <v>2715</v>
      </c>
      <c r="D89" s="1579" t="s">
        <v>4506</v>
      </c>
      <c r="E89" s="1062">
        <f>(1/(1+EXP(((S_ORPswitch-o_ffsetORPswitch)-(L_ogsatORP_PAO_Half))*(L_ogsatORP_PAO_Slope))))</f>
        <v>2.0611536181902037E-9</v>
      </c>
      <c r="F89" s="88" t="s">
        <v>282</v>
      </c>
      <c r="G89" s="88">
        <v>2</v>
      </c>
      <c r="H89" s="88"/>
      <c r="I89" s="1522"/>
    </row>
    <row r="90" spans="1:10" s="3" customFormat="1" ht="30" outlineLevel="1" x14ac:dyDescent="0.25">
      <c r="A90" s="2133"/>
      <c r="B90" s="133" t="s">
        <v>4152</v>
      </c>
      <c r="C90" s="1582" t="s">
        <v>4153</v>
      </c>
      <c r="D90" s="1579" t="s">
        <v>4154</v>
      </c>
      <c r="E90" s="1062">
        <f>(L_ogsatORP_GAO_Half_25-L_ogsatORP_GAO_Half_15)/(25-15)</f>
        <v>-5</v>
      </c>
      <c r="F90" s="88" t="s">
        <v>4155</v>
      </c>
      <c r="G90" s="88">
        <v>1</v>
      </c>
      <c r="H90" s="88"/>
      <c r="I90" s="1522"/>
    </row>
    <row r="91" spans="1:10" s="3" customFormat="1" ht="30" outlineLevel="1" x14ac:dyDescent="0.25">
      <c r="A91" s="2133"/>
      <c r="B91" s="133" t="s">
        <v>4288</v>
      </c>
      <c r="C91" s="1582" t="s">
        <v>4289</v>
      </c>
      <c r="D91" s="1579" t="s">
        <v>4156</v>
      </c>
      <c r="E91" s="1062">
        <f>L_ogsatORP_GAO_Half_25-s_lORP_GAO_Half_T*25</f>
        <v>-45</v>
      </c>
      <c r="F91" s="88" t="s">
        <v>2140</v>
      </c>
      <c r="G91" s="88">
        <v>1</v>
      </c>
      <c r="H91" s="88"/>
      <c r="I91" s="1522"/>
    </row>
    <row r="92" spans="1:10" s="3" customFormat="1" ht="18" customHeight="1" outlineLevel="1" x14ac:dyDescent="0.25">
      <c r="A92" s="2133"/>
      <c r="B92" s="1137" t="s">
        <v>4157</v>
      </c>
      <c r="C92" s="1582" t="s">
        <v>5190</v>
      </c>
      <c r="D92" s="1584" t="s">
        <v>4290</v>
      </c>
      <c r="E92" s="1147">
        <f>s_lORP_GAO_Half_T*T__+y_ORP_GAO_Half_T</f>
        <v>-145</v>
      </c>
      <c r="F92" s="1147" t="s">
        <v>2140</v>
      </c>
      <c r="G92" s="1147">
        <v>2</v>
      </c>
      <c r="H92" s="1138"/>
      <c r="I92" s="1521"/>
      <c r="J92" s="113"/>
    </row>
    <row r="93" spans="1:10" s="3" customFormat="1" ht="18" customHeight="1" outlineLevel="1" x14ac:dyDescent="0.25">
      <c r="A93" s="2133"/>
      <c r="B93" s="1137" t="s">
        <v>4158</v>
      </c>
      <c r="C93" s="1582" t="s">
        <v>5191</v>
      </c>
      <c r="D93" s="1797" t="s">
        <v>4507</v>
      </c>
      <c r="E93" s="1148">
        <f>(1/(1+EXP(((L_ogsatORP_GAO_Half_T)-(S_ORPswitch-o_ffsetORPswitch))*(L_ogsatORP_GAO_Slope))))</f>
        <v>0.94784643692158232</v>
      </c>
      <c r="F93" s="1147" t="s">
        <v>282</v>
      </c>
      <c r="G93" s="1147">
        <v>2</v>
      </c>
      <c r="H93" s="1138"/>
      <c r="I93" s="1521"/>
      <c r="J93" s="113"/>
    </row>
    <row r="94" spans="1:10" s="3" customFormat="1" ht="18" customHeight="1" outlineLevel="1" thickBot="1" x14ac:dyDescent="0.3">
      <c r="A94" s="2133"/>
      <c r="B94" s="1145" t="s">
        <v>3062</v>
      </c>
      <c r="C94" s="1583" t="s">
        <v>3063</v>
      </c>
      <c r="D94" s="1585" t="s">
        <v>4343</v>
      </c>
      <c r="E94" s="1150">
        <f>(1/(1+EXP(((O_RP)-(L_ogsatORP_HFO_Half))*(L_ogsatORP_HFO_Slope))))</f>
        <v>1.8355812980967403E-17</v>
      </c>
      <c r="F94" s="1149" t="s">
        <v>282</v>
      </c>
      <c r="G94" s="1149">
        <v>2</v>
      </c>
      <c r="H94" s="1146"/>
      <c r="I94" s="1524"/>
      <c r="J94" s="113"/>
    </row>
    <row r="95" spans="1:10" ht="15.75" thickBot="1" x14ac:dyDescent="0.3">
      <c r="B95" s="135"/>
      <c r="C95" s="135"/>
      <c r="D95" s="2118"/>
      <c r="E95" s="2118"/>
      <c r="F95" s="135"/>
      <c r="G95" s="135"/>
      <c r="H95" s="135"/>
      <c r="I95" s="135"/>
    </row>
    <row r="96" spans="1:10" s="2133" customFormat="1" ht="15.75" thickBot="1" x14ac:dyDescent="0.3">
      <c r="B96" s="4"/>
      <c r="C96" s="2119" t="s">
        <v>4668</v>
      </c>
      <c r="D96" s="14" t="s">
        <v>299</v>
      </c>
      <c r="E96" s="2134"/>
      <c r="F96" s="4"/>
      <c r="G96" s="4"/>
      <c r="H96" s="4"/>
      <c r="I96" s="4"/>
    </row>
    <row r="97" spans="2:9" s="2133" customFormat="1" ht="18" customHeight="1" thickBot="1" x14ac:dyDescent="0.3">
      <c r="B97" s="1939" t="s">
        <v>0</v>
      </c>
      <c r="C97" s="1942" t="s">
        <v>1</v>
      </c>
      <c r="D97" s="1945" t="s">
        <v>5</v>
      </c>
      <c r="E97" s="1945" t="s">
        <v>152</v>
      </c>
      <c r="F97" s="1945" t="s">
        <v>2</v>
      </c>
      <c r="G97" s="1945" t="s">
        <v>298</v>
      </c>
      <c r="H97" s="1945" t="s">
        <v>116</v>
      </c>
      <c r="I97" s="1948" t="s">
        <v>117</v>
      </c>
    </row>
    <row r="98" spans="2:9" s="2133" customFormat="1" ht="18.75" outlineLevel="1" thickBot="1" x14ac:dyDescent="0.3">
      <c r="B98" s="2142" t="s">
        <v>4669</v>
      </c>
      <c r="C98" s="2143" t="s">
        <v>4670</v>
      </c>
      <c r="D98" s="2143" t="s">
        <v>4713</v>
      </c>
      <c r="E98" s="2143">
        <f>(1/(1+EXP(((X_TSS/K_XTSS_lightextinction)-(1))*(100))))*(1/(1+EXP(((1)-(J_photosynt_solar/J_photosynt_solar_opt))*(100))))</f>
        <v>3.1393009872987806E-64</v>
      </c>
      <c r="F98" s="1149" t="s">
        <v>282</v>
      </c>
      <c r="G98" s="2143">
        <v>2</v>
      </c>
      <c r="H98" s="2120" t="s">
        <v>4631</v>
      </c>
      <c r="I98" s="2144"/>
    </row>
    <row r="99" spans="2:9" s="2133" customFormat="1" ht="18" customHeight="1" thickBot="1" x14ac:dyDescent="0.3">
      <c r="B99" s="4"/>
      <c r="C99" s="4"/>
      <c r="D99" s="4"/>
      <c r="E99" s="1934"/>
      <c r="F99" s="4"/>
      <c r="G99" s="4"/>
      <c r="H99" s="4"/>
      <c r="I99" s="4"/>
    </row>
    <row r="100" spans="2:9" s="2133" customFormat="1" ht="18" customHeight="1" thickBot="1" x14ac:dyDescent="0.3">
      <c r="B100" s="113"/>
      <c r="C100" s="1089" t="s">
        <v>1208</v>
      </c>
      <c r="D100" s="14" t="s">
        <v>299</v>
      </c>
      <c r="E100" s="14"/>
      <c r="F100" s="113"/>
      <c r="G100" s="113"/>
      <c r="H100" s="113"/>
      <c r="I100" s="113"/>
    </row>
    <row r="101" spans="2:9" s="2133" customFormat="1" ht="18" customHeight="1" thickBot="1" x14ac:dyDescent="0.3">
      <c r="B101" s="1939" t="s">
        <v>0</v>
      </c>
      <c r="C101" s="1942" t="s">
        <v>1</v>
      </c>
      <c r="D101" s="1945" t="s">
        <v>5</v>
      </c>
      <c r="E101" s="1945" t="s">
        <v>152</v>
      </c>
      <c r="F101" s="1945" t="s">
        <v>2</v>
      </c>
      <c r="G101" s="1945" t="s">
        <v>298</v>
      </c>
      <c r="H101" s="1945" t="s">
        <v>116</v>
      </c>
      <c r="I101" s="1948" t="s">
        <v>117</v>
      </c>
    </row>
    <row r="102" spans="2:9" ht="18" customHeight="1" outlineLevel="1" x14ac:dyDescent="0.25">
      <c r="B102" s="2204" t="s">
        <v>1761</v>
      </c>
      <c r="C102" s="2205" t="s">
        <v>2634</v>
      </c>
      <c r="D102" s="2205" t="s">
        <v>1762</v>
      </c>
      <c r="E102" s="2206">
        <f>((conc_Mg2p_I^(1/3)*conc_NH4p_I^(1/3)*conc_PO43m_I^(1/3)-K_sp_STR^(1/3))/K_sp_STR^(1/3))</f>
        <v>-0.96443559715132532</v>
      </c>
      <c r="F102" s="2207" t="s">
        <v>1989</v>
      </c>
      <c r="G102" s="2205">
        <v>2</v>
      </c>
      <c r="H102" s="2207" t="s">
        <v>1613</v>
      </c>
      <c r="I102" s="2208"/>
    </row>
    <row r="103" spans="2:9" ht="18" customHeight="1" outlineLevel="1" x14ac:dyDescent="0.25">
      <c r="B103" s="2209" t="s">
        <v>1761</v>
      </c>
      <c r="C103" s="2210" t="s">
        <v>2634</v>
      </c>
      <c r="D103" s="2210" t="s">
        <v>1762</v>
      </c>
      <c r="E103" s="2211">
        <f>((conc_Mg2p_I^(1/3)*conc_NH4p_I^(1/3)*conc_PO43m_I^(1/3)-K_sp_STR^(1/3))/K_sp_STR^(1/3))</f>
        <v>-0.96443559715132532</v>
      </c>
      <c r="F103" s="2211" t="s">
        <v>1989</v>
      </c>
      <c r="G103" s="2210">
        <v>2</v>
      </c>
      <c r="H103" s="2303" t="s">
        <v>4877</v>
      </c>
      <c r="I103" s="2212"/>
    </row>
    <row r="104" spans="2:9" ht="18" customHeight="1" outlineLevel="1" x14ac:dyDescent="0.25">
      <c r="B104" s="2209" t="s">
        <v>1761</v>
      </c>
      <c r="C104" s="2210" t="s">
        <v>2634</v>
      </c>
      <c r="D104" s="2210">
        <v>0</v>
      </c>
      <c r="E104" s="2211">
        <f>0</f>
        <v>0</v>
      </c>
      <c r="F104" s="2211" t="s">
        <v>1989</v>
      </c>
      <c r="G104" s="2210">
        <v>0</v>
      </c>
      <c r="H104" s="2303" t="s">
        <v>4878</v>
      </c>
      <c r="I104" s="2212"/>
    </row>
    <row r="105" spans="2:9" ht="18" customHeight="1" outlineLevel="1" x14ac:dyDescent="0.25">
      <c r="B105" s="2209" t="s">
        <v>1367</v>
      </c>
      <c r="C105" s="2210" t="s">
        <v>2520</v>
      </c>
      <c r="D105" s="2210" t="s">
        <v>2635</v>
      </c>
      <c r="E105" s="2210">
        <f>IF(P_recipDrivingForceSTR&gt;0,q_STR_PREC,q_STR_DISS*M_satXSTR_KSTR_DISS)</f>
        <v>0</v>
      </c>
      <c r="F105" s="2210" t="s">
        <v>1314</v>
      </c>
      <c r="G105" s="2210">
        <v>0</v>
      </c>
      <c r="H105" s="2211"/>
      <c r="I105" s="2212"/>
    </row>
    <row r="106" spans="2:9" ht="18" customHeight="1" outlineLevel="1" x14ac:dyDescent="0.25">
      <c r="B106" s="2213" t="s">
        <v>1600</v>
      </c>
      <c r="C106" s="2214" t="s">
        <v>2636</v>
      </c>
      <c r="D106" s="2214" t="s">
        <v>1763</v>
      </c>
      <c r="E106" s="2215">
        <f>(conc_Ca2p_I^(3/5)*conc_PO43m_I^(2/5)-K_sp_ACP^(1/5))/K_sp_ACP^(1/5)</f>
        <v>-0.58898459210680687</v>
      </c>
      <c r="F106" s="2211" t="s">
        <v>1989</v>
      </c>
      <c r="G106" s="2214">
        <v>2</v>
      </c>
      <c r="H106" s="2216" t="s">
        <v>1613</v>
      </c>
      <c r="I106" s="2217"/>
    </row>
    <row r="107" spans="2:9" ht="18" customHeight="1" outlineLevel="1" x14ac:dyDescent="0.25">
      <c r="B107" s="2213" t="s">
        <v>1600</v>
      </c>
      <c r="C107" s="2214" t="s">
        <v>2636</v>
      </c>
      <c r="D107" s="2214" t="s">
        <v>1763</v>
      </c>
      <c r="E107" s="2215">
        <f>(conc_Ca2p_I^(3/5)*conc_PO43m_I^(2/5)-K_sp_ACP^(1/5))/K_sp_ACP^(1/5)</f>
        <v>-0.58898459210680687</v>
      </c>
      <c r="F107" s="2211" t="s">
        <v>1989</v>
      </c>
      <c r="G107" s="2214">
        <v>2</v>
      </c>
      <c r="H107" s="2303" t="s">
        <v>4877</v>
      </c>
      <c r="I107" s="2217"/>
    </row>
    <row r="108" spans="2:9" ht="18" customHeight="1" outlineLevel="1" x14ac:dyDescent="0.25">
      <c r="B108" s="2209" t="s">
        <v>1600</v>
      </c>
      <c r="C108" s="2210" t="s">
        <v>2636</v>
      </c>
      <c r="D108" s="2210">
        <v>0</v>
      </c>
      <c r="E108" s="2210">
        <f>0</f>
        <v>0</v>
      </c>
      <c r="F108" s="2211" t="s">
        <v>1989</v>
      </c>
      <c r="G108" s="2210">
        <v>0</v>
      </c>
      <c r="H108" s="2303" t="s">
        <v>4878</v>
      </c>
      <c r="I108" s="2212"/>
    </row>
    <row r="109" spans="2:9" ht="18" customHeight="1" outlineLevel="1" x14ac:dyDescent="0.25">
      <c r="B109" s="2209" t="s">
        <v>1368</v>
      </c>
      <c r="C109" s="2210" t="s">
        <v>2522</v>
      </c>
      <c r="D109" s="2210" t="s">
        <v>2637</v>
      </c>
      <c r="E109" s="2210">
        <f>IF(P_recipDrivingForceACP&gt;0,q_ACP_PREC,-q_ACP_DISS*M_satXACP_KACP_DISS)</f>
        <v>0</v>
      </c>
      <c r="F109" s="2210" t="s">
        <v>1314</v>
      </c>
      <c r="G109" s="2210">
        <v>0</v>
      </c>
      <c r="H109" s="2211"/>
      <c r="I109" s="2212"/>
    </row>
    <row r="110" spans="2:9" ht="18" customHeight="1" outlineLevel="1" x14ac:dyDescent="0.25">
      <c r="B110" s="2213" t="s">
        <v>3895</v>
      </c>
      <c r="C110" s="2214" t="s">
        <v>3896</v>
      </c>
      <c r="D110" s="2214" t="s">
        <v>3897</v>
      </c>
      <c r="E110" s="2215">
        <f>(conc_Ca2p_I^(1/2)*conc_HPO42m_I^(1/2)-K_sp_BSH^(1/2))/K_sp_BSH^(1/2)</f>
        <v>-0.70194703022622273</v>
      </c>
      <c r="F110" s="2211" t="s">
        <v>1989</v>
      </c>
      <c r="G110" s="2214">
        <v>2</v>
      </c>
      <c r="H110" s="2216" t="s">
        <v>1613</v>
      </c>
      <c r="I110" s="2217"/>
    </row>
    <row r="111" spans="2:9" ht="18" customHeight="1" outlineLevel="1" x14ac:dyDescent="0.25">
      <c r="B111" s="2213" t="s">
        <v>3895</v>
      </c>
      <c r="C111" s="2214" t="s">
        <v>3896</v>
      </c>
      <c r="D111" s="2214" t="s">
        <v>3897</v>
      </c>
      <c r="E111" s="2215">
        <f>(conc_Ca2p_I^(1/2)*conc_HPO42m_I^(1/2)-K_sp_BSH^(1/2))/K_sp_BSH^(1/2)</f>
        <v>-0.70194703022622273</v>
      </c>
      <c r="F111" s="2211" t="s">
        <v>1989</v>
      </c>
      <c r="G111" s="2214">
        <v>2</v>
      </c>
      <c r="H111" s="2303" t="s">
        <v>4877</v>
      </c>
      <c r="I111" s="2217"/>
    </row>
    <row r="112" spans="2:9" ht="18" customHeight="1" outlineLevel="1" x14ac:dyDescent="0.25">
      <c r="B112" s="2209" t="s">
        <v>3895</v>
      </c>
      <c r="C112" s="2210" t="s">
        <v>3896</v>
      </c>
      <c r="D112" s="2210">
        <v>0</v>
      </c>
      <c r="E112" s="2210">
        <f>0</f>
        <v>0</v>
      </c>
      <c r="F112" s="2211" t="s">
        <v>1989</v>
      </c>
      <c r="G112" s="2210">
        <v>0</v>
      </c>
      <c r="H112" s="2303" t="s">
        <v>4878</v>
      </c>
      <c r="I112" s="2212"/>
    </row>
    <row r="113" spans="2:9" ht="18" customHeight="1" outlineLevel="1" x14ac:dyDescent="0.25">
      <c r="B113" s="2209" t="s">
        <v>3810</v>
      </c>
      <c r="C113" s="2210" t="s">
        <v>3671</v>
      </c>
      <c r="D113" s="2210" t="s">
        <v>3811</v>
      </c>
      <c r="E113" s="2210">
        <f>IF(P_recipDrivingForceBSH&gt;0,q_BSH_PREC,-q_BSH_DISS*M_satXBSH_KBSH_DISS)</f>
        <v>0</v>
      </c>
      <c r="F113" s="2210" t="s">
        <v>3812</v>
      </c>
      <c r="G113" s="2210">
        <v>0</v>
      </c>
      <c r="H113" s="2211"/>
      <c r="I113" s="2212"/>
    </row>
    <row r="114" spans="2:9" ht="18" customHeight="1" outlineLevel="1" x14ac:dyDescent="0.25">
      <c r="B114" s="2213" t="s">
        <v>1601</v>
      </c>
      <c r="C114" s="2214" t="s">
        <v>2638</v>
      </c>
      <c r="D114" s="2214" t="s">
        <v>1764</v>
      </c>
      <c r="E114" s="2215">
        <f>(conc_Ca2p_I^(1/2)*conc_CO32m_I^(1/2)-K_sp_CaCO3^(1/2))/K_sp_CaCO3^(1/2)</f>
        <v>-0.82475976089429781</v>
      </c>
      <c r="F114" s="2211" t="s">
        <v>1989</v>
      </c>
      <c r="G114" s="2214">
        <v>2</v>
      </c>
      <c r="H114" s="2216" t="s">
        <v>1613</v>
      </c>
      <c r="I114" s="2217"/>
    </row>
    <row r="115" spans="2:9" ht="18" customHeight="1" outlineLevel="1" x14ac:dyDescent="0.25">
      <c r="B115" s="2213" t="s">
        <v>1601</v>
      </c>
      <c r="C115" s="2214" t="s">
        <v>2638</v>
      </c>
      <c r="D115" s="2214" t="s">
        <v>1764</v>
      </c>
      <c r="E115" s="2215">
        <f>(conc_Ca2p_I^(1/2)*conc_CO32m_I^(1/2)-K_sp_CaCO3^(1/2))/K_sp_CaCO3^(1/2)</f>
        <v>-0.82475976089429781</v>
      </c>
      <c r="F115" s="2211" t="s">
        <v>1989</v>
      </c>
      <c r="G115" s="2214">
        <v>2</v>
      </c>
      <c r="H115" s="2303" t="s">
        <v>4877</v>
      </c>
      <c r="I115" s="2217"/>
    </row>
    <row r="116" spans="2:9" ht="18" customHeight="1" outlineLevel="1" x14ac:dyDescent="0.25">
      <c r="B116" s="2209" t="s">
        <v>1601</v>
      </c>
      <c r="C116" s="2210" t="s">
        <v>2638</v>
      </c>
      <c r="D116" s="2210">
        <v>0</v>
      </c>
      <c r="E116" s="2210">
        <f>0</f>
        <v>0</v>
      </c>
      <c r="F116" s="2211" t="s">
        <v>1989</v>
      </c>
      <c r="G116" s="2210">
        <v>0</v>
      </c>
      <c r="H116" s="2303" t="s">
        <v>4878</v>
      </c>
      <c r="I116" s="2212"/>
    </row>
    <row r="117" spans="2:9" ht="18" customHeight="1" outlineLevel="1" x14ac:dyDescent="0.25">
      <c r="B117" s="2209" t="s">
        <v>1369</v>
      </c>
      <c r="C117" s="2210" t="s">
        <v>2518</v>
      </c>
      <c r="D117" s="2210" t="s">
        <v>2639</v>
      </c>
      <c r="E117" s="2210">
        <f>IF(P_recipDrivingForceCaCO3&gt;0,q_CaCO3_PREC,-q_CaCO3_DISS*M_satXCaCO3_KCaCO3_DISS)</f>
        <v>0</v>
      </c>
      <c r="F117" s="2210" t="s">
        <v>1314</v>
      </c>
      <c r="G117" s="2210">
        <v>0</v>
      </c>
      <c r="H117" s="2211"/>
      <c r="I117" s="2212"/>
    </row>
    <row r="118" spans="2:9" ht="18" customHeight="1" outlineLevel="1" x14ac:dyDescent="0.25">
      <c r="B118" s="2213" t="s">
        <v>1765</v>
      </c>
      <c r="C118" s="2214" t="s">
        <v>2640</v>
      </c>
      <c r="D118" s="2214" t="s">
        <v>1766</v>
      </c>
      <c r="E118" s="2218">
        <f>((conc_Fe2p_I^(3/5)*conc_PO43m_I^(2/5)-K_sp_Vivi^(1/5))/K_sp_Vivi^(1/5))</f>
        <v>-1</v>
      </c>
      <c r="F118" s="2211" t="s">
        <v>1989</v>
      </c>
      <c r="G118" s="2214">
        <v>2</v>
      </c>
      <c r="H118" s="2216" t="s">
        <v>1613</v>
      </c>
      <c r="I118" s="2217"/>
    </row>
    <row r="119" spans="2:9" ht="18" customHeight="1" outlineLevel="1" x14ac:dyDescent="0.25">
      <c r="B119" s="2213" t="s">
        <v>1765</v>
      </c>
      <c r="C119" s="2214" t="s">
        <v>2640</v>
      </c>
      <c r="D119" s="2214" t="s">
        <v>1766</v>
      </c>
      <c r="E119" s="2218">
        <f>((conc_Fe2p_I^(3/5)*conc_PO43m_I^(2/5)-K_sp_Vivi^(1/5))/K_sp_Vivi^(1/5))</f>
        <v>-1</v>
      </c>
      <c r="F119" s="2211" t="s">
        <v>1989</v>
      </c>
      <c r="G119" s="2214">
        <v>2</v>
      </c>
      <c r="H119" s="2303" t="s">
        <v>4877</v>
      </c>
      <c r="I119" s="2217"/>
    </row>
    <row r="120" spans="2:9" ht="18" customHeight="1" outlineLevel="1" x14ac:dyDescent="0.25">
      <c r="B120" s="2209" t="s">
        <v>1765</v>
      </c>
      <c r="C120" s="2210" t="s">
        <v>2640</v>
      </c>
      <c r="D120" s="2210">
        <v>0</v>
      </c>
      <c r="E120" s="2211">
        <f>0</f>
        <v>0</v>
      </c>
      <c r="F120" s="2211" t="s">
        <v>1989</v>
      </c>
      <c r="G120" s="2210">
        <v>0</v>
      </c>
      <c r="H120" s="2303" t="s">
        <v>4878</v>
      </c>
      <c r="I120" s="2212"/>
    </row>
    <row r="121" spans="2:9" ht="18" customHeight="1" outlineLevel="1" thickBot="1" x14ac:dyDescent="0.3">
      <c r="B121" s="2219" t="s">
        <v>1370</v>
      </c>
      <c r="C121" s="2220" t="s">
        <v>2524</v>
      </c>
      <c r="D121" s="2220" t="s">
        <v>2641</v>
      </c>
      <c r="E121" s="2220">
        <f>IF(P_recipDrivingForceVivi&gt;0,q_Vivi_PREC,-q_Vivi_DISS*M_satXVivi_KVivi_DISS)</f>
        <v>0</v>
      </c>
      <c r="F121" s="2220" t="s">
        <v>1314</v>
      </c>
      <c r="G121" s="2220">
        <v>0</v>
      </c>
      <c r="H121" s="2221"/>
      <c r="I121" s="2222"/>
    </row>
    <row r="122" spans="2:9" s="2133" customFormat="1" ht="18" customHeight="1" thickBot="1" x14ac:dyDescent="0.3">
      <c r="B122" s="4"/>
      <c r="C122" s="4"/>
      <c r="D122" s="4"/>
      <c r="E122" s="1934"/>
      <c r="F122" s="4"/>
      <c r="G122" s="4"/>
      <c r="H122" s="4"/>
      <c r="I122" s="4"/>
    </row>
    <row r="123" spans="2:9" s="2133" customFormat="1" ht="18" customHeight="1" thickBot="1" x14ac:dyDescent="0.3">
      <c r="B123" s="113"/>
      <c r="C123" s="1089" t="s">
        <v>327</v>
      </c>
      <c r="D123" s="14" t="s">
        <v>299</v>
      </c>
      <c r="E123" s="14"/>
      <c r="F123" s="113"/>
      <c r="G123" s="113"/>
      <c r="H123" s="113"/>
      <c r="I123" s="113"/>
    </row>
    <row r="124" spans="2:9" s="2133" customFormat="1" ht="18" customHeight="1" thickBot="1" x14ac:dyDescent="0.3">
      <c r="B124" s="1939" t="s">
        <v>0</v>
      </c>
      <c r="C124" s="1942" t="s">
        <v>1</v>
      </c>
      <c r="D124" s="1945" t="s">
        <v>5</v>
      </c>
      <c r="E124" s="1945" t="s">
        <v>152</v>
      </c>
      <c r="F124" s="1945" t="s">
        <v>2</v>
      </c>
      <c r="G124" s="1945" t="s">
        <v>298</v>
      </c>
      <c r="H124" s="1945" t="s">
        <v>116</v>
      </c>
      <c r="I124" s="1948" t="s">
        <v>117</v>
      </c>
    </row>
    <row r="125" spans="2:9" outlineLevel="1" x14ac:dyDescent="0.25">
      <c r="B125" s="1008" t="s">
        <v>328</v>
      </c>
      <c r="C125" s="1041" t="s">
        <v>2935</v>
      </c>
      <c r="D125" s="1071" t="s">
        <v>5310</v>
      </c>
      <c r="E125" s="1064">
        <f>C_OUR+N_OUR-(v_78_SO2*r_78)</f>
        <v>729.14440390920527</v>
      </c>
      <c r="F125" s="1070" t="s">
        <v>351</v>
      </c>
      <c r="G125" s="1070">
        <v>1</v>
      </c>
      <c r="H125" s="1070" t="s">
        <v>2103</v>
      </c>
      <c r="I125" s="1080"/>
    </row>
    <row r="126" spans="2:9" ht="36" outlineLevel="1" x14ac:dyDescent="0.25">
      <c r="B126" s="133" t="s">
        <v>2099</v>
      </c>
      <c r="C126" s="1049" t="s">
        <v>2644</v>
      </c>
      <c r="D126" s="1051" t="s">
        <v>4297</v>
      </c>
      <c r="E126" s="1065">
        <f>-(v_1_SO2*r_1+v_4_SO2*r_4+v_9_SO2*r_9+v_16_SO2*r_16+v_19_SO2*r_19+v_22_SO2*r_22+v_27_SO2*r_27)</f>
        <v>372.4839220066911</v>
      </c>
      <c r="F126" s="1013" t="s">
        <v>351</v>
      </c>
      <c r="G126" s="81">
        <v>1</v>
      </c>
      <c r="H126" s="1013" t="s">
        <v>2103</v>
      </c>
      <c r="I126" s="1240"/>
    </row>
    <row r="127" spans="2:9" outlineLevel="1" x14ac:dyDescent="0.25">
      <c r="B127" s="133" t="s">
        <v>2100</v>
      </c>
      <c r="C127" s="1014" t="s">
        <v>2645</v>
      </c>
      <c r="D127" s="1051" t="s">
        <v>4513</v>
      </c>
      <c r="E127" s="1065">
        <f>-(v_37_SO2*r_37+v_40_SO2*r_40)</f>
        <v>356.66048190251411</v>
      </c>
      <c r="F127" s="1016" t="s">
        <v>351</v>
      </c>
      <c r="G127" s="81">
        <v>1</v>
      </c>
      <c r="H127" s="1013" t="s">
        <v>2103</v>
      </c>
      <c r="I127" s="1241"/>
    </row>
    <row r="128" spans="2:9" ht="36" outlineLevel="1" x14ac:dyDescent="0.25">
      <c r="B128" s="1009" t="s">
        <v>2642</v>
      </c>
      <c r="C128" s="1049" t="s">
        <v>330</v>
      </c>
      <c r="D128" s="1052" t="s">
        <v>5311</v>
      </c>
      <c r="E128" s="1065">
        <f>-(v_3_SNO3*r_3+v_6_SNO3*r_6+v_13_SNO3*r_13+v_18_SNO3*r_18+v_21_SNO3*r_21+v_24_SNO3*r_24+v_29_SNO3*r_29+v_69_SNO3*r_69)</f>
        <v>5.4859149201818385</v>
      </c>
      <c r="F128" s="81" t="s">
        <v>1767</v>
      </c>
      <c r="G128" s="81">
        <v>1</v>
      </c>
      <c r="H128" s="1013" t="s">
        <v>2103</v>
      </c>
      <c r="I128" s="1241"/>
    </row>
    <row r="129" spans="1:10" ht="36" outlineLevel="1" x14ac:dyDescent="0.25">
      <c r="B129" s="1009" t="s">
        <v>2643</v>
      </c>
      <c r="C129" s="1049" t="s">
        <v>2273</v>
      </c>
      <c r="D129" s="1052" t="s">
        <v>5312</v>
      </c>
      <c r="E129" s="1066">
        <f>-(v_2_SNO2*r_2+v_5_SNO2*r_5+v_12_SNO2*r_12+v_17_SNO2*r_17+v_20_SNO2*r_20+v_23_SNO2*r_23+v_28_SNO2*r_28+v_40_SNO2*r_40+v_43_SNO2*r_43+v_68_SNO2*r_68)</f>
        <v>62.496131021571479</v>
      </c>
      <c r="F129" s="81" t="s">
        <v>1767</v>
      </c>
      <c r="G129" s="81">
        <v>1</v>
      </c>
      <c r="H129" s="1013" t="s">
        <v>2103</v>
      </c>
      <c r="I129" s="1240"/>
    </row>
    <row r="130" spans="1:10" ht="36" outlineLevel="1" x14ac:dyDescent="0.25">
      <c r="B130" s="1009" t="s">
        <v>331</v>
      </c>
      <c r="C130" s="1049" t="s">
        <v>332</v>
      </c>
      <c r="D130" s="1052" t="s">
        <v>5313</v>
      </c>
      <c r="E130" s="1066">
        <f>i_N_BIO*(r_1+r_2+r_3+r_4+r_5+r_6+r_7+r_8+r_9+r_12+r_13+r_16+r_17+r_18+r_22+r_23+r_24+r_32+r_33+r_40+r_46+r_49)-(v_37_SNHx*r_37+v_43_SNHx*r_43+v_89_SNHx*r_89)</f>
        <v>127.6122147062612</v>
      </c>
      <c r="F130" s="81" t="s">
        <v>1767</v>
      </c>
      <c r="G130" s="81">
        <v>1</v>
      </c>
      <c r="H130" s="1013" t="s">
        <v>2103</v>
      </c>
      <c r="I130" s="1240"/>
    </row>
    <row r="131" spans="1:10" outlineLevel="1" x14ac:dyDescent="0.25">
      <c r="B131" s="1853" t="s">
        <v>4541</v>
      </c>
      <c r="C131" s="1854" t="s">
        <v>4542</v>
      </c>
      <c r="D131" s="1052" t="s">
        <v>4543</v>
      </c>
      <c r="E131" s="1855">
        <f>-(v_43_SNHx*r_43+v_43_SNO2*r_43)</f>
        <v>6.7069527708493656E-3</v>
      </c>
      <c r="F131" s="81" t="s">
        <v>1767</v>
      </c>
      <c r="G131" s="81">
        <v>1</v>
      </c>
      <c r="H131" s="1013" t="s">
        <v>2103</v>
      </c>
      <c r="I131" s="1856"/>
    </row>
    <row r="132" spans="1:10" outlineLevel="1" x14ac:dyDescent="0.25">
      <c r="B132" s="1009" t="s">
        <v>1881</v>
      </c>
      <c r="C132" s="1049" t="s">
        <v>1882</v>
      </c>
      <c r="D132" s="1052" t="s">
        <v>4292</v>
      </c>
      <c r="E132" s="1067">
        <f>P_URBIO+P_URCHEM</f>
        <v>320.26588658812631</v>
      </c>
      <c r="F132" s="81" t="s">
        <v>1883</v>
      </c>
      <c r="G132" s="81">
        <v>1</v>
      </c>
      <c r="H132" s="1013" t="s">
        <v>2103</v>
      </c>
      <c r="I132" s="1240"/>
    </row>
    <row r="133" spans="1:10" ht="36" outlineLevel="1" x14ac:dyDescent="0.25">
      <c r="B133" s="1009" t="s">
        <v>1884</v>
      </c>
      <c r="C133" s="1586" t="s">
        <v>2936</v>
      </c>
      <c r="D133" s="1052" t="s">
        <v>4514</v>
      </c>
      <c r="E133" s="1067">
        <f>i_P_BIO*(r_1+r_2+r_3+r_4+r_5+r_6+r_7+r_8+r_9+r_12+r_13+r_16+r_17+r_18+r_32+r_33+r_37+r_38+r_43+r_46+r_49)+P_URBIOP</f>
        <v>320.26588658812631</v>
      </c>
      <c r="F133" s="81" t="s">
        <v>1883</v>
      </c>
      <c r="G133" s="81">
        <v>1</v>
      </c>
      <c r="H133" s="1013" t="s">
        <v>2103</v>
      </c>
      <c r="I133" s="1240"/>
    </row>
    <row r="134" spans="1:10" outlineLevel="1" x14ac:dyDescent="0.25">
      <c r="B134" s="1009" t="s">
        <v>4295</v>
      </c>
      <c r="C134" s="1134" t="s">
        <v>4294</v>
      </c>
      <c r="D134" s="1052" t="s">
        <v>4296</v>
      </c>
      <c r="E134" s="1067">
        <f>-(v_19_SPO4*r_19+v_20_SPO4*r_20+v_21_SPO4*r_21)</f>
        <v>309.7956737158944</v>
      </c>
      <c r="F134" s="81" t="s">
        <v>1883</v>
      </c>
      <c r="G134" s="81">
        <v>1</v>
      </c>
      <c r="H134" s="1013" t="s">
        <v>2103</v>
      </c>
      <c r="I134" s="1240"/>
    </row>
    <row r="135" spans="1:10" ht="36" outlineLevel="1" x14ac:dyDescent="0.25">
      <c r="B135" s="1009" t="s">
        <v>1885</v>
      </c>
      <c r="C135" s="1586" t="s">
        <v>2937</v>
      </c>
      <c r="D135" s="1052" t="s">
        <v>5314</v>
      </c>
      <c r="E135" s="1067">
        <f>-(v_72_SPO4*r_72+v_73_SPO4*r_73+v_81_SPO4*r_81+v_82_SPO4*r_82+v_87_SPO4*r_87+v_88_SPO4*r_88+v_89_SPO4*r_89+v_90_SPO4*r_90)</f>
        <v>2.725E-48</v>
      </c>
      <c r="F135" s="81" t="s">
        <v>1883</v>
      </c>
      <c r="G135" s="81">
        <v>1</v>
      </c>
      <c r="H135" s="1013" t="s">
        <v>2103</v>
      </c>
      <c r="I135" s="1240"/>
    </row>
    <row r="136" spans="1:10" ht="54" outlineLevel="1" x14ac:dyDescent="0.25">
      <c r="B136" s="1009" t="s">
        <v>1886</v>
      </c>
      <c r="C136" s="1586" t="s">
        <v>1887</v>
      </c>
      <c r="D136" s="1052" t="s">
        <v>5315</v>
      </c>
      <c r="E136" s="1067">
        <f>v_25_SPO4*r_25+v_31_SPO4*r_31+v_34_SPO4*r_34+v_35_SPO4*r_35+v_63_SPO4*r_63+v_68_SPO4*r_68+v_69_SPO4*r_69+v_74_SPO4*r_74+v_75_SPO4*r_75+v_76_SPO4*r_76+v_77_SPO4*r_77+v_83_SPO4*r_83+v_84_SPO4*r_84+v_85_SPO4*r_85</f>
        <v>8.8634891075117554</v>
      </c>
      <c r="F136" s="81" t="s">
        <v>1883</v>
      </c>
      <c r="G136" s="81">
        <v>1</v>
      </c>
      <c r="H136" s="1013" t="s">
        <v>2103</v>
      </c>
      <c r="I136" s="1240"/>
    </row>
    <row r="137" spans="1:10" ht="54" outlineLevel="1" x14ac:dyDescent="0.25">
      <c r="A137" s="4"/>
      <c r="B137" s="2127" t="s">
        <v>5388</v>
      </c>
      <c r="C137" s="2446" t="s">
        <v>5389</v>
      </c>
      <c r="D137" s="2128" t="s">
        <v>5394</v>
      </c>
      <c r="E137" s="2635">
        <f>-(v_1_SVFA*r_1+v_2_SVFA*r_2+v_3_SVFA*r_3+v_25_SVFA*25+v_26_SVFA*r_26+v_46_SVFA*r_46+v_4_SB*r_4+v_5_SB*r_5+v_6_SB*r_6+v_7_SB*r_7+v_8_SB*r_8+v_32_SB*r_32+v_33_SB*r_33+v_9_SMEOL*r_9+v_12_SMEOL*r_12+v_13_SMEOL*r_13)</f>
        <v>564.98763015209533</v>
      </c>
      <c r="F137" s="2131" t="s">
        <v>5390</v>
      </c>
      <c r="G137" s="2131">
        <v>1</v>
      </c>
      <c r="H137" s="2131"/>
      <c r="I137" s="2636"/>
      <c r="J137" s="2133"/>
    </row>
    <row r="138" spans="1:10" outlineLevel="1" x14ac:dyDescent="0.25">
      <c r="A138" s="4"/>
      <c r="B138" s="2127" t="s">
        <v>5391</v>
      </c>
      <c r="C138" s="2446" t="s">
        <v>5392</v>
      </c>
      <c r="D138" s="2128" t="s">
        <v>5393</v>
      </c>
      <c r="E138" s="2635">
        <f>v_7_SH2*r_7+v_8_SH2*r_8+v_32_SH2*r_32+v_33_SH2*r_33+v_46_SCH4*r_46+v_49_SCH4*r_49</f>
        <v>0.11304792664977223</v>
      </c>
      <c r="F138" s="2131" t="s">
        <v>5390</v>
      </c>
      <c r="G138" s="2131">
        <v>1</v>
      </c>
      <c r="H138" s="2131"/>
      <c r="I138" s="2636"/>
      <c r="J138" s="2133"/>
    </row>
    <row r="139" spans="1:10" s="2133" customFormat="1" ht="18" customHeight="1" thickBot="1" x14ac:dyDescent="0.3">
      <c r="B139" s="4"/>
      <c r="C139" s="4"/>
      <c r="D139" s="4"/>
      <c r="E139" s="1934"/>
      <c r="F139" s="4"/>
      <c r="G139" s="4"/>
      <c r="H139" s="4"/>
      <c r="I139" s="4"/>
    </row>
    <row r="140" spans="1:10" s="2133" customFormat="1" ht="18" customHeight="1" thickBot="1" x14ac:dyDescent="0.3">
      <c r="B140" s="113"/>
      <c r="C140" s="1089" t="s">
        <v>2135</v>
      </c>
      <c r="D140" s="14" t="s">
        <v>299</v>
      </c>
      <c r="E140" s="14"/>
      <c r="F140" s="113"/>
      <c r="G140" s="113"/>
      <c r="H140" s="113"/>
      <c r="I140" s="113"/>
    </row>
    <row r="141" spans="1:10" s="2133" customFormat="1" ht="18" customHeight="1" thickBot="1" x14ac:dyDescent="0.3">
      <c r="B141" s="1939" t="s">
        <v>0</v>
      </c>
      <c r="C141" s="1942" t="s">
        <v>1</v>
      </c>
      <c r="D141" s="1945" t="s">
        <v>5</v>
      </c>
      <c r="E141" s="1945" t="s">
        <v>152</v>
      </c>
      <c r="F141" s="1945" t="s">
        <v>2</v>
      </c>
      <c r="G141" s="1945" t="s">
        <v>298</v>
      </c>
      <c r="H141" s="1945" t="s">
        <v>116</v>
      </c>
      <c r="I141" s="1948" t="s">
        <v>117</v>
      </c>
    </row>
    <row r="142" spans="1:10" s="103" customFormat="1" ht="18" customHeight="1" outlineLevel="1" x14ac:dyDescent="0.25">
      <c r="B142" s="1162" t="s">
        <v>1988</v>
      </c>
      <c r="C142" s="1041" t="s">
        <v>2646</v>
      </c>
      <c r="D142" s="1587" t="s">
        <v>2102</v>
      </c>
      <c r="E142" s="1068">
        <f>m_tox_ana_max</f>
        <v>10</v>
      </c>
      <c r="F142" s="1071" t="s">
        <v>1989</v>
      </c>
      <c r="G142" s="1071">
        <v>1</v>
      </c>
      <c r="H142" s="1068" t="s">
        <v>1209</v>
      </c>
      <c r="I142" s="1525"/>
      <c r="J142" s="137"/>
    </row>
    <row r="143" spans="1:10" s="103" customFormat="1" ht="18" customHeight="1" outlineLevel="1" thickBot="1" x14ac:dyDescent="0.3">
      <c r="B143" s="1010" t="s">
        <v>1988</v>
      </c>
      <c r="C143" s="1042" t="s">
        <v>2647</v>
      </c>
      <c r="D143" s="1042">
        <v>0</v>
      </c>
      <c r="E143" s="1042">
        <f>0</f>
        <v>0</v>
      </c>
      <c r="F143" s="1072" t="s">
        <v>1989</v>
      </c>
      <c r="G143" s="1072">
        <v>1</v>
      </c>
      <c r="H143" s="1042" t="s">
        <v>2103</v>
      </c>
      <c r="I143" s="1526"/>
      <c r="J143" s="137"/>
    </row>
    <row r="144" spans="1:10" s="2133" customFormat="1" ht="18" customHeight="1" thickBot="1" x14ac:dyDescent="0.3">
      <c r="B144" s="4"/>
      <c r="C144" s="4"/>
      <c r="D144" s="4"/>
      <c r="E144" s="1934"/>
      <c r="F144" s="4"/>
      <c r="G144" s="4"/>
      <c r="H144" s="4"/>
      <c r="I144" s="4"/>
    </row>
    <row r="145" spans="2:9" s="2133" customFormat="1" ht="18" customHeight="1" thickBot="1" x14ac:dyDescent="0.3">
      <c r="B145" s="113"/>
      <c r="C145" s="1089" t="s">
        <v>2913</v>
      </c>
      <c r="D145" s="14" t="s">
        <v>299</v>
      </c>
      <c r="E145" s="14"/>
      <c r="F145" s="113"/>
      <c r="G145" s="113"/>
      <c r="H145" s="113"/>
      <c r="I145" s="113"/>
    </row>
    <row r="146" spans="2:9" s="2133" customFormat="1" ht="18" customHeight="1" thickBot="1" x14ac:dyDescent="0.3">
      <c r="B146" s="1939" t="s">
        <v>0</v>
      </c>
      <c r="C146" s="1942" t="s">
        <v>1</v>
      </c>
      <c r="D146" s="1945" t="s">
        <v>5</v>
      </c>
      <c r="E146" s="1945" t="s">
        <v>152</v>
      </c>
      <c r="F146" s="1945" t="s">
        <v>2</v>
      </c>
      <c r="G146" s="1945" t="s">
        <v>298</v>
      </c>
      <c r="H146" s="1945" t="s">
        <v>116</v>
      </c>
      <c r="I146" s="1948" t="s">
        <v>117</v>
      </c>
    </row>
    <row r="147" spans="2:9" s="2145" customFormat="1" ht="18" customHeight="1" outlineLevel="1" x14ac:dyDescent="0.25">
      <c r="B147" s="999" t="s">
        <v>2274</v>
      </c>
      <c r="C147" s="1588" t="s">
        <v>2648</v>
      </c>
      <c r="D147" s="1588" t="s">
        <v>2275</v>
      </c>
      <c r="E147" s="1163">
        <f>K_NHx_AOB_AS</f>
        <v>0.7</v>
      </c>
      <c r="F147" s="456" t="s">
        <v>334</v>
      </c>
      <c r="G147" s="456">
        <v>2</v>
      </c>
      <c r="H147" s="452" t="s">
        <v>1248</v>
      </c>
      <c r="I147" s="1540"/>
    </row>
    <row r="148" spans="2:9" s="2145" customFormat="1" ht="18" customHeight="1" outlineLevel="1" x14ac:dyDescent="0.25">
      <c r="B148" s="165" t="s">
        <v>2274</v>
      </c>
      <c r="C148" s="1589" t="s">
        <v>2648</v>
      </c>
      <c r="D148" s="1590" t="s">
        <v>3410</v>
      </c>
      <c r="E148" s="639">
        <f>K_NHx_AOB_AS*f_KS_biofilm</f>
        <v>0.27999999999999997</v>
      </c>
      <c r="F148" s="404" t="s">
        <v>334</v>
      </c>
      <c r="G148" s="404">
        <v>2</v>
      </c>
      <c r="H148" s="336" t="s">
        <v>1175</v>
      </c>
      <c r="I148" s="1541" t="s">
        <v>3452</v>
      </c>
    </row>
    <row r="149" spans="2:9" s="2145" customFormat="1" ht="18" customHeight="1" outlineLevel="1" x14ac:dyDescent="0.25">
      <c r="B149" s="165" t="s">
        <v>2276</v>
      </c>
      <c r="C149" s="1589" t="s">
        <v>2649</v>
      </c>
      <c r="D149" s="1590" t="s">
        <v>2277</v>
      </c>
      <c r="E149" s="639">
        <f>K_CO2_AOB_pH_AS</f>
        <v>1E-3</v>
      </c>
      <c r="F149" s="637" t="s">
        <v>1940</v>
      </c>
      <c r="G149" s="404">
        <v>2</v>
      </c>
      <c r="H149" s="336" t="s">
        <v>4879</v>
      </c>
      <c r="I149" s="1541"/>
    </row>
    <row r="150" spans="2:9" s="2145" customFormat="1" ht="18" customHeight="1" outlineLevel="1" x14ac:dyDescent="0.25">
      <c r="B150" s="165" t="s">
        <v>2276</v>
      </c>
      <c r="C150" s="1589" t="s">
        <v>2649</v>
      </c>
      <c r="D150" s="1590" t="s">
        <v>2278</v>
      </c>
      <c r="E150" s="639">
        <f>K_CO2_AOB_pH_sidestream</f>
        <v>4.0000000000000001E-3</v>
      </c>
      <c r="F150" s="637" t="s">
        <v>1940</v>
      </c>
      <c r="G150" s="404">
        <v>2</v>
      </c>
      <c r="H150" s="336" t="s">
        <v>1602</v>
      </c>
      <c r="I150" s="1541"/>
    </row>
    <row r="151" spans="2:9" s="2145" customFormat="1" ht="18" customHeight="1" outlineLevel="1" x14ac:dyDescent="0.25">
      <c r="B151" s="165" t="s">
        <v>2279</v>
      </c>
      <c r="C151" s="1589" t="s">
        <v>2650</v>
      </c>
      <c r="D151" s="1590" t="s">
        <v>2280</v>
      </c>
      <c r="E151" s="639">
        <f>K_O2_AOB_AS</f>
        <v>0.5</v>
      </c>
      <c r="F151" s="637" t="s">
        <v>1179</v>
      </c>
      <c r="G151" s="404">
        <v>2</v>
      </c>
      <c r="H151" s="336" t="s">
        <v>1605</v>
      </c>
      <c r="I151" s="1541"/>
    </row>
    <row r="152" spans="2:9" s="2145" customFormat="1" ht="18" customHeight="1" outlineLevel="1" x14ac:dyDescent="0.25">
      <c r="B152" s="165" t="s">
        <v>2279</v>
      </c>
      <c r="C152" s="1589" t="s">
        <v>2650</v>
      </c>
      <c r="D152" s="1590" t="s">
        <v>2281</v>
      </c>
      <c r="E152" s="639">
        <f>K_O2_AOB_sidestream</f>
        <v>0.5</v>
      </c>
      <c r="F152" s="637" t="s">
        <v>1179</v>
      </c>
      <c r="G152" s="404">
        <v>2</v>
      </c>
      <c r="H152" s="336" t="s">
        <v>1602</v>
      </c>
      <c r="I152" s="1541"/>
    </row>
    <row r="153" spans="2:9" s="2145" customFormat="1" ht="18" customHeight="1" outlineLevel="1" x14ac:dyDescent="0.25">
      <c r="B153" s="165" t="s">
        <v>2279</v>
      </c>
      <c r="C153" s="1589" t="s">
        <v>2650</v>
      </c>
      <c r="D153" s="1590" t="s">
        <v>3411</v>
      </c>
      <c r="E153" s="639">
        <f>K_O2_AOB_AS*f_KS_biofilm</f>
        <v>0.2</v>
      </c>
      <c r="F153" s="637" t="s">
        <v>1179</v>
      </c>
      <c r="G153" s="404">
        <v>2</v>
      </c>
      <c r="H153" s="336" t="s">
        <v>1606</v>
      </c>
      <c r="I153" s="1541" t="s">
        <v>3452</v>
      </c>
    </row>
    <row r="154" spans="2:9" s="2145" customFormat="1" ht="18" customHeight="1" outlineLevel="1" x14ac:dyDescent="0.25">
      <c r="B154" s="165" t="s">
        <v>2282</v>
      </c>
      <c r="C154" s="1589" t="s">
        <v>2651</v>
      </c>
      <c r="D154" s="1590" t="s">
        <v>2283</v>
      </c>
      <c r="E154" s="638">
        <f>K_NOx_AOB_AS</f>
        <v>0.03</v>
      </c>
      <c r="F154" s="637" t="s">
        <v>884</v>
      </c>
      <c r="G154" s="404">
        <v>2</v>
      </c>
      <c r="H154" s="336" t="s">
        <v>1248</v>
      </c>
      <c r="I154" s="1541"/>
    </row>
    <row r="155" spans="2:9" s="2145" customFormat="1" ht="18" customHeight="1" outlineLevel="1" x14ac:dyDescent="0.25">
      <c r="B155" s="165" t="s">
        <v>2282</v>
      </c>
      <c r="C155" s="1589" t="s">
        <v>2651</v>
      </c>
      <c r="D155" s="1590" t="s">
        <v>3412</v>
      </c>
      <c r="E155" s="638">
        <f>K_NOx_AOB_AS*f_KS_biofilm</f>
        <v>1.2E-2</v>
      </c>
      <c r="F155" s="637" t="s">
        <v>884</v>
      </c>
      <c r="G155" s="404">
        <v>2</v>
      </c>
      <c r="H155" s="336" t="s">
        <v>1175</v>
      </c>
      <c r="I155" s="1541" t="s">
        <v>3452</v>
      </c>
    </row>
    <row r="156" spans="2:9" s="2145" customFormat="1" ht="18" customHeight="1" outlineLevel="1" x14ac:dyDescent="0.25">
      <c r="B156" s="1164" t="s">
        <v>2653</v>
      </c>
      <c r="C156" s="1589" t="s">
        <v>2652</v>
      </c>
      <c r="D156" s="1589" t="s">
        <v>2654</v>
      </c>
      <c r="E156" s="638">
        <f>K_iHNO2_AOB_pH_AS</f>
        <v>9999</v>
      </c>
      <c r="F156" s="640" t="s">
        <v>2918</v>
      </c>
      <c r="G156" s="404">
        <v>2</v>
      </c>
      <c r="H156" s="336" t="s">
        <v>1248</v>
      </c>
      <c r="I156" s="1541"/>
    </row>
    <row r="157" spans="2:9" s="2145" customFormat="1" ht="18" customHeight="1" outlineLevel="1" thickBot="1" x14ac:dyDescent="0.3">
      <c r="B157" s="1165" t="s">
        <v>2653</v>
      </c>
      <c r="C157" s="1591" t="s">
        <v>2652</v>
      </c>
      <c r="D157" s="1591" t="s">
        <v>3413</v>
      </c>
      <c r="E157" s="641">
        <f>K_iHNO2_AOB_pH_AS*f_KS_biofilm</f>
        <v>3999.6000000000004</v>
      </c>
      <c r="F157" s="642" t="s">
        <v>2918</v>
      </c>
      <c r="G157" s="457">
        <v>2</v>
      </c>
      <c r="H157" s="453" t="s">
        <v>1175</v>
      </c>
      <c r="I157" s="1542" t="s">
        <v>3452</v>
      </c>
    </row>
    <row r="158" spans="2:9" s="2133" customFormat="1" ht="18" customHeight="1" thickBot="1" x14ac:dyDescent="0.3">
      <c r="B158" s="4"/>
      <c r="C158" s="4"/>
      <c r="D158" s="4"/>
      <c r="E158" s="1934"/>
      <c r="F158" s="4"/>
      <c r="G158" s="4"/>
      <c r="H158" s="4"/>
      <c r="I158" s="4"/>
    </row>
    <row r="159" spans="2:9" s="2133" customFormat="1" ht="18" customHeight="1" thickBot="1" x14ac:dyDescent="0.3">
      <c r="B159" s="113"/>
      <c r="C159" s="1089" t="s">
        <v>2662</v>
      </c>
      <c r="D159" s="14" t="s">
        <v>299</v>
      </c>
      <c r="E159" s="14"/>
      <c r="F159" s="113"/>
      <c r="G159" s="113"/>
      <c r="H159" s="113"/>
      <c r="I159" s="113"/>
    </row>
    <row r="160" spans="2:9" s="2133" customFormat="1" ht="18" customHeight="1" thickBot="1" x14ac:dyDescent="0.3">
      <c r="B160" s="1939" t="s">
        <v>0</v>
      </c>
      <c r="C160" s="1942" t="s">
        <v>1</v>
      </c>
      <c r="D160" s="1945" t="s">
        <v>5</v>
      </c>
      <c r="E160" s="1945" t="s">
        <v>152</v>
      </c>
      <c r="F160" s="1945" t="s">
        <v>2</v>
      </c>
      <c r="G160" s="1945" t="s">
        <v>298</v>
      </c>
      <c r="H160" s="1945" t="s">
        <v>116</v>
      </c>
      <c r="I160" s="1948" t="s">
        <v>117</v>
      </c>
    </row>
    <row r="161" spans="2:9" s="2145" customFormat="1" ht="18" customHeight="1" outlineLevel="1" x14ac:dyDescent="0.25">
      <c r="B161" s="999" t="s">
        <v>2284</v>
      </c>
      <c r="C161" s="1588" t="s">
        <v>2658</v>
      </c>
      <c r="D161" s="1588" t="s">
        <v>2285</v>
      </c>
      <c r="E161" s="1163">
        <f>K_NO2_NOB_AS</f>
        <v>0.1</v>
      </c>
      <c r="F161" s="456" t="s">
        <v>334</v>
      </c>
      <c r="G161" s="456">
        <v>2</v>
      </c>
      <c r="H161" s="452" t="s">
        <v>1248</v>
      </c>
      <c r="I161" s="1540"/>
    </row>
    <row r="162" spans="2:9" s="2145" customFormat="1" ht="18" customHeight="1" outlineLevel="1" x14ac:dyDescent="0.25">
      <c r="B162" s="165" t="s">
        <v>2284</v>
      </c>
      <c r="C162" s="1589" t="s">
        <v>2658</v>
      </c>
      <c r="D162" s="1590" t="s">
        <v>3414</v>
      </c>
      <c r="E162" s="639">
        <f>K_NO2_NOB_AS*f_KS_biofilm</f>
        <v>4.0000000000000008E-2</v>
      </c>
      <c r="F162" s="404" t="s">
        <v>334</v>
      </c>
      <c r="G162" s="404">
        <v>2</v>
      </c>
      <c r="H162" s="336" t="s">
        <v>1175</v>
      </c>
      <c r="I162" s="1541" t="s">
        <v>3452</v>
      </c>
    </row>
    <row r="163" spans="2:9" s="2145" customFormat="1" ht="18" customHeight="1" outlineLevel="1" x14ac:dyDescent="0.25">
      <c r="B163" s="165" t="s">
        <v>2286</v>
      </c>
      <c r="C163" s="1589" t="s">
        <v>2659</v>
      </c>
      <c r="D163" s="1590" t="s">
        <v>2287</v>
      </c>
      <c r="E163" s="639">
        <f>K_CO2_NOB_pH_AS</f>
        <v>2.0000000000000002E-5</v>
      </c>
      <c r="F163" s="637" t="s">
        <v>1940</v>
      </c>
      <c r="G163" s="404">
        <v>2</v>
      </c>
      <c r="H163" s="336"/>
      <c r="I163" s="1541"/>
    </row>
    <row r="164" spans="2:9" s="2145" customFormat="1" ht="18" customHeight="1" outlineLevel="1" x14ac:dyDescent="0.25">
      <c r="B164" s="165" t="s">
        <v>2288</v>
      </c>
      <c r="C164" s="1589" t="s">
        <v>2660</v>
      </c>
      <c r="D164" s="1590" t="s">
        <v>2289</v>
      </c>
      <c r="E164" s="639">
        <f>K_O2_NOB_AS</f>
        <v>0.5</v>
      </c>
      <c r="F164" s="637" t="s">
        <v>1179</v>
      </c>
      <c r="G164" s="404">
        <v>2</v>
      </c>
      <c r="H164" s="336" t="s">
        <v>1605</v>
      </c>
      <c r="I164" s="1541"/>
    </row>
    <row r="165" spans="2:9" s="2145" customFormat="1" ht="18" customHeight="1" outlineLevel="1" x14ac:dyDescent="0.25">
      <c r="B165" s="165" t="s">
        <v>2288</v>
      </c>
      <c r="C165" s="1589" t="s">
        <v>2660</v>
      </c>
      <c r="D165" s="1590" t="s">
        <v>2290</v>
      </c>
      <c r="E165" s="639">
        <f>K_O2_NOB_sidestream</f>
        <v>0.5</v>
      </c>
      <c r="F165" s="637" t="s">
        <v>1179</v>
      </c>
      <c r="G165" s="404">
        <v>2</v>
      </c>
      <c r="H165" s="336" t="s">
        <v>1602</v>
      </c>
      <c r="I165" s="1541"/>
    </row>
    <row r="166" spans="2:9" s="2145" customFormat="1" ht="18" customHeight="1" outlineLevel="1" x14ac:dyDescent="0.25">
      <c r="B166" s="165" t="s">
        <v>2288</v>
      </c>
      <c r="C166" s="1589" t="s">
        <v>2660</v>
      </c>
      <c r="D166" s="1590" t="s">
        <v>3415</v>
      </c>
      <c r="E166" s="639">
        <f>K_O2_NOB_AS*f_KS_biofilm</f>
        <v>0.2</v>
      </c>
      <c r="F166" s="637" t="s">
        <v>1179</v>
      </c>
      <c r="G166" s="404">
        <v>2</v>
      </c>
      <c r="H166" s="336" t="s">
        <v>1606</v>
      </c>
      <c r="I166" s="1541" t="s">
        <v>3452</v>
      </c>
    </row>
    <row r="167" spans="2:9" s="2145" customFormat="1" ht="18" customHeight="1" outlineLevel="1" x14ac:dyDescent="0.25">
      <c r="B167" s="165" t="s">
        <v>2291</v>
      </c>
      <c r="C167" s="1589" t="s">
        <v>2661</v>
      </c>
      <c r="D167" s="1590" t="s">
        <v>2292</v>
      </c>
      <c r="E167" s="638">
        <f>K_NOx_NOB_AS</f>
        <v>0.03</v>
      </c>
      <c r="F167" s="637" t="s">
        <v>884</v>
      </c>
      <c r="G167" s="404">
        <v>2</v>
      </c>
      <c r="H167" s="336" t="s">
        <v>1248</v>
      </c>
      <c r="I167" s="1541"/>
    </row>
    <row r="168" spans="2:9" s="2145" customFormat="1" ht="18" customHeight="1" outlineLevel="1" x14ac:dyDescent="0.25">
      <c r="B168" s="165" t="s">
        <v>2291</v>
      </c>
      <c r="C168" s="1589" t="s">
        <v>2661</v>
      </c>
      <c r="D168" s="1590" t="s">
        <v>3416</v>
      </c>
      <c r="E168" s="638">
        <f>K_NOx_NOB_AS*f_KS_biofilm</f>
        <v>1.2E-2</v>
      </c>
      <c r="F168" s="637" t="s">
        <v>884</v>
      </c>
      <c r="G168" s="404">
        <v>2</v>
      </c>
      <c r="H168" s="336" t="s">
        <v>1175</v>
      </c>
      <c r="I168" s="1541" t="s">
        <v>3452</v>
      </c>
    </row>
    <row r="169" spans="2:9" s="2145" customFormat="1" ht="18" customHeight="1" outlineLevel="1" x14ac:dyDescent="0.25">
      <c r="B169" s="1164" t="s">
        <v>2655</v>
      </c>
      <c r="C169" s="1589" t="s">
        <v>2656</v>
      </c>
      <c r="D169" s="1589" t="s">
        <v>2657</v>
      </c>
      <c r="E169" s="638">
        <f>K_iNH3_NOB_pH_AS</f>
        <v>9999</v>
      </c>
      <c r="F169" s="640" t="s">
        <v>2170</v>
      </c>
      <c r="G169" s="404">
        <v>2</v>
      </c>
      <c r="H169" s="336" t="s">
        <v>1248</v>
      </c>
      <c r="I169" s="1541"/>
    </row>
    <row r="170" spans="2:9" s="2145" customFormat="1" ht="18" customHeight="1" outlineLevel="1" thickBot="1" x14ac:dyDescent="0.3">
      <c r="B170" s="1165" t="s">
        <v>2655</v>
      </c>
      <c r="C170" s="1591" t="s">
        <v>2656</v>
      </c>
      <c r="D170" s="1591" t="s">
        <v>3417</v>
      </c>
      <c r="E170" s="641">
        <f>K_iNH3_NOB_pH_AS*f_KS_biofilm</f>
        <v>3999.6000000000004</v>
      </c>
      <c r="F170" s="642" t="s">
        <v>2170</v>
      </c>
      <c r="G170" s="457">
        <v>2</v>
      </c>
      <c r="H170" s="453" t="s">
        <v>1175</v>
      </c>
      <c r="I170" s="1542" t="s">
        <v>3452</v>
      </c>
    </row>
    <row r="171" spans="2:9" s="2133" customFormat="1" ht="18" customHeight="1" thickBot="1" x14ac:dyDescent="0.3">
      <c r="B171" s="4"/>
      <c r="C171" s="4"/>
      <c r="D171" s="4"/>
      <c r="E171" s="1934"/>
      <c r="F171" s="4"/>
      <c r="G171" s="4"/>
      <c r="H171" s="4"/>
      <c r="I171" s="4"/>
    </row>
    <row r="172" spans="2:9" s="2133" customFormat="1" ht="18" customHeight="1" thickBot="1" x14ac:dyDescent="0.3">
      <c r="B172" s="113"/>
      <c r="C172" s="1089" t="s">
        <v>2663</v>
      </c>
      <c r="D172" s="14" t="s">
        <v>299</v>
      </c>
      <c r="E172" s="14"/>
      <c r="F172" s="113"/>
      <c r="G172" s="113"/>
      <c r="H172" s="113"/>
      <c r="I172" s="113"/>
    </row>
    <row r="173" spans="2:9" s="2133" customFormat="1" ht="18" customHeight="1" thickBot="1" x14ac:dyDescent="0.3">
      <c r="B173" s="1939" t="s">
        <v>0</v>
      </c>
      <c r="C173" s="1942" t="s">
        <v>1</v>
      </c>
      <c r="D173" s="1945" t="s">
        <v>5</v>
      </c>
      <c r="E173" s="1945" t="s">
        <v>152</v>
      </c>
      <c r="F173" s="1945" t="s">
        <v>2</v>
      </c>
      <c r="G173" s="1945" t="s">
        <v>298</v>
      </c>
      <c r="H173" s="1945" t="s">
        <v>116</v>
      </c>
      <c r="I173" s="1948" t="s">
        <v>117</v>
      </c>
    </row>
    <row r="174" spans="2:9" s="2145" customFormat="1" ht="18" customHeight="1" outlineLevel="1" x14ac:dyDescent="0.25">
      <c r="B174" s="1166" t="s">
        <v>2293</v>
      </c>
      <c r="C174" s="1592" t="s">
        <v>2501</v>
      </c>
      <c r="D174" s="1593" t="s">
        <v>2294</v>
      </c>
      <c r="E174" s="1167">
        <f>K_NHx_AMX_AS</f>
        <v>2</v>
      </c>
      <c r="F174" s="458" t="s">
        <v>334</v>
      </c>
      <c r="G174" s="458">
        <v>2</v>
      </c>
      <c r="H174" s="454" t="s">
        <v>1248</v>
      </c>
      <c r="I174" s="1543"/>
    </row>
    <row r="175" spans="2:9" s="2145" customFormat="1" ht="18" customHeight="1" outlineLevel="1" x14ac:dyDescent="0.25">
      <c r="B175" s="282" t="s">
        <v>2293</v>
      </c>
      <c r="C175" s="1594" t="s">
        <v>2501</v>
      </c>
      <c r="D175" s="1485" t="s">
        <v>3418</v>
      </c>
      <c r="E175" s="283">
        <f>K_NHx_AMX_AS*f_KS_biofilm</f>
        <v>0.8</v>
      </c>
      <c r="F175" s="405" t="s">
        <v>334</v>
      </c>
      <c r="G175" s="405">
        <v>2</v>
      </c>
      <c r="H175" s="338" t="s">
        <v>1175</v>
      </c>
      <c r="I175" s="1544" t="s">
        <v>3452</v>
      </c>
    </row>
    <row r="176" spans="2:9" s="2145" customFormat="1" ht="18" customHeight="1" outlineLevel="1" x14ac:dyDescent="0.25">
      <c r="B176" s="282" t="s">
        <v>2295</v>
      </c>
      <c r="C176" s="1594" t="s">
        <v>2502</v>
      </c>
      <c r="D176" s="1485" t="s">
        <v>2296</v>
      </c>
      <c r="E176" s="283">
        <f>K_NO2_AMX_AS</f>
        <v>1</v>
      </c>
      <c r="F176" s="405" t="s">
        <v>334</v>
      </c>
      <c r="G176" s="405">
        <v>2</v>
      </c>
      <c r="H176" s="338" t="s">
        <v>1248</v>
      </c>
      <c r="I176" s="1544"/>
    </row>
    <row r="177" spans="2:9" s="2145" customFormat="1" ht="18" customHeight="1" outlineLevel="1" x14ac:dyDescent="0.25">
      <c r="B177" s="282" t="s">
        <v>2295</v>
      </c>
      <c r="C177" s="1594" t="s">
        <v>2502</v>
      </c>
      <c r="D177" s="1485" t="s">
        <v>3419</v>
      </c>
      <c r="E177" s="283">
        <f>K_NO2_AMX_AS*f_KS_biofilm</f>
        <v>0.4</v>
      </c>
      <c r="F177" s="405" t="s">
        <v>334</v>
      </c>
      <c r="G177" s="405">
        <v>2</v>
      </c>
      <c r="H177" s="338" t="s">
        <v>1175</v>
      </c>
      <c r="I177" s="1544" t="s">
        <v>3452</v>
      </c>
    </row>
    <row r="178" spans="2:9" s="2145" customFormat="1" ht="18" customHeight="1" outlineLevel="1" x14ac:dyDescent="0.25">
      <c r="B178" s="282" t="s">
        <v>2297</v>
      </c>
      <c r="C178" s="1594" t="s">
        <v>2503</v>
      </c>
      <c r="D178" s="1485" t="s">
        <v>2298</v>
      </c>
      <c r="E178" s="283">
        <f>K_CO2_AMX_pH_AS</f>
        <v>2.0000000000000001E-4</v>
      </c>
      <c r="F178" s="643" t="s">
        <v>1940</v>
      </c>
      <c r="G178" s="405">
        <v>2</v>
      </c>
      <c r="H178" s="338"/>
      <c r="I178" s="1544"/>
    </row>
    <row r="179" spans="2:9" s="2145" customFormat="1" ht="18" customHeight="1" outlineLevel="1" x14ac:dyDescent="0.25">
      <c r="B179" s="282" t="s">
        <v>3495</v>
      </c>
      <c r="C179" s="1594" t="s">
        <v>3496</v>
      </c>
      <c r="D179" s="1485" t="s">
        <v>3497</v>
      </c>
      <c r="E179" s="283">
        <f>K_iO2_AMX_AS</f>
        <v>0.4</v>
      </c>
      <c r="F179" s="643" t="s">
        <v>1179</v>
      </c>
      <c r="G179" s="405">
        <v>2</v>
      </c>
      <c r="H179" s="338" t="s">
        <v>1248</v>
      </c>
      <c r="I179" s="1544"/>
    </row>
    <row r="180" spans="2:9" s="2145" customFormat="1" ht="18" customHeight="1" outlineLevel="1" x14ac:dyDescent="0.25">
      <c r="B180" s="282" t="s">
        <v>3495</v>
      </c>
      <c r="C180" s="1594" t="s">
        <v>3496</v>
      </c>
      <c r="D180" s="1485" t="s">
        <v>3498</v>
      </c>
      <c r="E180" s="283">
        <f>K_iO2_AMX_AS*f_KS_biofilm</f>
        <v>0.16000000000000003</v>
      </c>
      <c r="F180" s="643" t="s">
        <v>1179</v>
      </c>
      <c r="G180" s="405">
        <v>2</v>
      </c>
      <c r="H180" s="338" t="s">
        <v>1175</v>
      </c>
      <c r="I180" s="1544" t="s">
        <v>3452</v>
      </c>
    </row>
    <row r="181" spans="2:9" s="2145" customFormat="1" ht="18" customHeight="1" outlineLevel="1" x14ac:dyDescent="0.25">
      <c r="B181" s="282" t="s">
        <v>2299</v>
      </c>
      <c r="C181" s="515" t="s">
        <v>2919</v>
      </c>
      <c r="D181" s="1485" t="s">
        <v>2300</v>
      </c>
      <c r="E181" s="644">
        <f>K_NOx_AMX_AS</f>
        <v>0.1</v>
      </c>
      <c r="F181" s="643" t="s">
        <v>884</v>
      </c>
      <c r="G181" s="405">
        <v>2</v>
      </c>
      <c r="H181" s="338" t="s">
        <v>1248</v>
      </c>
      <c r="I181" s="1544"/>
    </row>
    <row r="182" spans="2:9" s="2145" customFormat="1" ht="18" customHeight="1" outlineLevel="1" x14ac:dyDescent="0.25">
      <c r="B182" s="282" t="s">
        <v>2299</v>
      </c>
      <c r="C182" s="515" t="s">
        <v>2919</v>
      </c>
      <c r="D182" s="1485" t="s">
        <v>3420</v>
      </c>
      <c r="E182" s="644">
        <f>K_NOx_AMX_AS*f_KS_biofilm</f>
        <v>4.0000000000000008E-2</v>
      </c>
      <c r="F182" s="643" t="s">
        <v>884</v>
      </c>
      <c r="G182" s="405">
        <v>2</v>
      </c>
      <c r="H182" s="338" t="s">
        <v>1175</v>
      </c>
      <c r="I182" s="1544" t="s">
        <v>3452</v>
      </c>
    </row>
    <row r="183" spans="2:9" s="2145" customFormat="1" ht="18" customHeight="1" outlineLevel="1" x14ac:dyDescent="0.25">
      <c r="B183" s="552" t="s">
        <v>2851</v>
      </c>
      <c r="C183" s="1595" t="s">
        <v>2505</v>
      </c>
      <c r="D183" s="1595" t="s">
        <v>2852</v>
      </c>
      <c r="E183" s="644">
        <f>K_iHNO2_AMX_pH_AS</f>
        <v>1</v>
      </c>
      <c r="F183" s="645" t="s">
        <v>2918</v>
      </c>
      <c r="G183" s="405">
        <v>2</v>
      </c>
      <c r="H183" s="338" t="s">
        <v>1248</v>
      </c>
      <c r="I183" s="1544"/>
    </row>
    <row r="184" spans="2:9" s="2145" customFormat="1" ht="18" customHeight="1" outlineLevel="1" thickBot="1" x14ac:dyDescent="0.3">
      <c r="B184" s="1168" t="s">
        <v>2851</v>
      </c>
      <c r="C184" s="1596" t="s">
        <v>2505</v>
      </c>
      <c r="D184" s="1597" t="s">
        <v>3421</v>
      </c>
      <c r="E184" s="646">
        <f>K_iHNO2_AMX_pH_AS*f_KS_biofilm</f>
        <v>0.4</v>
      </c>
      <c r="F184" s="647" t="s">
        <v>2918</v>
      </c>
      <c r="G184" s="459">
        <v>2</v>
      </c>
      <c r="H184" s="455" t="s">
        <v>1175</v>
      </c>
      <c r="I184" s="1545" t="s">
        <v>3452</v>
      </c>
    </row>
    <row r="185" spans="2:9" s="2133" customFormat="1" ht="18" customHeight="1" thickBot="1" x14ac:dyDescent="0.3">
      <c r="B185" s="4"/>
      <c r="C185" s="4"/>
      <c r="D185" s="4"/>
      <c r="E185" s="1934"/>
      <c r="F185" s="4"/>
      <c r="G185" s="4"/>
      <c r="H185" s="4"/>
      <c r="I185" s="4"/>
    </row>
    <row r="186" spans="2:9" s="2133" customFormat="1" ht="18" customHeight="1" thickBot="1" x14ac:dyDescent="0.3">
      <c r="B186" s="113"/>
      <c r="C186" s="1089" t="s">
        <v>2664</v>
      </c>
      <c r="D186" s="14" t="s">
        <v>299</v>
      </c>
      <c r="E186" s="14"/>
      <c r="F186" s="113"/>
      <c r="G186" s="113"/>
      <c r="H186" s="113"/>
      <c r="I186" s="113"/>
    </row>
    <row r="187" spans="2:9" s="2133" customFormat="1" ht="18" customHeight="1" thickBot="1" x14ac:dyDescent="0.3">
      <c r="B187" s="1939" t="s">
        <v>0</v>
      </c>
      <c r="C187" s="1942" t="s">
        <v>1</v>
      </c>
      <c r="D187" s="1945" t="s">
        <v>5</v>
      </c>
      <c r="E187" s="1945" t="s">
        <v>152</v>
      </c>
      <c r="F187" s="1945" t="s">
        <v>2</v>
      </c>
      <c r="G187" s="1945" t="s">
        <v>298</v>
      </c>
      <c r="H187" s="1945" t="s">
        <v>116</v>
      </c>
      <c r="I187" s="1948" t="s">
        <v>117</v>
      </c>
    </row>
    <row r="188" spans="2:9" s="1928" customFormat="1" ht="18" customHeight="1" outlineLevel="1" x14ac:dyDescent="0.25">
      <c r="B188" s="215" t="s">
        <v>1768</v>
      </c>
      <c r="C188" s="1598" t="s">
        <v>2666</v>
      </c>
      <c r="D188" s="1599" t="s">
        <v>1914</v>
      </c>
      <c r="E188" s="341">
        <f>K_SB_AS</f>
        <v>5</v>
      </c>
      <c r="F188" s="277" t="s">
        <v>1180</v>
      </c>
      <c r="G188" s="277">
        <v>1</v>
      </c>
      <c r="H188" s="216" t="s">
        <v>1248</v>
      </c>
      <c r="I188" s="356"/>
    </row>
    <row r="189" spans="2:9" s="1928" customFormat="1" ht="18" customHeight="1" outlineLevel="1" x14ac:dyDescent="0.25">
      <c r="B189" s="215" t="s">
        <v>1768</v>
      </c>
      <c r="C189" s="1598" t="s">
        <v>2666</v>
      </c>
      <c r="D189" s="1599" t="s">
        <v>3422</v>
      </c>
      <c r="E189" s="342">
        <f>K_SB_AS*f_KS_biofilm</f>
        <v>2</v>
      </c>
      <c r="F189" s="277" t="s">
        <v>1180</v>
      </c>
      <c r="G189" s="277">
        <v>2</v>
      </c>
      <c r="H189" s="216" t="s">
        <v>1175</v>
      </c>
      <c r="I189" s="356" t="s">
        <v>3452</v>
      </c>
    </row>
    <row r="190" spans="2:9" s="1928" customFormat="1" ht="18" customHeight="1" outlineLevel="1" x14ac:dyDescent="0.25">
      <c r="B190" s="215" t="s">
        <v>1769</v>
      </c>
      <c r="C190" s="1598" t="s">
        <v>2667</v>
      </c>
      <c r="D190" s="1599" t="s">
        <v>1915</v>
      </c>
      <c r="E190" s="342">
        <f>K_VFA_AS</f>
        <v>0.5</v>
      </c>
      <c r="F190" s="277" t="s">
        <v>1770</v>
      </c>
      <c r="G190" s="277">
        <v>2</v>
      </c>
      <c r="H190" s="216" t="s">
        <v>1248</v>
      </c>
      <c r="I190" s="356"/>
    </row>
    <row r="191" spans="2:9" s="1928" customFormat="1" ht="18" customHeight="1" outlineLevel="1" x14ac:dyDescent="0.25">
      <c r="B191" s="215" t="s">
        <v>1769</v>
      </c>
      <c r="C191" s="1598" t="s">
        <v>2667</v>
      </c>
      <c r="D191" s="1599" t="s">
        <v>3423</v>
      </c>
      <c r="E191" s="343">
        <f>K_VFA_AS*f_KS_biofilm</f>
        <v>0.2</v>
      </c>
      <c r="F191" s="277" t="s">
        <v>1770</v>
      </c>
      <c r="G191" s="277">
        <v>3</v>
      </c>
      <c r="H191" s="216" t="s">
        <v>1175</v>
      </c>
      <c r="I191" s="356" t="s">
        <v>3452</v>
      </c>
    </row>
    <row r="192" spans="2:9" s="1928" customFormat="1" ht="18" customHeight="1" outlineLevel="1" x14ac:dyDescent="0.25">
      <c r="B192" s="217" t="s">
        <v>1771</v>
      </c>
      <c r="C192" s="1600" t="s">
        <v>2668</v>
      </c>
      <c r="D192" s="1601" t="s">
        <v>1917</v>
      </c>
      <c r="E192" s="345">
        <f>K_O2_OHO_AS</f>
        <v>0.15</v>
      </c>
      <c r="F192" s="344" t="s">
        <v>1179</v>
      </c>
      <c r="G192" s="344">
        <v>2</v>
      </c>
      <c r="H192" s="216" t="s">
        <v>1248</v>
      </c>
      <c r="I192" s="1546"/>
    </row>
    <row r="193" spans="2:9" s="1928" customFormat="1" ht="18" customHeight="1" outlineLevel="1" x14ac:dyDescent="0.25">
      <c r="B193" s="215" t="s">
        <v>1771</v>
      </c>
      <c r="C193" s="1598" t="s">
        <v>2668</v>
      </c>
      <c r="D193" s="1599" t="s">
        <v>3424</v>
      </c>
      <c r="E193" s="343">
        <f>K_O2_OHO_AS*f_KS_biofilm</f>
        <v>0.06</v>
      </c>
      <c r="F193" s="277" t="s">
        <v>1179</v>
      </c>
      <c r="G193" s="277">
        <v>3</v>
      </c>
      <c r="H193" s="216" t="s">
        <v>1175</v>
      </c>
      <c r="I193" s="356" t="s">
        <v>3452</v>
      </c>
    </row>
    <row r="194" spans="2:9" s="1928" customFormat="1" ht="18" customHeight="1" outlineLevel="1" x14ac:dyDescent="0.25">
      <c r="B194" s="215" t="s">
        <v>1772</v>
      </c>
      <c r="C194" s="1598" t="s">
        <v>2669</v>
      </c>
      <c r="D194" s="1599" t="s">
        <v>1916</v>
      </c>
      <c r="E194" s="342">
        <f>K_MEOL_OHO_AS</f>
        <v>0.1</v>
      </c>
      <c r="F194" s="277" t="s">
        <v>1180</v>
      </c>
      <c r="G194" s="277">
        <v>2</v>
      </c>
      <c r="H194" s="216" t="s">
        <v>1248</v>
      </c>
      <c r="I194" s="356"/>
    </row>
    <row r="195" spans="2:9" s="1928" customFormat="1" ht="18" customHeight="1" outlineLevel="1" x14ac:dyDescent="0.25">
      <c r="B195" s="215" t="s">
        <v>1772</v>
      </c>
      <c r="C195" s="1598" t="s">
        <v>2669</v>
      </c>
      <c r="D195" s="1599" t="s">
        <v>3425</v>
      </c>
      <c r="E195" s="343">
        <f>K_MEOL_OHO_AS*f_KS_biofilm</f>
        <v>4.0000000000000008E-2</v>
      </c>
      <c r="F195" s="277" t="s">
        <v>1180</v>
      </c>
      <c r="G195" s="277">
        <v>3</v>
      </c>
      <c r="H195" s="216" t="s">
        <v>1175</v>
      </c>
      <c r="I195" s="356" t="s">
        <v>3452</v>
      </c>
    </row>
    <row r="196" spans="2:9" s="1928" customFormat="1" ht="18" customHeight="1" outlineLevel="1" x14ac:dyDescent="0.25">
      <c r="B196" s="215" t="s">
        <v>2301</v>
      </c>
      <c r="C196" s="1598" t="s">
        <v>2670</v>
      </c>
      <c r="D196" s="1599" t="s">
        <v>2302</v>
      </c>
      <c r="E196" s="342">
        <f>K_NO2_OHO_AS</f>
        <v>0.05</v>
      </c>
      <c r="F196" s="277" t="s">
        <v>334</v>
      </c>
      <c r="G196" s="277">
        <v>2</v>
      </c>
      <c r="H196" s="216" t="s">
        <v>1248</v>
      </c>
      <c r="I196" s="356"/>
    </row>
    <row r="197" spans="2:9" s="1928" customFormat="1" ht="18" customHeight="1" outlineLevel="1" x14ac:dyDescent="0.25">
      <c r="B197" s="215" t="s">
        <v>2301</v>
      </c>
      <c r="C197" s="1598" t="s">
        <v>2670</v>
      </c>
      <c r="D197" s="1599" t="s">
        <v>3426</v>
      </c>
      <c r="E197" s="343">
        <f>K_NO2_OHO_AS*f_KS_biofilm</f>
        <v>2.0000000000000004E-2</v>
      </c>
      <c r="F197" s="277" t="s">
        <v>334</v>
      </c>
      <c r="G197" s="277">
        <v>3</v>
      </c>
      <c r="H197" s="216" t="s">
        <v>1175</v>
      </c>
      <c r="I197" s="356" t="s">
        <v>3452</v>
      </c>
    </row>
    <row r="198" spans="2:9" s="1928" customFormat="1" ht="18" customHeight="1" outlineLevel="1" x14ac:dyDescent="0.25">
      <c r="B198" s="2304" t="s">
        <v>5055</v>
      </c>
      <c r="C198" s="2308" t="s">
        <v>5056</v>
      </c>
      <c r="D198" s="2379" t="s">
        <v>5074</v>
      </c>
      <c r="E198" s="2411">
        <f>K_VFA_OHO_SNO2_AS</f>
        <v>150</v>
      </c>
      <c r="F198" s="277" t="s">
        <v>1180</v>
      </c>
      <c r="G198" s="277">
        <v>2</v>
      </c>
      <c r="H198" s="216" t="s">
        <v>1248</v>
      </c>
      <c r="I198" s="2307"/>
    </row>
    <row r="199" spans="2:9" s="1928" customFormat="1" ht="18" customHeight="1" outlineLevel="1" x14ac:dyDescent="0.25">
      <c r="B199" s="2304" t="s">
        <v>5055</v>
      </c>
      <c r="C199" s="2308" t="s">
        <v>5056</v>
      </c>
      <c r="D199" s="2379" t="s">
        <v>5076</v>
      </c>
      <c r="E199" s="2411">
        <f>K_VFA_OHO_SNO2_AS*f_KS_biofilm</f>
        <v>60</v>
      </c>
      <c r="F199" s="277" t="s">
        <v>1180</v>
      </c>
      <c r="G199" s="277">
        <v>3</v>
      </c>
      <c r="H199" s="216" t="s">
        <v>1175</v>
      </c>
      <c r="I199" s="356" t="s">
        <v>3452</v>
      </c>
    </row>
    <row r="200" spans="2:9" s="1928" customFormat="1" ht="18" customHeight="1" outlineLevel="1" x14ac:dyDescent="0.25">
      <c r="B200" s="215" t="s">
        <v>1773</v>
      </c>
      <c r="C200" s="1598" t="s">
        <v>2671</v>
      </c>
      <c r="D200" s="1599" t="s">
        <v>1918</v>
      </c>
      <c r="E200" s="343">
        <f>K_NO3_OHO_AS</f>
        <v>1.25</v>
      </c>
      <c r="F200" s="277" t="s">
        <v>884</v>
      </c>
      <c r="G200" s="277">
        <v>3</v>
      </c>
      <c r="H200" s="216" t="s">
        <v>1248</v>
      </c>
      <c r="I200" s="356"/>
    </row>
    <row r="201" spans="2:9" s="1928" customFormat="1" ht="18" customHeight="1" outlineLevel="1" x14ac:dyDescent="0.25">
      <c r="B201" s="215" t="s">
        <v>1773</v>
      </c>
      <c r="C201" s="1598" t="s">
        <v>2671</v>
      </c>
      <c r="D201" s="1599" t="s">
        <v>3427</v>
      </c>
      <c r="E201" s="346">
        <f>K_NO3_OHO_AS*f_KS_biofilm</f>
        <v>0.5</v>
      </c>
      <c r="F201" s="277" t="s">
        <v>884</v>
      </c>
      <c r="G201" s="277">
        <v>4</v>
      </c>
      <c r="H201" s="216" t="s">
        <v>1175</v>
      </c>
      <c r="I201" s="356" t="s">
        <v>3452</v>
      </c>
    </row>
    <row r="202" spans="2:9" s="1928" customFormat="1" ht="18" customHeight="1" outlineLevel="1" x14ac:dyDescent="0.25">
      <c r="B202" s="161" t="s">
        <v>2160</v>
      </c>
      <c r="C202" s="479" t="s">
        <v>2674</v>
      </c>
      <c r="D202" s="1599" t="s">
        <v>2151</v>
      </c>
      <c r="E202" s="342">
        <f>K_VFA_FERM_AS</f>
        <v>50</v>
      </c>
      <c r="F202" s="277" t="s">
        <v>1770</v>
      </c>
      <c r="G202" s="277">
        <v>2</v>
      </c>
      <c r="H202" s="216" t="s">
        <v>1248</v>
      </c>
      <c r="I202" s="356"/>
    </row>
    <row r="203" spans="2:9" s="1928" customFormat="1" ht="18" customHeight="1" outlineLevel="1" x14ac:dyDescent="0.25">
      <c r="B203" s="161" t="s">
        <v>2160</v>
      </c>
      <c r="C203" s="479" t="s">
        <v>2674</v>
      </c>
      <c r="D203" s="1599" t="s">
        <v>3428</v>
      </c>
      <c r="E203" s="343">
        <f>K_VFA_FERM_AS*f_KS_biofilm</f>
        <v>20</v>
      </c>
      <c r="F203" s="277" t="s">
        <v>1770</v>
      </c>
      <c r="G203" s="277">
        <v>3</v>
      </c>
      <c r="H203" s="216" t="s">
        <v>1175</v>
      </c>
      <c r="I203" s="356" t="s">
        <v>3452</v>
      </c>
    </row>
    <row r="204" spans="2:9" s="1928" customFormat="1" ht="18" customHeight="1" outlineLevel="1" x14ac:dyDescent="0.25">
      <c r="B204" s="926" t="s">
        <v>1862</v>
      </c>
      <c r="C204" s="1602" t="s">
        <v>2672</v>
      </c>
      <c r="D204" s="1602" t="s">
        <v>1919</v>
      </c>
      <c r="E204" s="927">
        <f>K_SB_ana_AS</f>
        <v>5</v>
      </c>
      <c r="F204" s="924" t="s">
        <v>1180</v>
      </c>
      <c r="G204" s="924">
        <v>1</v>
      </c>
      <c r="H204" s="925" t="s">
        <v>3813</v>
      </c>
      <c r="I204" s="1547"/>
    </row>
    <row r="205" spans="2:9" s="1928" customFormat="1" ht="18" customHeight="1" outlineLevel="1" x14ac:dyDescent="0.25">
      <c r="B205" s="926" t="s">
        <v>1862</v>
      </c>
      <c r="C205" s="1602" t="s">
        <v>2672</v>
      </c>
      <c r="D205" s="1602" t="s">
        <v>3429</v>
      </c>
      <c r="E205" s="928">
        <f>K_SB_ana_AS*f_KS_biofilm</f>
        <v>2</v>
      </c>
      <c r="F205" s="924" t="s">
        <v>1180</v>
      </c>
      <c r="G205" s="924">
        <v>2</v>
      </c>
      <c r="H205" s="925" t="s">
        <v>3814</v>
      </c>
      <c r="I205" s="1547" t="s">
        <v>3452</v>
      </c>
    </row>
    <row r="206" spans="2:9" s="1928" customFormat="1" ht="18" customHeight="1" outlineLevel="1" thickBot="1" x14ac:dyDescent="0.3">
      <c r="B206" s="929" t="s">
        <v>1862</v>
      </c>
      <c r="C206" s="1603" t="s">
        <v>2672</v>
      </c>
      <c r="D206" s="1603" t="s">
        <v>3667</v>
      </c>
      <c r="E206" s="931">
        <f>K_SB_ana_AS</f>
        <v>5</v>
      </c>
      <c r="F206" s="930" t="s">
        <v>1180</v>
      </c>
      <c r="G206" s="930">
        <v>1</v>
      </c>
      <c r="H206" s="932" t="s">
        <v>1209</v>
      </c>
      <c r="I206" s="1548"/>
    </row>
    <row r="207" spans="2:9" s="2133" customFormat="1" ht="18" customHeight="1" thickBot="1" x14ac:dyDescent="0.3">
      <c r="B207" s="4"/>
      <c r="C207" s="4"/>
      <c r="D207" s="4"/>
      <c r="E207" s="1934"/>
      <c r="F207" s="4"/>
      <c r="G207" s="4"/>
      <c r="H207" s="4"/>
      <c r="I207" s="4"/>
    </row>
    <row r="208" spans="2:9" s="2133" customFormat="1" ht="18" customHeight="1" thickBot="1" x14ac:dyDescent="0.3">
      <c r="B208" s="113"/>
      <c r="C208" s="1089" t="s">
        <v>2665</v>
      </c>
      <c r="D208" s="14" t="s">
        <v>299</v>
      </c>
      <c r="E208" s="14"/>
      <c r="F208" s="113"/>
      <c r="G208" s="113"/>
      <c r="H208" s="113"/>
      <c r="I208" s="113"/>
    </row>
    <row r="209" spans="2:9" s="2133" customFormat="1" ht="18" customHeight="1" thickBot="1" x14ac:dyDescent="0.3">
      <c r="B209" s="1939" t="s">
        <v>0</v>
      </c>
      <c r="C209" s="1942" t="s">
        <v>1</v>
      </c>
      <c r="D209" s="1945" t="s">
        <v>5</v>
      </c>
      <c r="E209" s="1945" t="s">
        <v>152</v>
      </c>
      <c r="F209" s="1945" t="s">
        <v>2</v>
      </c>
      <c r="G209" s="1945" t="s">
        <v>298</v>
      </c>
      <c r="H209" s="1945" t="s">
        <v>116</v>
      </c>
      <c r="I209" s="1948" t="s">
        <v>117</v>
      </c>
    </row>
    <row r="210" spans="2:9" s="1928" customFormat="1" ht="18" customHeight="1" outlineLevel="1" x14ac:dyDescent="0.25">
      <c r="B210" s="528" t="s">
        <v>1774</v>
      </c>
      <c r="C210" s="1604" t="s">
        <v>2675</v>
      </c>
      <c r="D210" s="1604" t="s">
        <v>1920</v>
      </c>
      <c r="E210" s="1549">
        <f>K_MEOL_AS</f>
        <v>0.5</v>
      </c>
      <c r="F210" s="531" t="s">
        <v>1180</v>
      </c>
      <c r="G210" s="530">
        <v>2</v>
      </c>
      <c r="H210" s="529" t="s">
        <v>1248</v>
      </c>
      <c r="I210" s="1550"/>
    </row>
    <row r="211" spans="2:9" s="1928" customFormat="1" ht="18" customHeight="1" outlineLevel="1" x14ac:dyDescent="0.25">
      <c r="B211" s="532" t="s">
        <v>1774</v>
      </c>
      <c r="C211" s="1605" t="s">
        <v>2675</v>
      </c>
      <c r="D211" s="1605" t="s">
        <v>3430</v>
      </c>
      <c r="E211" s="536">
        <f>K_MEOL_AS*f_KS_biofilm</f>
        <v>0.2</v>
      </c>
      <c r="F211" s="535" t="s">
        <v>1180</v>
      </c>
      <c r="G211" s="534">
        <v>3</v>
      </c>
      <c r="H211" s="533" t="s">
        <v>1175</v>
      </c>
      <c r="I211" s="1551" t="s">
        <v>3452</v>
      </c>
    </row>
    <row r="212" spans="2:9" s="1928" customFormat="1" ht="18" customHeight="1" outlineLevel="1" x14ac:dyDescent="0.25">
      <c r="B212" s="532" t="s">
        <v>3466</v>
      </c>
      <c r="C212" s="1605" t="s">
        <v>3467</v>
      </c>
      <c r="D212" s="1605" t="s">
        <v>3459</v>
      </c>
      <c r="E212" s="536">
        <f>K_iO2_MEOLO_AS</f>
        <v>0.05</v>
      </c>
      <c r="F212" s="535" t="s">
        <v>1179</v>
      </c>
      <c r="G212" s="534">
        <v>3</v>
      </c>
      <c r="H212" s="533" t="s">
        <v>1248</v>
      </c>
      <c r="I212" s="1551"/>
    </row>
    <row r="213" spans="2:9" s="1928" customFormat="1" ht="18" customHeight="1" outlineLevel="1" x14ac:dyDescent="0.25">
      <c r="B213" s="532" t="s">
        <v>3466</v>
      </c>
      <c r="C213" s="1605" t="s">
        <v>3467</v>
      </c>
      <c r="D213" s="1605" t="s">
        <v>3468</v>
      </c>
      <c r="E213" s="537">
        <f>K_iO2_MEOLO_AS*f_KS_biofilm</f>
        <v>2.0000000000000004E-2</v>
      </c>
      <c r="F213" s="535" t="s">
        <v>1179</v>
      </c>
      <c r="G213" s="534">
        <v>4</v>
      </c>
      <c r="H213" s="533" t="s">
        <v>1175</v>
      </c>
      <c r="I213" s="1551" t="s">
        <v>3452</v>
      </c>
    </row>
    <row r="214" spans="2:9" s="1928" customFormat="1" ht="18" customHeight="1" outlineLevel="1" x14ac:dyDescent="0.25">
      <c r="B214" s="532" t="s">
        <v>2303</v>
      </c>
      <c r="C214" s="1605" t="s">
        <v>2676</v>
      </c>
      <c r="D214" s="1605" t="s">
        <v>2304</v>
      </c>
      <c r="E214" s="536">
        <f>K_NO2_MEOLO_AS</f>
        <v>0.02</v>
      </c>
      <c r="F214" s="535" t="s">
        <v>884</v>
      </c>
      <c r="G214" s="534">
        <v>2</v>
      </c>
      <c r="H214" s="533" t="s">
        <v>1248</v>
      </c>
      <c r="I214" s="1551"/>
    </row>
    <row r="215" spans="2:9" s="1928" customFormat="1" ht="18" customHeight="1" outlineLevel="1" x14ac:dyDescent="0.25">
      <c r="B215" s="532" t="s">
        <v>2303</v>
      </c>
      <c r="C215" s="1605" t="s">
        <v>2676</v>
      </c>
      <c r="D215" s="1605" t="s">
        <v>3431</v>
      </c>
      <c r="E215" s="537">
        <f>K_NO2_MEOLO_AS*f_KS_biofilm</f>
        <v>8.0000000000000002E-3</v>
      </c>
      <c r="F215" s="535" t="s">
        <v>884</v>
      </c>
      <c r="G215" s="534">
        <v>2</v>
      </c>
      <c r="H215" s="533" t="s">
        <v>1175</v>
      </c>
      <c r="I215" s="1551" t="s">
        <v>3452</v>
      </c>
    </row>
    <row r="216" spans="2:9" s="1928" customFormat="1" ht="18" customHeight="1" outlineLevel="1" x14ac:dyDescent="0.25">
      <c r="B216" s="2407" t="s">
        <v>5065</v>
      </c>
      <c r="C216" s="2408" t="s">
        <v>5066</v>
      </c>
      <c r="D216" s="2409" t="s">
        <v>5075</v>
      </c>
      <c r="E216" s="2410">
        <f>K_MEOL_SNO2_AS</f>
        <v>150</v>
      </c>
      <c r="F216" s="531" t="s">
        <v>1180</v>
      </c>
      <c r="G216" s="530">
        <v>2</v>
      </c>
      <c r="H216" s="529" t="s">
        <v>1248</v>
      </c>
      <c r="I216" s="2372"/>
    </row>
    <row r="217" spans="2:9" s="1928" customFormat="1" ht="18" customHeight="1" outlineLevel="1" x14ac:dyDescent="0.25">
      <c r="B217" s="2407" t="s">
        <v>5065</v>
      </c>
      <c r="C217" s="2408" t="s">
        <v>5066</v>
      </c>
      <c r="D217" s="2409" t="s">
        <v>5077</v>
      </c>
      <c r="E217" s="2410">
        <f>K_MEOL_SNO2_AS*f_KS_biofilm</f>
        <v>60</v>
      </c>
      <c r="F217" s="535" t="s">
        <v>1180</v>
      </c>
      <c r="G217" s="534">
        <v>3</v>
      </c>
      <c r="H217" s="533" t="s">
        <v>1175</v>
      </c>
      <c r="I217" s="1551" t="s">
        <v>3452</v>
      </c>
    </row>
    <row r="218" spans="2:9" s="1928" customFormat="1" ht="18" customHeight="1" outlineLevel="1" x14ac:dyDescent="0.25">
      <c r="B218" s="532" t="s">
        <v>1775</v>
      </c>
      <c r="C218" s="1605" t="s">
        <v>2677</v>
      </c>
      <c r="D218" s="1605" t="s">
        <v>1921</v>
      </c>
      <c r="E218" s="536">
        <f>K_NO3_MEOLO_AS</f>
        <v>0.05</v>
      </c>
      <c r="F218" s="535" t="s">
        <v>884</v>
      </c>
      <c r="G218" s="534">
        <v>3</v>
      </c>
      <c r="H218" s="533" t="s">
        <v>1248</v>
      </c>
      <c r="I218" s="1551"/>
    </row>
    <row r="219" spans="2:9" s="1928" customFormat="1" ht="18" customHeight="1" outlineLevel="1" thickBot="1" x14ac:dyDescent="0.3">
      <c r="B219" s="538" t="s">
        <v>1775</v>
      </c>
      <c r="C219" s="1606" t="s">
        <v>2677</v>
      </c>
      <c r="D219" s="1606" t="s">
        <v>3432</v>
      </c>
      <c r="E219" s="1552">
        <f>K_NO3_MEOLO_AS*f_KS_biofilm</f>
        <v>2.0000000000000004E-2</v>
      </c>
      <c r="F219" s="541" t="s">
        <v>884</v>
      </c>
      <c r="G219" s="540">
        <v>4</v>
      </c>
      <c r="H219" s="539" t="s">
        <v>1175</v>
      </c>
      <c r="I219" s="1553" t="s">
        <v>3452</v>
      </c>
    </row>
    <row r="220" spans="2:9" s="2133" customFormat="1" ht="18" customHeight="1" thickBot="1" x14ac:dyDescent="0.3">
      <c r="B220" s="4"/>
      <c r="C220" s="4"/>
      <c r="D220" s="4"/>
      <c r="E220" s="1934"/>
      <c r="F220" s="4"/>
      <c r="G220" s="4"/>
      <c r="H220" s="4"/>
      <c r="I220" s="4"/>
    </row>
    <row r="221" spans="2:9" s="2133" customFormat="1" ht="18" customHeight="1" thickBot="1" x14ac:dyDescent="0.3">
      <c r="B221" s="113"/>
      <c r="C221" s="1089" t="s">
        <v>4169</v>
      </c>
      <c r="D221" s="14" t="s">
        <v>299</v>
      </c>
      <c r="E221" s="14"/>
      <c r="F221" s="113"/>
      <c r="G221" s="113"/>
      <c r="H221" s="113"/>
      <c r="I221" s="113"/>
    </row>
    <row r="222" spans="2:9" s="2133" customFormat="1" ht="18" customHeight="1" thickBot="1" x14ac:dyDescent="0.3">
      <c r="B222" s="1939" t="s">
        <v>0</v>
      </c>
      <c r="C222" s="1942" t="s">
        <v>1</v>
      </c>
      <c r="D222" s="1945" t="s">
        <v>5</v>
      </c>
      <c r="E222" s="1945" t="s">
        <v>152</v>
      </c>
      <c r="F222" s="1945" t="s">
        <v>2</v>
      </c>
      <c r="G222" s="1945" t="s">
        <v>298</v>
      </c>
      <c r="H222" s="1945" t="s">
        <v>116</v>
      </c>
      <c r="I222" s="1948" t="s">
        <v>117</v>
      </c>
    </row>
    <row r="223" spans="2:9" s="1928" customFormat="1" ht="18" customHeight="1" outlineLevel="1" x14ac:dyDescent="0.25">
      <c r="B223" s="218" t="s">
        <v>4161</v>
      </c>
      <c r="C223" s="1607" t="s">
        <v>4162</v>
      </c>
      <c r="D223" s="1608" t="s">
        <v>4099</v>
      </c>
      <c r="E223" s="211">
        <f>K_O2_CASTO_AS</f>
        <v>0.05</v>
      </c>
      <c r="F223" s="211" t="s">
        <v>1179</v>
      </c>
      <c r="G223" s="347">
        <v>2</v>
      </c>
      <c r="H223" s="211" t="s">
        <v>1248</v>
      </c>
      <c r="I223" s="358"/>
    </row>
    <row r="224" spans="2:9" s="1928" customFormat="1" ht="18" customHeight="1" outlineLevel="1" x14ac:dyDescent="0.25">
      <c r="B224" s="218" t="s">
        <v>4161</v>
      </c>
      <c r="C224" s="1607" t="s">
        <v>4162</v>
      </c>
      <c r="D224" s="1608" t="s">
        <v>4207</v>
      </c>
      <c r="E224" s="211">
        <f>K_O2_CASTO_AS*f_KS_biofilm</f>
        <v>2.0000000000000004E-2</v>
      </c>
      <c r="F224" s="211" t="s">
        <v>1179</v>
      </c>
      <c r="G224" s="347">
        <v>3</v>
      </c>
      <c r="H224" s="211" t="s">
        <v>1175</v>
      </c>
      <c r="I224" s="358" t="s">
        <v>3452</v>
      </c>
    </row>
    <row r="225" spans="2:9" s="1928" customFormat="1" ht="18" customHeight="1" outlineLevel="1" x14ac:dyDescent="0.25">
      <c r="B225" s="218" t="s">
        <v>4163</v>
      </c>
      <c r="C225" s="1609" t="s">
        <v>4164</v>
      </c>
      <c r="D225" s="1608" t="s">
        <v>4208</v>
      </c>
      <c r="E225" s="211">
        <f>K_NO2_CASTO_AS</f>
        <v>0.05</v>
      </c>
      <c r="F225" s="211" t="s">
        <v>884</v>
      </c>
      <c r="G225" s="347">
        <v>2</v>
      </c>
      <c r="H225" s="211" t="s">
        <v>1248</v>
      </c>
      <c r="I225" s="358"/>
    </row>
    <row r="226" spans="2:9" s="1928" customFormat="1" ht="18" customHeight="1" outlineLevel="1" x14ac:dyDescent="0.25">
      <c r="B226" s="218" t="s">
        <v>4163</v>
      </c>
      <c r="C226" s="1609" t="s">
        <v>4164</v>
      </c>
      <c r="D226" s="1608" t="s">
        <v>4209</v>
      </c>
      <c r="E226" s="211">
        <f>K_NO2_CASTO_AS*f_KS_biofilm</f>
        <v>2.0000000000000004E-2</v>
      </c>
      <c r="F226" s="211" t="s">
        <v>884</v>
      </c>
      <c r="G226" s="347">
        <v>2</v>
      </c>
      <c r="H226" s="211" t="s">
        <v>1175</v>
      </c>
      <c r="I226" s="358" t="s">
        <v>3452</v>
      </c>
    </row>
    <row r="227" spans="2:9" s="1928" customFormat="1" ht="18" customHeight="1" outlineLevel="1" x14ac:dyDescent="0.25">
      <c r="B227" s="218" t="s">
        <v>4165</v>
      </c>
      <c r="C227" s="1609" t="s">
        <v>4166</v>
      </c>
      <c r="D227" s="1608" t="s">
        <v>4102</v>
      </c>
      <c r="E227" s="211">
        <f>K_NO3_CASTO_AS</f>
        <v>0.1</v>
      </c>
      <c r="F227" s="211" t="s">
        <v>884</v>
      </c>
      <c r="G227" s="347">
        <v>2</v>
      </c>
      <c r="H227" s="211" t="s">
        <v>1248</v>
      </c>
      <c r="I227" s="358"/>
    </row>
    <row r="228" spans="2:9" s="1928" customFormat="1" ht="18" customHeight="1" outlineLevel="1" x14ac:dyDescent="0.25">
      <c r="B228" s="218" t="s">
        <v>4165</v>
      </c>
      <c r="C228" s="1609" t="s">
        <v>4166</v>
      </c>
      <c r="D228" s="1608" t="s">
        <v>4210</v>
      </c>
      <c r="E228" s="211">
        <f>K_NO3_CASTO_AS*f_KS_biofilm</f>
        <v>4.0000000000000008E-2</v>
      </c>
      <c r="F228" s="211" t="s">
        <v>884</v>
      </c>
      <c r="G228" s="347">
        <v>3</v>
      </c>
      <c r="H228" s="211" t="s">
        <v>1175</v>
      </c>
      <c r="I228" s="358" t="s">
        <v>3452</v>
      </c>
    </row>
    <row r="229" spans="2:9" s="1928" customFormat="1" ht="18" customHeight="1" outlineLevel="1" x14ac:dyDescent="0.25">
      <c r="B229" s="218" t="s">
        <v>4167</v>
      </c>
      <c r="C229" s="1609" t="s">
        <v>4168</v>
      </c>
      <c r="D229" s="1608" t="s">
        <v>4105</v>
      </c>
      <c r="E229" s="1169">
        <f>K_VFA_CASTO_AS</f>
        <v>5</v>
      </c>
      <c r="F229" s="211" t="s">
        <v>1180</v>
      </c>
      <c r="G229" s="347">
        <v>1</v>
      </c>
      <c r="H229" s="211" t="s">
        <v>1248</v>
      </c>
      <c r="I229" s="358"/>
    </row>
    <row r="230" spans="2:9" s="1928" customFormat="1" ht="18" customHeight="1" outlineLevel="1" x14ac:dyDescent="0.25">
      <c r="B230" s="218" t="s">
        <v>4167</v>
      </c>
      <c r="C230" s="1609" t="s">
        <v>4168</v>
      </c>
      <c r="D230" s="1608" t="s">
        <v>4211</v>
      </c>
      <c r="E230" s="424">
        <f>K_VFA_CASTO_AS*f_KS_biofilm</f>
        <v>2</v>
      </c>
      <c r="F230" s="211" t="s">
        <v>1180</v>
      </c>
      <c r="G230" s="347">
        <v>2</v>
      </c>
      <c r="H230" s="211" t="s">
        <v>1175</v>
      </c>
      <c r="I230" s="358" t="s">
        <v>3452</v>
      </c>
    </row>
    <row r="231" spans="2:9" s="1928" customFormat="1" ht="18" customHeight="1" outlineLevel="1" x14ac:dyDescent="0.25">
      <c r="B231" s="147" t="s">
        <v>1181</v>
      </c>
      <c r="C231" s="1609" t="s">
        <v>2679</v>
      </c>
      <c r="D231" s="1608" t="s">
        <v>1922</v>
      </c>
      <c r="E231" s="424">
        <f>K_PO4_PAO_AS</f>
        <v>0.15</v>
      </c>
      <c r="F231" s="211" t="s">
        <v>886</v>
      </c>
      <c r="G231" s="347">
        <v>2</v>
      </c>
      <c r="H231" s="211" t="s">
        <v>1248</v>
      </c>
      <c r="I231" s="358"/>
    </row>
    <row r="232" spans="2:9" s="1928" customFormat="1" ht="18" customHeight="1" outlineLevel="1" x14ac:dyDescent="0.25">
      <c r="B232" s="147" t="s">
        <v>1181</v>
      </c>
      <c r="C232" s="1609" t="s">
        <v>2679</v>
      </c>
      <c r="D232" s="1608" t="s">
        <v>3433</v>
      </c>
      <c r="E232" s="1170">
        <f>K_PO4_PAO_AS*f_KS_biofilm</f>
        <v>0.06</v>
      </c>
      <c r="F232" s="211" t="s">
        <v>886</v>
      </c>
      <c r="G232" s="347">
        <v>3</v>
      </c>
      <c r="H232" s="211" t="s">
        <v>1175</v>
      </c>
      <c r="I232" s="358" t="s">
        <v>3452</v>
      </c>
    </row>
    <row r="233" spans="2:9" s="1928" customFormat="1" ht="18" customHeight="1" outlineLevel="1" x14ac:dyDescent="0.25">
      <c r="B233" s="147" t="s">
        <v>1610</v>
      </c>
      <c r="C233" s="494" t="s">
        <v>2680</v>
      </c>
      <c r="D233" s="1370" t="s">
        <v>1923</v>
      </c>
      <c r="E233" s="211">
        <f>K_Mg_PAO_AS</f>
        <v>1E-3</v>
      </c>
      <c r="F233" s="211" t="s">
        <v>1607</v>
      </c>
      <c r="G233" s="347">
        <v>4</v>
      </c>
      <c r="H233" s="211" t="s">
        <v>1248</v>
      </c>
      <c r="I233" s="358"/>
    </row>
    <row r="234" spans="2:9" s="1928" customFormat="1" ht="18" customHeight="1" outlineLevel="1" x14ac:dyDescent="0.25">
      <c r="B234" s="147" t="s">
        <v>1610</v>
      </c>
      <c r="C234" s="494" t="s">
        <v>2680</v>
      </c>
      <c r="D234" s="1370" t="s">
        <v>3434</v>
      </c>
      <c r="E234" s="211">
        <f>K_Mg_PAO_AS*f_KS_biofilm</f>
        <v>4.0000000000000002E-4</v>
      </c>
      <c r="F234" s="211" t="s">
        <v>1607</v>
      </c>
      <c r="G234" s="347">
        <v>5</v>
      </c>
      <c r="H234" s="211" t="s">
        <v>1175</v>
      </c>
      <c r="I234" s="358" t="s">
        <v>3452</v>
      </c>
    </row>
    <row r="235" spans="2:9" s="1928" customFormat="1" ht="18" customHeight="1" outlineLevel="1" x14ac:dyDescent="0.25">
      <c r="B235" s="147" t="s">
        <v>1611</v>
      </c>
      <c r="C235" s="494" t="s">
        <v>2681</v>
      </c>
      <c r="D235" s="1370" t="s">
        <v>1924</v>
      </c>
      <c r="E235" s="211">
        <f>K_K_PAO_AS</f>
        <v>1E-3</v>
      </c>
      <c r="F235" s="211" t="s">
        <v>1608</v>
      </c>
      <c r="G235" s="347">
        <v>4</v>
      </c>
      <c r="H235" s="211" t="s">
        <v>1248</v>
      </c>
      <c r="I235" s="358"/>
    </row>
    <row r="236" spans="2:9" s="1928" customFormat="1" ht="18" customHeight="1" outlineLevel="1" x14ac:dyDescent="0.25">
      <c r="B236" s="147" t="s">
        <v>1611</v>
      </c>
      <c r="C236" s="494" t="s">
        <v>2681</v>
      </c>
      <c r="D236" s="1370" t="s">
        <v>3435</v>
      </c>
      <c r="E236" s="211">
        <f>K_K_PAO_AS*f_KS_biofilm</f>
        <v>4.0000000000000002E-4</v>
      </c>
      <c r="F236" s="211" t="s">
        <v>1608</v>
      </c>
      <c r="G236" s="347">
        <v>5</v>
      </c>
      <c r="H236" s="211" t="s">
        <v>1175</v>
      </c>
      <c r="I236" s="358" t="s">
        <v>3452</v>
      </c>
    </row>
    <row r="237" spans="2:9" s="1928" customFormat="1" ht="18" customHeight="1" outlineLevel="1" x14ac:dyDescent="0.25">
      <c r="B237" s="147" t="s">
        <v>1612</v>
      </c>
      <c r="C237" s="494" t="s">
        <v>2682</v>
      </c>
      <c r="D237" s="1370" t="s">
        <v>1925</v>
      </c>
      <c r="E237" s="211">
        <f>K_Ca_PAO_AS</f>
        <v>1E-3</v>
      </c>
      <c r="F237" s="211" t="s">
        <v>1609</v>
      </c>
      <c r="G237" s="347">
        <v>4</v>
      </c>
      <c r="H237" s="211" t="s">
        <v>1248</v>
      </c>
      <c r="I237" s="358"/>
    </row>
    <row r="238" spans="2:9" s="1928" customFormat="1" ht="18" customHeight="1" outlineLevel="1" x14ac:dyDescent="0.25">
      <c r="B238" s="147" t="s">
        <v>1612</v>
      </c>
      <c r="C238" s="494" t="s">
        <v>2682</v>
      </c>
      <c r="D238" s="1370" t="s">
        <v>3436</v>
      </c>
      <c r="E238" s="211">
        <f>K_Ca_PAO_AS*f_KS_biofilm</f>
        <v>4.0000000000000002E-4</v>
      </c>
      <c r="F238" s="211" t="s">
        <v>1609</v>
      </c>
      <c r="G238" s="347">
        <v>5</v>
      </c>
      <c r="H238" s="211" t="s">
        <v>1175</v>
      </c>
      <c r="I238" s="358" t="s">
        <v>3452</v>
      </c>
    </row>
    <row r="239" spans="2:9" s="1928" customFormat="1" ht="18" customHeight="1" outlineLevel="1" x14ac:dyDescent="0.25">
      <c r="B239" s="493" t="s">
        <v>2686</v>
      </c>
      <c r="C239" s="1609" t="s">
        <v>2683</v>
      </c>
      <c r="D239" s="1609" t="s">
        <v>2469</v>
      </c>
      <c r="E239" s="211">
        <f>K_iPO4_lim_AS</f>
        <v>5.0000000000000001E-3</v>
      </c>
      <c r="F239" s="211" t="s">
        <v>886</v>
      </c>
      <c r="G239" s="347">
        <v>3</v>
      </c>
      <c r="H239" s="211" t="s">
        <v>1248</v>
      </c>
      <c r="I239" s="358"/>
    </row>
    <row r="240" spans="2:9" s="1928" customFormat="1" ht="18" customHeight="1" outlineLevel="1" thickBot="1" x14ac:dyDescent="0.3">
      <c r="B240" s="212" t="s">
        <v>2686</v>
      </c>
      <c r="C240" s="1610" t="s">
        <v>2683</v>
      </c>
      <c r="D240" s="1610" t="s">
        <v>3437</v>
      </c>
      <c r="E240" s="213">
        <f>K_iPO4_lim_AS*f_KS_biofilm</f>
        <v>2E-3</v>
      </c>
      <c r="F240" s="213" t="s">
        <v>886</v>
      </c>
      <c r="G240" s="348">
        <v>4</v>
      </c>
      <c r="H240" s="213" t="s">
        <v>1175</v>
      </c>
      <c r="I240" s="1554" t="s">
        <v>3452</v>
      </c>
    </row>
    <row r="241" spans="2:9" s="2133" customFormat="1" ht="18" customHeight="1" thickBot="1" x14ac:dyDescent="0.3">
      <c r="B241" s="4"/>
      <c r="C241" s="4"/>
      <c r="D241" s="4"/>
      <c r="E241" s="1934"/>
      <c r="F241" s="4"/>
      <c r="G241" s="4"/>
      <c r="H241" s="4"/>
      <c r="I241" s="4"/>
    </row>
    <row r="242" spans="2:9" s="2133" customFormat="1" ht="18" customHeight="1" thickBot="1" x14ac:dyDescent="0.3">
      <c r="B242" s="113"/>
      <c r="C242" s="1089" t="s">
        <v>2687</v>
      </c>
      <c r="D242" s="14" t="s">
        <v>299</v>
      </c>
      <c r="E242" s="14"/>
      <c r="F242" s="113"/>
      <c r="G242" s="113"/>
      <c r="H242" s="113"/>
      <c r="I242" s="113"/>
    </row>
    <row r="243" spans="2:9" s="2133" customFormat="1" ht="18" customHeight="1" thickBot="1" x14ac:dyDescent="0.3">
      <c r="B243" s="1939" t="s">
        <v>0</v>
      </c>
      <c r="C243" s="1942" t="s">
        <v>1</v>
      </c>
      <c r="D243" s="1945" t="s">
        <v>5</v>
      </c>
      <c r="E243" s="1945" t="s">
        <v>152</v>
      </c>
      <c r="F243" s="1945" t="s">
        <v>2</v>
      </c>
      <c r="G243" s="1945" t="s">
        <v>298</v>
      </c>
      <c r="H243" s="1945" t="s">
        <v>116</v>
      </c>
      <c r="I243" s="1948" t="s">
        <v>117</v>
      </c>
    </row>
    <row r="244" spans="2:9" s="1928" customFormat="1" ht="18" customHeight="1" outlineLevel="1" x14ac:dyDescent="0.25">
      <c r="B244" s="746" t="s">
        <v>1777</v>
      </c>
      <c r="C244" s="1611" t="s">
        <v>2689</v>
      </c>
      <c r="D244" s="1611" t="s">
        <v>1926</v>
      </c>
      <c r="E244" s="1555">
        <f>K_VFA_AMETO_AS</f>
        <v>400</v>
      </c>
      <c r="F244" s="748" t="s">
        <v>1180</v>
      </c>
      <c r="G244" s="747">
        <v>1</v>
      </c>
      <c r="H244" s="749" t="s">
        <v>1248</v>
      </c>
      <c r="I244" s="1556"/>
    </row>
    <row r="245" spans="2:9" s="1928" customFormat="1" ht="18" customHeight="1" outlineLevel="1" x14ac:dyDescent="0.25">
      <c r="B245" s="750" t="s">
        <v>1777</v>
      </c>
      <c r="C245" s="1612" t="s">
        <v>2689</v>
      </c>
      <c r="D245" s="1612" t="s">
        <v>3438</v>
      </c>
      <c r="E245" s="1557">
        <f>K_VFA_AMETO_AS*f_KS_biofilm</f>
        <v>160</v>
      </c>
      <c r="F245" s="752" t="s">
        <v>1180</v>
      </c>
      <c r="G245" s="751">
        <v>1</v>
      </c>
      <c r="H245" s="753" t="s">
        <v>1175</v>
      </c>
      <c r="I245" s="1558" t="s">
        <v>3452</v>
      </c>
    </row>
    <row r="246" spans="2:9" s="1928" customFormat="1" ht="18" customHeight="1" outlineLevel="1" x14ac:dyDescent="0.25">
      <c r="B246" s="750" t="s">
        <v>2692</v>
      </c>
      <c r="C246" s="1612" t="s">
        <v>2690</v>
      </c>
      <c r="D246" s="1612" t="s">
        <v>2506</v>
      </c>
      <c r="E246" s="1557">
        <f>K_iVFA_AMETO_AS</f>
        <v>99999</v>
      </c>
      <c r="F246" s="752" t="s">
        <v>1180</v>
      </c>
      <c r="G246" s="751">
        <v>1</v>
      </c>
      <c r="H246" s="753" t="s">
        <v>1248</v>
      </c>
      <c r="I246" s="1558"/>
    </row>
    <row r="247" spans="2:9" s="1928" customFormat="1" ht="18" customHeight="1" outlineLevel="1" x14ac:dyDescent="0.25">
      <c r="B247" s="750" t="s">
        <v>2692</v>
      </c>
      <c r="C247" s="1612" t="s">
        <v>2690</v>
      </c>
      <c r="D247" s="1612" t="s">
        <v>3439</v>
      </c>
      <c r="E247" s="1557">
        <f>K_iVFA_AMETO_AS*f_KS_biofilm</f>
        <v>39999.600000000006</v>
      </c>
      <c r="F247" s="752" t="s">
        <v>1180</v>
      </c>
      <c r="G247" s="751">
        <v>1</v>
      </c>
      <c r="H247" s="753" t="s">
        <v>1175</v>
      </c>
      <c r="I247" s="1558" t="s">
        <v>3452</v>
      </c>
    </row>
    <row r="248" spans="2:9" s="1928" customFormat="1" outlineLevel="1" x14ac:dyDescent="0.25">
      <c r="B248" s="1690" t="s">
        <v>4441</v>
      </c>
      <c r="C248" s="1691" t="s">
        <v>4438</v>
      </c>
      <c r="D248" s="1691" t="s">
        <v>4437</v>
      </c>
      <c r="E248" s="1692">
        <f>K_iNH3_AMETO_pH_AS</f>
        <v>0.999</v>
      </c>
      <c r="F248" s="1686" t="s">
        <v>383</v>
      </c>
      <c r="G248" s="1694">
        <v>3</v>
      </c>
      <c r="H248" s="1686" t="s">
        <v>1248</v>
      </c>
      <c r="I248" s="1689"/>
    </row>
    <row r="249" spans="2:9" s="1928" customFormat="1" outlineLevel="1" x14ac:dyDescent="0.25">
      <c r="B249" s="1690" t="s">
        <v>4441</v>
      </c>
      <c r="C249" s="1691" t="s">
        <v>4438</v>
      </c>
      <c r="D249" s="1691" t="s">
        <v>4442</v>
      </c>
      <c r="E249" s="1692">
        <f>K_iNH3_AMETO_pH_AS*f_KS_biofilm</f>
        <v>0.39960000000000001</v>
      </c>
      <c r="F249" s="1686" t="s">
        <v>383</v>
      </c>
      <c r="G249" s="1694">
        <v>3</v>
      </c>
      <c r="H249" s="1686" t="s">
        <v>1175</v>
      </c>
      <c r="I249" s="1689" t="s">
        <v>3452</v>
      </c>
    </row>
    <row r="250" spans="2:9" s="1928" customFormat="1" ht="18" customHeight="1" outlineLevel="1" x14ac:dyDescent="0.25">
      <c r="B250" s="750" t="s">
        <v>3469</v>
      </c>
      <c r="C250" s="1612" t="s">
        <v>3470</v>
      </c>
      <c r="D250" s="1612" t="s">
        <v>3461</v>
      </c>
      <c r="E250" s="753">
        <f>K_iO2_AMETO_AS</f>
        <v>0.05</v>
      </c>
      <c r="F250" s="752" t="s">
        <v>1179</v>
      </c>
      <c r="G250" s="751">
        <v>2</v>
      </c>
      <c r="H250" s="753" t="s">
        <v>1248</v>
      </c>
      <c r="I250" s="1558"/>
    </row>
    <row r="251" spans="2:9" s="1928" customFormat="1" ht="18" customHeight="1" outlineLevel="1" x14ac:dyDescent="0.25">
      <c r="B251" s="750" t="s">
        <v>3469</v>
      </c>
      <c r="C251" s="1612" t="s">
        <v>3470</v>
      </c>
      <c r="D251" s="1612" t="s">
        <v>3471</v>
      </c>
      <c r="E251" s="753">
        <f>K_iO2_AMETO_AS*f_KS_biofilm</f>
        <v>2.0000000000000004E-2</v>
      </c>
      <c r="F251" s="752" t="s">
        <v>1179</v>
      </c>
      <c r="G251" s="751">
        <v>3</v>
      </c>
      <c r="H251" s="753" t="s">
        <v>1175</v>
      </c>
      <c r="I251" s="1558" t="s">
        <v>3452</v>
      </c>
    </row>
    <row r="252" spans="2:9" s="1928" customFormat="1" ht="18" customHeight="1" outlineLevel="1" x14ac:dyDescent="0.25">
      <c r="B252" s="750" t="s">
        <v>2366</v>
      </c>
      <c r="C252" s="1612" t="s">
        <v>2691</v>
      </c>
      <c r="D252" s="1612" t="s">
        <v>2364</v>
      </c>
      <c r="E252" s="753">
        <f>K_NOx_AMETO_AS</f>
        <v>0.05</v>
      </c>
      <c r="F252" s="752" t="s">
        <v>884</v>
      </c>
      <c r="G252" s="751">
        <v>2</v>
      </c>
      <c r="H252" s="753" t="s">
        <v>1248</v>
      </c>
      <c r="I252" s="1558"/>
    </row>
    <row r="253" spans="2:9" s="1928" customFormat="1" ht="18" customHeight="1" outlineLevel="1" thickBot="1" x14ac:dyDescent="0.3">
      <c r="B253" s="754" t="s">
        <v>2366</v>
      </c>
      <c r="C253" s="1613" t="s">
        <v>2691</v>
      </c>
      <c r="D253" s="1613" t="s">
        <v>3440</v>
      </c>
      <c r="E253" s="757">
        <f>K_NOx_AMETO_AS*f_KS_biofilm</f>
        <v>2.0000000000000004E-2</v>
      </c>
      <c r="F253" s="756" t="s">
        <v>884</v>
      </c>
      <c r="G253" s="755">
        <v>3</v>
      </c>
      <c r="H253" s="757" t="s">
        <v>1175</v>
      </c>
      <c r="I253" s="1559" t="s">
        <v>3452</v>
      </c>
    </row>
    <row r="254" spans="2:9" s="2133" customFormat="1" ht="18" customHeight="1" thickBot="1" x14ac:dyDescent="0.3">
      <c r="B254" s="4"/>
      <c r="C254" s="4"/>
      <c r="D254" s="4"/>
      <c r="E254" s="1934"/>
      <c r="F254" s="4"/>
      <c r="G254" s="4"/>
      <c r="H254" s="4"/>
      <c r="I254" s="4"/>
    </row>
    <row r="255" spans="2:9" s="2133" customFormat="1" ht="18" customHeight="1" thickBot="1" x14ac:dyDescent="0.3">
      <c r="B255" s="113"/>
      <c r="C255" s="1089" t="s">
        <v>2688</v>
      </c>
      <c r="D255" s="14" t="s">
        <v>299</v>
      </c>
      <c r="E255" s="14"/>
      <c r="F255" s="113"/>
      <c r="G255" s="113"/>
      <c r="H255" s="113"/>
      <c r="I255" s="113"/>
    </row>
    <row r="256" spans="2:9" s="2133" customFormat="1" ht="18" customHeight="1" thickBot="1" x14ac:dyDescent="0.3">
      <c r="B256" s="1939" t="s">
        <v>0</v>
      </c>
      <c r="C256" s="1942" t="s">
        <v>1</v>
      </c>
      <c r="D256" s="1945" t="s">
        <v>5</v>
      </c>
      <c r="E256" s="1945" t="s">
        <v>152</v>
      </c>
      <c r="F256" s="1945" t="s">
        <v>2</v>
      </c>
      <c r="G256" s="1945" t="s">
        <v>298</v>
      </c>
      <c r="H256" s="1945" t="s">
        <v>116</v>
      </c>
      <c r="I256" s="1948" t="s">
        <v>117</v>
      </c>
    </row>
    <row r="257" spans="2:9" s="1928" customFormat="1" ht="18" customHeight="1" outlineLevel="1" x14ac:dyDescent="0.25">
      <c r="B257" s="221" t="s">
        <v>1778</v>
      </c>
      <c r="C257" s="1614" t="s">
        <v>2693</v>
      </c>
      <c r="D257" s="1615" t="s">
        <v>1934</v>
      </c>
      <c r="E257" s="1560">
        <f>K_H2_HMETO_AS</f>
        <v>0.1</v>
      </c>
      <c r="F257" s="353" t="s">
        <v>1180</v>
      </c>
      <c r="G257" s="352">
        <v>2</v>
      </c>
      <c r="H257" s="220" t="s">
        <v>1248</v>
      </c>
      <c r="I257" s="1561"/>
    </row>
    <row r="258" spans="2:9" s="1928" customFormat="1" ht="18" customHeight="1" outlineLevel="1" x14ac:dyDescent="0.25">
      <c r="B258" s="221" t="s">
        <v>1778</v>
      </c>
      <c r="C258" s="1614" t="s">
        <v>2693</v>
      </c>
      <c r="D258" s="1615" t="s">
        <v>3441</v>
      </c>
      <c r="E258" s="354">
        <f>K_H2_HMETO_AS*f_KS_biofilm</f>
        <v>4.0000000000000008E-2</v>
      </c>
      <c r="F258" s="327" t="s">
        <v>1180</v>
      </c>
      <c r="G258" s="349">
        <v>3</v>
      </c>
      <c r="H258" s="168" t="s">
        <v>1175</v>
      </c>
      <c r="I258" s="174" t="s">
        <v>3452</v>
      </c>
    </row>
    <row r="259" spans="2:9" s="1928" customFormat="1" ht="18" customHeight="1" outlineLevel="1" x14ac:dyDescent="0.25">
      <c r="B259" s="219" t="s">
        <v>3472</v>
      </c>
      <c r="C259" s="1616" t="s">
        <v>3473</v>
      </c>
      <c r="D259" s="1617" t="s">
        <v>3474</v>
      </c>
      <c r="E259" s="354">
        <f>K_iO2_HMETO_AS</f>
        <v>0.05</v>
      </c>
      <c r="F259" s="327" t="s">
        <v>1179</v>
      </c>
      <c r="G259" s="349">
        <v>3</v>
      </c>
      <c r="H259" s="168" t="s">
        <v>1248</v>
      </c>
      <c r="I259" s="174"/>
    </row>
    <row r="260" spans="2:9" s="1928" customFormat="1" ht="18" customHeight="1" outlineLevel="1" x14ac:dyDescent="0.25">
      <c r="B260" s="219" t="s">
        <v>3472</v>
      </c>
      <c r="C260" s="1616" t="s">
        <v>3473</v>
      </c>
      <c r="D260" s="1617" t="s">
        <v>3475</v>
      </c>
      <c r="E260" s="355">
        <f>K_iO2_HMETO_AS*f_KS_biofilm</f>
        <v>2.0000000000000004E-2</v>
      </c>
      <c r="F260" s="327" t="s">
        <v>1179</v>
      </c>
      <c r="G260" s="349">
        <v>4</v>
      </c>
      <c r="H260" s="168" t="s">
        <v>1175</v>
      </c>
      <c r="I260" s="174" t="s">
        <v>3452</v>
      </c>
    </row>
    <row r="261" spans="2:9" s="1928" customFormat="1" ht="18" customHeight="1" outlineLevel="1" x14ac:dyDescent="0.25">
      <c r="B261" s="219" t="s">
        <v>2367</v>
      </c>
      <c r="C261" s="1616" t="s">
        <v>2694</v>
      </c>
      <c r="D261" s="1617" t="s">
        <v>2368</v>
      </c>
      <c r="E261" s="354">
        <f>K_NOx_HMETO_AS</f>
        <v>0.05</v>
      </c>
      <c r="F261" s="327" t="s">
        <v>884</v>
      </c>
      <c r="G261" s="349">
        <v>3</v>
      </c>
      <c r="H261" s="168" t="s">
        <v>1248</v>
      </c>
      <c r="I261" s="174"/>
    </row>
    <row r="262" spans="2:9" s="1928" customFormat="1" ht="18" customHeight="1" outlineLevel="1" thickBot="1" x14ac:dyDescent="0.3">
      <c r="B262" s="222" t="s">
        <v>2367</v>
      </c>
      <c r="C262" s="1618" t="s">
        <v>2694</v>
      </c>
      <c r="D262" s="1618" t="s">
        <v>3442</v>
      </c>
      <c r="E262" s="1562">
        <f>K_NOx_HMETO_AS*f_KS_biofilm</f>
        <v>2.0000000000000004E-2</v>
      </c>
      <c r="F262" s="350" t="s">
        <v>884</v>
      </c>
      <c r="G262" s="351">
        <v>4</v>
      </c>
      <c r="H262" s="170" t="s">
        <v>1175</v>
      </c>
      <c r="I262" s="175" t="s">
        <v>3452</v>
      </c>
    </row>
    <row r="263" spans="2:9" s="2133" customFormat="1" ht="18" customHeight="1" thickBot="1" x14ac:dyDescent="0.3">
      <c r="B263" s="4"/>
      <c r="C263" s="4"/>
      <c r="D263" s="4"/>
      <c r="E263" s="1934"/>
      <c r="F263" s="4"/>
      <c r="G263" s="4"/>
      <c r="H263" s="4"/>
      <c r="I263" s="4"/>
    </row>
    <row r="264" spans="2:9" s="2133" customFormat="1" ht="18" customHeight="1" thickBot="1" x14ac:dyDescent="0.3">
      <c r="B264" s="113"/>
      <c r="C264" s="1089" t="s">
        <v>2920</v>
      </c>
      <c r="D264" s="14" t="s">
        <v>299</v>
      </c>
      <c r="E264" s="14"/>
      <c r="F264" s="113"/>
      <c r="G264" s="113"/>
      <c r="H264" s="113"/>
      <c r="I264" s="113"/>
    </row>
    <row r="265" spans="2:9" s="2133" customFormat="1" ht="18" customHeight="1" thickBot="1" x14ac:dyDescent="0.3">
      <c r="B265" s="1939" t="s">
        <v>0</v>
      </c>
      <c r="C265" s="1942" t="s">
        <v>1</v>
      </c>
      <c r="D265" s="1945" t="s">
        <v>5</v>
      </c>
      <c r="E265" s="1945" t="s">
        <v>152</v>
      </c>
      <c r="F265" s="1945" t="s">
        <v>2</v>
      </c>
      <c r="G265" s="1945" t="s">
        <v>298</v>
      </c>
      <c r="H265" s="1945" t="s">
        <v>116</v>
      </c>
      <c r="I265" s="1948" t="s">
        <v>117</v>
      </c>
    </row>
    <row r="266" spans="2:9" s="1928" customFormat="1" ht="18" customHeight="1" outlineLevel="1" x14ac:dyDescent="0.25">
      <c r="B266" s="1171" t="s">
        <v>883</v>
      </c>
      <c r="C266" s="1017" t="s">
        <v>2697</v>
      </c>
      <c r="D266" s="1017" t="s">
        <v>1928</v>
      </c>
      <c r="E266" s="1075">
        <f>K_NHx_BIO_AS</f>
        <v>5.0000000000000001E-3</v>
      </c>
      <c r="F266" s="1017" t="s">
        <v>884</v>
      </c>
      <c r="G266" s="1073">
        <v>3</v>
      </c>
      <c r="H266" s="1075" t="s">
        <v>1248</v>
      </c>
      <c r="I266" s="1563"/>
    </row>
    <row r="267" spans="2:9" s="1928" customFormat="1" ht="18" customHeight="1" outlineLevel="1" x14ac:dyDescent="0.25">
      <c r="B267" s="762" t="s">
        <v>883</v>
      </c>
      <c r="C267" s="1045" t="s">
        <v>2697</v>
      </c>
      <c r="D267" s="1045" t="s">
        <v>3443</v>
      </c>
      <c r="E267" s="1044">
        <f>K_NHx_BIO_AS*f_KS_biofilm</f>
        <v>2E-3</v>
      </c>
      <c r="F267" s="1045" t="s">
        <v>884</v>
      </c>
      <c r="G267" s="1043">
        <v>4</v>
      </c>
      <c r="H267" s="1044" t="s">
        <v>1175</v>
      </c>
      <c r="I267" s="1078" t="s">
        <v>3452</v>
      </c>
    </row>
    <row r="268" spans="2:9" s="1928" customFormat="1" ht="18" customHeight="1" outlineLevel="1" x14ac:dyDescent="0.25">
      <c r="B268" s="762" t="s">
        <v>885</v>
      </c>
      <c r="C268" s="1045" t="s">
        <v>2698</v>
      </c>
      <c r="D268" s="1045" t="s">
        <v>1929</v>
      </c>
      <c r="E268" s="1044">
        <f>K_PO4_BIO_AS</f>
        <v>2E-3</v>
      </c>
      <c r="F268" s="1045" t="s">
        <v>886</v>
      </c>
      <c r="G268" s="1043">
        <v>3</v>
      </c>
      <c r="H268" s="1044" t="s">
        <v>1248</v>
      </c>
      <c r="I268" s="1078"/>
    </row>
    <row r="269" spans="2:9" s="1928" customFormat="1" ht="18" customHeight="1" outlineLevel="1" x14ac:dyDescent="0.25">
      <c r="B269" s="762" t="s">
        <v>885</v>
      </c>
      <c r="C269" s="1045" t="s">
        <v>2698</v>
      </c>
      <c r="D269" s="1045" t="s">
        <v>3444</v>
      </c>
      <c r="E269" s="1044">
        <f>K_PO4_BIO_AS*f_KS_biofilm</f>
        <v>8.0000000000000004E-4</v>
      </c>
      <c r="F269" s="1045" t="s">
        <v>1941</v>
      </c>
      <c r="G269" s="1043">
        <v>4</v>
      </c>
      <c r="H269" s="1044" t="s">
        <v>1175</v>
      </c>
      <c r="I269" s="1078" t="s">
        <v>3452</v>
      </c>
    </row>
    <row r="270" spans="2:9" s="1928" customFormat="1" ht="18" customHeight="1" outlineLevel="1" x14ac:dyDescent="0.25">
      <c r="B270" s="1032" t="s">
        <v>1779</v>
      </c>
      <c r="C270" s="1619" t="s">
        <v>2541</v>
      </c>
      <c r="D270" s="1619" t="s">
        <v>1935</v>
      </c>
      <c r="E270" s="1044">
        <f>K_CO2_BIO_AS</f>
        <v>1.2</v>
      </c>
      <c r="F270" s="1045" t="s">
        <v>1211</v>
      </c>
      <c r="G270" s="1043">
        <v>1</v>
      </c>
      <c r="H270" s="1044" t="s">
        <v>1248</v>
      </c>
      <c r="I270" s="1078"/>
    </row>
    <row r="271" spans="2:9" s="1928" customFormat="1" ht="18" customHeight="1" outlineLevel="1" x14ac:dyDescent="0.25">
      <c r="B271" s="1032" t="s">
        <v>1779</v>
      </c>
      <c r="C271" s="1619" t="s">
        <v>2541</v>
      </c>
      <c r="D271" s="1619" t="s">
        <v>3445</v>
      </c>
      <c r="E271" s="1044">
        <f>K_CO2_BIO_AS*f_KS_biofilm</f>
        <v>0.48</v>
      </c>
      <c r="F271" s="1045" t="s">
        <v>1211</v>
      </c>
      <c r="G271" s="1043">
        <v>2</v>
      </c>
      <c r="H271" s="1044" t="s">
        <v>1175</v>
      </c>
      <c r="I271" s="1078" t="s">
        <v>3452</v>
      </c>
    </row>
    <row r="272" spans="2:9" s="1928" customFormat="1" ht="18" customHeight="1" outlineLevel="1" x14ac:dyDescent="0.25">
      <c r="B272" s="762" t="s">
        <v>887</v>
      </c>
      <c r="C272" s="1045" t="s">
        <v>2542</v>
      </c>
      <c r="D272" s="1045" t="s">
        <v>1931</v>
      </c>
      <c r="E272" s="1044">
        <f>K_CAT_AS</f>
        <v>0.1</v>
      </c>
      <c r="F272" s="1045" t="s">
        <v>1942</v>
      </c>
      <c r="G272" s="1043">
        <v>1</v>
      </c>
      <c r="H272" s="1044" t="s">
        <v>1248</v>
      </c>
      <c r="I272" s="1078"/>
    </row>
    <row r="273" spans="2:9" s="1928" customFormat="1" ht="18" customHeight="1" outlineLevel="1" x14ac:dyDescent="0.25">
      <c r="B273" s="762" t="s">
        <v>887</v>
      </c>
      <c r="C273" s="1045" t="s">
        <v>2542</v>
      </c>
      <c r="D273" s="1045" t="s">
        <v>3446</v>
      </c>
      <c r="E273" s="1044">
        <f>K_CAT_AS*f_KS_biofilm</f>
        <v>4.0000000000000008E-2</v>
      </c>
      <c r="F273" s="1045" t="s">
        <v>1942</v>
      </c>
      <c r="G273" s="1043">
        <v>2</v>
      </c>
      <c r="H273" s="1044" t="s">
        <v>1175</v>
      </c>
      <c r="I273" s="1078" t="s">
        <v>3452</v>
      </c>
    </row>
    <row r="274" spans="2:9" s="1928" customFormat="1" ht="18" customHeight="1" outlineLevel="1" x14ac:dyDescent="0.25">
      <c r="B274" s="762" t="s">
        <v>888</v>
      </c>
      <c r="C274" s="1045" t="s">
        <v>2543</v>
      </c>
      <c r="D274" s="1045" t="s">
        <v>1932</v>
      </c>
      <c r="E274" s="1044">
        <f>K_AN_AS</f>
        <v>0.1</v>
      </c>
      <c r="F274" s="1045" t="s">
        <v>1943</v>
      </c>
      <c r="G274" s="1043">
        <v>1</v>
      </c>
      <c r="H274" s="1044" t="s">
        <v>1248</v>
      </c>
      <c r="I274" s="1078"/>
    </row>
    <row r="275" spans="2:9" s="1928" customFormat="1" ht="18" customHeight="1" outlineLevel="1" x14ac:dyDescent="0.25">
      <c r="B275" s="762" t="s">
        <v>888</v>
      </c>
      <c r="C275" s="1045" t="s">
        <v>2543</v>
      </c>
      <c r="D275" s="1045" t="s">
        <v>3447</v>
      </c>
      <c r="E275" s="1044">
        <f>K_AN_AS*f_KS_biofilm</f>
        <v>4.0000000000000008E-2</v>
      </c>
      <c r="F275" s="1045" t="s">
        <v>1943</v>
      </c>
      <c r="G275" s="1043">
        <v>2</v>
      </c>
      <c r="H275" s="1044" t="s">
        <v>1175</v>
      </c>
      <c r="I275" s="1078" t="s">
        <v>3452</v>
      </c>
    </row>
    <row r="276" spans="2:9" s="1928" customFormat="1" ht="18" customHeight="1" outlineLevel="1" x14ac:dyDescent="0.25">
      <c r="B276" s="762" t="s">
        <v>3578</v>
      </c>
      <c r="C276" s="1018" t="s">
        <v>3579</v>
      </c>
      <c r="D276" s="1018" t="s">
        <v>3574</v>
      </c>
      <c r="E276" s="763">
        <f>K_Mg_BIO_AS</f>
        <v>1E-4</v>
      </c>
      <c r="F276" s="763" t="s">
        <v>1607</v>
      </c>
      <c r="G276" s="1048">
        <v>4</v>
      </c>
      <c r="H276" s="763" t="s">
        <v>1248</v>
      </c>
      <c r="I276" s="1078"/>
    </row>
    <row r="277" spans="2:9" s="1928" customFormat="1" ht="18" customHeight="1" outlineLevel="1" x14ac:dyDescent="0.25">
      <c r="B277" s="762" t="s">
        <v>3578</v>
      </c>
      <c r="C277" s="1018" t="s">
        <v>3579</v>
      </c>
      <c r="D277" s="1018" t="s">
        <v>3580</v>
      </c>
      <c r="E277" s="763">
        <v>1E-4</v>
      </c>
      <c r="F277" s="763" t="s">
        <v>1607</v>
      </c>
      <c r="G277" s="1048">
        <v>5</v>
      </c>
      <c r="H277" s="763" t="s">
        <v>1175</v>
      </c>
      <c r="I277" s="1078" t="s">
        <v>3452</v>
      </c>
    </row>
    <row r="278" spans="2:9" s="1928" customFormat="1" ht="18" customHeight="1" outlineLevel="1" x14ac:dyDescent="0.25">
      <c r="B278" s="762" t="s">
        <v>3581</v>
      </c>
      <c r="C278" s="1018" t="s">
        <v>3582</v>
      </c>
      <c r="D278" s="1018" t="s">
        <v>3576</v>
      </c>
      <c r="E278" s="763">
        <f>K_Ca_BIO_AS</f>
        <v>1E-4</v>
      </c>
      <c r="F278" s="763" t="s">
        <v>1609</v>
      </c>
      <c r="G278" s="1048">
        <v>4</v>
      </c>
      <c r="H278" s="763" t="s">
        <v>1248</v>
      </c>
      <c r="I278" s="1078"/>
    </row>
    <row r="279" spans="2:9" s="1928" customFormat="1" ht="18" customHeight="1" outlineLevel="1" x14ac:dyDescent="0.25">
      <c r="B279" s="762" t="s">
        <v>3581</v>
      </c>
      <c r="C279" s="1018" t="s">
        <v>3582</v>
      </c>
      <c r="D279" s="1018" t="s">
        <v>3583</v>
      </c>
      <c r="E279" s="763">
        <v>1E-4</v>
      </c>
      <c r="F279" s="763" t="s">
        <v>1609</v>
      </c>
      <c r="G279" s="1048">
        <v>5</v>
      </c>
      <c r="H279" s="763" t="s">
        <v>1175</v>
      </c>
      <c r="I279" s="1078" t="s">
        <v>3452</v>
      </c>
    </row>
    <row r="280" spans="2:9" s="1928" customFormat="1" ht="18" customHeight="1" outlineLevel="1" x14ac:dyDescent="0.25">
      <c r="B280" s="1033" t="s">
        <v>1183</v>
      </c>
      <c r="C280" s="1045" t="s">
        <v>2699</v>
      </c>
      <c r="D280" s="1045" t="s">
        <v>1936</v>
      </c>
      <c r="E280" s="1044">
        <f>K_HYD_AS</f>
        <v>0.05</v>
      </c>
      <c r="F280" s="1045" t="s">
        <v>2124</v>
      </c>
      <c r="G280" s="1043">
        <v>2</v>
      </c>
      <c r="H280" s="1044" t="s">
        <v>1248</v>
      </c>
      <c r="I280" s="1078"/>
    </row>
    <row r="281" spans="2:9" s="1928" customFormat="1" ht="18" customHeight="1" outlineLevel="1" x14ac:dyDescent="0.25">
      <c r="B281" s="1033" t="s">
        <v>1183</v>
      </c>
      <c r="C281" s="1045" t="s">
        <v>2699</v>
      </c>
      <c r="D281" s="1045" t="s">
        <v>3448</v>
      </c>
      <c r="E281" s="1044">
        <f>K_HYD_AS*f_KS_biofilm</f>
        <v>2.0000000000000004E-2</v>
      </c>
      <c r="F281" s="1045" t="s">
        <v>2124</v>
      </c>
      <c r="G281" s="1043">
        <v>3</v>
      </c>
      <c r="H281" s="1044" t="s">
        <v>1175</v>
      </c>
      <c r="I281" s="1078" t="s">
        <v>3452</v>
      </c>
    </row>
    <row r="282" spans="2:9" s="1928" customFormat="1" ht="18" customHeight="1" outlineLevel="1" x14ac:dyDescent="0.25">
      <c r="B282" s="1033" t="s">
        <v>2695</v>
      </c>
      <c r="C282" s="1045" t="s">
        <v>2917</v>
      </c>
      <c r="D282" s="1045" t="s">
        <v>2696</v>
      </c>
      <c r="E282" s="1044">
        <f>K_iNHx_ASSIM_AS</f>
        <v>5.0000000000000001E-4</v>
      </c>
      <c r="F282" s="1045" t="s">
        <v>884</v>
      </c>
      <c r="G282" s="1043">
        <v>4</v>
      </c>
      <c r="H282" s="1044" t="s">
        <v>1248</v>
      </c>
      <c r="I282" s="1078"/>
    </row>
    <row r="283" spans="2:9" s="1928" customFormat="1" ht="18" customHeight="1" outlineLevel="1" x14ac:dyDescent="0.25">
      <c r="B283" s="1033" t="s">
        <v>2695</v>
      </c>
      <c r="C283" s="1045" t="s">
        <v>2917</v>
      </c>
      <c r="D283" s="1045" t="s">
        <v>3449</v>
      </c>
      <c r="E283" s="1044">
        <f>K_iNHx_ASSIM_AS*f_KS_biofilm</f>
        <v>2.0000000000000001E-4</v>
      </c>
      <c r="F283" s="1045" t="s">
        <v>884</v>
      </c>
      <c r="G283" s="1043">
        <v>5</v>
      </c>
      <c r="H283" s="1044" t="s">
        <v>1175</v>
      </c>
      <c r="I283" s="1078" t="s">
        <v>3452</v>
      </c>
    </row>
    <row r="284" spans="2:9" s="2146" customFormat="1" ht="18" customHeight="1" outlineLevel="1" x14ac:dyDescent="0.25">
      <c r="B284" s="1033" t="s">
        <v>2305</v>
      </c>
      <c r="C284" s="1045" t="s">
        <v>2700</v>
      </c>
      <c r="D284" s="1045" t="s">
        <v>2306</v>
      </c>
      <c r="E284" s="1044">
        <f>K_NO2_ASSIM_AS</f>
        <v>1E-3</v>
      </c>
      <c r="F284" s="1045" t="s">
        <v>884</v>
      </c>
      <c r="G284" s="1043">
        <v>4</v>
      </c>
      <c r="H284" s="1527" t="s">
        <v>1248</v>
      </c>
      <c r="I284" s="1519"/>
    </row>
    <row r="285" spans="2:9" s="2146" customFormat="1" ht="18" customHeight="1" outlineLevel="1" x14ac:dyDescent="0.25">
      <c r="B285" s="1033" t="s">
        <v>2305</v>
      </c>
      <c r="C285" s="1045" t="s">
        <v>2700</v>
      </c>
      <c r="D285" s="1045" t="s">
        <v>3450</v>
      </c>
      <c r="E285" s="1044">
        <f>K_NO2_ASSIM_AS*f_KS_biofilm</f>
        <v>4.0000000000000002E-4</v>
      </c>
      <c r="F285" s="1045" t="s">
        <v>884</v>
      </c>
      <c r="G285" s="1043">
        <v>5</v>
      </c>
      <c r="H285" s="1527" t="s">
        <v>1175</v>
      </c>
      <c r="I285" s="1519" t="s">
        <v>3452</v>
      </c>
    </row>
    <row r="286" spans="2:9" s="2146" customFormat="1" ht="18" customHeight="1" outlineLevel="1" x14ac:dyDescent="0.25">
      <c r="B286" s="1033" t="s">
        <v>2307</v>
      </c>
      <c r="C286" s="1045" t="s">
        <v>2701</v>
      </c>
      <c r="D286" s="1045" t="s">
        <v>2308</v>
      </c>
      <c r="E286" s="1044">
        <f>K_NO3_ASSIM_AS</f>
        <v>1E-3</v>
      </c>
      <c r="F286" s="1045" t="s">
        <v>884</v>
      </c>
      <c r="G286" s="1043">
        <v>4</v>
      </c>
      <c r="H286" s="1527" t="s">
        <v>1248</v>
      </c>
      <c r="I286" s="1519"/>
    </row>
    <row r="287" spans="2:9" s="2146" customFormat="1" ht="18" customHeight="1" outlineLevel="1" thickBot="1" x14ac:dyDescent="0.3">
      <c r="B287" s="1528" t="s">
        <v>2307</v>
      </c>
      <c r="C287" s="1046" t="s">
        <v>2701</v>
      </c>
      <c r="D287" s="1046" t="s">
        <v>3451</v>
      </c>
      <c r="E287" s="803">
        <f>K_NO3_ASSIM_AS*f_KS_biofilm</f>
        <v>4.0000000000000002E-4</v>
      </c>
      <c r="F287" s="1046" t="s">
        <v>884</v>
      </c>
      <c r="G287" s="1074">
        <v>5</v>
      </c>
      <c r="H287" s="1039" t="s">
        <v>1175</v>
      </c>
      <c r="I287" s="1520" t="s">
        <v>3452</v>
      </c>
    </row>
    <row r="288" spans="2:9" s="2133" customFormat="1" ht="18" customHeight="1" thickBot="1" x14ac:dyDescent="0.3">
      <c r="B288" s="4"/>
      <c r="C288" s="4"/>
      <c r="D288" s="4"/>
      <c r="E288" s="1934"/>
      <c r="F288" s="4"/>
      <c r="G288" s="4"/>
      <c r="H288" s="4"/>
      <c r="I288" s="4"/>
    </row>
    <row r="289" spans="1:9" s="2133" customFormat="1" ht="18" customHeight="1" thickBot="1" x14ac:dyDescent="0.3">
      <c r="B289" s="113"/>
      <c r="C289" s="1460" t="s">
        <v>4371</v>
      </c>
      <c r="D289" s="14" t="s">
        <v>299</v>
      </c>
      <c r="E289" s="14"/>
      <c r="F289" s="113"/>
      <c r="G289" s="113"/>
      <c r="H289" s="113"/>
      <c r="I289" s="113"/>
    </row>
    <row r="290" spans="1:9" s="2133" customFormat="1" ht="18" customHeight="1" thickBot="1" x14ac:dyDescent="0.3">
      <c r="B290" s="1940" t="s">
        <v>0</v>
      </c>
      <c r="C290" s="1943" t="s">
        <v>1</v>
      </c>
      <c r="D290" s="1946" t="s">
        <v>5</v>
      </c>
      <c r="E290" s="1946" t="s">
        <v>152</v>
      </c>
      <c r="F290" s="1946" t="s">
        <v>2</v>
      </c>
      <c r="G290" s="1946" t="s">
        <v>298</v>
      </c>
      <c r="H290" s="1946" t="s">
        <v>116</v>
      </c>
      <c r="I290" s="1949" t="s">
        <v>117</v>
      </c>
    </row>
    <row r="291" spans="1:9" s="2133" customFormat="1" outlineLevel="1" x14ac:dyDescent="0.25">
      <c r="B291" s="2413" t="s">
        <v>5109</v>
      </c>
      <c r="C291" s="2415" t="s">
        <v>5112</v>
      </c>
      <c r="D291" s="2415" t="s">
        <v>5110</v>
      </c>
      <c r="E291" s="1470">
        <f>((-1)*(2/((K_NO3_OHO)*(L_ograngeSNO3)))*LN((1/19)*(1+(1/2)*((K_NO3_OHO)*(L_ograngeSNO3)/(K_NO3_OHO)))))</f>
        <v>19.725805733943361</v>
      </c>
      <c r="F291" s="1428" t="s">
        <v>4404</v>
      </c>
      <c r="G291" s="1471">
        <v>1</v>
      </c>
      <c r="H291" s="1472"/>
      <c r="I291" s="1430" t="s">
        <v>4434</v>
      </c>
    </row>
    <row r="292" spans="1:9" s="2133" customFormat="1" outlineLevel="1" x14ac:dyDescent="0.25">
      <c r="B292" s="2413" t="s">
        <v>5082</v>
      </c>
      <c r="C292" s="2415" t="s">
        <v>5083</v>
      </c>
      <c r="D292" s="2415" t="s">
        <v>5097</v>
      </c>
      <c r="E292" s="1470">
        <f>((-1)*(2/((K_NO3_OHO)*(L_ograngeKSNO3)))*LN((1/19)*(1+(1/2)*((K_NO3_OHO)*(L_ograngeKSNO3)/(K_NO3_OHO)))))</f>
        <v>2.5438114039797526</v>
      </c>
      <c r="F292" s="1428" t="s">
        <v>4404</v>
      </c>
      <c r="G292" s="1471">
        <v>1</v>
      </c>
      <c r="H292" s="1472"/>
      <c r="I292" s="1430" t="s">
        <v>4434</v>
      </c>
    </row>
    <row r="293" spans="1:9" s="2133" customFormat="1" outlineLevel="1" x14ac:dyDescent="0.25">
      <c r="B293" s="2413" t="s">
        <v>5086</v>
      </c>
      <c r="C293" s="2415" t="s">
        <v>5088</v>
      </c>
      <c r="D293" s="2415" t="s">
        <v>5098</v>
      </c>
      <c r="E293" s="1470">
        <f>((-1)*(2/((K_VFA_OHO_SNO2)*(L_ograngeKVFA_SNO2)))*LN((1/19)*(1+(1/2)*((K_VFA_OHO_SNO2)*(L_ograngeKVFA_SNO2)/(K_VFA_OHO_SNO2)))))</f>
        <v>1.3020223851878621</v>
      </c>
      <c r="F293" s="1428" t="s">
        <v>4404</v>
      </c>
      <c r="G293" s="1471">
        <v>1</v>
      </c>
      <c r="H293" s="1472"/>
      <c r="I293" s="1430" t="s">
        <v>4434</v>
      </c>
    </row>
    <row r="294" spans="1:9" s="2133" customFormat="1" outlineLevel="1" x14ac:dyDescent="0.25">
      <c r="B294" s="1464" t="s">
        <v>4375</v>
      </c>
      <c r="C294" s="1465" t="s">
        <v>4376</v>
      </c>
      <c r="D294" s="1465" t="s">
        <v>4429</v>
      </c>
      <c r="E294" s="1470">
        <f>((-1)*(2/((K_VFA_FERM)*(L_ograngeVFA_FERM_AS)))*LN((1/19)*(1+(1/2)*((K_VFA_FERM)*(L_ograngeVFA_FERM_AS)/(K_VFA_FERM)))))</f>
        <v>9.7948563582963093</v>
      </c>
      <c r="F294" s="1428" t="s">
        <v>4404</v>
      </c>
      <c r="G294" s="1471">
        <v>1</v>
      </c>
      <c r="H294" s="1472" t="s">
        <v>1248</v>
      </c>
      <c r="I294" s="1430" t="s">
        <v>4434</v>
      </c>
    </row>
    <row r="295" spans="1:9" s="2133" customFormat="1" outlineLevel="1" x14ac:dyDescent="0.25">
      <c r="B295" s="1464" t="s">
        <v>4375</v>
      </c>
      <c r="C295" s="1465" t="s">
        <v>4377</v>
      </c>
      <c r="D295" s="1465" t="s">
        <v>4420</v>
      </c>
      <c r="E295" s="1470">
        <f>(-1)*(2/(K_VFA_FERM*L_ograngeVFA_FERM_AS))*LN((1/19)*(1+(1/2)*(K_VFA_FERM*L_ograngeVFA_FERM_AS/K_VFA_FERM))) / f_KS</f>
        <v>97.948563582963089</v>
      </c>
      <c r="F295" s="1428" t="s">
        <v>4404</v>
      </c>
      <c r="G295" s="1471">
        <v>1</v>
      </c>
      <c r="H295" s="1472" t="s">
        <v>1175</v>
      </c>
      <c r="I295" s="1518" t="s">
        <v>3452</v>
      </c>
    </row>
    <row r="296" spans="1:9" s="2133" customFormat="1" outlineLevel="1" x14ac:dyDescent="0.25">
      <c r="B296" s="2423" t="s">
        <v>5093</v>
      </c>
      <c r="C296" s="2424" t="s">
        <v>5095</v>
      </c>
      <c r="D296" s="2424" t="s">
        <v>5099</v>
      </c>
      <c r="E296" s="2425">
        <f>((-1)*(2/((K_MEOL_SNO2)*(L_ograngeKMEOL_SNO2)))*LN((1/19)*(1+(1/2)*((K_MEOL_SNO2)*(L_ograngeKMEOL_SNO2)/(K_MEOL_SNO2)))))</f>
        <v>1.3020223851878621</v>
      </c>
      <c r="F296" s="2426" t="s">
        <v>4404</v>
      </c>
      <c r="G296" s="2427">
        <v>1</v>
      </c>
      <c r="H296" s="2428"/>
      <c r="I296" s="2429" t="s">
        <v>4434</v>
      </c>
    </row>
    <row r="297" spans="1:9" s="2133" customFormat="1" outlineLevel="1" x14ac:dyDescent="0.25">
      <c r="B297" s="2423" t="s">
        <v>5104</v>
      </c>
      <c r="C297" s="2424" t="s">
        <v>5106</v>
      </c>
      <c r="D297" s="2424" t="s">
        <v>5105</v>
      </c>
      <c r="E297" s="2425">
        <f>((-1)*(2/((K_NO3_MEOLO)*(L_ograngeSNO3)))*LN((1/19)*(1+(1/2)*((K_NO3_MEOLO)*(L_ograngeSNO3)/(K_NO3_MEOLO)))))</f>
        <v>493.14514334858404</v>
      </c>
      <c r="F297" s="2426" t="s">
        <v>4404</v>
      </c>
      <c r="G297" s="2427">
        <v>1</v>
      </c>
      <c r="H297" s="2428"/>
      <c r="I297" s="2429" t="s">
        <v>4434</v>
      </c>
    </row>
    <row r="298" spans="1:9" s="2133" customFormat="1" ht="18.75" outlineLevel="1" x14ac:dyDescent="0.25">
      <c r="B298" s="1461" t="s">
        <v>4374</v>
      </c>
      <c r="C298" s="1463" t="s">
        <v>4372</v>
      </c>
      <c r="D298" s="1463" t="s">
        <v>4433</v>
      </c>
      <c r="E298" s="1564">
        <f>((-1)*(2/((K_CO2_AOB_pH_AS)*(L_ograngeCO2_AOB_pH_AS)))*LN((1/19)*(1+(1/2)*((K_CO2_AOB_pH_AS)*(L_ograngeCO2_AOB_pH_AS)/(K_CO2_AOB_pH_AS)))))</f>
        <v>5077.947742116552</v>
      </c>
      <c r="F298" s="637" t="s">
        <v>4403</v>
      </c>
      <c r="G298" s="1462">
        <v>1</v>
      </c>
      <c r="H298" s="1449" t="s">
        <v>4879</v>
      </c>
      <c r="I298" s="1444" t="s">
        <v>4434</v>
      </c>
    </row>
    <row r="299" spans="1:9" s="2133" customFormat="1" ht="18.75" outlineLevel="1" x14ac:dyDescent="0.25">
      <c r="B299" s="1445" t="s">
        <v>4374</v>
      </c>
      <c r="C299" s="1463" t="s">
        <v>4373</v>
      </c>
      <c r="D299" s="1463" t="s">
        <v>4432</v>
      </c>
      <c r="E299" s="1564">
        <f>(-1)*(2/(K_CO2_AOB_pH_sidestream*L_ograngeCO2_AOB_pH_sidestream))*LN((1/19)*(1+(1/2)*(K_CO2_AOB_pH_sidestream*L_ograngeCO2_AOB_pH_sidestream/K_CO2_AOB_pH_sidestream)))</f>
        <v>4674.4617279854701</v>
      </c>
      <c r="F299" s="637" t="s">
        <v>4403</v>
      </c>
      <c r="G299" s="1462">
        <v>1</v>
      </c>
      <c r="H299" s="1449" t="s">
        <v>1602</v>
      </c>
      <c r="I299" s="1444" t="s">
        <v>4434</v>
      </c>
    </row>
    <row r="300" spans="1:9" s="2145" customFormat="1" outlineLevel="1" x14ac:dyDescent="0.25">
      <c r="A300" s="2133"/>
      <c r="B300" s="1529" t="s">
        <v>4412</v>
      </c>
      <c r="C300" s="1620" t="s">
        <v>4414</v>
      </c>
      <c r="D300" s="1620" t="s">
        <v>4431</v>
      </c>
      <c r="E300" s="1515">
        <f>((-1)*(2/((K_CO2_NOB_pH_AS)*(L_ograngeCO2_NOB_pH_AS)))*LN((1/19)*(1+(1/2)*((K_CO2_NOB_pH_AS)*(L_ograngeCO2_NOB_pH_AS)/(K_CO2_NOB_pH_AS)))))</f>
        <v>112564.58993032474</v>
      </c>
      <c r="F300" s="1516" t="s">
        <v>4403</v>
      </c>
      <c r="G300" s="1516">
        <v>1</v>
      </c>
      <c r="H300" s="1516"/>
      <c r="I300" s="1530" t="s">
        <v>4434</v>
      </c>
    </row>
    <row r="301" spans="1:9" s="2145" customFormat="1" ht="18.75" outlineLevel="1" x14ac:dyDescent="0.25">
      <c r="A301" s="2133"/>
      <c r="B301" s="282" t="s">
        <v>4409</v>
      </c>
      <c r="C301" s="1595" t="s">
        <v>4413</v>
      </c>
      <c r="D301" s="1485" t="s">
        <v>4430</v>
      </c>
      <c r="E301" s="283">
        <f>((-1)*(2/((K_CO2_AMX_pH_AS)*(L_ograngeCO2_AMX_pH_AS)))*LN((1/19)*(1+(1/2)*((K_CO2_AMX_pH_AS)*(L_ograngeCO2_AMX_pH_AS)/(K_CO2_AMX_pH_AS)))))</f>
        <v>11256.458993032476</v>
      </c>
      <c r="F301" s="643" t="s">
        <v>4403</v>
      </c>
      <c r="G301" s="405">
        <v>1</v>
      </c>
      <c r="H301" s="338"/>
      <c r="I301" s="1517" t="s">
        <v>4434</v>
      </c>
    </row>
    <row r="302" spans="1:9" s="2133" customFormat="1" outlineLevel="1" x14ac:dyDescent="0.25">
      <c r="B302" s="1466" t="s">
        <v>4378</v>
      </c>
      <c r="C302" s="1432" t="s">
        <v>4379</v>
      </c>
      <c r="D302" s="1432" t="s">
        <v>4428</v>
      </c>
      <c r="E302" s="1473">
        <f>((-1)*(2/((K_PO4_PAO)*(L_ograngePO4_PAO_AS_sat)))*LN((1/19)*(1+(1/2)*((K_PO4_PAO)*(L_ograngePO4_PAO_AS_sat)/(K_PO4_PAO)))))</f>
        <v>43.466112375753802</v>
      </c>
      <c r="F302" s="1432" t="s">
        <v>4405</v>
      </c>
      <c r="G302" s="1432">
        <v>1</v>
      </c>
      <c r="H302" s="1432" t="s">
        <v>1248</v>
      </c>
      <c r="I302" s="1435" t="s">
        <v>4434</v>
      </c>
    </row>
    <row r="303" spans="1:9" s="2133" customFormat="1" outlineLevel="1" x14ac:dyDescent="0.25">
      <c r="B303" s="1466" t="s">
        <v>4378</v>
      </c>
      <c r="C303" s="1432" t="s">
        <v>4380</v>
      </c>
      <c r="D303" s="1432" t="s">
        <v>4421</v>
      </c>
      <c r="E303" s="1473">
        <f>(-1)*(2/(K_PO4_PAO*L_ograngePO4_PAO_AS_sat))*LN((1/19)*(1+(1/2)*(K_PO4_PAO*L_ograngePO4_PAO_AS_sat/K_PO4_PAO))) / f_KS</f>
        <v>434.66112375753801</v>
      </c>
      <c r="F303" s="1432" t="s">
        <v>4405</v>
      </c>
      <c r="G303" s="1432">
        <v>1</v>
      </c>
      <c r="H303" s="1432" t="s">
        <v>1175</v>
      </c>
      <c r="I303" s="1435" t="s">
        <v>3452</v>
      </c>
    </row>
    <row r="304" spans="1:9" s="2133" customFormat="1" outlineLevel="1" x14ac:dyDescent="0.25">
      <c r="B304" s="1466" t="s">
        <v>4381</v>
      </c>
      <c r="C304" s="1432" t="s">
        <v>4382</v>
      </c>
      <c r="D304" s="1432" t="s">
        <v>4427</v>
      </c>
      <c r="E304" s="1473">
        <f>((-1)*(2/((K_PO4_PAO)*(L_ograngePP_PAO_AS_sat)))*LN((1/19)*(1+(1/2)*((K_PO4_PAO)*(L_ograngePP_PAO_AS_sat)/(K_PO4_PAO)))))</f>
        <v>92.070580745749538</v>
      </c>
      <c r="F304" s="1432" t="s">
        <v>4405</v>
      </c>
      <c r="G304" s="1432">
        <v>1</v>
      </c>
      <c r="H304" s="1432" t="s">
        <v>1248</v>
      </c>
      <c r="I304" s="1435" t="s">
        <v>4434</v>
      </c>
    </row>
    <row r="305" spans="2:9" s="2133" customFormat="1" outlineLevel="1" x14ac:dyDescent="0.25">
      <c r="B305" s="1466" t="s">
        <v>4381</v>
      </c>
      <c r="C305" s="1432" t="s">
        <v>4383</v>
      </c>
      <c r="D305" s="1432" t="s">
        <v>4422</v>
      </c>
      <c r="E305" s="1473">
        <f>(-1)*(2/(K_PO4_PAO*L_ograngePP_PAO_AS_sat))*LN((1/19)*(1+(1/2)*(K_PO4_PAO*L_ograngePP_PAO_AS_sat/K_PO4_PAO))) / f_KS</f>
        <v>920.70580745749533</v>
      </c>
      <c r="F305" s="1432" t="s">
        <v>4405</v>
      </c>
      <c r="G305" s="1432">
        <v>1</v>
      </c>
      <c r="H305" s="1432" t="s">
        <v>1175</v>
      </c>
      <c r="I305" s="1435" t="s">
        <v>3452</v>
      </c>
    </row>
    <row r="306" spans="2:9" s="2133" customFormat="1" outlineLevel="1" x14ac:dyDescent="0.25">
      <c r="B306" s="1466" t="s">
        <v>4384</v>
      </c>
      <c r="C306" s="1432" t="s">
        <v>4385</v>
      </c>
      <c r="D306" s="1432" t="s">
        <v>4426</v>
      </c>
      <c r="E306" s="1473">
        <f>((-1)*(2/((K_iPHA_PAO_max)*(L_ograngePHA_PAO_inh)))*LN((1/19)*(1+(1/2)*((K_iPHA_PAO_max)*(L_ograngePHA_PAO_inh)/(K_iPHA_PAO_max)))))</f>
        <v>96.521627166566958</v>
      </c>
      <c r="F306" s="1436" t="s">
        <v>2124</v>
      </c>
      <c r="G306" s="1432">
        <v>1</v>
      </c>
      <c r="H306" s="1432"/>
      <c r="I306" s="1435" t="s">
        <v>4434</v>
      </c>
    </row>
    <row r="307" spans="2:9" s="2133" customFormat="1" outlineLevel="1" x14ac:dyDescent="0.25">
      <c r="B307" s="1466" t="s">
        <v>4386</v>
      </c>
      <c r="C307" s="1432" t="s">
        <v>4387</v>
      </c>
      <c r="D307" s="1432" t="s">
        <v>4425</v>
      </c>
      <c r="E307" s="1473">
        <f>((-1)*(2/((K_iPP_PAO_max)*(L_ograngePP_PAO_inh)))*LN((1/19)*(1+(1/2)*((K_iPP_PAO_max)*(L_ograngePP_PAO_inh)/(K_iPP_PAO_max)))))</f>
        <v>96.230554358790513</v>
      </c>
      <c r="F307" s="1436" t="s">
        <v>4402</v>
      </c>
      <c r="G307" s="1432">
        <v>1</v>
      </c>
      <c r="H307" s="1432"/>
      <c r="I307" s="1435" t="s">
        <v>4434</v>
      </c>
    </row>
    <row r="308" spans="2:9" s="2133" customFormat="1" outlineLevel="1" x14ac:dyDescent="0.25">
      <c r="B308" s="2437" t="s">
        <v>5192</v>
      </c>
      <c r="C308" s="2448" t="s">
        <v>5193</v>
      </c>
      <c r="D308" s="2448" t="s">
        <v>5194</v>
      </c>
      <c r="E308" s="1474">
        <f>((-1)*(2/((K_iPHA_GAO_max)*(L_ograngePHA_GAO_inh)))*LN((1/19)*(1+(1/2)*((K_iPHA_GAO_max)*(L_ograngePHA_GAO_inh)/(K_iPHA_GAO_max)))))</f>
        <v>96.205669034748837</v>
      </c>
      <c r="F308" s="1467" t="s">
        <v>2124</v>
      </c>
      <c r="G308" s="1467">
        <v>1</v>
      </c>
      <c r="H308" s="1475"/>
      <c r="I308" s="1476" t="s">
        <v>4434</v>
      </c>
    </row>
    <row r="309" spans="2:9" s="1928" customFormat="1" ht="18.75" outlineLevel="1" x14ac:dyDescent="0.25">
      <c r="B309" s="1690" t="s">
        <v>4443</v>
      </c>
      <c r="C309" s="1691" t="s">
        <v>4444</v>
      </c>
      <c r="D309" s="1691" t="s">
        <v>4445</v>
      </c>
      <c r="E309" s="1775">
        <f>((-1)*(2/((K_iNH3_AMETO_pH)*(L_ograngeNH3_AMETO)))*LN((1/19)*(1+(1/2)*((K_iNH3_AMETO_pH)*(L_ograngeNH3_AMETO)/(K_iNH3_AMETO_pH)))))</f>
        <v>57.970947247187361</v>
      </c>
      <c r="F309" s="1693" t="s">
        <v>4450</v>
      </c>
      <c r="G309" s="1694">
        <v>1</v>
      </c>
      <c r="H309" s="1686"/>
      <c r="I309" s="1689" t="s">
        <v>4434</v>
      </c>
    </row>
    <row r="310" spans="2:9" s="2133" customFormat="1" outlineLevel="1" x14ac:dyDescent="0.25">
      <c r="B310" s="1468" t="s">
        <v>4388</v>
      </c>
      <c r="C310" s="1469" t="s">
        <v>4389</v>
      </c>
      <c r="D310" s="1469" t="s">
        <v>4424</v>
      </c>
      <c r="E310" s="1477">
        <f>((-1)*(2/((K_iP_HFO_DISS)*(L_ograngeP_HFO_DISS)))*LN((1/19)*(1+(1/2)*((K_iP_HFO_DISS)*(L_ograngeP_HFO_DISS)/(K_iP_HFO_DISS)))))</f>
        <v>507.79477421165524</v>
      </c>
      <c r="F310" s="1469" t="s">
        <v>4405</v>
      </c>
      <c r="G310" s="1478">
        <v>1</v>
      </c>
      <c r="H310" s="1469"/>
      <c r="I310" s="1479" t="s">
        <v>4434</v>
      </c>
    </row>
    <row r="311" spans="2:9" s="2133" customFormat="1" ht="18.75" outlineLevel="1" thickBot="1" x14ac:dyDescent="0.3">
      <c r="B311" s="1480" t="s">
        <v>4390</v>
      </c>
      <c r="C311" s="1481" t="s">
        <v>4391</v>
      </c>
      <c r="D311" s="1481" t="s">
        <v>4423</v>
      </c>
      <c r="E311" s="1482">
        <f>((-1)*(2/((K_iP_HAO_DISS)*(L_ograngeP_HAO_DISS)))*LN((1/19)*(1+(1/2)*((K_iP_HAO_DISS)*(L_ograngeP_HAO_DISS)/(K_iP_HAO_DISS)))))</f>
        <v>2251.2917986064954</v>
      </c>
      <c r="F311" s="1481" t="s">
        <v>4405</v>
      </c>
      <c r="G311" s="1483">
        <v>1</v>
      </c>
      <c r="H311" s="1481"/>
      <c r="I311" s="1484" t="s">
        <v>4434</v>
      </c>
    </row>
    <row r="312" spans="2:9" s="2133" customFormat="1" ht="18" customHeight="1" thickBot="1" x14ac:dyDescent="0.3">
      <c r="B312" s="4"/>
      <c r="C312" s="4"/>
      <c r="D312" s="4"/>
      <c r="E312" s="1934"/>
      <c r="F312" s="4"/>
      <c r="G312" s="4"/>
      <c r="H312" s="4"/>
      <c r="I312" s="4"/>
    </row>
    <row r="313" spans="2:9" s="2133" customFormat="1" ht="18" customHeight="1" thickBot="1" x14ac:dyDescent="0.3">
      <c r="B313" s="113"/>
      <c r="C313" s="1089" t="s">
        <v>1938</v>
      </c>
      <c r="D313" s="14" t="s">
        <v>299</v>
      </c>
      <c r="E313" s="14"/>
      <c r="F313" s="113"/>
      <c r="G313" s="113"/>
      <c r="H313" s="113"/>
      <c r="I313" s="113"/>
    </row>
    <row r="314" spans="2:9" s="2133" customFormat="1" ht="18" customHeight="1" thickBot="1" x14ac:dyDescent="0.3">
      <c r="B314" s="1939" t="s">
        <v>0</v>
      </c>
      <c r="C314" s="1942" t="s">
        <v>1</v>
      </c>
      <c r="D314" s="1945" t="s">
        <v>5</v>
      </c>
      <c r="E314" s="1945" t="s">
        <v>152</v>
      </c>
      <c r="F314" s="1945" t="s">
        <v>2</v>
      </c>
      <c r="G314" s="1945" t="s">
        <v>298</v>
      </c>
      <c r="H314" s="1945" t="s">
        <v>116</v>
      </c>
      <c r="I314" s="1948" t="s">
        <v>117</v>
      </c>
    </row>
    <row r="315" spans="2:9" ht="18" customHeight="1" outlineLevel="1" x14ac:dyDescent="0.25">
      <c r="B315" s="1696" t="s">
        <v>1816</v>
      </c>
      <c r="C315" s="1697" t="s">
        <v>2702</v>
      </c>
      <c r="D315" s="1697" t="s">
        <v>1817</v>
      </c>
      <c r="E315" s="1698">
        <f>((1+2*10^(0.5*((p_Hlow)-(p_Hhigh))))/(1+10^((p_H)-(p_Hhigh))+10^((p_Hlow)-(p_H))))</f>
        <v>0.99997841972817147</v>
      </c>
      <c r="F315" s="1699" t="s">
        <v>282</v>
      </c>
      <c r="G315" s="1699">
        <v>2</v>
      </c>
      <c r="H315" s="1700" t="s">
        <v>11</v>
      </c>
      <c r="I315" s="1701"/>
    </row>
    <row r="316" spans="2:9" ht="18" customHeight="1" outlineLevel="1" x14ac:dyDescent="0.25">
      <c r="B316" s="1702" t="s">
        <v>1816</v>
      </c>
      <c r="C316" s="1703" t="s">
        <v>2702</v>
      </c>
      <c r="D316" s="2128" t="s">
        <v>4880</v>
      </c>
      <c r="E316" s="1704">
        <f>1</f>
        <v>1</v>
      </c>
      <c r="F316" s="1705" t="s">
        <v>282</v>
      </c>
      <c r="G316" s="1705">
        <v>0</v>
      </c>
      <c r="H316" s="1706" t="s">
        <v>1150</v>
      </c>
      <c r="I316" s="1707"/>
    </row>
    <row r="317" spans="2:9" outlineLevel="1" x14ac:dyDescent="0.25">
      <c r="B317" s="2127" t="s">
        <v>4722</v>
      </c>
      <c r="C317" s="1051" t="s">
        <v>4723</v>
      </c>
      <c r="D317" s="2128" t="s">
        <v>4724</v>
      </c>
      <c r="E317" s="2129">
        <f>((1+2*10^(0.5*((p_Hlow_AOB)-(p_Hhigh_AOB))))/(1+10^((p_H)-(p_Hhigh_AOB))+10^((p_Hlow_AOB)-(p_H))))</f>
        <v>0.98233028995495941</v>
      </c>
      <c r="F317" s="2130" t="s">
        <v>282</v>
      </c>
      <c r="G317" s="2130">
        <v>2</v>
      </c>
      <c r="H317" s="2131" t="s">
        <v>11</v>
      </c>
      <c r="I317" s="2132"/>
    </row>
    <row r="318" spans="2:9" outlineLevel="1" x14ac:dyDescent="0.25">
      <c r="B318" s="2127" t="s">
        <v>4722</v>
      </c>
      <c r="C318" s="2128" t="s">
        <v>4723</v>
      </c>
      <c r="D318" s="2128" t="s">
        <v>4881</v>
      </c>
      <c r="E318" s="2129">
        <f>1</f>
        <v>1</v>
      </c>
      <c r="F318" s="2130" t="s">
        <v>282</v>
      </c>
      <c r="G318" s="2130">
        <v>0</v>
      </c>
      <c r="H318" s="2131" t="s">
        <v>1150</v>
      </c>
      <c r="I318" s="2132"/>
    </row>
    <row r="319" spans="2:9" outlineLevel="1" x14ac:dyDescent="0.25">
      <c r="B319" s="2127" t="s">
        <v>4725</v>
      </c>
      <c r="C319" s="1051" t="s">
        <v>4726</v>
      </c>
      <c r="D319" s="2128" t="s">
        <v>4727</v>
      </c>
      <c r="E319" s="2129">
        <f>((1+2*10^(0.5*((p_Hlow_NOB)-(p_Hhigh_NOB))))/(1+10^((p_H)-(p_Hhigh_NOB))+10^((p_Hlow_NOB)-(p_H))))</f>
        <v>0.98233028995495941</v>
      </c>
      <c r="F319" s="2130" t="s">
        <v>282</v>
      </c>
      <c r="G319" s="2130">
        <v>2</v>
      </c>
      <c r="H319" s="2131" t="s">
        <v>11</v>
      </c>
      <c r="I319" s="2132"/>
    </row>
    <row r="320" spans="2:9" outlineLevel="1" x14ac:dyDescent="0.25">
      <c r="B320" s="2127" t="s">
        <v>4725</v>
      </c>
      <c r="C320" s="2128" t="s">
        <v>4726</v>
      </c>
      <c r="D320" s="2128" t="s">
        <v>4882</v>
      </c>
      <c r="E320" s="2129">
        <f>1</f>
        <v>1</v>
      </c>
      <c r="F320" s="2130" t="s">
        <v>282</v>
      </c>
      <c r="G320" s="2130">
        <v>0</v>
      </c>
      <c r="H320" s="2131" t="s">
        <v>1150</v>
      </c>
      <c r="I320" s="2132"/>
    </row>
    <row r="321" spans="1:9" ht="18" customHeight="1" outlineLevel="1" x14ac:dyDescent="0.25">
      <c r="B321" s="1702" t="s">
        <v>1975</v>
      </c>
      <c r="C321" s="1703" t="s">
        <v>2703</v>
      </c>
      <c r="D321" s="1703" t="s">
        <v>1977</v>
      </c>
      <c r="E321" s="1704">
        <f>((1+2*10^(0.5*((p_Hlow_AMETO)-(p_Hhigh_AMETO))))/(1+10^((p_H)-(p_Hhigh_AMETO))+10^((p_Hlow_AMETO)-(p_H))))</f>
        <v>0.99932217031298287</v>
      </c>
      <c r="F321" s="1705" t="s">
        <v>282</v>
      </c>
      <c r="G321" s="1705">
        <v>2</v>
      </c>
      <c r="H321" s="1706" t="s">
        <v>11</v>
      </c>
      <c r="I321" s="1707"/>
    </row>
    <row r="322" spans="1:9" ht="18" customHeight="1" outlineLevel="1" x14ac:dyDescent="0.25">
      <c r="B322" s="1702" t="s">
        <v>1975</v>
      </c>
      <c r="C322" s="1703" t="s">
        <v>2703</v>
      </c>
      <c r="D322" s="1703" t="s">
        <v>4883</v>
      </c>
      <c r="E322" s="1704">
        <f>1</f>
        <v>1</v>
      </c>
      <c r="F322" s="1705" t="s">
        <v>282</v>
      </c>
      <c r="G322" s="1705">
        <v>0</v>
      </c>
      <c r="H322" s="1706" t="s">
        <v>1150</v>
      </c>
      <c r="I322" s="1707"/>
    </row>
    <row r="323" spans="1:9" ht="18" customHeight="1" outlineLevel="1" x14ac:dyDescent="0.25">
      <c r="B323" s="1702" t="s">
        <v>1976</v>
      </c>
      <c r="C323" s="1703" t="s">
        <v>2704</v>
      </c>
      <c r="D323" s="1703" t="s">
        <v>1978</v>
      </c>
      <c r="E323" s="1704">
        <f>((1+2*10^(0.5*((p_Hlow_HMETO)-(p_Hhigh_HMETO))))/(1+10^((p_H)-(p_Hhigh_HMETO))+10^((p_Hlow_HMETO)-(p_H))))</f>
        <v>0.99932217031298287</v>
      </c>
      <c r="F323" s="1705" t="s">
        <v>282</v>
      </c>
      <c r="G323" s="1705">
        <v>2</v>
      </c>
      <c r="H323" s="1706" t="s">
        <v>11</v>
      </c>
      <c r="I323" s="1707"/>
    </row>
    <row r="324" spans="1:9" ht="18" customHeight="1" outlineLevel="1" x14ac:dyDescent="0.25">
      <c r="B324" s="1702" t="s">
        <v>1976</v>
      </c>
      <c r="C324" s="1703" t="s">
        <v>2704</v>
      </c>
      <c r="D324" s="1703" t="s">
        <v>4884</v>
      </c>
      <c r="E324" s="1704">
        <f>1</f>
        <v>1</v>
      </c>
      <c r="F324" s="1705" t="s">
        <v>282</v>
      </c>
      <c r="G324" s="1705">
        <v>0</v>
      </c>
      <c r="H324" s="1706" t="s">
        <v>1150</v>
      </c>
      <c r="I324" s="1707"/>
    </row>
    <row r="325" spans="1:9" outlineLevel="1" x14ac:dyDescent="0.25">
      <c r="B325" s="2127" t="s">
        <v>4929</v>
      </c>
      <c r="C325" s="2363" t="s">
        <v>4930</v>
      </c>
      <c r="D325" s="2128" t="s">
        <v>4931</v>
      </c>
      <c r="E325" s="2129">
        <f>((1+2*10^(0.5*((p_Hlow_FLOC_HFO)-(p_Hhigh_FLOC_HFO))))/(1+10^((p_H)-(p_Hhigh_FLOC_HFO))+10^((p_Hlow_FLOC_HFO)-(p_H))))</f>
        <v>0.99788828703368959</v>
      </c>
      <c r="F325" s="2130" t="s">
        <v>282</v>
      </c>
      <c r="G325" s="2130">
        <v>2</v>
      </c>
      <c r="H325" s="2131" t="s">
        <v>11</v>
      </c>
      <c r="I325" s="2132"/>
    </row>
    <row r="326" spans="1:9" outlineLevel="1" x14ac:dyDescent="0.25">
      <c r="B326" s="2127" t="s">
        <v>4929</v>
      </c>
      <c r="C326" s="2128" t="s">
        <v>4930</v>
      </c>
      <c r="D326" s="2128" t="s">
        <v>4932</v>
      </c>
      <c r="E326" s="2129">
        <f>1</f>
        <v>1</v>
      </c>
      <c r="F326" s="2130" t="s">
        <v>282</v>
      </c>
      <c r="G326" s="2130">
        <v>0</v>
      </c>
      <c r="H326" s="2131" t="s">
        <v>1150</v>
      </c>
      <c r="I326" s="2132"/>
    </row>
    <row r="327" spans="1:9" outlineLevel="1" x14ac:dyDescent="0.25">
      <c r="B327" s="2127" t="s">
        <v>4933</v>
      </c>
      <c r="C327" s="2363" t="s">
        <v>4934</v>
      </c>
      <c r="D327" s="2128" t="s">
        <v>4935</v>
      </c>
      <c r="E327" s="2129">
        <f>((1+2*10^(0.5*((p_Hlow_FLOC_HAO)-(p_Hhigh_FLOC_HAO))))/(1+10^((p_H)-(p_Hhigh_FLOC_HAO))+10^((p_Hlow_FLOC_HAO)-(p_H))))</f>
        <v>0.99788828703368959</v>
      </c>
      <c r="F327" s="2130" t="s">
        <v>282</v>
      </c>
      <c r="G327" s="2130">
        <v>2</v>
      </c>
      <c r="H327" s="2131" t="s">
        <v>11</v>
      </c>
      <c r="I327" s="2132"/>
    </row>
    <row r="328" spans="1:9" outlineLevel="1" x14ac:dyDescent="0.25">
      <c r="B328" s="2127" t="s">
        <v>4933</v>
      </c>
      <c r="C328" s="2128" t="s">
        <v>4934</v>
      </c>
      <c r="D328" s="2128" t="s">
        <v>4936</v>
      </c>
      <c r="E328" s="2129">
        <f>1</f>
        <v>1</v>
      </c>
      <c r="F328" s="2130" t="s">
        <v>282</v>
      </c>
      <c r="G328" s="2130">
        <v>0</v>
      </c>
      <c r="H328" s="2131" t="s">
        <v>1150</v>
      </c>
      <c r="I328" s="2132"/>
    </row>
    <row r="329" spans="1:9" ht="18" customHeight="1" outlineLevel="1" x14ac:dyDescent="0.25">
      <c r="B329" s="1708" t="s">
        <v>2310</v>
      </c>
      <c r="C329" s="1709" t="s">
        <v>2705</v>
      </c>
      <c r="D329" s="1709" t="s">
        <v>2713</v>
      </c>
      <c r="E329" s="1710">
        <f>((K_iHNO2_AOB_pH)/((K_iHNO2_AOB_pH)+(conc_HNO2_I)))</f>
        <v>0.99999999999991396</v>
      </c>
      <c r="F329" s="1710" t="s">
        <v>282</v>
      </c>
      <c r="G329" s="1710">
        <v>2</v>
      </c>
      <c r="H329" s="1710"/>
      <c r="I329" s="1711"/>
    </row>
    <row r="330" spans="1:9" s="104" customFormat="1" ht="18" customHeight="1" outlineLevel="1" x14ac:dyDescent="0.25">
      <c r="A330" s="113"/>
      <c r="B330" s="1708" t="s">
        <v>2311</v>
      </c>
      <c r="C330" s="1709" t="s">
        <v>2706</v>
      </c>
      <c r="D330" s="1712" t="s">
        <v>4392</v>
      </c>
      <c r="E330" s="1713">
        <f>((conc_HCO3m_I)/((conc_HCO3m_I)+(K_CO2_AOB_pH)*EXP(((K_CO2_AOB_pH)-(conc_HCO3m_I))*(L_ogslopeCO2_AOB_pH))))</f>
        <v>0.99999999997903732</v>
      </c>
      <c r="F330" s="1714" t="s">
        <v>282</v>
      </c>
      <c r="G330" s="1714">
        <v>2</v>
      </c>
      <c r="H330" s="1710"/>
      <c r="I330" s="1711"/>
    </row>
    <row r="331" spans="1:9" s="104" customFormat="1" ht="18" customHeight="1" outlineLevel="1" x14ac:dyDescent="0.25">
      <c r="A331" s="113"/>
      <c r="B331" s="1529" t="s">
        <v>2312</v>
      </c>
      <c r="C331" s="1620" t="s">
        <v>2707</v>
      </c>
      <c r="D331" s="1715" t="s">
        <v>2712</v>
      </c>
      <c r="E331" s="1716">
        <f>((K_iNH3_NOB_pH)/((K_iNH3_NOB_pH)+(conc_NH3_I)))</f>
        <v>0.99999999995542743</v>
      </c>
      <c r="F331" s="1717" t="s">
        <v>282</v>
      </c>
      <c r="G331" s="1717">
        <v>2</v>
      </c>
      <c r="H331" s="1516"/>
      <c r="I331" s="1718"/>
    </row>
    <row r="332" spans="1:9" s="104" customFormat="1" ht="18" customHeight="1" outlineLevel="1" x14ac:dyDescent="0.25">
      <c r="A332" s="113"/>
      <c r="B332" s="1529" t="s">
        <v>2313</v>
      </c>
      <c r="C332" s="1620" t="s">
        <v>2708</v>
      </c>
      <c r="D332" s="1715" t="s">
        <v>4415</v>
      </c>
      <c r="E332" s="1716">
        <f>((conc_HCO3m_I)/((conc_HCO3m_I)+(K_CO2_NOB_pH)*EXP(((K_CO2_NOB_pH)-(conc_HCO3m_I))*(L_ogslopeCO2_NOB_pH))))</f>
        <v>1</v>
      </c>
      <c r="F332" s="1717" t="s">
        <v>282</v>
      </c>
      <c r="G332" s="1717">
        <v>2</v>
      </c>
      <c r="H332" s="1516"/>
      <c r="I332" s="1530"/>
    </row>
    <row r="333" spans="1:9" s="104" customFormat="1" ht="18" customHeight="1" outlineLevel="1" x14ac:dyDescent="0.25">
      <c r="A333" s="113"/>
      <c r="B333" s="1719" t="s">
        <v>2314</v>
      </c>
      <c r="C333" s="1720" t="s">
        <v>2709</v>
      </c>
      <c r="D333" s="1721" t="s">
        <v>4408</v>
      </c>
      <c r="E333" s="1722">
        <f>((conc_HCO3m_I)/((conc_HCO3m_I)+(K_CO2_AMX_pH)*EXP(((K_CO2_AMX_pH)-(conc_HCO3m_I))*(L_ogslopeCO2_AMX_pH))))</f>
        <v>1</v>
      </c>
      <c r="F333" s="1723" t="s">
        <v>282</v>
      </c>
      <c r="G333" s="1723">
        <v>2</v>
      </c>
      <c r="H333" s="1724"/>
      <c r="I333" s="1725"/>
    </row>
    <row r="334" spans="1:9" ht="18" customHeight="1" outlineLevel="1" x14ac:dyDescent="0.25">
      <c r="B334" s="1719" t="s">
        <v>2315</v>
      </c>
      <c r="C334" s="1720" t="s">
        <v>2710</v>
      </c>
      <c r="D334" s="1726" t="s">
        <v>2711</v>
      </c>
      <c r="E334" s="1724">
        <f>((K_iHNO2_AMX_pH)/((K_iHNO2_AMX_pH)+(conc_HNO2_I)))</f>
        <v>0.99999999913998838</v>
      </c>
      <c r="F334" s="1724" t="s">
        <v>282</v>
      </c>
      <c r="G334" s="1724">
        <v>2</v>
      </c>
      <c r="H334" s="1724"/>
      <c r="I334" s="1725"/>
    </row>
    <row r="335" spans="1:9" s="1928" customFormat="1" outlineLevel="1" x14ac:dyDescent="0.25">
      <c r="B335" s="1690" t="s">
        <v>4446</v>
      </c>
      <c r="C335" s="1691" t="s">
        <v>4447</v>
      </c>
      <c r="D335" s="1691" t="s">
        <v>4448</v>
      </c>
      <c r="E335" s="1695">
        <f>(1-(conc_NH3_I)/((conc_NH3_I)+(K_iNH3_AMETO_pH)*EXP(((K_iNH3_AMETO_pH)-(conc_NH3_I))*(L_ogslopeNH3_AMETO_pH))))</f>
        <v>1</v>
      </c>
      <c r="F335" s="1693" t="s">
        <v>282</v>
      </c>
      <c r="G335" s="1694">
        <v>2</v>
      </c>
      <c r="H335" s="1686"/>
      <c r="I335" s="1689"/>
    </row>
    <row r="336" spans="1:9" s="2133" customFormat="1" ht="18" customHeight="1" thickBot="1" x14ac:dyDescent="0.3">
      <c r="B336" s="4"/>
      <c r="C336" s="4"/>
      <c r="D336" s="4"/>
      <c r="E336" s="1934"/>
      <c r="F336" s="4"/>
      <c r="G336" s="4"/>
      <c r="H336" s="4"/>
      <c r="I336" s="4"/>
    </row>
    <row r="337" spans="2:9" s="2133" customFormat="1" ht="18" customHeight="1" thickBot="1" x14ac:dyDescent="0.3">
      <c r="B337" s="113"/>
      <c r="C337" s="1089" t="s">
        <v>891</v>
      </c>
      <c r="D337" s="14" t="s">
        <v>299</v>
      </c>
      <c r="E337" s="14"/>
      <c r="F337" s="113"/>
      <c r="G337" s="113"/>
      <c r="H337" s="113"/>
      <c r="I337" s="113"/>
    </row>
    <row r="338" spans="2:9" s="2133" customFormat="1" ht="18" customHeight="1" thickBot="1" x14ac:dyDescent="0.3">
      <c r="B338" s="1939" t="s">
        <v>0</v>
      </c>
      <c r="C338" s="1942" t="s">
        <v>1</v>
      </c>
      <c r="D338" s="1945" t="s">
        <v>5</v>
      </c>
      <c r="E338" s="1945" t="s">
        <v>152</v>
      </c>
      <c r="F338" s="1945" t="s">
        <v>2</v>
      </c>
      <c r="G338" s="1945" t="s">
        <v>298</v>
      </c>
      <c r="H338" s="1945" t="s">
        <v>116</v>
      </c>
      <c r="I338" s="1948" t="s">
        <v>117</v>
      </c>
    </row>
    <row r="339" spans="2:9" ht="18" customHeight="1" outlineLevel="1" x14ac:dyDescent="0.25">
      <c r="B339" s="1011" t="s">
        <v>1792</v>
      </c>
      <c r="C339" s="1051" t="s">
        <v>2716</v>
      </c>
      <c r="D339" s="1051" t="s">
        <v>1793</v>
      </c>
      <c r="E339" s="1047">
        <f>(MAX((S_AN)-S_umo__MSatMin,0)/((K_AN)+(S_AN)))</f>
        <v>0.99933377748167895</v>
      </c>
      <c r="F339" s="1047" t="s">
        <v>282</v>
      </c>
      <c r="G339" s="1047">
        <v>2</v>
      </c>
      <c r="H339" s="1016"/>
      <c r="I339" s="1081"/>
    </row>
    <row r="340" spans="2:9" ht="18" customHeight="1" outlineLevel="1" x14ac:dyDescent="0.25">
      <c r="B340" s="1009" t="s">
        <v>1790</v>
      </c>
      <c r="C340" s="1621" t="s">
        <v>2717</v>
      </c>
      <c r="D340" s="1052" t="s">
        <v>1791</v>
      </c>
      <c r="E340" s="1053">
        <f>(MAX((S_CAT)-S_umo__MSatMin,0)/((K_CAT)+(S_CAT)))</f>
        <v>0.99715099715099709</v>
      </c>
      <c r="F340" s="1053" t="s">
        <v>282</v>
      </c>
      <c r="G340" s="1053">
        <v>2</v>
      </c>
      <c r="H340" s="81"/>
      <c r="I340" s="1082"/>
    </row>
    <row r="341" spans="2:9" ht="18" customHeight="1" outlineLevel="1" x14ac:dyDescent="0.25">
      <c r="B341" s="762" t="s">
        <v>3584</v>
      </c>
      <c r="C341" s="1623" t="s">
        <v>3585</v>
      </c>
      <c r="D341" s="1623" t="s">
        <v>3586</v>
      </c>
      <c r="E341" s="1048">
        <f>(MAX((S_Ca)-S_umo__MSatMin,0)/((K_Ca_BIO)+(S_Ca)))</f>
        <v>0.99999933333377777</v>
      </c>
      <c r="F341" s="1048" t="s">
        <v>282</v>
      </c>
      <c r="G341" s="1048">
        <v>2</v>
      </c>
      <c r="H341" s="763"/>
      <c r="I341" s="1078"/>
    </row>
    <row r="342" spans="2:9" ht="18" customHeight="1" outlineLevel="1" x14ac:dyDescent="0.25">
      <c r="B342" s="762" t="s">
        <v>3587</v>
      </c>
      <c r="C342" s="1623" t="s">
        <v>3588</v>
      </c>
      <c r="D342" s="1623" t="s">
        <v>3589</v>
      </c>
      <c r="E342" s="1048">
        <f>(MAX((S_Mg)-S_umo__MSatMin,0)/((K_Mg_BIO)+(S_Mg)))</f>
        <v>0.99999333337777752</v>
      </c>
      <c r="F342" s="1048" t="s">
        <v>282</v>
      </c>
      <c r="G342" s="1048">
        <v>2</v>
      </c>
      <c r="H342" s="763"/>
      <c r="I342" s="1078"/>
    </row>
    <row r="343" spans="2:9" ht="18" customHeight="1" outlineLevel="1" x14ac:dyDescent="0.25">
      <c r="B343" s="1009" t="s">
        <v>1806</v>
      </c>
      <c r="C343" s="1621" t="s">
        <v>2718</v>
      </c>
      <c r="D343" s="1052" t="s">
        <v>1807</v>
      </c>
      <c r="E343" s="1053">
        <f>(MAX((S_CO2)-S_umo__MSatMin,0)/((K_CO2_BIO)+(S_CO2)))</f>
        <v>0.98404255319148937</v>
      </c>
      <c r="F343" s="1053" t="s">
        <v>282</v>
      </c>
      <c r="G343" s="1053">
        <v>2</v>
      </c>
      <c r="H343" s="81"/>
      <c r="I343" s="1082"/>
    </row>
    <row r="344" spans="2:9" ht="18" customHeight="1" outlineLevel="1" x14ac:dyDescent="0.25">
      <c r="B344" s="1009" t="s">
        <v>1786</v>
      </c>
      <c r="C344" s="1621" t="s">
        <v>2719</v>
      </c>
      <c r="D344" s="1052" t="s">
        <v>1787</v>
      </c>
      <c r="E344" s="1053">
        <f>(MAX((S_NHx)-S_umo__MSatMin,0)/((K_NHx_BIO)+(S_NHx)))</f>
        <v>0.99502487562189068</v>
      </c>
      <c r="F344" s="1053" t="s">
        <v>282</v>
      </c>
      <c r="G344" s="1053">
        <v>2</v>
      </c>
      <c r="H344" s="81"/>
      <c r="I344" s="1082"/>
    </row>
    <row r="345" spans="2:9" ht="18" customHeight="1" outlineLevel="1" x14ac:dyDescent="0.25">
      <c r="B345" s="1009" t="s">
        <v>1788</v>
      </c>
      <c r="C345" s="1621" t="s">
        <v>2720</v>
      </c>
      <c r="D345" s="1052" t="s">
        <v>1789</v>
      </c>
      <c r="E345" s="1053">
        <f>(MAX((S_PO4)-S_umo__MSatMin,0)/((K_PO4_BIO)+(S_PO4)))</f>
        <v>0.99601593625498008</v>
      </c>
      <c r="F345" s="1053" t="s">
        <v>282</v>
      </c>
      <c r="G345" s="1053">
        <v>2</v>
      </c>
      <c r="H345" s="81"/>
      <c r="I345" s="1082"/>
    </row>
    <row r="346" spans="2:9" ht="18" customHeight="1" outlineLevel="1" x14ac:dyDescent="0.25">
      <c r="B346" s="161" t="s">
        <v>2316</v>
      </c>
      <c r="C346" s="1598" t="s">
        <v>2863</v>
      </c>
      <c r="D346" s="1599" t="s">
        <v>2317</v>
      </c>
      <c r="E346" s="342">
        <f>((K_NO2_OHO)/((K_NO2_OHO)+(S_NO2)))</f>
        <v>0.33333333333333331</v>
      </c>
      <c r="F346" s="277" t="s">
        <v>282</v>
      </c>
      <c r="G346" s="277">
        <v>2</v>
      </c>
      <c r="H346" s="216"/>
      <c r="I346" s="356"/>
    </row>
    <row r="347" spans="2:9" ht="18" customHeight="1" outlineLevel="1" x14ac:dyDescent="0.25">
      <c r="B347" s="161" t="s">
        <v>2318</v>
      </c>
      <c r="C347" s="1598" t="s">
        <v>2864</v>
      </c>
      <c r="D347" s="1599" t="s">
        <v>2319</v>
      </c>
      <c r="E347" s="342">
        <f>((K_NO3_OHO)/((K_NO3_OHO)+(S_NO3)))</f>
        <v>0.2</v>
      </c>
      <c r="F347" s="277" t="s">
        <v>282</v>
      </c>
      <c r="G347" s="277">
        <v>2</v>
      </c>
      <c r="H347" s="216"/>
      <c r="I347" s="356"/>
    </row>
    <row r="348" spans="2:9" ht="18" customHeight="1" outlineLevel="1" x14ac:dyDescent="0.25">
      <c r="B348" s="545" t="s">
        <v>1813</v>
      </c>
      <c r="C348" s="1598" t="s">
        <v>2721</v>
      </c>
      <c r="D348" s="1598" t="s">
        <v>1937</v>
      </c>
      <c r="E348" s="543">
        <f>((K_O2_OHO)/((K_O2_OHO)+(S_O2)))</f>
        <v>6.9767441860465115E-2</v>
      </c>
      <c r="F348" s="543" t="s">
        <v>282</v>
      </c>
      <c r="G348" s="543">
        <v>2</v>
      </c>
      <c r="H348" s="546"/>
      <c r="I348" s="547"/>
    </row>
    <row r="349" spans="2:9" ht="18" customHeight="1" outlineLevel="1" x14ac:dyDescent="0.25">
      <c r="B349" s="548" t="s">
        <v>1811</v>
      </c>
      <c r="C349" s="1624" t="s">
        <v>2722</v>
      </c>
      <c r="D349" s="1600" t="s">
        <v>1812</v>
      </c>
      <c r="E349" s="544">
        <f>((K_VFA)/((K_VFA)+(S_VFA)))</f>
        <v>0.98039215686274506</v>
      </c>
      <c r="F349" s="544" t="s">
        <v>282</v>
      </c>
      <c r="G349" s="544">
        <v>2</v>
      </c>
      <c r="H349" s="549"/>
      <c r="I349" s="550"/>
    </row>
    <row r="350" spans="2:9" ht="18" customHeight="1" outlineLevel="1" x14ac:dyDescent="0.25">
      <c r="B350" s="161" t="s">
        <v>1794</v>
      </c>
      <c r="C350" s="1598" t="s">
        <v>2723</v>
      </c>
      <c r="D350" s="1599" t="s">
        <v>1795</v>
      </c>
      <c r="E350" s="277">
        <f>(MAX((S_B)-S_umo__MSatMin,0)/((K_SB)+(S_B)))</f>
        <v>0.16666666666666666</v>
      </c>
      <c r="F350" s="277" t="s">
        <v>282</v>
      </c>
      <c r="G350" s="277">
        <v>2</v>
      </c>
      <c r="H350" s="216"/>
      <c r="I350" s="356"/>
    </row>
    <row r="351" spans="2:9" ht="18" customHeight="1" outlineLevel="1" x14ac:dyDescent="0.25">
      <c r="B351" s="161" t="s">
        <v>1853</v>
      </c>
      <c r="C351" s="1598" t="s">
        <v>2724</v>
      </c>
      <c r="D351" s="1599" t="s">
        <v>1852</v>
      </c>
      <c r="E351" s="277">
        <f>(MAX((S_B)-S_umo__MSatMin,0)/((K_SB_ana)+(S_B)))</f>
        <v>0.16666666666666666</v>
      </c>
      <c r="F351" s="277" t="s">
        <v>282</v>
      </c>
      <c r="G351" s="277">
        <v>2</v>
      </c>
      <c r="H351" s="216"/>
      <c r="I351" s="356"/>
    </row>
    <row r="352" spans="2:9" ht="18" customHeight="1" outlineLevel="1" x14ac:dyDescent="0.25">
      <c r="B352" s="161" t="s">
        <v>1782</v>
      </c>
      <c r="C352" s="1598" t="s">
        <v>2725</v>
      </c>
      <c r="D352" s="1599" t="s">
        <v>1783</v>
      </c>
      <c r="E352" s="277">
        <f>(MAX((S_MEOL)-S_umo__MSatMin,0)/((K_MEOL_OHO)+(S_MEOL)))</f>
        <v>0</v>
      </c>
      <c r="F352" s="277" t="s">
        <v>282</v>
      </c>
      <c r="G352" s="277">
        <v>2</v>
      </c>
      <c r="H352" s="216"/>
      <c r="I352" s="356"/>
    </row>
    <row r="353" spans="1:9" s="2133" customFormat="1" ht="18" customHeight="1" outlineLevel="1" x14ac:dyDescent="0.25">
      <c r="B353" s="1173" t="s">
        <v>2411</v>
      </c>
      <c r="C353" s="1598" t="s">
        <v>2732</v>
      </c>
      <c r="D353" s="1625" t="s">
        <v>2412</v>
      </c>
      <c r="E353" s="403">
        <f>(MAX((S_NO2)-S_umo__MSatMin,0)/((K_NO2_OHO)+(S_NO2)))</f>
        <v>0.66666666666666663</v>
      </c>
      <c r="F353" s="403" t="s">
        <v>282</v>
      </c>
      <c r="G353" s="403">
        <v>2</v>
      </c>
      <c r="H353" s="1531"/>
      <c r="I353" s="1565"/>
    </row>
    <row r="354" spans="1:9" s="460" customFormat="1" ht="18" customHeight="1" outlineLevel="1" x14ac:dyDescent="0.25">
      <c r="B354" s="1173" t="s">
        <v>2413</v>
      </c>
      <c r="C354" s="1598" t="s">
        <v>2731</v>
      </c>
      <c r="D354" s="1625" t="s">
        <v>2414</v>
      </c>
      <c r="E354" s="403">
        <f>(MAX((S_NO3)-S_umo__MSatMin,0)/((K_NO3_OHO)+(S_NO3)))</f>
        <v>0.8</v>
      </c>
      <c r="F354" s="403" t="s">
        <v>282</v>
      </c>
      <c r="G354" s="403">
        <v>2</v>
      </c>
      <c r="H354" s="1531"/>
      <c r="I354" s="1565"/>
    </row>
    <row r="355" spans="1:9" ht="18" customHeight="1" outlineLevel="1" x14ac:dyDescent="0.25">
      <c r="B355" s="161" t="s">
        <v>1780</v>
      </c>
      <c r="C355" s="1598" t="s">
        <v>2726</v>
      </c>
      <c r="D355" s="1599" t="s">
        <v>1781</v>
      </c>
      <c r="E355" s="277">
        <f>(MAX((S_O2)-S_umo__MSatMin,0)/((K_O2_OHO)+(S_O2)))</f>
        <v>0.93023255813953487</v>
      </c>
      <c r="F355" s="277" t="s">
        <v>282</v>
      </c>
      <c r="G355" s="277">
        <v>2</v>
      </c>
      <c r="H355" s="216"/>
      <c r="I355" s="356"/>
    </row>
    <row r="356" spans="1:9" ht="18" customHeight="1" outlineLevel="1" x14ac:dyDescent="0.25">
      <c r="B356" s="161" t="s">
        <v>892</v>
      </c>
      <c r="C356" s="1598" t="s">
        <v>2727</v>
      </c>
      <c r="D356" s="1599" t="s">
        <v>893</v>
      </c>
      <c r="E356" s="277">
        <f>(MAX((S_VFA)-S_umo__MSatMin,0)/((K_VFA)+(S_VFA)))</f>
        <v>1.9607843137254902E-2</v>
      </c>
      <c r="F356" s="277" t="s">
        <v>282</v>
      </c>
      <c r="G356" s="277">
        <v>2</v>
      </c>
      <c r="H356" s="216"/>
      <c r="I356" s="356"/>
    </row>
    <row r="357" spans="1:9" ht="18" customHeight="1" outlineLevel="1" x14ac:dyDescent="0.25">
      <c r="B357" s="161" t="s">
        <v>2162</v>
      </c>
      <c r="C357" s="1598" t="s">
        <v>2161</v>
      </c>
      <c r="D357" s="1465" t="s">
        <v>4395</v>
      </c>
      <c r="E357" s="1471">
        <f>((S_VFA)/((S_VFA)+(K_VFA_FERM)*EXP(((K_VFA_FERM)-(S_VFA))*(L_ogslopeVFA_FERM))))</f>
        <v>4.4767737282903354E-217</v>
      </c>
      <c r="F357" s="277" t="s">
        <v>282</v>
      </c>
      <c r="G357" s="277">
        <v>2</v>
      </c>
      <c r="H357" s="216"/>
      <c r="I357" s="356"/>
    </row>
    <row r="358" spans="1:9" ht="18" customHeight="1" outlineLevel="1" x14ac:dyDescent="0.25">
      <c r="B358" s="161" t="s">
        <v>2163</v>
      </c>
      <c r="C358" s="1598" t="s">
        <v>4574</v>
      </c>
      <c r="D358" s="1465" t="s">
        <v>4396</v>
      </c>
      <c r="E358" s="1471">
        <f>(1-(S_VFA)/((S_VFA)+(K_VFA_FERM)*EXP(((K_VFA_FERM)-(S_VFA))*(L_ogslopeVFA_FERM))))</f>
        <v>1</v>
      </c>
      <c r="F358" s="277" t="s">
        <v>282</v>
      </c>
      <c r="G358" s="277">
        <v>2</v>
      </c>
      <c r="H358" s="216"/>
      <c r="I358" s="356"/>
    </row>
    <row r="359" spans="1:9" ht="18" customHeight="1" outlineLevel="1" x14ac:dyDescent="0.25">
      <c r="B359" s="2304" t="s">
        <v>4885</v>
      </c>
      <c r="C359" s="2416" t="s">
        <v>5096</v>
      </c>
      <c r="D359" s="2412" t="s">
        <v>5111</v>
      </c>
      <c r="E359" s="2305">
        <f>(1-(S_NO3)/((S_NO3)+(K_NO3_OHO)*EXP(((K_NO3_OHO)-(S_NO3))*(L_ogslopeSNO3))))</f>
        <v>0</v>
      </c>
      <c r="F359" s="2305" t="s">
        <v>282</v>
      </c>
      <c r="G359" s="2305">
        <v>2</v>
      </c>
      <c r="H359" s="2306"/>
      <c r="I359" s="2307"/>
    </row>
    <row r="360" spans="1:9" ht="18" customHeight="1" outlineLevel="1" x14ac:dyDescent="0.25">
      <c r="B360" s="2304" t="s">
        <v>4886</v>
      </c>
      <c r="C360" s="2412" t="s">
        <v>4887</v>
      </c>
      <c r="D360" s="2412" t="s">
        <v>5081</v>
      </c>
      <c r="E360" s="2305">
        <f>((S_NO3)/((S_NO3)+(K_NO3_OHO)*EXP(((K_NO3_OHO)-(S_NO3))*(L_ogslopeKSNO3))))</f>
        <v>0.99998200839176266</v>
      </c>
      <c r="F360" s="2305" t="s">
        <v>282</v>
      </c>
      <c r="G360" s="2305">
        <v>2</v>
      </c>
      <c r="H360" s="2306"/>
      <c r="I360" s="2307"/>
    </row>
    <row r="361" spans="1:9" ht="18" customHeight="1" outlineLevel="1" x14ac:dyDescent="0.25">
      <c r="B361" s="2304" t="s">
        <v>5057</v>
      </c>
      <c r="C361" s="2412" t="s">
        <v>5058</v>
      </c>
      <c r="D361" s="2412" t="s">
        <v>5085</v>
      </c>
      <c r="E361" s="2305">
        <f>((S_VFA)/((S_VFA)+(K_VFA_OHO_SNO2)*EXP(((K_VFA_OHO_SNO2)-(S_VFA))*(L_ogslopeKVFA_SNO2))))</f>
        <v>1.0242188679984519E-89</v>
      </c>
      <c r="F361" s="2305" t="s">
        <v>282</v>
      </c>
      <c r="G361" s="2305">
        <v>2</v>
      </c>
      <c r="H361" s="2306"/>
      <c r="I361" s="2307"/>
    </row>
    <row r="362" spans="1:9" ht="18" customHeight="1" outlineLevel="1" x14ac:dyDescent="0.25">
      <c r="B362" s="2304" t="s">
        <v>5059</v>
      </c>
      <c r="C362" s="2412" t="s">
        <v>5060</v>
      </c>
      <c r="D362" s="2412" t="s">
        <v>5089</v>
      </c>
      <c r="E362" s="2305">
        <f>(1-(S_VFA)/((S_VFA)+(K_VFA_OHO_SNO2)*EXP(((K_VFA_OHO_SNO2)-(S_VFA))*(L_ogslopeKVFA_SNO2))))</f>
        <v>1</v>
      </c>
      <c r="F362" s="2305" t="s">
        <v>282</v>
      </c>
      <c r="G362" s="2305">
        <v>2</v>
      </c>
      <c r="H362" s="2306"/>
      <c r="I362" s="2307"/>
    </row>
    <row r="363" spans="1:9" ht="18" customHeight="1" outlineLevel="1" x14ac:dyDescent="0.25">
      <c r="B363" s="268" t="s">
        <v>3476</v>
      </c>
      <c r="C363" s="1626" t="s">
        <v>2728</v>
      </c>
      <c r="D363" s="1627" t="s">
        <v>3477</v>
      </c>
      <c r="E363" s="278">
        <f>((K_iO2_MEOLO)/((K_iO2_MEOLO)+(S_O2)))</f>
        <v>2.4390243902439029E-2</v>
      </c>
      <c r="F363" s="278" t="s">
        <v>282</v>
      </c>
      <c r="G363" s="278">
        <v>2</v>
      </c>
      <c r="H363" s="279"/>
      <c r="I363" s="357"/>
    </row>
    <row r="364" spans="1:9" s="2133" customFormat="1" ht="18" customHeight="1" outlineLevel="1" x14ac:dyDescent="0.25">
      <c r="A364" s="113"/>
      <c r="B364" s="268" t="s">
        <v>2320</v>
      </c>
      <c r="C364" s="1626" t="s">
        <v>2733</v>
      </c>
      <c r="D364" s="1627" t="s">
        <v>2321</v>
      </c>
      <c r="E364" s="648">
        <f>((K_NO2_MEOLO)/((K_NO2_MEOLO)+(S_NO2)))</f>
        <v>0.16666666666666666</v>
      </c>
      <c r="F364" s="278" t="s">
        <v>282</v>
      </c>
      <c r="G364" s="278">
        <v>2</v>
      </c>
      <c r="H364" s="279"/>
      <c r="I364" s="357"/>
    </row>
    <row r="365" spans="1:9" s="2133" customFormat="1" ht="18" customHeight="1" outlineLevel="1" x14ac:dyDescent="0.25">
      <c r="A365" s="113"/>
      <c r="B365" s="268" t="s">
        <v>2322</v>
      </c>
      <c r="C365" s="1626" t="s">
        <v>2734</v>
      </c>
      <c r="D365" s="1627" t="s">
        <v>2323</v>
      </c>
      <c r="E365" s="648">
        <f>((K_NO3_MEOLO)/((K_NO3_MEOLO)+(S_NO3)))</f>
        <v>9.9009900990099011E-3</v>
      </c>
      <c r="F365" s="278" t="s">
        <v>282</v>
      </c>
      <c r="G365" s="278">
        <v>2</v>
      </c>
      <c r="H365" s="279"/>
      <c r="I365" s="357"/>
    </row>
    <row r="366" spans="1:9" s="2133" customFormat="1" ht="18" customHeight="1" outlineLevel="1" x14ac:dyDescent="0.25">
      <c r="A366" s="113"/>
      <c r="B366" s="268" t="s">
        <v>1784</v>
      </c>
      <c r="C366" s="1626" t="s">
        <v>2729</v>
      </c>
      <c r="D366" s="1627" t="s">
        <v>1785</v>
      </c>
      <c r="E366" s="648">
        <f>(MAX((S_MEOL)-S_umo__MSatMin,0)/((K_MEOL)+(S_MEOL)))</f>
        <v>0</v>
      </c>
      <c r="F366" s="278" t="s">
        <v>282</v>
      </c>
      <c r="G366" s="278">
        <v>2</v>
      </c>
      <c r="H366" s="279"/>
      <c r="I366" s="357"/>
    </row>
    <row r="367" spans="1:9" s="2133" customFormat="1" ht="18" customHeight="1" outlineLevel="1" x14ac:dyDescent="0.25">
      <c r="A367" s="113"/>
      <c r="B367" s="1174" t="s">
        <v>2324</v>
      </c>
      <c r="C367" s="1626" t="s">
        <v>2735</v>
      </c>
      <c r="D367" s="1628" t="s">
        <v>2325</v>
      </c>
      <c r="E367" s="649">
        <f>(MAX((S_NO2)-S_umo__MSatMin,0)/((K_NO2_MEOLO)+(S_NO2)))</f>
        <v>0.83333333333333326</v>
      </c>
      <c r="F367" s="279" t="s">
        <v>282</v>
      </c>
      <c r="G367" s="279">
        <v>2</v>
      </c>
      <c r="H367" s="1532"/>
      <c r="I367" s="1566"/>
    </row>
    <row r="368" spans="1:9" s="2133" customFormat="1" ht="18" customHeight="1" outlineLevel="1" x14ac:dyDescent="0.25">
      <c r="A368" s="113"/>
      <c r="B368" s="1174" t="s">
        <v>2326</v>
      </c>
      <c r="C368" s="1626" t="s">
        <v>2736</v>
      </c>
      <c r="D368" s="1628" t="s">
        <v>2327</v>
      </c>
      <c r="E368" s="649">
        <f>(MAX((S_NO3)-S_umo__MSatMin,0)/((K_NO3_MEOLO)+(S_NO3)))</f>
        <v>0.99009900990099009</v>
      </c>
      <c r="F368" s="279" t="s">
        <v>282</v>
      </c>
      <c r="G368" s="279">
        <v>2</v>
      </c>
      <c r="H368" s="1532"/>
      <c r="I368" s="1566"/>
    </row>
    <row r="369" spans="1:9" ht="18" customHeight="1" outlineLevel="1" x14ac:dyDescent="0.25">
      <c r="B369" s="268" t="s">
        <v>3478</v>
      </c>
      <c r="C369" s="1626" t="s">
        <v>2730</v>
      </c>
      <c r="D369" s="1627" t="s">
        <v>3479</v>
      </c>
      <c r="E369" s="278">
        <f>(MAX((S_O2)-S_umo__MSatMin,0)/((K_iO2_MEOLO)+(S_O2)))</f>
        <v>0.97560975609756106</v>
      </c>
      <c r="F369" s="278" t="s">
        <v>282</v>
      </c>
      <c r="G369" s="278">
        <v>2</v>
      </c>
      <c r="H369" s="279"/>
      <c r="I369" s="357"/>
    </row>
    <row r="370" spans="1:9" ht="18" customHeight="1" outlineLevel="1" x14ac:dyDescent="0.25">
      <c r="B370" s="2420" t="s">
        <v>5061</v>
      </c>
      <c r="C370" s="2421" t="s">
        <v>5063</v>
      </c>
      <c r="D370" s="2421" t="s">
        <v>5091</v>
      </c>
      <c r="E370" s="2417">
        <f>((S_MEOL)/((S_MEOL)+(K_MEOL_SNO2)*EXP(((K_MEOL_SNO2)-(S_MEOL))*(L_ogslopeKMEOL_SNO2))))</f>
        <v>1.0109697494805068E-137</v>
      </c>
      <c r="F370" s="2417" t="s">
        <v>282</v>
      </c>
      <c r="G370" s="2417">
        <v>2</v>
      </c>
      <c r="H370" s="2418"/>
      <c r="I370" s="2419"/>
    </row>
    <row r="371" spans="1:9" ht="18" customHeight="1" outlineLevel="1" x14ac:dyDescent="0.25">
      <c r="B371" s="2420" t="s">
        <v>5062</v>
      </c>
      <c r="C371" s="2421" t="s">
        <v>5064</v>
      </c>
      <c r="D371" s="2421" t="s">
        <v>5092</v>
      </c>
      <c r="E371" s="2417">
        <f>(1-(S_MEOL)/((S_MEOL)+(K_MEOL_SNO2)*EXP(((K_MEOL_SNO2)-(S_MEOL))*(L_ogslopeKMEOL_SNO2))))</f>
        <v>1</v>
      </c>
      <c r="F371" s="2417" t="s">
        <v>282</v>
      </c>
      <c r="G371" s="2417">
        <v>2</v>
      </c>
      <c r="H371" s="2418"/>
      <c r="I371" s="2419"/>
    </row>
    <row r="372" spans="1:9" ht="18" customHeight="1" outlineLevel="1" x14ac:dyDescent="0.25">
      <c r="B372" s="2420" t="s">
        <v>5068</v>
      </c>
      <c r="C372" s="2416" t="s">
        <v>5107</v>
      </c>
      <c r="D372" s="2421" t="s">
        <v>5102</v>
      </c>
      <c r="E372" s="2417">
        <f>((S_NO3)/((S_NO3)+(K_NO3_MEOLO)*EXP(((K_NO3_MEOLO)-(S_NO3))*(L_ogslopeKSNO3_MEOLO))))</f>
        <v>1</v>
      </c>
      <c r="F372" s="2417" t="s">
        <v>282</v>
      </c>
      <c r="G372" s="2417">
        <v>2</v>
      </c>
      <c r="H372" s="2418"/>
      <c r="I372" s="2419"/>
    </row>
    <row r="373" spans="1:9" ht="18" customHeight="1" outlineLevel="1" x14ac:dyDescent="0.25">
      <c r="B373" s="2420" t="s">
        <v>5067</v>
      </c>
      <c r="C373" s="2416" t="s">
        <v>5108</v>
      </c>
      <c r="D373" s="2421" t="s">
        <v>5103</v>
      </c>
      <c r="E373" s="2417">
        <f>(1-(S_NO3)/((S_NO3)+(K_NO3_MEOLO)*EXP(((K_NO3_MEOLO)-(S_NO3))*(L_ogslopeKSNO3_MEOLO))))</f>
        <v>0</v>
      </c>
      <c r="F373" s="2417" t="s">
        <v>282</v>
      </c>
      <c r="G373" s="2417">
        <v>2</v>
      </c>
      <c r="H373" s="2418"/>
      <c r="I373" s="2419"/>
    </row>
    <row r="374" spans="1:9" s="2133" customFormat="1" ht="18" customHeight="1" outlineLevel="1" x14ac:dyDescent="0.25">
      <c r="A374" s="113"/>
      <c r="B374" s="1175" t="s">
        <v>3836</v>
      </c>
      <c r="C374" s="1629" t="s">
        <v>2737</v>
      </c>
      <c r="D374" s="1590" t="s">
        <v>3837</v>
      </c>
      <c r="E374" s="650">
        <f>((K_NOx_AOB)/((K_NOx_AOB)+(S_NOx)))</f>
        <v>5.8479532163742687E-3</v>
      </c>
      <c r="F374" s="404" t="s">
        <v>282</v>
      </c>
      <c r="G374" s="404">
        <v>2</v>
      </c>
      <c r="H374" s="336"/>
      <c r="I374" s="1541"/>
    </row>
    <row r="375" spans="1:9" s="460" customFormat="1" ht="18" customHeight="1" outlineLevel="1" x14ac:dyDescent="0.25">
      <c r="A375" s="113"/>
      <c r="B375" s="1175" t="s">
        <v>2328</v>
      </c>
      <c r="C375" s="1629" t="s">
        <v>2738</v>
      </c>
      <c r="D375" s="1590" t="s">
        <v>2329</v>
      </c>
      <c r="E375" s="650">
        <f>((K_O2_AOB)/((K_O2_AOB)+(S_O2)))</f>
        <v>0.2</v>
      </c>
      <c r="F375" s="639" t="s">
        <v>282</v>
      </c>
      <c r="G375" s="639">
        <v>2</v>
      </c>
      <c r="H375" s="336"/>
      <c r="I375" s="1541"/>
    </row>
    <row r="376" spans="1:9" s="460" customFormat="1" ht="18" customHeight="1" outlineLevel="1" x14ac:dyDescent="0.25">
      <c r="A376" s="113"/>
      <c r="B376" s="1175" t="s">
        <v>2330</v>
      </c>
      <c r="C376" s="1629" t="s">
        <v>2739</v>
      </c>
      <c r="D376" s="1590" t="s">
        <v>2331</v>
      </c>
      <c r="E376" s="650">
        <f>(MAX((S_NHx)-S_umo__MSatMin,0)/((K_NHx_AOB)+(S_NHx)))</f>
        <v>0.58823529411764708</v>
      </c>
      <c r="F376" s="404" t="s">
        <v>282</v>
      </c>
      <c r="G376" s="404">
        <v>2</v>
      </c>
      <c r="H376" s="336"/>
      <c r="I376" s="1541"/>
    </row>
    <row r="377" spans="1:9" s="460" customFormat="1" ht="18" customHeight="1" outlineLevel="1" x14ac:dyDescent="0.25">
      <c r="A377" s="113"/>
      <c r="B377" s="1175" t="s">
        <v>3838</v>
      </c>
      <c r="C377" s="1629" t="s">
        <v>2740</v>
      </c>
      <c r="D377" s="1590" t="s">
        <v>3839</v>
      </c>
      <c r="E377" s="650">
        <f>(MAX((S_NOx)-S_umo__MSatMin,0)/((K_NOx_AOB)+(S_NOx)))</f>
        <v>0.99415204678362568</v>
      </c>
      <c r="F377" s="639" t="s">
        <v>282</v>
      </c>
      <c r="G377" s="639">
        <v>2</v>
      </c>
      <c r="H377" s="336"/>
      <c r="I377" s="1541"/>
    </row>
    <row r="378" spans="1:9" s="2133" customFormat="1" ht="18" customHeight="1" outlineLevel="1" x14ac:dyDescent="0.25">
      <c r="A378" s="113"/>
      <c r="B378" s="1175" t="s">
        <v>2332</v>
      </c>
      <c r="C378" s="1629" t="s">
        <v>2741</v>
      </c>
      <c r="D378" s="1590" t="s">
        <v>2333</v>
      </c>
      <c r="E378" s="650">
        <f>(MAX((S_O2)-S_umo__MSatMin,0)/((K_O2_AOB)+(S_O2)))</f>
        <v>0.8</v>
      </c>
      <c r="F378" s="404" t="s">
        <v>282</v>
      </c>
      <c r="G378" s="404">
        <v>2</v>
      </c>
      <c r="H378" s="336"/>
      <c r="I378" s="1541"/>
    </row>
    <row r="379" spans="1:9" s="2133" customFormat="1" ht="18" customHeight="1" outlineLevel="1" x14ac:dyDescent="0.25">
      <c r="A379" s="113"/>
      <c r="B379" s="1176" t="s">
        <v>3840</v>
      </c>
      <c r="C379" s="1630" t="s">
        <v>2742</v>
      </c>
      <c r="D379" s="1631" t="s">
        <v>3841</v>
      </c>
      <c r="E379" s="651">
        <f>((K_NOx_NOB)/((K_NOx_NOB)+(S_NOx)))</f>
        <v>5.8479532163742687E-3</v>
      </c>
      <c r="F379" s="652" t="s">
        <v>282</v>
      </c>
      <c r="G379" s="652">
        <v>2</v>
      </c>
      <c r="H379" s="1533"/>
      <c r="I379" s="1567"/>
    </row>
    <row r="380" spans="1:9" s="460" customFormat="1" ht="18" customHeight="1" outlineLevel="1" x14ac:dyDescent="0.25">
      <c r="A380" s="113"/>
      <c r="B380" s="1176" t="s">
        <v>2334</v>
      </c>
      <c r="C380" s="1630" t="s">
        <v>2743</v>
      </c>
      <c r="D380" s="1631" t="s">
        <v>2335</v>
      </c>
      <c r="E380" s="651">
        <f>((K_O2_NOB)/((K_O2_NOB)+(S_O2)))</f>
        <v>0.2</v>
      </c>
      <c r="F380" s="652" t="s">
        <v>282</v>
      </c>
      <c r="G380" s="652">
        <v>2</v>
      </c>
      <c r="H380" s="1533"/>
      <c r="I380" s="1567"/>
    </row>
    <row r="381" spans="1:9" s="2133" customFormat="1" ht="18" customHeight="1" outlineLevel="1" x14ac:dyDescent="0.25">
      <c r="A381" s="113"/>
      <c r="B381" s="1176" t="s">
        <v>2336</v>
      </c>
      <c r="C381" s="1630" t="s">
        <v>2744</v>
      </c>
      <c r="D381" s="1631" t="s">
        <v>2337</v>
      </c>
      <c r="E381" s="651">
        <f>(MAX((S_NO2)-S_umo__MSatMin,0)/((K_NO2_NOB)+(S_NO2)))</f>
        <v>0.5</v>
      </c>
      <c r="F381" s="652" t="s">
        <v>282</v>
      </c>
      <c r="G381" s="652">
        <v>2</v>
      </c>
      <c r="H381" s="1533"/>
      <c r="I381" s="1567"/>
    </row>
    <row r="382" spans="1:9" s="2133" customFormat="1" ht="18" customHeight="1" outlineLevel="1" x14ac:dyDescent="0.25">
      <c r="A382" s="113"/>
      <c r="B382" s="1176" t="s">
        <v>3842</v>
      </c>
      <c r="C382" s="1630" t="s">
        <v>2745</v>
      </c>
      <c r="D382" s="1631" t="s">
        <v>3843</v>
      </c>
      <c r="E382" s="651">
        <f>(MAX((S_NOx)-S_umo__MSatMin,0)/((K_NOx_NOB)+(S_NOx)))</f>
        <v>0.99415204678362568</v>
      </c>
      <c r="F382" s="653" t="s">
        <v>282</v>
      </c>
      <c r="G382" s="653">
        <v>2</v>
      </c>
      <c r="H382" s="1533"/>
      <c r="I382" s="1567"/>
    </row>
    <row r="383" spans="1:9" s="460" customFormat="1" ht="18" customHeight="1" outlineLevel="1" x14ac:dyDescent="0.25">
      <c r="A383" s="113"/>
      <c r="B383" s="1176" t="s">
        <v>2338</v>
      </c>
      <c r="C383" s="1630" t="s">
        <v>2746</v>
      </c>
      <c r="D383" s="1631" t="s">
        <v>2339</v>
      </c>
      <c r="E383" s="651">
        <f>(MAX((S_O2)-S_umo__MSatMin,0)/((K_O2_NOB)+(S_O2)))</f>
        <v>0.8</v>
      </c>
      <c r="F383" s="653" t="s">
        <v>282</v>
      </c>
      <c r="G383" s="653">
        <v>2</v>
      </c>
      <c r="H383" s="1533"/>
      <c r="I383" s="1567"/>
    </row>
    <row r="384" spans="1:9" s="2133" customFormat="1" ht="18" customHeight="1" outlineLevel="1" x14ac:dyDescent="0.25">
      <c r="A384" s="113"/>
      <c r="B384" s="1177" t="s">
        <v>3844</v>
      </c>
      <c r="C384" s="1632" t="s">
        <v>2747</v>
      </c>
      <c r="D384" s="1633" t="s">
        <v>3845</v>
      </c>
      <c r="E384" s="654">
        <f>((K_NOx_AMX)/((K_NOx_AMX)+(S_NOx)))</f>
        <v>1.9230769230769235E-2</v>
      </c>
      <c r="F384" s="245" t="s">
        <v>282</v>
      </c>
      <c r="G384" s="245">
        <v>2</v>
      </c>
      <c r="H384" s="1534"/>
      <c r="I384" s="1568"/>
    </row>
    <row r="385" spans="1:9" s="460" customFormat="1" ht="18" customHeight="1" outlineLevel="1" x14ac:dyDescent="0.25">
      <c r="A385" s="113"/>
      <c r="B385" s="1177" t="s">
        <v>3499</v>
      </c>
      <c r="C385" s="1632" t="s">
        <v>2748</v>
      </c>
      <c r="D385" s="1633" t="s">
        <v>3500</v>
      </c>
      <c r="E385" s="654">
        <f>((K_iO2_AMX)/((K_iO2_AMX)+(S_O2)))</f>
        <v>0.16666666666666669</v>
      </c>
      <c r="F385" s="245" t="s">
        <v>282</v>
      </c>
      <c r="G385" s="245">
        <v>2</v>
      </c>
      <c r="H385" s="1534"/>
      <c r="I385" s="1568"/>
    </row>
    <row r="386" spans="1:9" s="460" customFormat="1" ht="18" customHeight="1" outlineLevel="1" x14ac:dyDescent="0.25">
      <c r="A386" s="113"/>
      <c r="B386" s="1177" t="s">
        <v>2340</v>
      </c>
      <c r="C386" s="1632" t="s">
        <v>2749</v>
      </c>
      <c r="D386" s="1633" t="s">
        <v>2341</v>
      </c>
      <c r="E386" s="654">
        <f>(MAX((S_NHx)-S_umo__MSatMin,0)/((K_NHx_AMX)+(S_NHx)))</f>
        <v>0.33333333333333331</v>
      </c>
      <c r="F386" s="245" t="s">
        <v>282</v>
      </c>
      <c r="G386" s="245">
        <v>2</v>
      </c>
      <c r="H386" s="1534"/>
      <c r="I386" s="1568"/>
    </row>
    <row r="387" spans="1:9" s="2133" customFormat="1" ht="18" customHeight="1" outlineLevel="1" x14ac:dyDescent="0.25">
      <c r="A387" s="113"/>
      <c r="B387" s="1177" t="s">
        <v>2342</v>
      </c>
      <c r="C387" s="1632" t="s">
        <v>2750</v>
      </c>
      <c r="D387" s="1633" t="s">
        <v>2343</v>
      </c>
      <c r="E387" s="654">
        <f>(MAX((S_NO2)-S_umo__MSatMin,0)/((K_NO2_AMX)+(S_NO2)))</f>
        <v>9.0909090909090912E-2</v>
      </c>
      <c r="F387" s="433" t="s">
        <v>282</v>
      </c>
      <c r="G387" s="433">
        <v>2</v>
      </c>
      <c r="H387" s="1534"/>
      <c r="I387" s="1568"/>
    </row>
    <row r="388" spans="1:9" s="460" customFormat="1" ht="18" customHeight="1" outlineLevel="1" x14ac:dyDescent="0.25">
      <c r="A388" s="113"/>
      <c r="B388" s="1177" t="s">
        <v>3846</v>
      </c>
      <c r="C388" s="1632" t="s">
        <v>2751</v>
      </c>
      <c r="D388" s="1633" t="s">
        <v>3847</v>
      </c>
      <c r="E388" s="654">
        <f>(MAX((S_NOx)-S_umo__MSatMin,0)/((K_NOx_AMX)+(S_NOx)))</f>
        <v>0.98076923076923084</v>
      </c>
      <c r="F388" s="433" t="s">
        <v>282</v>
      </c>
      <c r="G388" s="433">
        <v>2</v>
      </c>
      <c r="H388" s="1534"/>
      <c r="I388" s="1568"/>
    </row>
    <row r="389" spans="1:9" s="2133" customFormat="1" ht="18" customHeight="1" outlineLevel="1" x14ac:dyDescent="0.25">
      <c r="A389" s="113"/>
      <c r="B389" s="1177" t="s">
        <v>3501</v>
      </c>
      <c r="C389" s="1632" t="s">
        <v>2752</v>
      </c>
      <c r="D389" s="1633" t="s">
        <v>3502</v>
      </c>
      <c r="E389" s="654">
        <f>(MAX((S_O2)-S_umo__MSatMin,0)/((K_iO2_AMX)+(S_O2)))</f>
        <v>0.83333333333333337</v>
      </c>
      <c r="F389" s="245" t="s">
        <v>282</v>
      </c>
      <c r="G389" s="245">
        <v>2</v>
      </c>
      <c r="H389" s="1534"/>
      <c r="I389" s="1568"/>
    </row>
    <row r="390" spans="1:9" ht="18" customHeight="1" outlineLevel="1" x14ac:dyDescent="0.25">
      <c r="B390" s="147" t="s">
        <v>4170</v>
      </c>
      <c r="C390" s="1609" t="s">
        <v>4171</v>
      </c>
      <c r="D390" s="1608" t="s">
        <v>4172</v>
      </c>
      <c r="E390" s="424">
        <f>((K_NO2_CASTO)/((K_NO2_CASTO)+(S_NO2)))</f>
        <v>0.33333333333333331</v>
      </c>
      <c r="F390" s="347" t="s">
        <v>282</v>
      </c>
      <c r="G390" s="347">
        <v>2</v>
      </c>
      <c r="H390" s="211"/>
      <c r="I390" s="358"/>
    </row>
    <row r="391" spans="1:9" ht="18" customHeight="1" outlineLevel="1" x14ac:dyDescent="0.25">
      <c r="B391" s="147" t="s">
        <v>4173</v>
      </c>
      <c r="C391" s="1609" t="s">
        <v>4174</v>
      </c>
      <c r="D391" s="1608" t="s">
        <v>4175</v>
      </c>
      <c r="E391" s="424">
        <f>((K_NO3_CASTO)/((K_NO3_CASTO)+(S_NO3)))</f>
        <v>1.9607843137254905E-2</v>
      </c>
      <c r="F391" s="347" t="s">
        <v>282</v>
      </c>
      <c r="G391" s="347">
        <v>2</v>
      </c>
      <c r="H391" s="211"/>
      <c r="I391" s="358"/>
    </row>
    <row r="392" spans="1:9" ht="18" customHeight="1" outlineLevel="1" x14ac:dyDescent="0.25">
      <c r="B392" s="147" t="s">
        <v>4176</v>
      </c>
      <c r="C392" s="1609" t="s">
        <v>4177</v>
      </c>
      <c r="D392" s="1608" t="s">
        <v>4178</v>
      </c>
      <c r="E392" s="347">
        <f>((K_O2_CASTO)/((K_O2_CASTO)+(S_O2)))</f>
        <v>2.4390243902439029E-2</v>
      </c>
      <c r="F392" s="347" t="s">
        <v>282</v>
      </c>
      <c r="G392" s="347">
        <v>2</v>
      </c>
      <c r="H392" s="211"/>
      <c r="I392" s="358"/>
    </row>
    <row r="393" spans="1:9" ht="18" customHeight="1" outlineLevel="1" x14ac:dyDescent="0.25">
      <c r="B393" s="493" t="s">
        <v>2753</v>
      </c>
      <c r="C393" s="1609" t="s">
        <v>2754</v>
      </c>
      <c r="D393" s="1609" t="s">
        <v>2755</v>
      </c>
      <c r="E393" s="347">
        <f>((K_iPO4_lim)/((K_iPO4_lim)+(S_PO4)))</f>
        <v>9.9009900990099011E-3</v>
      </c>
      <c r="F393" s="347" t="s">
        <v>282</v>
      </c>
      <c r="G393" s="347">
        <v>2</v>
      </c>
      <c r="H393" s="211"/>
      <c r="I393" s="358"/>
    </row>
    <row r="394" spans="1:9" ht="18" customHeight="1" outlineLevel="1" x14ac:dyDescent="0.25">
      <c r="B394" s="147" t="s">
        <v>4179</v>
      </c>
      <c r="C394" s="2449" t="s">
        <v>5195</v>
      </c>
      <c r="D394" s="1607" t="s">
        <v>4180</v>
      </c>
      <c r="E394" s="347">
        <f>(((X_STC)/(X_CASTO))/((X_STC)/(X_CASTO)+(K_STC)))</f>
        <v>0.31506849315068486</v>
      </c>
      <c r="F394" s="347" t="s">
        <v>282</v>
      </c>
      <c r="G394" s="347">
        <v>2</v>
      </c>
      <c r="H394" s="211"/>
      <c r="I394" s="358"/>
    </row>
    <row r="395" spans="1:9" ht="18" customHeight="1" outlineLevel="1" x14ac:dyDescent="0.25">
      <c r="B395" s="1084" t="s">
        <v>1810</v>
      </c>
      <c r="C395" s="1607" t="s">
        <v>4568</v>
      </c>
      <c r="D395" s="1607" t="s">
        <v>5210</v>
      </c>
      <c r="E395" s="1152">
        <f>(((X_PHA_PAO)/(X_PAO))/((X_PHA_PAO)/(X_PAO)+(K_PHA)))</f>
        <v>0.8214285714285714</v>
      </c>
      <c r="F395" s="1152" t="s">
        <v>282</v>
      </c>
      <c r="G395" s="1152">
        <v>2</v>
      </c>
      <c r="H395" s="1153"/>
      <c r="I395" s="1154"/>
    </row>
    <row r="396" spans="1:9" ht="18" customHeight="1" outlineLevel="1" x14ac:dyDescent="0.25">
      <c r="B396" s="1084" t="s">
        <v>4181</v>
      </c>
      <c r="C396" s="1607" t="s">
        <v>4569</v>
      </c>
      <c r="D396" s="1607" t="s">
        <v>5211</v>
      </c>
      <c r="E396" s="1152">
        <f>(((K_PHA_cle))/((X_PHA_PAO)/(X_PAO)+(K_PHA_cle)))</f>
        <v>0.68493150684931503</v>
      </c>
      <c r="F396" s="1152" t="s">
        <v>282</v>
      </c>
      <c r="G396" s="1152">
        <v>2</v>
      </c>
      <c r="H396" s="1153"/>
      <c r="I396" s="1154"/>
    </row>
    <row r="397" spans="1:9" ht="18" customHeight="1" outlineLevel="1" x14ac:dyDescent="0.25">
      <c r="B397" s="1084" t="s">
        <v>4182</v>
      </c>
      <c r="C397" s="2449" t="s">
        <v>5196</v>
      </c>
      <c r="D397" s="1607" t="s">
        <v>4183</v>
      </c>
      <c r="E397" s="1152">
        <f>(((K_STC))/((X_STC)/(X_CASTO)+(K_STC)))</f>
        <v>0.68493150684931503</v>
      </c>
      <c r="F397" s="1152" t="s">
        <v>282</v>
      </c>
      <c r="G397" s="1152">
        <v>2</v>
      </c>
      <c r="H397" s="1153"/>
      <c r="I397" s="1154"/>
    </row>
    <row r="398" spans="1:9" ht="18" customHeight="1" outlineLevel="1" x14ac:dyDescent="0.25">
      <c r="B398" s="147" t="s">
        <v>2184</v>
      </c>
      <c r="C398" s="1607" t="s">
        <v>4570</v>
      </c>
      <c r="D398" s="1608" t="s">
        <v>2185</v>
      </c>
      <c r="E398" s="347">
        <f>(((K_PP))/((X_PP)/(X_PAO)+(K_PP)))</f>
        <v>6.7567567567567571E-2</v>
      </c>
      <c r="F398" s="347" t="s">
        <v>282</v>
      </c>
      <c r="G398" s="347">
        <v>2</v>
      </c>
      <c r="H398" s="211"/>
      <c r="I398" s="358"/>
    </row>
    <row r="399" spans="1:9" ht="18" customHeight="1" outlineLevel="1" x14ac:dyDescent="0.25">
      <c r="B399" s="147" t="s">
        <v>2114</v>
      </c>
      <c r="C399" s="1607" t="s">
        <v>4571</v>
      </c>
      <c r="D399" s="1608" t="s">
        <v>2108</v>
      </c>
      <c r="E399" s="347">
        <f>(((X_PP)/(X_PAO))/((X_PP)/(X_PAO)+(K_PP)))</f>
        <v>0.93243243243243235</v>
      </c>
      <c r="F399" s="347" t="s">
        <v>282</v>
      </c>
      <c r="G399" s="347">
        <v>2</v>
      </c>
      <c r="H399" s="211"/>
      <c r="I399" s="358"/>
    </row>
    <row r="400" spans="1:9" ht="18" customHeight="1" outlineLevel="1" x14ac:dyDescent="0.25">
      <c r="B400" s="147" t="s">
        <v>1798</v>
      </c>
      <c r="C400" s="1609" t="s">
        <v>2756</v>
      </c>
      <c r="D400" s="1608" t="s">
        <v>1799</v>
      </c>
      <c r="E400" s="347">
        <f>(MAX((S_Ca)-S_umo__MSatMin,0)/((K_Ca_PAO)+(S_Ca)))</f>
        <v>0.9999933333777774</v>
      </c>
      <c r="F400" s="347" t="s">
        <v>282</v>
      </c>
      <c r="G400" s="347">
        <v>2</v>
      </c>
      <c r="H400" s="211"/>
      <c r="I400" s="358"/>
    </row>
    <row r="401" spans="1:9" ht="18" customHeight="1" outlineLevel="1" x14ac:dyDescent="0.25">
      <c r="B401" s="147" t="s">
        <v>1802</v>
      </c>
      <c r="C401" s="1609" t="s">
        <v>2757</v>
      </c>
      <c r="D401" s="1608" t="s">
        <v>1803</v>
      </c>
      <c r="E401" s="347">
        <f>(MAX((S_K)-S_umo__MSatMin,0)/((K_K_PAO)+(S_K)))</f>
        <v>0.9999333377774815</v>
      </c>
      <c r="F401" s="347" t="s">
        <v>282</v>
      </c>
      <c r="G401" s="347">
        <v>2</v>
      </c>
      <c r="H401" s="211"/>
      <c r="I401" s="358"/>
    </row>
    <row r="402" spans="1:9" ht="18" customHeight="1" outlineLevel="1" x14ac:dyDescent="0.25">
      <c r="B402" s="147" t="s">
        <v>1800</v>
      </c>
      <c r="C402" s="1609" t="s">
        <v>2758</v>
      </c>
      <c r="D402" s="1608" t="s">
        <v>1801</v>
      </c>
      <c r="E402" s="347">
        <f>(MAX((S_Mg)-S_umo__MSatMin,0)/((K_Mg_PAO)+(S_Mg)))</f>
        <v>0.9999333377774815</v>
      </c>
      <c r="F402" s="347" t="s">
        <v>282</v>
      </c>
      <c r="G402" s="347">
        <v>2</v>
      </c>
      <c r="H402" s="211"/>
      <c r="I402" s="358"/>
    </row>
    <row r="403" spans="1:9" s="2133" customFormat="1" ht="18" customHeight="1" outlineLevel="1" x14ac:dyDescent="0.25">
      <c r="A403" s="113"/>
      <c r="B403" s="1178" t="s">
        <v>4184</v>
      </c>
      <c r="C403" s="1609" t="s">
        <v>4185</v>
      </c>
      <c r="D403" s="1634" t="s">
        <v>4186</v>
      </c>
      <c r="E403" s="655">
        <f>(MAX((S_NO2)-S_umo__MSatMin,0)/((K_NO2_CASTO)+(S_NO2)))</f>
        <v>0.66666666666666663</v>
      </c>
      <c r="F403" s="203" t="s">
        <v>282</v>
      </c>
      <c r="G403" s="203">
        <v>2</v>
      </c>
      <c r="H403" s="1535"/>
      <c r="I403" s="1569"/>
    </row>
    <row r="404" spans="1:9" s="460" customFormat="1" ht="18" customHeight="1" outlineLevel="1" x14ac:dyDescent="0.25">
      <c r="A404" s="113"/>
      <c r="B404" s="1178" t="s">
        <v>4187</v>
      </c>
      <c r="C404" s="1609" t="s">
        <v>4188</v>
      </c>
      <c r="D404" s="1634" t="s">
        <v>4189</v>
      </c>
      <c r="E404" s="655">
        <f>(MAX((S_NO3)-S_umo__MSatMin,0)/((K_NO3_CASTO)+(S_NO3)))</f>
        <v>0.98039215686274517</v>
      </c>
      <c r="F404" s="203" t="s">
        <v>282</v>
      </c>
      <c r="G404" s="203">
        <v>2</v>
      </c>
      <c r="H404" s="1535"/>
      <c r="I404" s="1569"/>
    </row>
    <row r="405" spans="1:9" ht="18" customHeight="1" outlineLevel="1" x14ac:dyDescent="0.25">
      <c r="B405" s="147" t="s">
        <v>4190</v>
      </c>
      <c r="C405" s="1609" t="s">
        <v>4191</v>
      </c>
      <c r="D405" s="1608" t="s">
        <v>4192</v>
      </c>
      <c r="E405" s="347">
        <f>(MAX((S_O2)-S_umo__MSatMin,0)/((K_O2_CASTO)+(S_O2)))</f>
        <v>0.97560975609756106</v>
      </c>
      <c r="F405" s="347" t="s">
        <v>282</v>
      </c>
      <c r="G405" s="347">
        <v>2</v>
      </c>
      <c r="H405" s="211"/>
      <c r="I405" s="358"/>
    </row>
    <row r="406" spans="1:9" ht="18" customHeight="1" outlineLevel="1" x14ac:dyDescent="0.25">
      <c r="B406" s="1084" t="s">
        <v>4050</v>
      </c>
      <c r="C406" s="1635" t="s">
        <v>4193</v>
      </c>
      <c r="D406" s="1636" t="s">
        <v>4397</v>
      </c>
      <c r="E406" s="1085">
        <f>((S_PO4)/((S_PO4)+(K_PO4_PAO)*EXP(((K_PO4_PAO)-(S_PO4))*(L_ogslopePO4_PAO_sat))))</f>
        <v>0.99999992584528696</v>
      </c>
      <c r="F406" s="1085" t="s">
        <v>282</v>
      </c>
      <c r="G406" s="1085">
        <v>2</v>
      </c>
      <c r="H406" s="937"/>
      <c r="I406" s="1086"/>
    </row>
    <row r="407" spans="1:9" ht="18" customHeight="1" outlineLevel="1" x14ac:dyDescent="0.25">
      <c r="B407" s="147" t="s">
        <v>1796</v>
      </c>
      <c r="C407" s="1609" t="s">
        <v>2759</v>
      </c>
      <c r="D407" s="1608" t="s">
        <v>1797</v>
      </c>
      <c r="E407" s="347">
        <f>(MAX((S_PO4)-S_umo__MSatMin,0)/((K_PO4_PAO)+(S_PO4)))</f>
        <v>0.76923076923076916</v>
      </c>
      <c r="F407" s="347" t="s">
        <v>282</v>
      </c>
      <c r="G407" s="347">
        <v>2</v>
      </c>
      <c r="H407" s="211"/>
      <c r="I407" s="358"/>
    </row>
    <row r="408" spans="1:9" ht="18" customHeight="1" outlineLevel="1" x14ac:dyDescent="0.25">
      <c r="B408" s="147" t="s">
        <v>4194</v>
      </c>
      <c r="C408" s="1609" t="s">
        <v>4195</v>
      </c>
      <c r="D408" s="1608" t="s">
        <v>4196</v>
      </c>
      <c r="E408" s="347">
        <f>(MAX((S_VFA)-S_umo__MSatMin,0)/((K_VFA_CASTO)+(S_VFA)))</f>
        <v>1.9960079840319364E-3</v>
      </c>
      <c r="F408" s="347" t="s">
        <v>282</v>
      </c>
      <c r="G408" s="347">
        <v>2</v>
      </c>
      <c r="H408" s="211"/>
      <c r="I408" s="358"/>
    </row>
    <row r="409" spans="1:9" ht="18" customHeight="1" outlineLevel="1" x14ac:dyDescent="0.25">
      <c r="B409" s="147" t="s">
        <v>4305</v>
      </c>
      <c r="C409" s="1609" t="s">
        <v>4306</v>
      </c>
      <c r="D409" s="1636" t="s">
        <v>4398</v>
      </c>
      <c r="E409" s="347">
        <f>((X_PP)/((X_PP)+(K_PO4_PAO)*EXP(((K_PO4_PAO)-(X_PP))*(L_ogslopePP_PAO_sat))))</f>
        <v>1</v>
      </c>
      <c r="F409" s="347" t="s">
        <v>282</v>
      </c>
      <c r="G409" s="347">
        <v>2</v>
      </c>
      <c r="H409" s="211"/>
      <c r="I409" s="358"/>
    </row>
    <row r="410" spans="1:9" ht="18" customHeight="1" outlineLevel="1" x14ac:dyDescent="0.25">
      <c r="B410" s="147" t="s">
        <v>2109</v>
      </c>
      <c r="C410" s="1609" t="s">
        <v>2760</v>
      </c>
      <c r="D410" s="1608" t="s">
        <v>2110</v>
      </c>
      <c r="E410" s="347">
        <f>(MAX((X_PP)-S_umo__MSatMin,0)/((K_PP_lim)+(X_PP)))</f>
        <v>0.99996666777774068</v>
      </c>
      <c r="F410" s="347" t="s">
        <v>282</v>
      </c>
      <c r="G410" s="347">
        <v>2</v>
      </c>
      <c r="H410" s="211"/>
      <c r="I410" s="358"/>
    </row>
    <row r="411" spans="1:9" ht="18" customHeight="1" outlineLevel="1" x14ac:dyDescent="0.25">
      <c r="B411" s="147" t="s">
        <v>2125</v>
      </c>
      <c r="C411" s="1607" t="s">
        <v>4197</v>
      </c>
      <c r="D411" s="1636" t="s">
        <v>5212</v>
      </c>
      <c r="E411" s="424">
        <f>(1-(X_PHA_PAO/X_PAO)/((X_PHA_PAO/X_PAO)+(K_iPHA_PAO_max)*EXP(((K_iPHA_PAO_max)-(X_PHA_PAO/X_PAO))*(L_ogslopePHA_PAO_inh))))</f>
        <v>1</v>
      </c>
      <c r="F411" s="347" t="s">
        <v>282</v>
      </c>
      <c r="G411" s="347">
        <v>2</v>
      </c>
      <c r="H411" s="211"/>
      <c r="I411" s="358"/>
    </row>
    <row r="412" spans="1:9" ht="18" customHeight="1" outlineLevel="1" x14ac:dyDescent="0.25">
      <c r="B412" s="147" t="s">
        <v>2126</v>
      </c>
      <c r="C412" s="1607" t="s">
        <v>4198</v>
      </c>
      <c r="D412" s="1636" t="s">
        <v>4399</v>
      </c>
      <c r="E412" s="424">
        <f>(1-(X_PP/X_PAO)/((X_PP/X_PAO)+(K_iPP_PAO_max)*EXP(((K_iPP_PAO_max)-(X_PP/X_PAO))*(L_ogslopePP_PAO_inh))))</f>
        <v>0.99999999945571982</v>
      </c>
      <c r="F412" s="347" t="s">
        <v>282</v>
      </c>
      <c r="G412" s="347">
        <v>2</v>
      </c>
      <c r="H412" s="211"/>
      <c r="I412" s="358"/>
    </row>
    <row r="413" spans="1:9" ht="18" customHeight="1" outlineLevel="1" x14ac:dyDescent="0.25">
      <c r="B413" s="2437" t="s">
        <v>5197</v>
      </c>
      <c r="C413" s="2448" t="s">
        <v>5198</v>
      </c>
      <c r="D413" s="2448" t="s">
        <v>5199</v>
      </c>
      <c r="E413" s="423">
        <f>(1-(X_PHA_GAO/X_GAO)/((X_PHA_GAO/X_GAO)+(K_iPHA_GAO_max)*EXP(((K_iPHA_GAO_max)-(X_PHA_GAO/X_GAO))*(L_ogslopePHA_GAO_inh))))</f>
        <v>1</v>
      </c>
      <c r="F413" s="414" t="s">
        <v>282</v>
      </c>
      <c r="G413" s="414">
        <v>2</v>
      </c>
      <c r="H413" s="413"/>
      <c r="I413" s="415"/>
    </row>
    <row r="414" spans="1:9" ht="18" customHeight="1" outlineLevel="1" x14ac:dyDescent="0.25">
      <c r="B414" s="2437" t="s">
        <v>5200</v>
      </c>
      <c r="C414" s="2448" t="s">
        <v>5201</v>
      </c>
      <c r="D414" s="2448" t="s">
        <v>5202</v>
      </c>
      <c r="E414" s="414">
        <f>(((K_PHA_GAO))/((X_PHA_GAO)/(X_GAO)+(K_PHA_GAO)))</f>
        <v>0.52083333333333337</v>
      </c>
      <c r="F414" s="414" t="s">
        <v>282</v>
      </c>
      <c r="G414" s="414">
        <v>2</v>
      </c>
      <c r="H414" s="413"/>
      <c r="I414" s="415"/>
    </row>
    <row r="415" spans="1:9" ht="18" customHeight="1" outlineLevel="1" x14ac:dyDescent="0.25">
      <c r="B415" s="2437" t="s">
        <v>5203</v>
      </c>
      <c r="C415" s="2448" t="s">
        <v>5204</v>
      </c>
      <c r="D415" s="2448" t="s">
        <v>5205</v>
      </c>
      <c r="E415" s="414">
        <f>(((X_PHA_GAO)/(X_GAO))/((X_PHA_GAO)/(X_GAO)+(K_PHA_GAO)))</f>
        <v>0.47916666666666663</v>
      </c>
      <c r="F415" s="414" t="s">
        <v>282</v>
      </c>
      <c r="G415" s="414">
        <v>2</v>
      </c>
      <c r="H415" s="413"/>
      <c r="I415" s="415"/>
    </row>
    <row r="416" spans="1:9" ht="18" customHeight="1" outlineLevel="1" x14ac:dyDescent="0.25">
      <c r="B416" s="167" t="s">
        <v>1814</v>
      </c>
      <c r="C416" s="1616" t="s">
        <v>2761</v>
      </c>
      <c r="D416" s="1617" t="s">
        <v>3848</v>
      </c>
      <c r="E416" s="349">
        <f>((K_NOx_AMETO)/((K_NOx_AMETO)+(S_NOx)))</f>
        <v>9.7087378640776708E-3</v>
      </c>
      <c r="F416" s="349" t="s">
        <v>282</v>
      </c>
      <c r="G416" s="349">
        <v>2</v>
      </c>
      <c r="H416" s="168"/>
      <c r="I416" s="174"/>
    </row>
    <row r="417" spans="2:9" ht="18" customHeight="1" outlineLevel="1" x14ac:dyDescent="0.25">
      <c r="B417" s="167" t="s">
        <v>3480</v>
      </c>
      <c r="C417" s="1616" t="s">
        <v>2762</v>
      </c>
      <c r="D417" s="1617" t="s">
        <v>3481</v>
      </c>
      <c r="E417" s="349">
        <f>((K_iO2_AMETO)/((K_iO2_AMETO)+(S_O2)))</f>
        <v>2.4390243902439029E-2</v>
      </c>
      <c r="F417" s="349" t="s">
        <v>282</v>
      </c>
      <c r="G417" s="349">
        <v>2</v>
      </c>
      <c r="H417" s="168"/>
      <c r="I417" s="174"/>
    </row>
    <row r="418" spans="2:9" ht="18" customHeight="1" outlineLevel="1" x14ac:dyDescent="0.25">
      <c r="B418" s="167" t="s">
        <v>1804</v>
      </c>
      <c r="C418" s="1616" t="s">
        <v>2763</v>
      </c>
      <c r="D418" s="1637" t="s">
        <v>3849</v>
      </c>
      <c r="E418" s="349">
        <f>(MAX((S_NOx)-S_umo__MSatMin,0)/((K_NOx_AMETO)+(S_NOx)))</f>
        <v>0.99029126213592233</v>
      </c>
      <c r="F418" s="349" t="s">
        <v>282</v>
      </c>
      <c r="G418" s="349">
        <v>2</v>
      </c>
      <c r="H418" s="168"/>
      <c r="I418" s="174"/>
    </row>
    <row r="419" spans="2:9" ht="18" customHeight="1" outlineLevel="1" x14ac:dyDescent="0.25">
      <c r="B419" s="167" t="s">
        <v>3482</v>
      </c>
      <c r="C419" s="1616" t="s">
        <v>2764</v>
      </c>
      <c r="D419" s="1617" t="s">
        <v>3483</v>
      </c>
      <c r="E419" s="349">
        <f>(MAX((S_O2)-S_umo__MSatMin,0)/((K_iO2_AMETO)+(S_O2)))</f>
        <v>0.97560975609756106</v>
      </c>
      <c r="F419" s="349" t="s">
        <v>282</v>
      </c>
      <c r="G419" s="349">
        <v>2</v>
      </c>
      <c r="H419" s="168"/>
      <c r="I419" s="174"/>
    </row>
    <row r="420" spans="2:9" ht="18" customHeight="1" outlineLevel="1" x14ac:dyDescent="0.25">
      <c r="B420" s="167" t="s">
        <v>1980</v>
      </c>
      <c r="C420" s="1616" t="s">
        <v>2765</v>
      </c>
      <c r="D420" s="1616" t="s">
        <v>2771</v>
      </c>
      <c r="E420" s="349">
        <f>((S_VFA)/((K_VFA_AMETO)+(S_VFA)+((S_VFA)^2/(K_iVFA_AMETO))))</f>
        <v>2.4999375015562114E-5</v>
      </c>
      <c r="F420" s="349" t="s">
        <v>282</v>
      </c>
      <c r="G420" s="349">
        <v>2</v>
      </c>
      <c r="H420" s="168"/>
      <c r="I420" s="174"/>
    </row>
    <row r="421" spans="2:9" ht="18" customHeight="1" outlineLevel="1" x14ac:dyDescent="0.25">
      <c r="B421" s="200" t="s">
        <v>1815</v>
      </c>
      <c r="C421" s="1638" t="s">
        <v>2766</v>
      </c>
      <c r="D421" s="1639" t="s">
        <v>3850</v>
      </c>
      <c r="E421" s="281">
        <f>((K_NOx_HMETO)/((K_NOx_HMETO)+(S_NOx)))</f>
        <v>9.7087378640776708E-3</v>
      </c>
      <c r="F421" s="281" t="s">
        <v>282</v>
      </c>
      <c r="G421" s="281">
        <v>2</v>
      </c>
      <c r="H421" s="280"/>
      <c r="I421" s="359"/>
    </row>
    <row r="422" spans="2:9" ht="18" customHeight="1" outlineLevel="1" x14ac:dyDescent="0.25">
      <c r="B422" s="200" t="s">
        <v>3484</v>
      </c>
      <c r="C422" s="1638" t="s">
        <v>2767</v>
      </c>
      <c r="D422" s="1639" t="s">
        <v>3485</v>
      </c>
      <c r="E422" s="281">
        <f>((K_iO2_HMETO)/((K_iO2_HMETO)+(S_O2)))</f>
        <v>2.4390243902439029E-2</v>
      </c>
      <c r="F422" s="281" t="s">
        <v>282</v>
      </c>
      <c r="G422" s="281">
        <v>2</v>
      </c>
      <c r="H422" s="280"/>
      <c r="I422" s="359"/>
    </row>
    <row r="423" spans="2:9" ht="18" customHeight="1" outlineLevel="1" x14ac:dyDescent="0.25">
      <c r="B423" s="200" t="s">
        <v>1808</v>
      </c>
      <c r="C423" s="1638" t="s">
        <v>2768</v>
      </c>
      <c r="D423" s="1639" t="s">
        <v>1809</v>
      </c>
      <c r="E423" s="281">
        <f>(MAX((S_H2)-S_umo__MSatMin,0)/((K_H2_HMETO)+(S_H2)))</f>
        <v>9.0909090909090912E-2</v>
      </c>
      <c r="F423" s="281" t="s">
        <v>282</v>
      </c>
      <c r="G423" s="281">
        <v>2</v>
      </c>
      <c r="H423" s="280"/>
      <c r="I423" s="359"/>
    </row>
    <row r="424" spans="2:9" ht="18" customHeight="1" outlineLevel="1" x14ac:dyDescent="0.25">
      <c r="B424" s="200" t="s">
        <v>1805</v>
      </c>
      <c r="C424" s="1638" t="s">
        <v>2769</v>
      </c>
      <c r="D424" s="1640" t="s">
        <v>3851</v>
      </c>
      <c r="E424" s="281">
        <f>(MAX((S_NOx)-S_umo__MSatMin,0)/((K_NOx_HMETO)+(S_NOx)))</f>
        <v>0.99029126213592233</v>
      </c>
      <c r="F424" s="281" t="s">
        <v>282</v>
      </c>
      <c r="G424" s="281">
        <v>2</v>
      </c>
      <c r="H424" s="280"/>
      <c r="I424" s="359"/>
    </row>
    <row r="425" spans="2:9" ht="18" customHeight="1" outlineLevel="1" x14ac:dyDescent="0.25">
      <c r="B425" s="200" t="s">
        <v>3487</v>
      </c>
      <c r="C425" s="1638" t="s">
        <v>2770</v>
      </c>
      <c r="D425" s="1639" t="s">
        <v>3486</v>
      </c>
      <c r="E425" s="281">
        <f>(MAX((S_O2)-S_umo__MSatMin,0)/((K_iO2_HMETO)+(S_O2)))</f>
        <v>0.97560975609756106</v>
      </c>
      <c r="F425" s="281" t="s">
        <v>282</v>
      </c>
      <c r="G425" s="281">
        <v>2</v>
      </c>
      <c r="H425" s="280"/>
      <c r="I425" s="359"/>
    </row>
    <row r="426" spans="2:9" outlineLevel="1" x14ac:dyDescent="0.25">
      <c r="B426" s="2052" t="s">
        <v>4634</v>
      </c>
      <c r="C426" s="2053" t="s">
        <v>4635</v>
      </c>
      <c r="D426" s="2053" t="s">
        <v>4636</v>
      </c>
      <c r="E426" s="2054">
        <f>(MAX((S_CO2)-S_umo__MSatMin,0)/((K_CO2_ALGAE)+(S_CO2)))</f>
        <v>0.88095238095238093</v>
      </c>
      <c r="F426" s="2054" t="s">
        <v>282</v>
      </c>
      <c r="G426" s="2054">
        <v>2</v>
      </c>
      <c r="H426" s="2055"/>
      <c r="I426" s="2056"/>
    </row>
    <row r="427" spans="2:9" outlineLevel="1" x14ac:dyDescent="0.25">
      <c r="B427" s="2052" t="s">
        <v>4637</v>
      </c>
      <c r="C427" s="2053" t="s">
        <v>4673</v>
      </c>
      <c r="D427" s="2053" t="s">
        <v>4638</v>
      </c>
      <c r="E427" s="2054">
        <f>(MAX((S_NOx)-S_umo__MSatMin,0)/((K_NOx_ALGAE)+(S_NOx)))</f>
        <v>0.9107142857142857</v>
      </c>
      <c r="F427" s="2054" t="s">
        <v>282</v>
      </c>
      <c r="G427" s="2054">
        <v>2</v>
      </c>
      <c r="H427" s="2055"/>
      <c r="I427" s="2056"/>
    </row>
    <row r="428" spans="2:9" outlineLevel="1" x14ac:dyDescent="0.25">
      <c r="B428" s="2052" t="s">
        <v>4639</v>
      </c>
      <c r="C428" s="2053" t="s">
        <v>4674</v>
      </c>
      <c r="D428" s="2053" t="s">
        <v>4640</v>
      </c>
      <c r="E428" s="2054">
        <f>(MAX((S_NHx)-S_umo__MSatMin,0)/((K_NHx_ALGAE)+(S_NHx)))</f>
        <v>0.58823529411764708</v>
      </c>
      <c r="F428" s="2054" t="s">
        <v>282</v>
      </c>
      <c r="G428" s="2054">
        <v>2</v>
      </c>
      <c r="H428" s="2055"/>
      <c r="I428" s="2056"/>
    </row>
    <row r="429" spans="2:9" outlineLevel="1" x14ac:dyDescent="0.25">
      <c r="B429" s="2052" t="s">
        <v>4641</v>
      </c>
      <c r="C429" s="2053" t="s">
        <v>4642</v>
      </c>
      <c r="D429" s="2053" t="s">
        <v>4643</v>
      </c>
      <c r="E429" s="2054">
        <f>(MAX((S_O2)-S_umo__MSatMin,0)/((K_O2_ALGAE)+(S_O2)))</f>
        <v>0.97560975609756106</v>
      </c>
      <c r="F429" s="2054" t="s">
        <v>282</v>
      </c>
      <c r="G429" s="2054">
        <v>2</v>
      </c>
      <c r="H429" s="2055"/>
      <c r="I429" s="2056"/>
    </row>
    <row r="430" spans="2:9" outlineLevel="1" x14ac:dyDescent="0.25">
      <c r="B430" s="2052" t="s">
        <v>4644</v>
      </c>
      <c r="C430" s="2053" t="s">
        <v>4645</v>
      </c>
      <c r="D430" s="2053" t="s">
        <v>4646</v>
      </c>
      <c r="E430" s="2054">
        <f>((K_O2_ALGAE)/((K_O2_ALGAE)+(S_O2)))</f>
        <v>2.4390243902439029E-2</v>
      </c>
      <c r="F430" s="2054" t="s">
        <v>282</v>
      </c>
      <c r="G430" s="2054">
        <v>2</v>
      </c>
      <c r="H430" s="2055"/>
      <c r="I430" s="2056"/>
    </row>
    <row r="431" spans="2:9" outlineLevel="1" x14ac:dyDescent="0.25">
      <c r="B431" s="2052" t="s">
        <v>4647</v>
      </c>
      <c r="C431" s="2053" t="s">
        <v>4648</v>
      </c>
      <c r="D431" s="2053" t="s">
        <v>4649</v>
      </c>
      <c r="E431" s="2054">
        <f>((K_iNHx_ALGAE)/((K_iNHx_ALGAE)+(S_NHx)))</f>
        <v>0.33333333333333331</v>
      </c>
      <c r="F431" s="2054" t="s">
        <v>282</v>
      </c>
      <c r="G431" s="2054">
        <v>2</v>
      </c>
      <c r="H431" s="2055"/>
      <c r="I431" s="2056"/>
    </row>
    <row r="432" spans="2:9" ht="18" customHeight="1" outlineLevel="1" x14ac:dyDescent="0.25">
      <c r="B432" s="552" t="s">
        <v>2772</v>
      </c>
      <c r="C432" s="1641" t="s">
        <v>2905</v>
      </c>
      <c r="D432" s="1641" t="s">
        <v>2773</v>
      </c>
      <c r="E432" s="285">
        <f>((K_iNHx_ASSIM)/((K_iNHx_ASSIM)+(S_NHx)))</f>
        <v>4.9975012493753133E-4</v>
      </c>
      <c r="F432" s="285" t="s">
        <v>282</v>
      </c>
      <c r="G432" s="285">
        <v>2</v>
      </c>
      <c r="H432" s="283"/>
      <c r="I432" s="360"/>
    </row>
    <row r="433" spans="2:9" outlineLevel="1" x14ac:dyDescent="0.25">
      <c r="B433" s="2223" t="s">
        <v>4796</v>
      </c>
      <c r="C433" s="2224" t="s">
        <v>2774</v>
      </c>
      <c r="D433" s="2224" t="s">
        <v>4797</v>
      </c>
      <c r="E433" s="2225">
        <f>(MAX((C_B)-S_umo__MSatMin,0)/((K_CB_FLOC)+(C_B)))</f>
        <v>1.9960079840319364E-3</v>
      </c>
      <c r="F433" s="2225" t="s">
        <v>282</v>
      </c>
      <c r="G433" s="2225">
        <v>2</v>
      </c>
      <c r="H433" s="2226"/>
      <c r="I433" s="2227"/>
    </row>
    <row r="434" spans="2:9" ht="30" outlineLevel="1" x14ac:dyDescent="0.25">
      <c r="B434" s="2223" t="s">
        <v>4798</v>
      </c>
      <c r="C434" s="2224" t="s">
        <v>3539</v>
      </c>
      <c r="D434" s="2224" t="s">
        <v>4799</v>
      </c>
      <c r="E434" s="2225">
        <f>(MAX((C_U)-S_umo__MSatMin,0)/((K_CU_FLOC)+(C_U)))</f>
        <v>9.9009900990099011E-3</v>
      </c>
      <c r="F434" s="2225" t="s">
        <v>282</v>
      </c>
      <c r="G434" s="2225">
        <v>2</v>
      </c>
      <c r="H434" s="2226"/>
      <c r="I434" s="2227"/>
    </row>
    <row r="435" spans="2:9" ht="30" outlineLevel="1" x14ac:dyDescent="0.25">
      <c r="B435" s="2223" t="s">
        <v>4905</v>
      </c>
      <c r="C435" s="2358" t="s">
        <v>4906</v>
      </c>
      <c r="D435" s="2358" t="s">
        <v>4907</v>
      </c>
      <c r="E435" s="2359">
        <f>(MAX((C_B)-S_umo__MSatMin,0)/((K_CB_FLOC_HFO)+(C_B)))</f>
        <v>1.9960079840319364E-3</v>
      </c>
      <c r="F435" s="2359" t="s">
        <v>282</v>
      </c>
      <c r="G435" s="2359">
        <v>2</v>
      </c>
      <c r="H435" s="2360"/>
      <c r="I435" s="2227"/>
    </row>
    <row r="436" spans="2:9" ht="30" outlineLevel="1" x14ac:dyDescent="0.25">
      <c r="B436" s="2223" t="s">
        <v>4908</v>
      </c>
      <c r="C436" s="2358" t="s">
        <v>4909</v>
      </c>
      <c r="D436" s="2358" t="s">
        <v>4910</v>
      </c>
      <c r="E436" s="2359">
        <f>(MAX((C_U)-S_umo__MSatMin,0)/((K_CU_FLOC_HFO)+(C_U)))</f>
        <v>9.9009900990099011E-3</v>
      </c>
      <c r="F436" s="2359" t="s">
        <v>282</v>
      </c>
      <c r="G436" s="2359">
        <v>2</v>
      </c>
      <c r="H436" s="2360"/>
      <c r="I436" s="2227"/>
    </row>
    <row r="437" spans="2:9" ht="30" outlineLevel="1" x14ac:dyDescent="0.25">
      <c r="B437" s="2223" t="s">
        <v>4911</v>
      </c>
      <c r="C437" s="2358" t="s">
        <v>4912</v>
      </c>
      <c r="D437" s="2358" t="s">
        <v>4913</v>
      </c>
      <c r="E437" s="2359">
        <f>(MAX((C_B)-S_umo__MSatMin,0)/((K_CB_FLOC_HAO)+(C_B)))</f>
        <v>1.9960079840319364E-3</v>
      </c>
      <c r="F437" s="2359" t="s">
        <v>282</v>
      </c>
      <c r="G437" s="2359">
        <v>2</v>
      </c>
      <c r="H437" s="2360"/>
      <c r="I437" s="2227"/>
    </row>
    <row r="438" spans="2:9" ht="30" outlineLevel="1" x14ac:dyDescent="0.25">
      <c r="B438" s="2223" t="s">
        <v>4914</v>
      </c>
      <c r="C438" s="2358" t="s">
        <v>4915</v>
      </c>
      <c r="D438" s="2358" t="s">
        <v>4916</v>
      </c>
      <c r="E438" s="2359">
        <f>(MAX((C_U)-S_umo__MSatMin,0)/((K_CU_FLOC_HAO)+(C_U)))</f>
        <v>9.9009900990099011E-3</v>
      </c>
      <c r="F438" s="2359" t="s">
        <v>282</v>
      </c>
      <c r="G438" s="2359">
        <v>2</v>
      </c>
      <c r="H438" s="2360"/>
      <c r="I438" s="2227"/>
    </row>
    <row r="439" spans="2:9" ht="18" customHeight="1" outlineLevel="1" x14ac:dyDescent="0.25">
      <c r="B439" s="282" t="s">
        <v>4679</v>
      </c>
      <c r="C439" s="1641" t="s">
        <v>2775</v>
      </c>
      <c r="D439" s="1642" t="s">
        <v>4681</v>
      </c>
      <c r="E439" s="285">
        <f>(((X_B)/(X_HET))/((X_B)/(X_HET)+(K_HYD)))</f>
        <v>0.21869874248223073</v>
      </c>
      <c r="F439" s="285" t="s">
        <v>282</v>
      </c>
      <c r="G439" s="285">
        <v>2</v>
      </c>
      <c r="H439" s="283"/>
      <c r="I439" s="360"/>
    </row>
    <row r="440" spans="2:9" ht="30" outlineLevel="1" x14ac:dyDescent="0.25">
      <c r="B440" s="2611" t="s">
        <v>5308</v>
      </c>
      <c r="C440" s="1641" t="s">
        <v>5285</v>
      </c>
      <c r="D440" s="1642" t="s">
        <v>5286</v>
      </c>
      <c r="E440" s="285">
        <f>(((X_B_e)/(X_HET))/((X_B_e)/(X_HET)+(K_HYD)))</f>
        <v>0.56514367691170719</v>
      </c>
      <c r="F440" s="285" t="s">
        <v>282</v>
      </c>
      <c r="G440" s="285">
        <v>2</v>
      </c>
      <c r="H440" s="283"/>
      <c r="I440" s="360"/>
    </row>
    <row r="441" spans="2:9" ht="18" customHeight="1" outlineLevel="1" x14ac:dyDescent="0.25">
      <c r="B441" s="284" t="s">
        <v>4680</v>
      </c>
      <c r="C441" s="1641" t="s">
        <v>2776</v>
      </c>
      <c r="D441" s="1642" t="s">
        <v>4682</v>
      </c>
      <c r="E441" s="285">
        <f>(((X_E_ana)/(X_HET))/((X_E_ana)/(X_HET)+(K_HYD)))</f>
        <v>1.9954105557218401E-3</v>
      </c>
      <c r="F441" s="285" t="s">
        <v>282</v>
      </c>
      <c r="G441" s="285">
        <v>2</v>
      </c>
      <c r="H441" s="283"/>
      <c r="I441" s="360"/>
    </row>
    <row r="442" spans="2:9" ht="30" outlineLevel="1" x14ac:dyDescent="0.25">
      <c r="B442" s="2223" t="s">
        <v>4800</v>
      </c>
      <c r="C442" s="2224" t="s">
        <v>4801</v>
      </c>
      <c r="D442" s="2224" t="s">
        <v>4802</v>
      </c>
      <c r="E442" s="2225">
        <f>(MAX((X_B)-S_umo__MSatMin,0)/((K_XB_HYD)+(X_B)))</f>
        <v>2.7237354085603113E-2</v>
      </c>
      <c r="F442" s="2225" t="s">
        <v>282</v>
      </c>
      <c r="G442" s="2225">
        <v>2</v>
      </c>
      <c r="H442" s="2226"/>
      <c r="I442" s="2227"/>
    </row>
    <row r="443" spans="2:9" ht="30" outlineLevel="1" x14ac:dyDescent="0.25">
      <c r="B443" s="2223" t="s">
        <v>5273</v>
      </c>
      <c r="C443" s="2224" t="s">
        <v>5274</v>
      </c>
      <c r="D443" s="2224" t="s">
        <v>5275</v>
      </c>
      <c r="E443" s="2225">
        <f>(MAX((X_B_e)-S_umo__MSatMin,0)/((K_XBe_HYD)+(X_B_e)))</f>
        <v>0.11504424778761062</v>
      </c>
      <c r="F443" s="2225" t="s">
        <v>282</v>
      </c>
      <c r="G443" s="2225">
        <v>2</v>
      </c>
      <c r="H443" s="2226"/>
      <c r="I443" s="2227"/>
    </row>
    <row r="444" spans="2:9" ht="30" outlineLevel="1" x14ac:dyDescent="0.25">
      <c r="B444" s="2223" t="s">
        <v>4803</v>
      </c>
      <c r="C444" s="2224" t="s">
        <v>4804</v>
      </c>
      <c r="D444" s="2224" t="s">
        <v>4805</v>
      </c>
      <c r="E444" s="2225">
        <f>(MAX((X_E_ana)-S_umo__MSatMin,0)/((K_XEana_HYD)+(X_E_ana)))</f>
        <v>1.9996000799840031E-4</v>
      </c>
      <c r="F444" s="2225" t="s">
        <v>282</v>
      </c>
      <c r="G444" s="2225">
        <v>2</v>
      </c>
      <c r="H444" s="2226"/>
      <c r="I444" s="2227"/>
    </row>
    <row r="445" spans="2:9" outlineLevel="1" x14ac:dyDescent="0.25">
      <c r="B445" s="2223" t="s">
        <v>4806</v>
      </c>
      <c r="C445" s="2224" t="s">
        <v>4807</v>
      </c>
      <c r="D445" s="2224" t="s">
        <v>4808</v>
      </c>
      <c r="E445" s="2225">
        <f>((-1)*(2/((X_HET_HYD_lim)*(L_ograngeXHET_HYD_lim)))*LN((1/19)*(1+(1/2)*((X_HET_HYD_lim)*(L_ograngeXHET_HYD_lim)/(X_HET_HYD_lim)))))</f>
        <v>0.11582595259988035</v>
      </c>
      <c r="F445" s="2225" t="s">
        <v>1180</v>
      </c>
      <c r="G445" s="2225">
        <v>1</v>
      </c>
      <c r="H445" s="2226"/>
      <c r="I445" s="2227" t="s">
        <v>4434</v>
      </c>
    </row>
    <row r="446" spans="2:9" outlineLevel="1" x14ac:dyDescent="0.25">
      <c r="B446" s="2223" t="s">
        <v>4809</v>
      </c>
      <c r="C446" s="2224" t="s">
        <v>4810</v>
      </c>
      <c r="D446" s="2224" t="s">
        <v>4811</v>
      </c>
      <c r="E446" s="2225">
        <f>((X_HET)/((X_HET)+(X_HET_HYD_lim)*EXP(((X_HET_HYD_lim)-(X_HET))*(L_ogslopeXHET_HYD_lim))))</f>
        <v>1</v>
      </c>
      <c r="F446" s="2225" t="s">
        <v>282</v>
      </c>
      <c r="G446" s="2225">
        <v>2</v>
      </c>
      <c r="H446" s="2226"/>
      <c r="I446" s="2227"/>
    </row>
    <row r="447" spans="2:9" outlineLevel="1" x14ac:dyDescent="0.25">
      <c r="B447" s="2223" t="s">
        <v>4812</v>
      </c>
      <c r="C447" s="2224" t="s">
        <v>4813</v>
      </c>
      <c r="D447" s="2224" t="s">
        <v>4814</v>
      </c>
      <c r="E447" s="2225">
        <f>(1-(X_HET)/((X_HET)+(X_HET_HYD_lim)*EXP(((X_HET_HYD_lim)-(X_HET))*(L_ogslopeXHET_HYD_lim))))</f>
        <v>0</v>
      </c>
      <c r="F447" s="2225" t="s">
        <v>282</v>
      </c>
      <c r="G447" s="2225">
        <v>2</v>
      </c>
      <c r="H447" s="2226"/>
      <c r="I447" s="2227"/>
    </row>
    <row r="448" spans="2:9" s="1012" customFormat="1" ht="18" customHeight="1" outlineLevel="1" x14ac:dyDescent="0.25">
      <c r="B448" s="1984" t="s">
        <v>4559</v>
      </c>
      <c r="C448" s="1985" t="s">
        <v>4560</v>
      </c>
      <c r="D448" s="1986" t="s">
        <v>4561</v>
      </c>
      <c r="E448" s="1987">
        <f>(MAX((X_U)-S_umo__MSatMin,0)/((K_XU)+(X_U)))</f>
        <v>0.99009900990099009</v>
      </c>
      <c r="F448" s="1988" t="s">
        <v>282</v>
      </c>
      <c r="G448" s="1988">
        <v>2</v>
      </c>
      <c r="H448" s="1985"/>
      <c r="I448" s="1989"/>
    </row>
    <row r="449" spans="2:9" ht="18" customHeight="1" outlineLevel="1" x14ac:dyDescent="0.25">
      <c r="B449" s="1172" t="s">
        <v>2360</v>
      </c>
      <c r="C449" s="1643" t="s">
        <v>2777</v>
      </c>
      <c r="D449" s="1644" t="s">
        <v>2361</v>
      </c>
      <c r="E449" s="462">
        <f>(MAX((S_NO2)-S_umo__MSatMin,0)/((K_NO2_ASSIM)+(S_NO2)))</f>
        <v>0.99009900990099009</v>
      </c>
      <c r="F449" s="276" t="s">
        <v>282</v>
      </c>
      <c r="G449" s="276">
        <v>2</v>
      </c>
      <c r="H449" s="337"/>
      <c r="I449" s="1570"/>
    </row>
    <row r="450" spans="2:9" ht="18" customHeight="1" outlineLevel="1" x14ac:dyDescent="0.25">
      <c r="B450" s="1172" t="s">
        <v>2362</v>
      </c>
      <c r="C450" s="1643" t="s">
        <v>2778</v>
      </c>
      <c r="D450" s="1644" t="s">
        <v>2363</v>
      </c>
      <c r="E450" s="361">
        <f>(MAX((S_NO3)-S_umo__MSatMin,0)/((K_NO3_ASSIM)+(S_NO3)))</f>
        <v>0.99980003999200151</v>
      </c>
      <c r="F450" s="361" t="s">
        <v>282</v>
      </c>
      <c r="G450" s="361">
        <v>2</v>
      </c>
      <c r="H450" s="276"/>
      <c r="I450" s="363"/>
    </row>
    <row r="451" spans="2:9" ht="18" customHeight="1" outlineLevel="1" x14ac:dyDescent="0.25">
      <c r="B451" s="275" t="s">
        <v>2358</v>
      </c>
      <c r="C451" s="1384" t="s">
        <v>2779</v>
      </c>
      <c r="D451" s="1645" t="s">
        <v>2359</v>
      </c>
      <c r="E451" s="461">
        <f>((K_NO2_ASSIM)/((K_NO2_ASSIM)+(S_NO2)))</f>
        <v>9.9009900990099011E-3</v>
      </c>
      <c r="F451" s="361" t="s">
        <v>282</v>
      </c>
      <c r="G451" s="361">
        <v>2</v>
      </c>
      <c r="H451" s="276"/>
      <c r="I451" s="363"/>
    </row>
    <row r="452" spans="2:9" ht="18" customHeight="1" outlineLevel="1" x14ac:dyDescent="0.25">
      <c r="B452" s="716" t="s">
        <v>3872</v>
      </c>
      <c r="C452" s="878" t="s">
        <v>2780</v>
      </c>
      <c r="D452" s="1646" t="s">
        <v>4400</v>
      </c>
      <c r="E452" s="718">
        <f>(1-(S_PO4)/((S_PO4)+(K_iP_HFO_DISS)*EXP(((K_iP_HFO_DISS)-(S_PO4))*(L_ogslopeP_HFO_DISS))))</f>
        <v>0</v>
      </c>
      <c r="F452" s="718" t="s">
        <v>282</v>
      </c>
      <c r="G452" s="718">
        <v>2</v>
      </c>
      <c r="H452" s="717"/>
      <c r="I452" s="719"/>
    </row>
    <row r="453" spans="2:9" ht="18" customHeight="1" outlineLevel="1" x14ac:dyDescent="0.25">
      <c r="B453" s="716" t="s">
        <v>3873</v>
      </c>
      <c r="C453" s="878" t="s">
        <v>3351</v>
      </c>
      <c r="D453" s="878" t="s">
        <v>3874</v>
      </c>
      <c r="E453" s="718">
        <f>((K_iP_HFO_DESORP)/((K_iP_HFO_DESORP)+(S_PO4)))</f>
        <v>0.16666666666666669</v>
      </c>
      <c r="F453" s="718" t="s">
        <v>282</v>
      </c>
      <c r="G453" s="718">
        <v>2</v>
      </c>
      <c r="H453" s="717"/>
      <c r="I453" s="719"/>
    </row>
    <row r="454" spans="2:9" ht="18" customHeight="1" outlineLevel="1" x14ac:dyDescent="0.25">
      <c r="B454" s="716" t="s">
        <v>3875</v>
      </c>
      <c r="C454" s="1647" t="s">
        <v>2781</v>
      </c>
      <c r="D454" s="1647" t="s">
        <v>3876</v>
      </c>
      <c r="E454" s="361">
        <f>(MAX((S_PO4)-S_umo__MSatMin,0)/((K_P_HFO_BIND)+(S_PO4)))</f>
        <v>0.83333333333333337</v>
      </c>
      <c r="F454" s="361" t="s">
        <v>282</v>
      </c>
      <c r="G454" s="361">
        <v>2</v>
      </c>
      <c r="H454" s="276"/>
      <c r="I454" s="363"/>
    </row>
    <row r="455" spans="2:9" outlineLevel="1" x14ac:dyDescent="0.25">
      <c r="B455" s="716" t="s">
        <v>3857</v>
      </c>
      <c r="C455" s="878" t="s">
        <v>3858</v>
      </c>
      <c r="D455" s="1646" t="s">
        <v>4401</v>
      </c>
      <c r="E455" s="933">
        <f>(1-(S_PO4)/((S_PO4)+(K_iP_HAO_DISS)*EXP(((K_iP_HAO_DISS)-(S_PO4))*(L_ogslopeP_HAO_DISS))))</f>
        <v>0</v>
      </c>
      <c r="F455" s="933" t="s">
        <v>282</v>
      </c>
      <c r="G455" s="933">
        <v>2</v>
      </c>
      <c r="H455" s="896"/>
      <c r="I455" s="719"/>
    </row>
    <row r="456" spans="2:9" outlineLevel="1" x14ac:dyDescent="0.25">
      <c r="B456" s="716" t="s">
        <v>3859</v>
      </c>
      <c r="C456" s="878" t="s">
        <v>3860</v>
      </c>
      <c r="D456" s="878" t="s">
        <v>3861</v>
      </c>
      <c r="E456" s="933">
        <f>((K_iP_HAO_DESORP)/((K_iP_HAO_DESORP)+(S_PO4)))</f>
        <v>0.16666666666666669</v>
      </c>
      <c r="F456" s="933" t="s">
        <v>282</v>
      </c>
      <c r="G456" s="933">
        <v>2</v>
      </c>
      <c r="H456" s="896"/>
      <c r="I456" s="719"/>
    </row>
    <row r="457" spans="2:9" outlineLevel="1" x14ac:dyDescent="0.25">
      <c r="B457" s="716" t="s">
        <v>3862</v>
      </c>
      <c r="C457" s="1647" t="s">
        <v>3863</v>
      </c>
      <c r="D457" s="1647" t="s">
        <v>3864</v>
      </c>
      <c r="E457" s="933">
        <f>(MAX((S_PO4)-S_umo__MSatMin,0)/((K_P_HAO_BIND)+(S_PO4)))</f>
        <v>0.83333333333333337</v>
      </c>
      <c r="F457" s="933" t="s">
        <v>282</v>
      </c>
      <c r="G457" s="933">
        <v>2</v>
      </c>
      <c r="H457" s="896"/>
      <c r="I457" s="877"/>
    </row>
    <row r="458" spans="2:9" ht="18" customHeight="1" outlineLevel="1" x14ac:dyDescent="0.25">
      <c r="B458" s="465" t="s">
        <v>2782</v>
      </c>
      <c r="C458" s="1384" t="s">
        <v>2783</v>
      </c>
      <c r="D458" s="1384" t="s">
        <v>2784</v>
      </c>
      <c r="E458" s="361">
        <f>(MAX((X_ACP)-S_umo__MSatMin,0)/((K_ACP_DISS)+(X_ACP)))</f>
        <v>0</v>
      </c>
      <c r="F458" s="361" t="s">
        <v>282</v>
      </c>
      <c r="G458" s="361">
        <v>2</v>
      </c>
      <c r="H458" s="276"/>
      <c r="I458" s="362"/>
    </row>
    <row r="459" spans="2:9" ht="18" customHeight="1" outlineLevel="1" x14ac:dyDescent="0.25">
      <c r="B459" s="716" t="s">
        <v>3815</v>
      </c>
      <c r="C459" s="878" t="s">
        <v>3816</v>
      </c>
      <c r="D459" s="878" t="s">
        <v>3817</v>
      </c>
      <c r="E459" s="1156">
        <f>(MAX((X_BSH)-S_umo__MSatMin,0)/((K_BSH_DISS)+(X_BSH)))</f>
        <v>0</v>
      </c>
      <c r="F459" s="933" t="s">
        <v>282</v>
      </c>
      <c r="G459" s="933">
        <v>2</v>
      </c>
      <c r="H459" s="896"/>
      <c r="I459" s="719"/>
    </row>
    <row r="460" spans="2:9" ht="18" customHeight="1" outlineLevel="1" x14ac:dyDescent="0.25">
      <c r="B460" s="465" t="s">
        <v>2785</v>
      </c>
      <c r="C460" s="1384" t="s">
        <v>2786</v>
      </c>
      <c r="D460" s="1384" t="s">
        <v>2787</v>
      </c>
      <c r="E460" s="361">
        <f>(MAX((X_CaCO3)-S_umo__MSatMin,0)/((K_CaCO3_DISS)+(X_CaCO3)))</f>
        <v>0</v>
      </c>
      <c r="F460" s="361" t="s">
        <v>282</v>
      </c>
      <c r="G460" s="361">
        <v>2</v>
      </c>
      <c r="H460" s="276"/>
      <c r="I460" s="362"/>
    </row>
    <row r="461" spans="2:9" ht="18" customHeight="1" outlineLevel="1" x14ac:dyDescent="0.25">
      <c r="B461" s="465" t="s">
        <v>2788</v>
      </c>
      <c r="C461" s="1384" t="s">
        <v>2789</v>
      </c>
      <c r="D461" s="1384" t="s">
        <v>2790</v>
      </c>
      <c r="E461" s="361">
        <f>(MAX((X_STR)-S_umo__MSatMin,0)/((K_STR_DISS)+(X_STR)))</f>
        <v>0</v>
      </c>
      <c r="F461" s="361" t="s">
        <v>282</v>
      </c>
      <c r="G461" s="361">
        <v>2</v>
      </c>
      <c r="H461" s="276"/>
      <c r="I461" s="362"/>
    </row>
    <row r="462" spans="2:9" ht="18" customHeight="1" outlineLevel="1" thickBot="1" x14ac:dyDescent="0.3">
      <c r="B462" s="297" t="s">
        <v>2791</v>
      </c>
      <c r="C462" s="1648" t="s">
        <v>2792</v>
      </c>
      <c r="D462" s="1648" t="s">
        <v>2793</v>
      </c>
      <c r="E462" s="364">
        <f>(MAX((X_Vivi)-S_umo__MSatMin,0)/((K_Vivi_DISS)+(X_Vivi)))</f>
        <v>0</v>
      </c>
      <c r="F462" s="364" t="s">
        <v>282</v>
      </c>
      <c r="G462" s="364">
        <v>2</v>
      </c>
      <c r="H462" s="298"/>
      <c r="I462" s="365"/>
    </row>
    <row r="463" spans="2:9" s="2133" customFormat="1" ht="18" customHeight="1" thickBot="1" x14ac:dyDescent="0.3">
      <c r="B463" s="4"/>
      <c r="C463" s="4"/>
      <c r="D463" s="4"/>
      <c r="E463" s="1934"/>
      <c r="F463" s="4"/>
      <c r="G463" s="4"/>
      <c r="H463" s="4"/>
      <c r="I463" s="4"/>
    </row>
    <row r="464" spans="2:9" s="2133" customFormat="1" ht="18" customHeight="1" thickBot="1" x14ac:dyDescent="0.3">
      <c r="B464" s="113"/>
      <c r="C464" s="1089" t="s">
        <v>2134</v>
      </c>
      <c r="D464" s="14" t="s">
        <v>299</v>
      </c>
      <c r="E464" s="14"/>
      <c r="F464" s="113"/>
      <c r="G464" s="113"/>
      <c r="H464" s="113"/>
      <c r="I464" s="113"/>
    </row>
    <row r="465" spans="2:9" s="2133" customFormat="1" ht="18" customHeight="1" thickBot="1" x14ac:dyDescent="0.3">
      <c r="B465" s="1939" t="s">
        <v>0</v>
      </c>
      <c r="C465" s="1942" t="s">
        <v>1</v>
      </c>
      <c r="D465" s="1945" t="s">
        <v>5</v>
      </c>
      <c r="E465" s="1945" t="s">
        <v>152</v>
      </c>
      <c r="F465" s="1945" t="s">
        <v>2</v>
      </c>
      <c r="G465" s="1945" t="s">
        <v>298</v>
      </c>
      <c r="H465" s="1945" t="s">
        <v>116</v>
      </c>
      <c r="I465" s="1948" t="s">
        <v>117</v>
      </c>
    </row>
    <row r="466" spans="2:9" ht="18" customHeight="1" outlineLevel="1" x14ac:dyDescent="0.25">
      <c r="B466" s="293" t="s">
        <v>1818</v>
      </c>
      <c r="C466" s="1649" t="s">
        <v>2797</v>
      </c>
      <c r="D466" s="1650" t="s">
        <v>1819</v>
      </c>
      <c r="E466" s="366">
        <f>µ_OHO*((θ_µ_OHO)^((T__)-(T_base)))</f>
        <v>4</v>
      </c>
      <c r="F466" s="366" t="s">
        <v>443</v>
      </c>
      <c r="G466" s="294">
        <v>2</v>
      </c>
      <c r="H466" s="294"/>
      <c r="I466" s="367"/>
    </row>
    <row r="467" spans="2:9" ht="18" customHeight="1" outlineLevel="1" x14ac:dyDescent="0.25">
      <c r="B467" s="145" t="s">
        <v>1820</v>
      </c>
      <c r="C467" s="1651" t="s">
        <v>2798</v>
      </c>
      <c r="D467" s="186" t="s">
        <v>1821</v>
      </c>
      <c r="E467" s="216">
        <f>µ_FERM_OHO*((θ_FERM_OHO)^((T__)-(T_base)))</f>
        <v>0.3</v>
      </c>
      <c r="F467" s="216" t="s">
        <v>443</v>
      </c>
      <c r="G467" s="223">
        <v>2</v>
      </c>
      <c r="H467" s="223"/>
      <c r="I467" s="368"/>
    </row>
    <row r="468" spans="2:9" ht="18" customHeight="1" outlineLevel="1" x14ac:dyDescent="0.25">
      <c r="B468" s="145" t="s">
        <v>1822</v>
      </c>
      <c r="C468" s="1651" t="s">
        <v>2799</v>
      </c>
      <c r="D468" s="186" t="s">
        <v>1823</v>
      </c>
      <c r="E468" s="216">
        <f>b_OHO*((θ_b_OHO)^((T__)-(T_base)))</f>
        <v>0.62</v>
      </c>
      <c r="F468" s="216" t="s">
        <v>443</v>
      </c>
      <c r="G468" s="223">
        <v>2</v>
      </c>
      <c r="H468" s="223"/>
      <c r="I468" s="368"/>
    </row>
    <row r="469" spans="2:9" ht="18" customHeight="1" outlineLevel="1" x14ac:dyDescent="0.25">
      <c r="B469" s="145" t="s">
        <v>1824</v>
      </c>
      <c r="C469" s="1651" t="s">
        <v>2800</v>
      </c>
      <c r="D469" s="186" t="s">
        <v>1825</v>
      </c>
      <c r="E469" s="216">
        <f>µ_MEOLO*((θ_µ_MEOLO)^((T__)-(T_base)))</f>
        <v>1.3</v>
      </c>
      <c r="F469" s="216" t="s">
        <v>443</v>
      </c>
      <c r="G469" s="223">
        <v>2</v>
      </c>
      <c r="H469" s="223"/>
      <c r="I469" s="368"/>
    </row>
    <row r="470" spans="2:9" ht="18" customHeight="1" outlineLevel="1" x14ac:dyDescent="0.25">
      <c r="B470" s="145" t="s">
        <v>1826</v>
      </c>
      <c r="C470" s="1651" t="s">
        <v>2801</v>
      </c>
      <c r="D470" s="186" t="s">
        <v>1827</v>
      </c>
      <c r="E470" s="216">
        <f>b_MEOLO*((θ_b_MEOLO)^((T__)-(T_base)))</f>
        <v>0.05</v>
      </c>
      <c r="F470" s="216" t="s">
        <v>443</v>
      </c>
      <c r="G470" s="223">
        <v>2</v>
      </c>
      <c r="H470" s="223"/>
      <c r="I470" s="368"/>
    </row>
    <row r="471" spans="2:9" ht="18" customHeight="1" outlineLevel="1" x14ac:dyDescent="0.25">
      <c r="B471" s="224" t="s">
        <v>4199</v>
      </c>
      <c r="C471" s="1652" t="s">
        <v>4200</v>
      </c>
      <c r="D471" s="1652" t="s">
        <v>4201</v>
      </c>
      <c r="E471" s="211">
        <f>µ_CASTO*((θ_µ_CASTO)^((T__)-(T_base)))</f>
        <v>1</v>
      </c>
      <c r="F471" s="211" t="s">
        <v>443</v>
      </c>
      <c r="G471" s="225">
        <v>2</v>
      </c>
      <c r="H471" s="225"/>
      <c r="I471" s="369"/>
    </row>
    <row r="472" spans="2:9" ht="30" outlineLevel="1" x14ac:dyDescent="0.25">
      <c r="B472" s="224" t="s">
        <v>1854</v>
      </c>
      <c r="C472" s="497" t="s">
        <v>2802</v>
      </c>
      <c r="D472" s="419" t="s">
        <v>1857</v>
      </c>
      <c r="E472" s="211">
        <f>µ_PAO_lim*((θ_µ_PAO_lim)^((T__)-(T_base)))</f>
        <v>0.49</v>
      </c>
      <c r="F472" s="211" t="s">
        <v>443</v>
      </c>
      <c r="G472" s="225">
        <v>2</v>
      </c>
      <c r="H472" s="225"/>
      <c r="I472" s="369"/>
    </row>
    <row r="473" spans="2:9" ht="18" customHeight="1" outlineLevel="1" x14ac:dyDescent="0.25">
      <c r="B473" s="521" t="s">
        <v>2794</v>
      </c>
      <c r="C473" s="497" t="s">
        <v>2795</v>
      </c>
      <c r="D473" s="497" t="s">
        <v>2796</v>
      </c>
      <c r="E473" s="425">
        <f>µ_FERM_PAO*((θ_FERM_PAO)^((T__)-(T_base)))</f>
        <v>0.45</v>
      </c>
      <c r="F473" s="425" t="s">
        <v>443</v>
      </c>
      <c r="G473" s="553">
        <v>2</v>
      </c>
      <c r="H473" s="553"/>
      <c r="I473" s="554"/>
    </row>
    <row r="474" spans="2:9" ht="18" customHeight="1" outlineLevel="1" x14ac:dyDescent="0.25">
      <c r="B474" s="890" t="s">
        <v>3854</v>
      </c>
      <c r="C474" s="887" t="s">
        <v>3855</v>
      </c>
      <c r="D474" s="887" t="s">
        <v>3856</v>
      </c>
      <c r="E474" s="937">
        <f>q_PAO_PP*((θ_q_PAO_PP)^((T__)-(T_base)))</f>
        <v>0.1</v>
      </c>
      <c r="F474" s="937" t="s">
        <v>443</v>
      </c>
      <c r="G474" s="936">
        <v>2</v>
      </c>
      <c r="H474" s="936"/>
      <c r="I474" s="938"/>
    </row>
    <row r="475" spans="2:9" ht="18" customHeight="1" outlineLevel="1" x14ac:dyDescent="0.25">
      <c r="B475" s="224" t="s">
        <v>1828</v>
      </c>
      <c r="C475" s="497" t="s">
        <v>2803</v>
      </c>
      <c r="D475" s="419" t="s">
        <v>1829</v>
      </c>
      <c r="E475" s="211">
        <f>q_PAO_PHA*((θ_q_PAO_PHA)^((T__)-(T_base)))</f>
        <v>7</v>
      </c>
      <c r="F475" s="211" t="s">
        <v>443</v>
      </c>
      <c r="G475" s="225">
        <v>2</v>
      </c>
      <c r="H475" s="225"/>
      <c r="I475" s="369"/>
    </row>
    <row r="476" spans="2:9" ht="18" customHeight="1" outlineLevel="1" x14ac:dyDescent="0.25">
      <c r="B476" s="2440" t="s">
        <v>5207</v>
      </c>
      <c r="C476" s="2441" t="s">
        <v>5208</v>
      </c>
      <c r="D476" s="2441" t="s">
        <v>5209</v>
      </c>
      <c r="E476" s="413">
        <f>q_GAO_PHA*((θ_q_GAO_PHA)^((T__)-(T_base)))</f>
        <v>4</v>
      </c>
      <c r="F476" s="413" t="s">
        <v>443</v>
      </c>
      <c r="G476" s="417">
        <v>2</v>
      </c>
      <c r="H476" s="417"/>
      <c r="I476" s="418"/>
    </row>
    <row r="477" spans="2:9" ht="30" outlineLevel="1" x14ac:dyDescent="0.25">
      <c r="B477" s="224" t="s">
        <v>4202</v>
      </c>
      <c r="C477" s="2439" t="s">
        <v>5206</v>
      </c>
      <c r="D477" s="1652" t="s">
        <v>4203</v>
      </c>
      <c r="E477" s="211">
        <f>b_STC*((θ_b_STC)^((T__)-(T_base)))</f>
        <v>7.0000000000000007E-2</v>
      </c>
      <c r="F477" s="211" t="s">
        <v>443</v>
      </c>
      <c r="G477" s="225">
        <v>2</v>
      </c>
      <c r="H477" s="225"/>
      <c r="I477" s="369"/>
    </row>
    <row r="478" spans="2:9" ht="30" outlineLevel="1" x14ac:dyDescent="0.25">
      <c r="B478" s="224" t="s">
        <v>2111</v>
      </c>
      <c r="C478" s="497" t="s">
        <v>2804</v>
      </c>
      <c r="D478" s="419" t="s">
        <v>2112</v>
      </c>
      <c r="E478" s="211">
        <f>b_PP_ana*((θ_b_PP_ana)^((T__)-(T_base)))</f>
        <v>5.0000000000000001E-3</v>
      </c>
      <c r="F478" s="211" t="s">
        <v>443</v>
      </c>
      <c r="G478" s="225">
        <v>2</v>
      </c>
      <c r="H478" s="225"/>
      <c r="I478" s="369"/>
    </row>
    <row r="479" spans="2:9" ht="18" customHeight="1" outlineLevel="1" x14ac:dyDescent="0.25">
      <c r="B479" s="224" t="s">
        <v>4204</v>
      </c>
      <c r="C479" s="1652" t="s">
        <v>4205</v>
      </c>
      <c r="D479" s="1652" t="s">
        <v>4206</v>
      </c>
      <c r="E479" s="211">
        <f>b_CASTO*((θ_b_CASTO)^((T__)-(T_base)))</f>
        <v>0.08</v>
      </c>
      <c r="F479" s="211" t="s">
        <v>443</v>
      </c>
      <c r="G479" s="225">
        <v>2</v>
      </c>
      <c r="H479" s="225"/>
      <c r="I479" s="369"/>
    </row>
    <row r="480" spans="2:9" s="2133" customFormat="1" ht="18" customHeight="1" outlineLevel="1" x14ac:dyDescent="0.25">
      <c r="B480" s="1181" t="s">
        <v>2344</v>
      </c>
      <c r="C480" s="1653" t="s">
        <v>2805</v>
      </c>
      <c r="D480" s="1654" t="s">
        <v>2345</v>
      </c>
      <c r="E480" s="1179">
        <f>µ_AOB*((θ_µ_AOB)^((T__)-(T_base)))</f>
        <v>0.9</v>
      </c>
      <c r="F480" s="1179" t="s">
        <v>443</v>
      </c>
      <c r="G480" s="1179">
        <v>2</v>
      </c>
      <c r="H480" s="1179"/>
      <c r="I480" s="1179"/>
    </row>
    <row r="481" spans="2:9" s="2133" customFormat="1" ht="18" customHeight="1" outlineLevel="1" x14ac:dyDescent="0.25">
      <c r="B481" s="1181" t="s">
        <v>2346</v>
      </c>
      <c r="C481" s="1653" t="s">
        <v>2806</v>
      </c>
      <c r="D481" s="1654" t="s">
        <v>2347</v>
      </c>
      <c r="E481" s="1179">
        <f>b_AOB*((θ_b_AOB)^((T__)-(T_base)))</f>
        <v>0.17</v>
      </c>
      <c r="F481" s="1179" t="s">
        <v>443</v>
      </c>
      <c r="G481" s="1179">
        <v>2</v>
      </c>
      <c r="H481" s="1179"/>
      <c r="I481" s="1179"/>
    </row>
    <row r="482" spans="2:9" s="2133" customFormat="1" ht="18" customHeight="1" outlineLevel="1" x14ac:dyDescent="0.25">
      <c r="B482" s="1181" t="s">
        <v>2348</v>
      </c>
      <c r="C482" s="1653" t="s">
        <v>2807</v>
      </c>
      <c r="D482" s="1654" t="s">
        <v>2349</v>
      </c>
      <c r="E482" s="1179">
        <f>µ_NOB*((θ_µ_NOB)^((T__)-(T_base)))</f>
        <v>0.65</v>
      </c>
      <c r="F482" s="1179" t="s">
        <v>443</v>
      </c>
      <c r="G482" s="1179">
        <v>2</v>
      </c>
      <c r="H482" s="1179"/>
      <c r="I482" s="1179"/>
    </row>
    <row r="483" spans="2:9" s="2133" customFormat="1" ht="18" customHeight="1" outlineLevel="1" x14ac:dyDescent="0.25">
      <c r="B483" s="1181" t="s">
        <v>2350</v>
      </c>
      <c r="C483" s="1653" t="s">
        <v>2808</v>
      </c>
      <c r="D483" s="1654" t="s">
        <v>2351</v>
      </c>
      <c r="E483" s="1179">
        <f>b_NOB*((θ_b_NOB)^((T__)-(T_base)))</f>
        <v>0.15</v>
      </c>
      <c r="F483" s="1179" t="s">
        <v>443</v>
      </c>
      <c r="G483" s="1179">
        <v>2</v>
      </c>
      <c r="H483" s="1179"/>
      <c r="I483" s="1179"/>
    </row>
    <row r="484" spans="2:9" s="2133" customFormat="1" ht="18" customHeight="1" outlineLevel="1" x14ac:dyDescent="0.25">
      <c r="B484" s="1182" t="s">
        <v>2352</v>
      </c>
      <c r="C484" s="507" t="s">
        <v>2809</v>
      </c>
      <c r="D484" s="1655" t="s">
        <v>2353</v>
      </c>
      <c r="E484" s="1180">
        <f>µ_AMX*((θ_µ_AMX)^((T__)-(T_base)))</f>
        <v>0.1</v>
      </c>
      <c r="F484" s="1180" t="s">
        <v>443</v>
      </c>
      <c r="G484" s="1180">
        <v>2</v>
      </c>
      <c r="H484" s="1180"/>
      <c r="I484" s="1180"/>
    </row>
    <row r="485" spans="2:9" s="2133" customFormat="1" ht="18" customHeight="1" outlineLevel="1" x14ac:dyDescent="0.25">
      <c r="B485" s="1182" t="s">
        <v>2354</v>
      </c>
      <c r="C485" s="507" t="s">
        <v>2810</v>
      </c>
      <c r="D485" s="1655" t="s">
        <v>2355</v>
      </c>
      <c r="E485" s="1180">
        <f>b_AMX*((θ_b_AMX)^((T__)-(T_base)))</f>
        <v>1.9E-2</v>
      </c>
      <c r="F485" s="1180" t="s">
        <v>443</v>
      </c>
      <c r="G485" s="1180">
        <v>2</v>
      </c>
      <c r="H485" s="1180"/>
      <c r="I485" s="1180"/>
    </row>
    <row r="486" spans="2:9" ht="18" customHeight="1" outlineLevel="1" x14ac:dyDescent="0.25">
      <c r="B486" s="146" t="s">
        <v>1830</v>
      </c>
      <c r="C486" s="1656" t="s">
        <v>2811</v>
      </c>
      <c r="D486" s="324" t="s">
        <v>1831</v>
      </c>
      <c r="E486" s="168">
        <f>µ_AMETO*((θ_µ_AMETO)^((T__)-(T_base)))</f>
        <v>0.3</v>
      </c>
      <c r="F486" s="168" t="s">
        <v>443</v>
      </c>
      <c r="G486" s="105">
        <v>2</v>
      </c>
      <c r="H486" s="105"/>
      <c r="I486" s="370"/>
    </row>
    <row r="487" spans="2:9" ht="18" customHeight="1" outlineLevel="1" x14ac:dyDescent="0.25">
      <c r="B487" s="146" t="s">
        <v>1832</v>
      </c>
      <c r="C487" s="1656" t="s">
        <v>2812</v>
      </c>
      <c r="D487" s="324" t="s">
        <v>1833</v>
      </c>
      <c r="E487" s="168">
        <f>b_AMETO*((θ_b_AMETO)^((T__)-(T_base)))</f>
        <v>0.03</v>
      </c>
      <c r="F487" s="168" t="s">
        <v>443</v>
      </c>
      <c r="G487" s="105">
        <v>2</v>
      </c>
      <c r="H487" s="105"/>
      <c r="I487" s="370"/>
    </row>
    <row r="488" spans="2:9" ht="18" customHeight="1" outlineLevel="1" x14ac:dyDescent="0.25">
      <c r="B488" s="146" t="s">
        <v>1834</v>
      </c>
      <c r="C488" s="1656" t="s">
        <v>2813</v>
      </c>
      <c r="D488" s="324" t="s">
        <v>1835</v>
      </c>
      <c r="E488" s="168">
        <f>µ_HMETO*((θ_µ_HMETO)^((T__)-(T_base)))</f>
        <v>1.3</v>
      </c>
      <c r="F488" s="168" t="s">
        <v>443</v>
      </c>
      <c r="G488" s="105">
        <v>2</v>
      </c>
      <c r="H488" s="105"/>
      <c r="I488" s="370"/>
    </row>
    <row r="489" spans="2:9" ht="18" customHeight="1" outlineLevel="1" x14ac:dyDescent="0.25">
      <c r="B489" s="146" t="s">
        <v>1836</v>
      </c>
      <c r="C489" s="1656" t="s">
        <v>2814</v>
      </c>
      <c r="D489" s="324" t="s">
        <v>1837</v>
      </c>
      <c r="E489" s="168">
        <f>b_HMETO*((θ_b_HMETO)^((T__)-(T_base)))</f>
        <v>0.13</v>
      </c>
      <c r="F489" s="168" t="s">
        <v>443</v>
      </c>
      <c r="G489" s="105">
        <v>2</v>
      </c>
      <c r="H489" s="105"/>
      <c r="I489" s="370"/>
    </row>
    <row r="490" spans="2:9" outlineLevel="1" x14ac:dyDescent="0.25">
      <c r="B490" s="2012" t="s">
        <v>4650</v>
      </c>
      <c r="C490" s="2001" t="s">
        <v>4651</v>
      </c>
      <c r="D490" s="2001" t="s">
        <v>4652</v>
      </c>
      <c r="E490" s="2055">
        <f>µ_ALGAE*((θ_µ_ALGAE)^((T__)-(T_base)))</f>
        <v>2</v>
      </c>
      <c r="F490" s="2055" t="s">
        <v>4653</v>
      </c>
      <c r="G490" s="2057">
        <v>2</v>
      </c>
      <c r="H490" s="2057" t="s">
        <v>4631</v>
      </c>
      <c r="I490" s="2058"/>
    </row>
    <row r="491" spans="2:9" outlineLevel="1" x14ac:dyDescent="0.25">
      <c r="B491" s="2012" t="s">
        <v>4654</v>
      </c>
      <c r="C491" s="2001" t="s">
        <v>4655</v>
      </c>
      <c r="D491" s="2001" t="s">
        <v>4656</v>
      </c>
      <c r="E491" s="2055">
        <f>b_ALGAE*((θ_b_ALGAE)^((T__)-(T_base)))</f>
        <v>0.1</v>
      </c>
      <c r="F491" s="2055" t="s">
        <v>4653</v>
      </c>
      <c r="G491" s="2057">
        <v>2</v>
      </c>
      <c r="H491" s="2057" t="s">
        <v>4631</v>
      </c>
      <c r="I491" s="2058"/>
    </row>
    <row r="492" spans="2:9" ht="18" customHeight="1" outlineLevel="1" x14ac:dyDescent="0.25">
      <c r="B492" s="187" t="s">
        <v>1838</v>
      </c>
      <c r="C492" s="1657" t="s">
        <v>2815</v>
      </c>
      <c r="D492" s="107" t="s">
        <v>1839</v>
      </c>
      <c r="E492" s="276">
        <f>q_FLOC*((θ_q_FLOC)^((T__)-(T_base)))</f>
        <v>0.5</v>
      </c>
      <c r="F492" s="276" t="s">
        <v>443</v>
      </c>
      <c r="G492" s="226">
        <v>2</v>
      </c>
      <c r="H492" s="226"/>
      <c r="I492" s="371"/>
    </row>
    <row r="493" spans="2:9" outlineLevel="1" x14ac:dyDescent="0.25">
      <c r="B493" s="2353" t="s">
        <v>4925</v>
      </c>
      <c r="C493" s="2352" t="s">
        <v>2815</v>
      </c>
      <c r="D493" s="2352" t="s">
        <v>4926</v>
      </c>
      <c r="E493" s="2361">
        <f>q_FLOC_HFO*((θ_q_FLOC_HFO)^((T__)-(T_base)))</f>
        <v>1000</v>
      </c>
      <c r="F493" s="2361" t="s">
        <v>443</v>
      </c>
      <c r="G493" s="2356">
        <v>2</v>
      </c>
      <c r="H493" s="2356"/>
      <c r="I493" s="2362"/>
    </row>
    <row r="494" spans="2:9" outlineLevel="1" x14ac:dyDescent="0.25">
      <c r="B494" s="2353" t="s">
        <v>4927</v>
      </c>
      <c r="C494" s="2352" t="s">
        <v>2815</v>
      </c>
      <c r="D494" s="2352" t="s">
        <v>4928</v>
      </c>
      <c r="E494" s="2361">
        <f>q_FLOC_HAO*((θ_q_FLOC_HAO)^((T__)-(T_base)))</f>
        <v>1000</v>
      </c>
      <c r="F494" s="2361" t="s">
        <v>443</v>
      </c>
      <c r="G494" s="2356">
        <v>2</v>
      </c>
      <c r="H494" s="2356"/>
      <c r="I494" s="2362"/>
    </row>
    <row r="495" spans="2:9" ht="18" customHeight="1" outlineLevel="1" x14ac:dyDescent="0.25">
      <c r="B495" s="2353" t="s">
        <v>5272</v>
      </c>
      <c r="C495" s="1657" t="s">
        <v>2816</v>
      </c>
      <c r="D495" s="107" t="s">
        <v>5271</v>
      </c>
      <c r="E495" s="276">
        <f>q_HYD_XB*((θ_q_HYD)^((T__)-(T_base)))</f>
        <v>3</v>
      </c>
      <c r="F495" s="276" t="s">
        <v>443</v>
      </c>
      <c r="G495" s="226">
        <v>2</v>
      </c>
      <c r="H495" s="226"/>
      <c r="I495" s="371"/>
    </row>
    <row r="496" spans="2:9" ht="18" customHeight="1" outlineLevel="1" x14ac:dyDescent="0.25">
      <c r="B496" s="2353" t="s">
        <v>5268</v>
      </c>
      <c r="C496" s="1657" t="s">
        <v>5269</v>
      </c>
      <c r="D496" s="107" t="s">
        <v>5270</v>
      </c>
      <c r="E496" s="276">
        <f>q_HYD_XBe*((θ_q_HYD)^((T__)-(T_base)))</f>
        <v>1</v>
      </c>
      <c r="F496" s="276" t="s">
        <v>443</v>
      </c>
      <c r="G496" s="226">
        <v>2</v>
      </c>
      <c r="H496" s="226"/>
      <c r="I496" s="371"/>
    </row>
    <row r="497" spans="2:9" ht="18" customHeight="1" outlineLevel="1" x14ac:dyDescent="0.25">
      <c r="B497" s="187" t="s">
        <v>1840</v>
      </c>
      <c r="C497" s="1657" t="s">
        <v>2817</v>
      </c>
      <c r="D497" s="107" t="s">
        <v>1841</v>
      </c>
      <c r="E497" s="276">
        <f>q_AMMON*((θ_q_AMMON)^((T__)-(T_base)))</f>
        <v>0.05</v>
      </c>
      <c r="F497" s="276" t="s">
        <v>443</v>
      </c>
      <c r="G497" s="226">
        <v>2</v>
      </c>
      <c r="H497" s="226"/>
      <c r="I497" s="371"/>
    </row>
    <row r="498" spans="2:9" ht="18" customHeight="1" outlineLevel="1" x14ac:dyDescent="0.25">
      <c r="B498" s="187" t="s">
        <v>1855</v>
      </c>
      <c r="C498" s="1657" t="s">
        <v>2818</v>
      </c>
      <c r="D498" s="107" t="s">
        <v>1856</v>
      </c>
      <c r="E498" s="276">
        <f>q_SPB*((θ_q_SPB)^((T__)-(T_base)))</f>
        <v>0.5</v>
      </c>
      <c r="F498" s="276" t="s">
        <v>443</v>
      </c>
      <c r="G498" s="226">
        <v>2</v>
      </c>
      <c r="H498" s="226"/>
      <c r="I498" s="371"/>
    </row>
    <row r="499" spans="2:9" ht="18" customHeight="1" outlineLevel="1" x14ac:dyDescent="0.25">
      <c r="B499" s="187" t="s">
        <v>1858</v>
      </c>
      <c r="C499" s="1657" t="s">
        <v>2819</v>
      </c>
      <c r="D499" s="107" t="s">
        <v>1859</v>
      </c>
      <c r="E499" s="276">
        <f>q_XE*((θ_q_XE)^((T__)-(T_base)))</f>
        <v>7.0000000000000001E-3</v>
      </c>
      <c r="F499" s="276" t="s">
        <v>443</v>
      </c>
      <c r="G499" s="226">
        <v>2</v>
      </c>
      <c r="H499" s="226"/>
      <c r="I499" s="371"/>
    </row>
    <row r="500" spans="2:9" ht="30" outlineLevel="1" x14ac:dyDescent="0.25">
      <c r="B500" s="1958" t="s">
        <v>4553</v>
      </c>
      <c r="C500" s="1954" t="s">
        <v>4554</v>
      </c>
      <c r="D500" s="1954" t="s">
        <v>4555</v>
      </c>
      <c r="E500" s="2135">
        <f>q_XU*((θ_q_XU)^((T__)-(T_base)))</f>
        <v>9.9999999999999995E-7</v>
      </c>
      <c r="F500" s="2135" t="s">
        <v>443</v>
      </c>
      <c r="G500" s="1961">
        <v>2</v>
      </c>
      <c r="H500" s="1961"/>
      <c r="I500" s="1965"/>
    </row>
    <row r="501" spans="2:9" ht="18" customHeight="1" outlineLevel="1" x14ac:dyDescent="0.25">
      <c r="B501" s="187" t="s">
        <v>1842</v>
      </c>
      <c r="C501" s="1657" t="s">
        <v>2820</v>
      </c>
      <c r="D501" s="107" t="s">
        <v>1843</v>
      </c>
      <c r="E501" s="276">
        <f>q_ASSIM*((θ_q_ASSIM)^((T__)-(T_base)))</f>
        <v>1</v>
      </c>
      <c r="F501" s="276" t="s">
        <v>443</v>
      </c>
      <c r="G501" s="226">
        <v>2</v>
      </c>
      <c r="H501" s="226"/>
      <c r="I501" s="371"/>
    </row>
    <row r="502" spans="2:9" ht="18" customHeight="1" outlineLevel="1" x14ac:dyDescent="0.25">
      <c r="B502" s="189" t="s">
        <v>2823</v>
      </c>
      <c r="C502" s="1658" t="s">
        <v>2821</v>
      </c>
      <c r="D502" s="183" t="s">
        <v>2824</v>
      </c>
      <c r="E502" s="372">
        <f>q_Fe2_OX*((θ_q_Fe2_OX)^((T__)-(T_base)))</f>
        <v>50</v>
      </c>
      <c r="F502" s="372" t="s">
        <v>443</v>
      </c>
      <c r="G502" s="227">
        <v>2</v>
      </c>
      <c r="H502" s="227"/>
      <c r="I502" s="373"/>
    </row>
    <row r="503" spans="2:9" ht="18" customHeight="1" outlineLevel="1" thickBot="1" x14ac:dyDescent="0.3">
      <c r="B503" s="295" t="s">
        <v>1860</v>
      </c>
      <c r="C503" s="1659" t="s">
        <v>2822</v>
      </c>
      <c r="D503" s="1659" t="s">
        <v>1861</v>
      </c>
      <c r="E503" s="374">
        <f>q_HFO_RED*((θ_q_HFO_RED)^((T__)-(T_base)))</f>
        <v>2</v>
      </c>
      <c r="F503" s="374" t="s">
        <v>443</v>
      </c>
      <c r="G503" s="296">
        <v>2</v>
      </c>
      <c r="H503" s="296"/>
      <c r="I503" s="375"/>
    </row>
    <row r="504" spans="2:9" s="2133" customFormat="1" ht="18" customHeight="1" thickBot="1" x14ac:dyDescent="0.3">
      <c r="B504" s="4"/>
      <c r="C504" s="4"/>
      <c r="D504" s="4"/>
      <c r="E504" s="1934"/>
      <c r="F504" s="4"/>
      <c r="G504" s="4"/>
      <c r="H504" s="4"/>
      <c r="I504" s="4"/>
    </row>
    <row r="505" spans="2:9" s="2133" customFormat="1" ht="18" customHeight="1" thickBot="1" x14ac:dyDescent="0.3">
      <c r="B505" s="113"/>
      <c r="C505" s="1089" t="s">
        <v>336</v>
      </c>
      <c r="D505" s="14" t="s">
        <v>317</v>
      </c>
      <c r="E505" s="14"/>
      <c r="F505" s="113"/>
      <c r="G505" s="113"/>
      <c r="H505" s="113"/>
      <c r="I505" s="113"/>
    </row>
    <row r="506" spans="2:9" s="2133" customFormat="1" ht="18" customHeight="1" thickBot="1" x14ac:dyDescent="0.3">
      <c r="B506" s="1939" t="s">
        <v>0</v>
      </c>
      <c r="C506" s="1942" t="s">
        <v>1</v>
      </c>
      <c r="D506" s="1945" t="s">
        <v>5</v>
      </c>
      <c r="E506" s="1945" t="s">
        <v>152</v>
      </c>
      <c r="F506" s="1945" t="s">
        <v>2</v>
      </c>
      <c r="G506" s="1945" t="s">
        <v>298</v>
      </c>
      <c r="H506" s="1945" t="s">
        <v>116</v>
      </c>
      <c r="I506" s="1948" t="s">
        <v>117</v>
      </c>
    </row>
    <row r="507" spans="2:9" ht="18" customHeight="1" outlineLevel="1" x14ac:dyDescent="0.25">
      <c r="B507" s="242" t="s">
        <v>907</v>
      </c>
      <c r="C507" s="1660" t="s">
        <v>904</v>
      </c>
      <c r="D507" s="1660" t="s">
        <v>1844</v>
      </c>
      <c r="E507" s="376">
        <f>1.82483*10^6*ρ__^(0.5)*(ε__*T_K)^(-1.5)</f>
        <v>0.50517320931567189</v>
      </c>
      <c r="F507" s="243" t="s">
        <v>1989</v>
      </c>
      <c r="G507" s="243">
        <v>3</v>
      </c>
      <c r="H507" s="243" t="s">
        <v>11</v>
      </c>
      <c r="I507" s="377"/>
    </row>
    <row r="508" spans="2:9" ht="18" customHeight="1" outlineLevel="1" x14ac:dyDescent="0.25">
      <c r="B508" s="242" t="s">
        <v>906</v>
      </c>
      <c r="C508" s="1660" t="s">
        <v>2906</v>
      </c>
      <c r="D508" s="1660" t="s">
        <v>941</v>
      </c>
      <c r="E508" s="376">
        <f>2727.586+0.6224107*T_K-466.9151*LN(T_K)-(52000.87/T_K)</f>
        <v>80.261801298291488</v>
      </c>
      <c r="F508" s="243" t="s">
        <v>1989</v>
      </c>
      <c r="G508" s="243">
        <v>3</v>
      </c>
      <c r="H508" s="243" t="s">
        <v>11</v>
      </c>
      <c r="I508" s="377"/>
    </row>
    <row r="509" spans="2:9" ht="18" customHeight="1" outlineLevel="1" x14ac:dyDescent="0.25">
      <c r="B509" s="242" t="s">
        <v>908</v>
      </c>
      <c r="C509" s="1660" t="s">
        <v>2907</v>
      </c>
      <c r="D509" s="1660" t="s">
        <v>905</v>
      </c>
      <c r="E509" s="376">
        <f>1-(T__-3.9863)^2*(T__+288.9414)/(508929.2*(T__+68.12963))+0.011445*EXP(-374.3/T__)</f>
        <v>0.99823363622515204</v>
      </c>
      <c r="F509" s="243" t="s">
        <v>1989</v>
      </c>
      <c r="G509" s="243">
        <v>3</v>
      </c>
      <c r="H509" s="243" t="s">
        <v>11</v>
      </c>
      <c r="I509" s="377"/>
    </row>
    <row r="510" spans="2:9" ht="18" customHeight="1" outlineLevel="1" x14ac:dyDescent="0.25">
      <c r="B510" s="244" t="s">
        <v>3302</v>
      </c>
      <c r="C510" s="1661" t="s">
        <v>3303</v>
      </c>
      <c r="D510" s="1662" t="s">
        <v>3304</v>
      </c>
      <c r="E510" s="671">
        <f>f_mono_ISlim-I_Slim*S_lopeIS_corr</f>
        <v>0.78560775368648972</v>
      </c>
      <c r="F510" s="463" t="s">
        <v>1989</v>
      </c>
      <c r="G510" s="463">
        <v>3</v>
      </c>
      <c r="H510" s="463" t="s">
        <v>11</v>
      </c>
      <c r="I510" s="673"/>
    </row>
    <row r="511" spans="2:9" ht="18" customHeight="1" outlineLevel="1" x14ac:dyDescent="0.25">
      <c r="B511" s="244" t="s">
        <v>3305</v>
      </c>
      <c r="C511" s="1661" t="s">
        <v>3306</v>
      </c>
      <c r="D511" s="1662" t="s">
        <v>3307</v>
      </c>
      <c r="E511" s="671">
        <f>f_di_ISlim-I_Slim*S_lopeIS_corr</f>
        <v>0.38072284713919508</v>
      </c>
      <c r="F511" s="463" t="s">
        <v>1989</v>
      </c>
      <c r="G511" s="463">
        <v>3</v>
      </c>
      <c r="H511" s="463" t="s">
        <v>11</v>
      </c>
      <c r="I511" s="673"/>
    </row>
    <row r="512" spans="2:9" ht="18" customHeight="1" outlineLevel="1" x14ac:dyDescent="0.25">
      <c r="B512" s="244" t="s">
        <v>3308</v>
      </c>
      <c r="C512" s="1661" t="s">
        <v>3309</v>
      </c>
      <c r="D512" s="1662" t="s">
        <v>3310</v>
      </c>
      <c r="E512" s="671">
        <f>f_tri_ISlim-I_Slim*S_lopeIS_corr</f>
        <v>0.11392518696837291</v>
      </c>
      <c r="F512" s="463" t="s">
        <v>1989</v>
      </c>
      <c r="G512" s="463">
        <v>3</v>
      </c>
      <c r="H512" s="463" t="s">
        <v>11</v>
      </c>
      <c r="I512" s="673"/>
    </row>
    <row r="513" spans="2:9" ht="18" customHeight="1" outlineLevel="1" x14ac:dyDescent="0.25">
      <c r="B513" s="244" t="s">
        <v>3311</v>
      </c>
      <c r="C513" s="1661" t="s">
        <v>3312</v>
      </c>
      <c r="D513" s="1662" t="s">
        <v>1990</v>
      </c>
      <c r="E513" s="671">
        <f>10^(-A_Davies*1^(2)*(I_Slim^(0.5)/(1+1.5*I_Slim^(0.5))-0.3*I_Slim))</f>
        <v>0.78540775368648974</v>
      </c>
      <c r="F513" s="463" t="s">
        <v>1989</v>
      </c>
      <c r="G513" s="463">
        <v>3</v>
      </c>
      <c r="H513" s="463" t="s">
        <v>11</v>
      </c>
      <c r="I513" s="673"/>
    </row>
    <row r="514" spans="2:9" ht="18" customHeight="1" outlineLevel="1" x14ac:dyDescent="0.25">
      <c r="B514" s="674" t="s">
        <v>3313</v>
      </c>
      <c r="C514" s="1662" t="s">
        <v>3314</v>
      </c>
      <c r="D514" s="1662" t="s">
        <v>1991</v>
      </c>
      <c r="E514" s="675">
        <f>10^(-A_Davies*2^(2)*(I_Slim^(0.5)/(1+1.5*I_Slim^(0.5))-0.3*I_Slim))</f>
        <v>0.3805228471391951</v>
      </c>
      <c r="F514" s="676" t="s">
        <v>1989</v>
      </c>
      <c r="G514" s="677">
        <v>3</v>
      </c>
      <c r="H514" s="670" t="s">
        <v>11</v>
      </c>
      <c r="I514" s="678"/>
    </row>
    <row r="515" spans="2:9" ht="18" customHeight="1" outlineLevel="1" x14ac:dyDescent="0.25">
      <c r="B515" s="1183" t="s">
        <v>3315</v>
      </c>
      <c r="C515" s="1622" t="s">
        <v>3316</v>
      </c>
      <c r="D515" s="1622" t="s">
        <v>1992</v>
      </c>
      <c r="E515" s="1184">
        <f>10^(-A_Davies*3^(2)*(I_Slim^(0.5)/(1+1.5*I_Slim^(0.5))-0.3*I_Slim))</f>
        <v>0.1137251869683729</v>
      </c>
      <c r="F515" s="1184" t="s">
        <v>1989</v>
      </c>
      <c r="G515" s="1185">
        <v>3</v>
      </c>
      <c r="H515" s="1151" t="s">
        <v>11</v>
      </c>
      <c r="I515" s="1186"/>
    </row>
    <row r="516" spans="2:9" ht="18" customHeight="1" outlineLevel="1" x14ac:dyDescent="0.25">
      <c r="B516" s="1183" t="s">
        <v>337</v>
      </c>
      <c r="C516" s="1622" t="s">
        <v>338</v>
      </c>
      <c r="D516" s="1622" t="s">
        <v>3317</v>
      </c>
      <c r="E516" s="1184">
        <f>IF(I_S&lt;I_Slim,10^(-A_Davies*1^(2)*(I_S^(0.5)/(1+1.5*I_S^(0.5))-0.3*I_S)),S_lopeIS_corr*I_S+y_fmono)</f>
        <v>0.87920810737341937</v>
      </c>
      <c r="F516" s="1151" t="s">
        <v>1989</v>
      </c>
      <c r="G516" s="1185">
        <v>3</v>
      </c>
      <c r="H516" s="1151" t="s">
        <v>11</v>
      </c>
      <c r="I516" s="1186"/>
    </row>
    <row r="517" spans="2:9" ht="18" customHeight="1" outlineLevel="1" x14ac:dyDescent="0.25">
      <c r="B517" s="674" t="s">
        <v>339</v>
      </c>
      <c r="C517" s="1662" t="s">
        <v>340</v>
      </c>
      <c r="D517" s="1662" t="s">
        <v>3318</v>
      </c>
      <c r="E517" s="675">
        <f>IF(I_S&lt;I_Slim,10^(-A_Davies*2^(2)*(I_S^(0.5)/(1+1.5*I_S^(0.5))-0.3*I_S)),S_lopeIS_corr*I_S+y_fdi)</f>
        <v>0.59753966137355408</v>
      </c>
      <c r="F517" s="676" t="s">
        <v>1989</v>
      </c>
      <c r="G517" s="677">
        <v>3</v>
      </c>
      <c r="H517" s="670" t="s">
        <v>11</v>
      </c>
      <c r="I517" s="678"/>
    </row>
    <row r="518" spans="2:9" ht="18" customHeight="1" outlineLevel="1" thickBot="1" x14ac:dyDescent="0.3">
      <c r="B518" s="679" t="s">
        <v>341</v>
      </c>
      <c r="C518" s="786" t="s">
        <v>342</v>
      </c>
      <c r="D518" s="786" t="s">
        <v>3319</v>
      </c>
      <c r="E518" s="681">
        <f>IF(I_S&lt;I_Slim,10^(-A_Davies*3^(2)*(I_S^(0.5)/(1+1.5*I_S^(0.5))-0.3*I_S)),S_lopeIS_corr*I_S+y_ftri)</f>
        <v>0.31392446113440575</v>
      </c>
      <c r="F518" s="681" t="s">
        <v>1989</v>
      </c>
      <c r="G518" s="682">
        <v>3</v>
      </c>
      <c r="H518" s="680" t="s">
        <v>11</v>
      </c>
      <c r="I518" s="683"/>
    </row>
    <row r="519" spans="2:9" s="2133" customFormat="1" ht="18" customHeight="1" thickBot="1" x14ac:dyDescent="0.3">
      <c r="B519" s="4"/>
      <c r="C519" s="4"/>
      <c r="D519" s="4"/>
      <c r="E519" s="1934"/>
      <c r="F519" s="4"/>
      <c r="G519" s="4"/>
      <c r="H519" s="4"/>
      <c r="I519" s="4"/>
    </row>
    <row r="520" spans="2:9" s="2133" customFormat="1" ht="18" customHeight="1" thickBot="1" x14ac:dyDescent="0.3">
      <c r="B520" s="113"/>
      <c r="C520" s="1089" t="s">
        <v>943</v>
      </c>
      <c r="D520" s="14" t="s">
        <v>317</v>
      </c>
      <c r="E520" s="14"/>
      <c r="F520" s="113"/>
      <c r="G520" s="113"/>
      <c r="H520" s="113"/>
      <c r="I520" s="113"/>
    </row>
    <row r="521" spans="2:9" s="2133" customFormat="1" ht="18" customHeight="1" thickBot="1" x14ac:dyDescent="0.3">
      <c r="B521" s="1939" t="s">
        <v>0</v>
      </c>
      <c r="C521" s="1942" t="s">
        <v>1</v>
      </c>
      <c r="D521" s="1945" t="s">
        <v>5</v>
      </c>
      <c r="E521" s="1945" t="s">
        <v>152</v>
      </c>
      <c r="F521" s="1945" t="s">
        <v>2</v>
      </c>
      <c r="G521" s="1945" t="s">
        <v>298</v>
      </c>
      <c r="H521" s="1945" t="s">
        <v>116</v>
      </c>
      <c r="I521" s="1948" t="s">
        <v>117</v>
      </c>
    </row>
    <row r="522" spans="2:9" ht="18" customHeight="1" outlineLevel="1" x14ac:dyDescent="0.25">
      <c r="B522" s="250" t="s">
        <v>944</v>
      </c>
      <c r="C522" s="1663" t="s">
        <v>2826</v>
      </c>
      <c r="D522" s="1664" t="s">
        <v>3129</v>
      </c>
      <c r="E522" s="406">
        <f>K_W_param*EXP(d_Hdiss_H2O/R__*(1/T_st_K-1/T_K))</f>
        <v>6.7545152316627035E-15</v>
      </c>
      <c r="F522" s="243" t="s">
        <v>1989</v>
      </c>
      <c r="G522" s="383">
        <v>3</v>
      </c>
      <c r="H522" s="251" t="s">
        <v>11</v>
      </c>
      <c r="I522" s="384"/>
    </row>
    <row r="523" spans="2:9" ht="18" customHeight="1" outlineLevel="1" x14ac:dyDescent="0.25">
      <c r="B523" s="248" t="s">
        <v>945</v>
      </c>
      <c r="C523" s="527" t="s">
        <v>2827</v>
      </c>
      <c r="D523" s="1665" t="s">
        <v>1845</v>
      </c>
      <c r="E523" s="378">
        <f>10^(-(3404.7/T_K-14.8435+T_K*0.03279))</f>
        <v>4.1392419480646479E-7</v>
      </c>
      <c r="F523" s="243" t="s">
        <v>1989</v>
      </c>
      <c r="G523" s="379">
        <v>3</v>
      </c>
      <c r="H523" s="245" t="s">
        <v>11</v>
      </c>
      <c r="I523" s="380"/>
    </row>
    <row r="524" spans="2:9" ht="18" customHeight="1" outlineLevel="1" x14ac:dyDescent="0.25">
      <c r="B524" s="248" t="s">
        <v>946</v>
      </c>
      <c r="C524" s="527" t="s">
        <v>2828</v>
      </c>
      <c r="D524" s="1665" t="s">
        <v>1846</v>
      </c>
      <c r="E524" s="378">
        <f>10^(-(2902.4/T_K-6.498+T_K*0.02379))</f>
        <v>4.1997949506593592E-11</v>
      </c>
      <c r="F524" s="243" t="s">
        <v>1989</v>
      </c>
      <c r="G524" s="379">
        <v>3</v>
      </c>
      <c r="H524" s="245" t="s">
        <v>11</v>
      </c>
      <c r="I524" s="380"/>
    </row>
    <row r="525" spans="2:9" ht="18" customHeight="1" outlineLevel="1" x14ac:dyDescent="0.25">
      <c r="B525" s="248" t="s">
        <v>947</v>
      </c>
      <c r="C525" s="527" t="s">
        <v>2829</v>
      </c>
      <c r="D525" s="1665" t="s">
        <v>1847</v>
      </c>
      <c r="E525" s="378">
        <f>10^(-(799.3/T_K-4.5535+T_K*0.01349))</f>
        <v>7.4527408036475567E-3</v>
      </c>
      <c r="F525" s="243" t="s">
        <v>1989</v>
      </c>
      <c r="G525" s="379">
        <v>3</v>
      </c>
      <c r="H525" s="245" t="s">
        <v>11</v>
      </c>
      <c r="I525" s="380"/>
    </row>
    <row r="526" spans="2:9" ht="18" customHeight="1" outlineLevel="1" x14ac:dyDescent="0.25">
      <c r="B526" s="248" t="s">
        <v>948</v>
      </c>
      <c r="C526" s="527" t="s">
        <v>2830</v>
      </c>
      <c r="D526" s="1665" t="s">
        <v>1848</v>
      </c>
      <c r="E526" s="378">
        <f>10^(-(1979.5/T_K-5.3541+T_K*0.01984))</f>
        <v>6.1022250881622208E-8</v>
      </c>
      <c r="F526" s="243" t="s">
        <v>1989</v>
      </c>
      <c r="G526" s="379">
        <v>3</v>
      </c>
      <c r="H526" s="245" t="s">
        <v>11</v>
      </c>
      <c r="I526" s="380"/>
    </row>
    <row r="527" spans="2:9" ht="18" customHeight="1" outlineLevel="1" x14ac:dyDescent="0.25">
      <c r="B527" s="248" t="s">
        <v>949</v>
      </c>
      <c r="C527" s="527" t="s">
        <v>2831</v>
      </c>
      <c r="D527" s="1665" t="s">
        <v>3130</v>
      </c>
      <c r="E527" s="378">
        <f>K_P3_param*EXP(d_Hdiss_PO4_3/R__*(1/T_st_K-1/T_K))</f>
        <v>3.7853629756273106E-13</v>
      </c>
      <c r="F527" s="378" t="s">
        <v>1989</v>
      </c>
      <c r="G527" s="379">
        <v>3</v>
      </c>
      <c r="H527" s="245" t="s">
        <v>11</v>
      </c>
      <c r="I527" s="380"/>
    </row>
    <row r="528" spans="2:9" ht="18" customHeight="1" outlineLevel="1" x14ac:dyDescent="0.25">
      <c r="B528" s="248" t="s">
        <v>2857</v>
      </c>
      <c r="C528" s="527" t="s">
        <v>2832</v>
      </c>
      <c r="D528" s="1665" t="s">
        <v>1849</v>
      </c>
      <c r="E528" s="378">
        <f>10^(-(1170.5/T_K-3.165+T_K*0.0134))</f>
        <v>1.7536929986944336E-5</v>
      </c>
      <c r="F528" s="378" t="s">
        <v>1989</v>
      </c>
      <c r="G528" s="379">
        <v>3</v>
      </c>
      <c r="H528" s="245" t="s">
        <v>11</v>
      </c>
      <c r="I528" s="380"/>
    </row>
    <row r="529" spans="2:9" ht="18" customHeight="1" outlineLevel="1" x14ac:dyDescent="0.25">
      <c r="B529" s="248" t="s">
        <v>2858</v>
      </c>
      <c r="C529" s="527" t="s">
        <v>2842</v>
      </c>
      <c r="D529" s="1665" t="s">
        <v>3131</v>
      </c>
      <c r="E529" s="378">
        <f>K_NO2_param*EXP(d_Hdiss_NO2/R__*(1/T_st_K-1/T_K))</f>
        <v>4.0484694649180739E-4</v>
      </c>
      <c r="F529" s="463" t="s">
        <v>1989</v>
      </c>
      <c r="G529" s="379">
        <v>3</v>
      </c>
      <c r="H529" s="245" t="s">
        <v>11</v>
      </c>
      <c r="I529" s="380"/>
    </row>
    <row r="530" spans="2:9" ht="18" customHeight="1" outlineLevel="1" thickBot="1" x14ac:dyDescent="0.3">
      <c r="B530" s="249" t="s">
        <v>2848</v>
      </c>
      <c r="C530" s="408" t="s">
        <v>2833</v>
      </c>
      <c r="D530" s="408" t="s">
        <v>1055</v>
      </c>
      <c r="E530" s="385">
        <f>10^(-(2835.8/T_K-0.6322+0.00123*T_K))</f>
        <v>3.9635061259550542E-10</v>
      </c>
      <c r="F530" s="385" t="s">
        <v>1989</v>
      </c>
      <c r="G530" s="381">
        <v>3</v>
      </c>
      <c r="H530" s="247" t="s">
        <v>11</v>
      </c>
      <c r="I530" s="382"/>
    </row>
    <row r="531" spans="2:9" s="2133" customFormat="1" ht="18" customHeight="1" thickBot="1" x14ac:dyDescent="0.3">
      <c r="B531" s="4"/>
      <c r="C531" s="4"/>
      <c r="D531" s="4"/>
      <c r="E531" s="1934"/>
      <c r="F531" s="4"/>
      <c r="G531" s="4"/>
      <c r="H531" s="4"/>
      <c r="I531" s="4"/>
    </row>
    <row r="532" spans="2:9" s="2133" customFormat="1" ht="18" customHeight="1" thickBot="1" x14ac:dyDescent="0.3">
      <c r="B532" s="113"/>
      <c r="C532" s="1089" t="s">
        <v>981</v>
      </c>
      <c r="D532" s="14" t="s">
        <v>317</v>
      </c>
      <c r="E532" s="14"/>
      <c r="F532" s="113"/>
      <c r="G532" s="113"/>
      <c r="H532" s="113"/>
      <c r="I532" s="113"/>
    </row>
    <row r="533" spans="2:9" s="2133" customFormat="1" ht="18" customHeight="1" thickBot="1" x14ac:dyDescent="0.3">
      <c r="B533" s="1939" t="s">
        <v>0</v>
      </c>
      <c r="C533" s="1942" t="s">
        <v>1</v>
      </c>
      <c r="D533" s="1945" t="s">
        <v>5</v>
      </c>
      <c r="E533" s="1945" t="s">
        <v>152</v>
      </c>
      <c r="F533" s="1945" t="s">
        <v>2</v>
      </c>
      <c r="G533" s="1945" t="s">
        <v>298</v>
      </c>
      <c r="H533" s="1945" t="s">
        <v>116</v>
      </c>
      <c r="I533" s="1948" t="s">
        <v>117</v>
      </c>
    </row>
    <row r="534" spans="2:9" ht="18" customHeight="1" outlineLevel="1" x14ac:dyDescent="0.25">
      <c r="B534" s="299" t="s">
        <v>343</v>
      </c>
      <c r="C534" s="1663" t="s">
        <v>2834</v>
      </c>
      <c r="D534" s="1666" t="s">
        <v>950</v>
      </c>
      <c r="E534" s="407">
        <f>K_W_T/f_mono^2</f>
        <v>8.7379753867564399E-15</v>
      </c>
      <c r="F534" s="286" t="s">
        <v>1989</v>
      </c>
      <c r="G534" s="386">
        <v>3</v>
      </c>
      <c r="H534" s="286" t="s">
        <v>11</v>
      </c>
      <c r="I534" s="387"/>
    </row>
    <row r="535" spans="2:9" ht="18" customHeight="1" outlineLevel="1" x14ac:dyDescent="0.25">
      <c r="B535" s="248" t="s">
        <v>344</v>
      </c>
      <c r="C535" s="527" t="s">
        <v>2835</v>
      </c>
      <c r="D535" s="1665" t="s">
        <v>951</v>
      </c>
      <c r="E535" s="378">
        <f>K_C1_T/f_mono^2</f>
        <v>5.3547283589610541E-7</v>
      </c>
      <c r="F535" s="245" t="s">
        <v>1989</v>
      </c>
      <c r="G535" s="379">
        <v>3</v>
      </c>
      <c r="H535" s="245" t="s">
        <v>11</v>
      </c>
      <c r="I535" s="380"/>
    </row>
    <row r="536" spans="2:9" ht="18" customHeight="1" outlineLevel="1" x14ac:dyDescent="0.25">
      <c r="B536" s="248" t="s">
        <v>345</v>
      </c>
      <c r="C536" s="527" t="s">
        <v>2836</v>
      </c>
      <c r="D536" s="1665" t="s">
        <v>952</v>
      </c>
      <c r="E536" s="378">
        <f>K_C2_T/f_di</f>
        <v>7.0284789816384129E-11</v>
      </c>
      <c r="F536" s="245" t="s">
        <v>1989</v>
      </c>
      <c r="G536" s="379">
        <v>3</v>
      </c>
      <c r="H536" s="245" t="s">
        <v>11</v>
      </c>
      <c r="I536" s="380"/>
    </row>
    <row r="537" spans="2:9" ht="18" customHeight="1" outlineLevel="1" x14ac:dyDescent="0.25">
      <c r="B537" s="248" t="s">
        <v>355</v>
      </c>
      <c r="C537" s="527" t="s">
        <v>2837</v>
      </c>
      <c r="D537" s="1665" t="s">
        <v>953</v>
      </c>
      <c r="E537" s="378">
        <f>K_P1_T/f_mono^2</f>
        <v>9.6412345627529591E-3</v>
      </c>
      <c r="F537" s="245" t="s">
        <v>1989</v>
      </c>
      <c r="G537" s="379">
        <v>3</v>
      </c>
      <c r="H537" s="245" t="s">
        <v>11</v>
      </c>
      <c r="I537" s="380"/>
    </row>
    <row r="538" spans="2:9" ht="18" customHeight="1" outlineLevel="1" x14ac:dyDescent="0.25">
      <c r="B538" s="248" t="s">
        <v>356</v>
      </c>
      <c r="C538" s="527" t="s">
        <v>2838</v>
      </c>
      <c r="D538" s="1665" t="s">
        <v>954</v>
      </c>
      <c r="E538" s="378">
        <f>K_P2_T/f_di</f>
        <v>1.0212251140175602E-7</v>
      </c>
      <c r="F538" s="245" t="s">
        <v>1989</v>
      </c>
      <c r="G538" s="379">
        <v>3</v>
      </c>
      <c r="H538" s="245" t="s">
        <v>11</v>
      </c>
      <c r="I538" s="380"/>
    </row>
    <row r="539" spans="2:9" ht="18" customHeight="1" outlineLevel="1" x14ac:dyDescent="0.25">
      <c r="B539" s="248" t="s">
        <v>357</v>
      </c>
      <c r="C539" s="527" t="s">
        <v>2839</v>
      </c>
      <c r="D539" s="1665" t="s">
        <v>955</v>
      </c>
      <c r="E539" s="378">
        <f>K_P3_T/(f_mono*f_tri)*f_di</f>
        <v>8.1951597738298681E-13</v>
      </c>
      <c r="F539" s="378" t="s">
        <v>1989</v>
      </c>
      <c r="G539" s="379">
        <v>3</v>
      </c>
      <c r="H539" s="245" t="s">
        <v>11</v>
      </c>
      <c r="I539" s="380"/>
    </row>
    <row r="540" spans="2:9" ht="18" customHeight="1" outlineLevel="1" x14ac:dyDescent="0.25">
      <c r="B540" s="551" t="s">
        <v>2843</v>
      </c>
      <c r="C540" s="527" t="s">
        <v>2840</v>
      </c>
      <c r="D540" s="527" t="s">
        <v>2844</v>
      </c>
      <c r="E540" s="378">
        <f>K_Ac_T/f_mono^2</f>
        <v>2.268664105854261E-5</v>
      </c>
      <c r="F540" s="378" t="s">
        <v>1989</v>
      </c>
      <c r="G540" s="379">
        <v>3</v>
      </c>
      <c r="H540" s="245" t="s">
        <v>11</v>
      </c>
      <c r="I540" s="380"/>
    </row>
    <row r="541" spans="2:9" s="104" customFormat="1" ht="18" customHeight="1" outlineLevel="1" x14ac:dyDescent="0.25">
      <c r="B541" s="551" t="s">
        <v>2845</v>
      </c>
      <c r="C541" s="527" t="s">
        <v>2908</v>
      </c>
      <c r="D541" s="527" t="s">
        <v>2846</v>
      </c>
      <c r="E541" s="378">
        <f>K_NO2_T/f_mono^2</f>
        <v>5.2373005797162243E-4</v>
      </c>
      <c r="F541" s="463" t="s">
        <v>1989</v>
      </c>
      <c r="G541" s="379">
        <v>3</v>
      </c>
      <c r="H541" s="245" t="s">
        <v>11</v>
      </c>
      <c r="I541" s="380"/>
    </row>
    <row r="542" spans="2:9" ht="18" customHeight="1" outlineLevel="1" thickBot="1" x14ac:dyDescent="0.3">
      <c r="B542" s="555" t="s">
        <v>2847</v>
      </c>
      <c r="C542" s="408" t="s">
        <v>2841</v>
      </c>
      <c r="D542" s="1667" t="s">
        <v>2848</v>
      </c>
      <c r="E542" s="385">
        <f>K_NH3_T</f>
        <v>3.9635061259550542E-10</v>
      </c>
      <c r="F542" s="385" t="s">
        <v>1989</v>
      </c>
      <c r="G542" s="381">
        <v>3</v>
      </c>
      <c r="H542" s="247" t="s">
        <v>11</v>
      </c>
      <c r="I542" s="382"/>
    </row>
    <row r="543" spans="2:9" s="2133" customFormat="1" ht="18" customHeight="1" thickBot="1" x14ac:dyDescent="0.3">
      <c r="B543" s="4"/>
      <c r="C543" s="4"/>
      <c r="D543" s="4"/>
      <c r="E543" s="1934"/>
      <c r="F543" s="4"/>
      <c r="G543" s="4"/>
      <c r="H543" s="4"/>
      <c r="I543" s="4"/>
    </row>
    <row r="544" spans="2:9" s="2133" customFormat="1" ht="18" customHeight="1" thickBot="1" x14ac:dyDescent="0.3">
      <c r="B544" s="113"/>
      <c r="C544" s="1089" t="s">
        <v>1316</v>
      </c>
      <c r="D544" s="14" t="s">
        <v>317</v>
      </c>
      <c r="E544" s="14"/>
      <c r="F544" s="113"/>
      <c r="G544" s="113"/>
      <c r="H544" s="113"/>
      <c r="I544" s="113"/>
    </row>
    <row r="545" spans="2:9" s="2133" customFormat="1" ht="18" customHeight="1" thickBot="1" x14ac:dyDescent="0.3">
      <c r="B545" s="1939" t="s">
        <v>0</v>
      </c>
      <c r="C545" s="1942" t="s">
        <v>1</v>
      </c>
      <c r="D545" s="1945" t="s">
        <v>5</v>
      </c>
      <c r="E545" s="1945" t="s">
        <v>152</v>
      </c>
      <c r="F545" s="1945" t="s">
        <v>2</v>
      </c>
      <c r="G545" s="1945" t="s">
        <v>298</v>
      </c>
      <c r="H545" s="1945" t="s">
        <v>116</v>
      </c>
      <c r="I545" s="1948" t="s">
        <v>117</v>
      </c>
    </row>
    <row r="546" spans="2:9" ht="18" customHeight="1" outlineLevel="1" x14ac:dyDescent="0.25">
      <c r="B546" s="252" t="s">
        <v>1326</v>
      </c>
      <c r="C546" s="1668" t="s">
        <v>2909</v>
      </c>
      <c r="D546" s="1668" t="s">
        <v>4300</v>
      </c>
      <c r="E546" s="388">
        <f>K_sp_CaCO3_param/f_di</f>
        <v>7.4753798120141423E-7</v>
      </c>
      <c r="F546" s="388" t="s">
        <v>1989</v>
      </c>
      <c r="G546" s="389">
        <v>3</v>
      </c>
      <c r="H546" s="390" t="s">
        <v>11</v>
      </c>
      <c r="I546" s="391"/>
    </row>
    <row r="547" spans="2:9" ht="18" customHeight="1" outlineLevel="1" x14ac:dyDescent="0.25">
      <c r="B547" s="253" t="s">
        <v>1323</v>
      </c>
      <c r="C547" s="1669" t="s">
        <v>2910</v>
      </c>
      <c r="D547" s="1669" t="s">
        <v>4301</v>
      </c>
      <c r="E547" s="378">
        <f>K_sp_STR_param/(f_di^(1/3)*f_mono^(1/3)*f_tri^(1/3))</f>
        <v>1.2614964468037164E-13</v>
      </c>
      <c r="F547" s="378" t="s">
        <v>1989</v>
      </c>
      <c r="G547" s="379">
        <v>3</v>
      </c>
      <c r="H547" s="245" t="s">
        <v>11</v>
      </c>
      <c r="I547" s="380"/>
    </row>
    <row r="548" spans="2:9" ht="18" customHeight="1" outlineLevel="1" x14ac:dyDescent="0.25">
      <c r="B548" s="253" t="s">
        <v>1324</v>
      </c>
      <c r="C548" s="1669" t="s">
        <v>2911</v>
      </c>
      <c r="D548" s="1669" t="s">
        <v>4302</v>
      </c>
      <c r="E548" s="378">
        <f>K_sp_Vivi_param/(f_di^(3/5)*f_tri^(2/5))</f>
        <v>2.1649600914352904E-36</v>
      </c>
      <c r="F548" s="378" t="s">
        <v>1989</v>
      </c>
      <c r="G548" s="379">
        <v>3</v>
      </c>
      <c r="H548" s="245" t="s">
        <v>11</v>
      </c>
      <c r="I548" s="380"/>
    </row>
    <row r="549" spans="2:9" ht="18" customHeight="1" outlineLevel="1" x14ac:dyDescent="0.25">
      <c r="B549" s="253" t="s">
        <v>1325</v>
      </c>
      <c r="C549" s="1669" t="s">
        <v>2912</v>
      </c>
      <c r="D549" s="1669" t="s">
        <v>4303</v>
      </c>
      <c r="E549" s="378">
        <f>K_sp_ACP_param/(f_di^(3/5)*f_tri^(2/5))</f>
        <v>7.5067144345969344E-26</v>
      </c>
      <c r="F549" s="378" t="s">
        <v>1989</v>
      </c>
      <c r="G549" s="379">
        <v>3</v>
      </c>
      <c r="H549" s="245" t="s">
        <v>11</v>
      </c>
      <c r="I549" s="380"/>
    </row>
    <row r="550" spans="2:9" ht="18" customHeight="1" outlineLevel="1" thickBot="1" x14ac:dyDescent="0.3">
      <c r="B550" s="934" t="s">
        <v>3818</v>
      </c>
      <c r="C550" s="1670" t="s">
        <v>3819</v>
      </c>
      <c r="D550" s="1670" t="s">
        <v>3820</v>
      </c>
      <c r="E550" s="935">
        <f>K_sp_BSH_param/(f_di^(1/2)*f_di^(1/2))</f>
        <v>4.2037149897892104E-7</v>
      </c>
      <c r="F550" s="935" t="s">
        <v>1989</v>
      </c>
      <c r="G550" s="682">
        <v>3</v>
      </c>
      <c r="H550" s="680" t="s">
        <v>11</v>
      </c>
      <c r="I550" s="683"/>
    </row>
    <row r="551" spans="2:9" s="2133" customFormat="1" ht="18" customHeight="1" thickBot="1" x14ac:dyDescent="0.3">
      <c r="B551" s="4"/>
      <c r="C551" s="4"/>
      <c r="D551" s="4"/>
      <c r="E551" s="1934"/>
      <c r="F551" s="4"/>
      <c r="G551" s="4"/>
      <c r="H551" s="4"/>
      <c r="I551" s="4"/>
    </row>
    <row r="552" spans="2:9" s="2133" customFormat="1" ht="18" customHeight="1" thickBot="1" x14ac:dyDescent="0.3">
      <c r="B552" s="113"/>
      <c r="C552" s="1089" t="s">
        <v>393</v>
      </c>
      <c r="D552" s="14" t="s">
        <v>317</v>
      </c>
      <c r="E552" s="14"/>
      <c r="F552" s="113"/>
      <c r="G552" s="113"/>
      <c r="H552" s="113"/>
      <c r="I552" s="113"/>
    </row>
    <row r="553" spans="2:9" s="2133" customFormat="1" ht="18" customHeight="1" thickBot="1" x14ac:dyDescent="0.3">
      <c r="B553" s="1939" t="s">
        <v>0</v>
      </c>
      <c r="C553" s="1942" t="s">
        <v>1</v>
      </c>
      <c r="D553" s="1945" t="s">
        <v>5</v>
      </c>
      <c r="E553" s="1945" t="s">
        <v>152</v>
      </c>
      <c r="F553" s="1945" t="s">
        <v>2</v>
      </c>
      <c r="G553" s="1945" t="s">
        <v>298</v>
      </c>
      <c r="H553" s="1945" t="s">
        <v>116</v>
      </c>
      <c r="I553" s="1948" t="s">
        <v>117</v>
      </c>
    </row>
    <row r="554" spans="2:9" ht="18" customHeight="1" outlineLevel="1" x14ac:dyDescent="0.25">
      <c r="B554" s="242" t="s">
        <v>894</v>
      </c>
      <c r="C554" s="1660" t="s">
        <v>895</v>
      </c>
      <c r="D554" s="1660" t="s">
        <v>1877</v>
      </c>
      <c r="E554" s="409">
        <f>conc_Hp_Ieq*K_P2/(conc_Hp_Ieq^3+conc_Hp_Ieq^2*K_P1+K_P2*conc_Hp_Ieq*K_P1+K_P2*K_P1*K_P3)*K_P1*S_PO4/(A_MP*1000)</f>
        <v>2.5493518636920041E-8</v>
      </c>
      <c r="F554" s="243" t="s">
        <v>383</v>
      </c>
      <c r="G554" s="243">
        <v>3</v>
      </c>
      <c r="H554" s="243" t="s">
        <v>11</v>
      </c>
      <c r="I554" s="377"/>
    </row>
    <row r="555" spans="2:9" ht="18" customHeight="1" outlineLevel="1" x14ac:dyDescent="0.25">
      <c r="B555" s="248" t="s">
        <v>896</v>
      </c>
      <c r="C555" s="1665" t="s">
        <v>897</v>
      </c>
      <c r="D555" s="1665" t="s">
        <v>1878</v>
      </c>
      <c r="E555" s="378">
        <f>conc_Hp_Ieq^2*K_P1*S_PO4/(A_MP*1000)/(conc_Hp_Ieq^3+conc_Hp_Ieq^2*K_P1+K_P2*conc_Hp_Ieq*K_P1+K_P2*K_P1*K_P3)</f>
        <v>1.6010694300937341E-5</v>
      </c>
      <c r="F555" s="243" t="s">
        <v>383</v>
      </c>
      <c r="G555" s="245">
        <v>3</v>
      </c>
      <c r="H555" s="245" t="s">
        <v>11</v>
      </c>
      <c r="I555" s="380"/>
    </row>
    <row r="556" spans="2:9" ht="18" customHeight="1" outlineLevel="1" x14ac:dyDescent="0.25">
      <c r="B556" s="248" t="s">
        <v>898</v>
      </c>
      <c r="C556" s="1665" t="s">
        <v>899</v>
      </c>
      <c r="D556" s="1665" t="s">
        <v>2859</v>
      </c>
      <c r="E556" s="378">
        <f>S_VFA/(4*A_MO*1000)*K_Ac/(conc_Hp_Ieq+K_Ac)</f>
        <v>4.0829449054993815E-8</v>
      </c>
      <c r="F556" s="243" t="s">
        <v>383</v>
      </c>
      <c r="G556" s="245">
        <v>3</v>
      </c>
      <c r="H556" s="245" t="s">
        <v>11</v>
      </c>
      <c r="I556" s="380"/>
    </row>
    <row r="557" spans="2:9" ht="18" customHeight="1" outlineLevel="1" x14ac:dyDescent="0.25">
      <c r="B557" s="248" t="s">
        <v>2369</v>
      </c>
      <c r="C557" s="1665" t="s">
        <v>2370</v>
      </c>
      <c r="D557" s="1665" t="s">
        <v>2860</v>
      </c>
      <c r="E557" s="378">
        <f>K_NO2*S_NO2/(A_MN*1000)/(conc_Hp_Ieq+K_NO2)</f>
        <v>6.3605297319967442E-6</v>
      </c>
      <c r="F557" s="463" t="s">
        <v>383</v>
      </c>
      <c r="G557" s="245">
        <v>3</v>
      </c>
      <c r="H557" s="245" t="s">
        <v>11</v>
      </c>
      <c r="I557" s="380"/>
    </row>
    <row r="558" spans="2:9" ht="38.25" outlineLevel="1" thickBot="1" x14ac:dyDescent="0.3">
      <c r="B558" s="246" t="s">
        <v>1280</v>
      </c>
      <c r="C558" s="408" t="s">
        <v>393</v>
      </c>
      <c r="D558" s="408" t="s">
        <v>2371</v>
      </c>
      <c r="E558" s="392">
        <f>(3*conc_PO43m_I+2*conc_HPO42m_I)-2*conc_HPO42m_Ieq+conc_H2PO4m_I-conc_H2PO4m_Ieq+conc_OHm_I+conc_NO2m_I-conc_NO2m_Ieq+conc_NH3_I+2*conc_CO32m_I+conc_HCO3m_I+conc_Acm_I-conc_Acm_Ieq-conc_Hp_I</f>
        <v>5.5299706224952441E-3</v>
      </c>
      <c r="F558" s="392" t="s">
        <v>1879</v>
      </c>
      <c r="G558" s="247">
        <v>4</v>
      </c>
      <c r="H558" s="247" t="s">
        <v>11</v>
      </c>
      <c r="I558" s="382"/>
    </row>
    <row r="559" spans="2:9" ht="15.75" thickBot="1" x14ac:dyDescent="0.3">
      <c r="E559" s="113"/>
    </row>
    <row r="560" spans="2:9" ht="15.75" thickBot="1" x14ac:dyDescent="0.3">
      <c r="C560" s="1402" t="s">
        <v>4319</v>
      </c>
      <c r="D560" s="1007" t="s">
        <v>317</v>
      </c>
      <c r="E560" s="113"/>
    </row>
    <row r="561" spans="2:11" ht="15.75" thickBot="1" x14ac:dyDescent="0.3">
      <c r="B561" s="660" t="s">
        <v>0</v>
      </c>
      <c r="C561" s="1575" t="s">
        <v>1</v>
      </c>
      <c r="D561" s="1131" t="s">
        <v>5</v>
      </c>
      <c r="E561" s="1131" t="s">
        <v>152</v>
      </c>
      <c r="F561" s="1131" t="s">
        <v>2</v>
      </c>
      <c r="G561" s="1131" t="s">
        <v>298</v>
      </c>
      <c r="H561" s="1131" t="s">
        <v>116</v>
      </c>
      <c r="I561" s="661" t="s">
        <v>117</v>
      </c>
    </row>
    <row r="562" spans="2:11" outlineLevel="1" x14ac:dyDescent="0.25">
      <c r="B562" s="745" t="s">
        <v>15</v>
      </c>
      <c r="C562" s="1661" t="s">
        <v>378</v>
      </c>
      <c r="D562" s="1661" t="s">
        <v>4321</v>
      </c>
      <c r="E562" s="1571">
        <f>I_Sinput_AS</f>
        <v>0.02</v>
      </c>
      <c r="F562" s="1274" t="s">
        <v>380</v>
      </c>
      <c r="G562" s="1274">
        <v>3</v>
      </c>
      <c r="H562" s="243" t="s">
        <v>4328</v>
      </c>
      <c r="I562" s="673"/>
    </row>
    <row r="563" spans="2:11" outlineLevel="1" x14ac:dyDescent="0.25">
      <c r="B563" s="1413" t="s">
        <v>15</v>
      </c>
      <c r="C563" s="1671" t="s">
        <v>378</v>
      </c>
      <c r="D563" s="1671" t="s">
        <v>4322</v>
      </c>
      <c r="E563" s="1422">
        <f>I_Sinput_DIG</f>
        <v>0.1</v>
      </c>
      <c r="F563" s="1414" t="s">
        <v>380</v>
      </c>
      <c r="G563" s="1414">
        <v>3</v>
      </c>
      <c r="H563" s="1414" t="s">
        <v>4325</v>
      </c>
      <c r="I563" s="1417"/>
    </row>
    <row r="564" spans="2:11" ht="18.75" outlineLevel="1" thickBot="1" x14ac:dyDescent="0.3">
      <c r="B564" s="1404" t="s">
        <v>15</v>
      </c>
      <c r="C564" s="1672" t="s">
        <v>378</v>
      </c>
      <c r="D564" s="1672" t="s">
        <v>4326</v>
      </c>
      <c r="E564" s="1421">
        <f>I_Sinput_sidestream</f>
        <v>0.1</v>
      </c>
      <c r="F564" s="1420" t="s">
        <v>380</v>
      </c>
      <c r="G564" s="1420">
        <v>3</v>
      </c>
      <c r="H564" s="1420" t="s">
        <v>4327</v>
      </c>
      <c r="I564" s="1405"/>
      <c r="J564" s="2133"/>
    </row>
    <row r="565" spans="2:11" s="2133" customFormat="1" ht="18" customHeight="1" thickBot="1" x14ac:dyDescent="0.3">
      <c r="B565" s="4"/>
      <c r="C565" s="4"/>
      <c r="D565" s="4"/>
      <c r="E565" s="1934"/>
      <c r="F565" s="4"/>
      <c r="G565" s="4"/>
      <c r="H565" s="4"/>
      <c r="I565" s="4"/>
    </row>
    <row r="566" spans="2:11" s="2133" customFormat="1" ht="18" customHeight="1" thickBot="1" x14ac:dyDescent="0.3">
      <c r="B566" s="113"/>
      <c r="C566" s="1423" t="s">
        <v>4319</v>
      </c>
      <c r="D566" s="14" t="s">
        <v>317</v>
      </c>
      <c r="E566" s="14"/>
      <c r="F566" s="113"/>
      <c r="G566" s="113"/>
      <c r="H566" s="113"/>
      <c r="I566" s="113"/>
    </row>
    <row r="567" spans="2:11" s="2133" customFormat="1" ht="18" customHeight="1" thickBot="1" x14ac:dyDescent="0.3">
      <c r="B567" s="1941" t="s">
        <v>0</v>
      </c>
      <c r="C567" s="1944" t="s">
        <v>1</v>
      </c>
      <c r="D567" s="1947" t="s">
        <v>5</v>
      </c>
      <c r="E567" s="1947" t="s">
        <v>152</v>
      </c>
      <c r="F567" s="1947" t="s">
        <v>2</v>
      </c>
      <c r="G567" s="1947" t="s">
        <v>298</v>
      </c>
      <c r="H567" s="1947" t="s">
        <v>116</v>
      </c>
      <c r="I567" s="1950" t="s">
        <v>117</v>
      </c>
    </row>
    <row r="568" spans="2:11" outlineLevel="1" x14ac:dyDescent="0.25">
      <c r="B568" s="242" t="s">
        <v>15</v>
      </c>
      <c r="C568" s="1660" t="s">
        <v>378</v>
      </c>
      <c r="D568" s="1660" t="s">
        <v>4321</v>
      </c>
      <c r="E568" s="1572">
        <f>I_Sinput_AS</f>
        <v>0.02</v>
      </c>
      <c r="F568" s="1424" t="s">
        <v>380</v>
      </c>
      <c r="G568" s="1424">
        <v>3</v>
      </c>
      <c r="H568" s="243" t="s">
        <v>4329</v>
      </c>
      <c r="I568" s="377"/>
      <c r="J568" s="2133"/>
    </row>
    <row r="569" spans="2:11" outlineLevel="1" x14ac:dyDescent="0.25">
      <c r="B569" s="1413" t="s">
        <v>15</v>
      </c>
      <c r="C569" s="1671" t="s">
        <v>378</v>
      </c>
      <c r="D569" s="1671" t="s">
        <v>4322</v>
      </c>
      <c r="E569" s="1422">
        <f>I_Sinput_DIG</f>
        <v>0.1</v>
      </c>
      <c r="F569" s="1414" t="s">
        <v>380</v>
      </c>
      <c r="G569" s="1414">
        <v>3</v>
      </c>
      <c r="H569" s="1414" t="s">
        <v>4330</v>
      </c>
      <c r="I569" s="1417"/>
      <c r="J569" s="2133"/>
    </row>
    <row r="570" spans="2:11" ht="18.75" outlineLevel="1" thickBot="1" x14ac:dyDescent="0.3">
      <c r="B570" s="1404" t="s">
        <v>15</v>
      </c>
      <c r="C570" s="1672" t="s">
        <v>378</v>
      </c>
      <c r="D570" s="1672" t="s">
        <v>4326</v>
      </c>
      <c r="E570" s="1421">
        <f>I_Sinput_sidestream</f>
        <v>0.1</v>
      </c>
      <c r="F570" s="1420" t="s">
        <v>380</v>
      </c>
      <c r="G570" s="1420">
        <v>3</v>
      </c>
      <c r="H570" s="1420" t="s">
        <v>4331</v>
      </c>
      <c r="I570" s="1405"/>
      <c r="J570" s="2133"/>
    </row>
    <row r="571" spans="2:11" ht="15.75" thickBot="1" x14ac:dyDescent="0.3"/>
    <row r="572" spans="2:11" ht="15.75" thickBot="1" x14ac:dyDescent="0.3">
      <c r="B572" s="113" t="s">
        <v>372</v>
      </c>
      <c r="C572" s="1403" t="s">
        <v>2133</v>
      </c>
      <c r="D572" s="14" t="s">
        <v>317</v>
      </c>
      <c r="E572" s="113"/>
    </row>
    <row r="573" spans="2:11" ht="15.75" thickBot="1" x14ac:dyDescent="0.3">
      <c r="B573" s="732" t="s">
        <v>0</v>
      </c>
      <c r="C573" s="1575" t="s">
        <v>1</v>
      </c>
      <c r="D573" s="1131" t="s">
        <v>373</v>
      </c>
      <c r="E573" s="1131" t="s">
        <v>152</v>
      </c>
      <c r="F573" s="1409" t="s">
        <v>374</v>
      </c>
      <c r="G573" s="1131" t="s">
        <v>375</v>
      </c>
      <c r="H573" s="1409" t="s">
        <v>2</v>
      </c>
      <c r="I573" s="1409" t="s">
        <v>298</v>
      </c>
      <c r="J573" s="1409" t="s">
        <v>116</v>
      </c>
      <c r="K573" s="661" t="s">
        <v>117</v>
      </c>
    </row>
    <row r="574" spans="2:11" ht="15" outlineLevel="1" x14ac:dyDescent="0.25">
      <c r="B574" s="745" t="s">
        <v>11</v>
      </c>
      <c r="C574" s="1661" t="s">
        <v>11</v>
      </c>
      <c r="D574" s="1661" t="s">
        <v>376</v>
      </c>
      <c r="E574" s="1571">
        <v>7.2</v>
      </c>
      <c r="F574" s="1274">
        <v>2</v>
      </c>
      <c r="G574" s="1274">
        <v>12</v>
      </c>
      <c r="H574" s="463" t="s">
        <v>377</v>
      </c>
      <c r="I574" s="463">
        <v>2</v>
      </c>
      <c r="J574" s="463" t="s">
        <v>1249</v>
      </c>
      <c r="K574" s="673"/>
    </row>
    <row r="575" spans="2:11" ht="15.75" outlineLevel="1" thickBot="1" x14ac:dyDescent="0.3">
      <c r="B575" s="1404" t="s">
        <v>15</v>
      </c>
      <c r="C575" s="1673" t="s">
        <v>378</v>
      </c>
      <c r="D575" s="1673" t="s">
        <v>379</v>
      </c>
      <c r="E575" s="1408">
        <v>0.01</v>
      </c>
      <c r="F575" s="1407">
        <v>0</v>
      </c>
      <c r="G575" s="1407">
        <v>0.5</v>
      </c>
      <c r="H575" s="1407" t="s">
        <v>380</v>
      </c>
      <c r="I575" s="1407">
        <v>2</v>
      </c>
      <c r="J575" s="1407" t="s">
        <v>4320</v>
      </c>
      <c r="K575" s="1405"/>
    </row>
    <row r="576" spans="2:11" ht="15.75" thickBot="1" x14ac:dyDescent="0.3">
      <c r="E576" s="113"/>
    </row>
    <row r="577" spans="2:11" ht="15.75" thickBot="1" x14ac:dyDescent="0.3">
      <c r="B577" s="113" t="s">
        <v>372</v>
      </c>
      <c r="C577" s="1403" t="s">
        <v>3371</v>
      </c>
      <c r="D577" s="14" t="s">
        <v>317</v>
      </c>
      <c r="E577" s="113"/>
    </row>
    <row r="578" spans="2:11" ht="15.75" thickBot="1" x14ac:dyDescent="0.3">
      <c r="B578" s="732" t="s">
        <v>0</v>
      </c>
      <c r="C578" s="1574" t="s">
        <v>1</v>
      </c>
      <c r="D578" s="1131" t="s">
        <v>373</v>
      </c>
      <c r="E578" s="1409" t="s">
        <v>152</v>
      </c>
      <c r="F578" s="1409" t="s">
        <v>374</v>
      </c>
      <c r="G578" s="1131" t="s">
        <v>375</v>
      </c>
      <c r="H578" s="1409" t="s">
        <v>2</v>
      </c>
      <c r="I578" s="1409" t="s">
        <v>298</v>
      </c>
      <c r="J578" s="1131" t="s">
        <v>116</v>
      </c>
      <c r="K578" s="661" t="s">
        <v>117</v>
      </c>
    </row>
    <row r="579" spans="2:11" s="104" customFormat="1" outlineLevel="1" x14ac:dyDescent="0.25">
      <c r="B579" s="1410" t="s">
        <v>2938</v>
      </c>
      <c r="C579" s="1674" t="s">
        <v>2939</v>
      </c>
      <c r="D579" s="1674" t="s">
        <v>376</v>
      </c>
      <c r="E579" s="1411">
        <v>8.6899999999999998E-3</v>
      </c>
      <c r="F579" s="1274">
        <v>-10000</v>
      </c>
      <c r="G579" s="1274">
        <v>10000</v>
      </c>
      <c r="H579" s="1406" t="s">
        <v>383</v>
      </c>
      <c r="I579" s="1406">
        <v>2</v>
      </c>
      <c r="J579" s="1406" t="s">
        <v>3370</v>
      </c>
      <c r="K579" s="1412" t="s">
        <v>381</v>
      </c>
    </row>
    <row r="580" spans="2:11" ht="15" outlineLevel="1" x14ac:dyDescent="0.25">
      <c r="B580" s="1413" t="s">
        <v>15</v>
      </c>
      <c r="C580" s="1671" t="s">
        <v>378</v>
      </c>
      <c r="D580" s="1671" t="s">
        <v>379</v>
      </c>
      <c r="E580" s="1415">
        <v>0.01</v>
      </c>
      <c r="F580" s="1416" t="s">
        <v>382</v>
      </c>
      <c r="G580" s="1414">
        <v>0.5</v>
      </c>
      <c r="H580" s="1414" t="s">
        <v>380</v>
      </c>
      <c r="I580" s="1414">
        <v>2</v>
      </c>
      <c r="J580" s="1414" t="s">
        <v>3370</v>
      </c>
      <c r="K580" s="1417" t="s">
        <v>384</v>
      </c>
    </row>
    <row r="581" spans="2:11" ht="18.75" outlineLevel="1" thickBot="1" x14ac:dyDescent="0.3">
      <c r="B581" s="1404" t="s">
        <v>385</v>
      </c>
      <c r="C581" s="1673" t="s">
        <v>297</v>
      </c>
      <c r="D581" s="1673" t="s">
        <v>387</v>
      </c>
      <c r="E581" s="1408">
        <v>100</v>
      </c>
      <c r="F581" s="1407">
        <v>0</v>
      </c>
      <c r="G581" s="1407">
        <v>10000</v>
      </c>
      <c r="H581" s="1407" t="s">
        <v>1211</v>
      </c>
      <c r="I581" s="1407">
        <v>2</v>
      </c>
      <c r="J581" s="1407" t="s">
        <v>3370</v>
      </c>
      <c r="K581" s="1405" t="s">
        <v>386</v>
      </c>
    </row>
    <row r="582" spans="2:11" ht="15.75" thickBot="1" x14ac:dyDescent="0.3">
      <c r="E582" s="113"/>
    </row>
    <row r="583" spans="2:11" ht="30.75" thickBot="1" x14ac:dyDescent="0.3">
      <c r="B583" s="113" t="s">
        <v>372</v>
      </c>
      <c r="C583" s="1403" t="s">
        <v>3367</v>
      </c>
      <c r="D583" s="14" t="s">
        <v>317</v>
      </c>
      <c r="E583" s="113"/>
    </row>
    <row r="584" spans="2:11" ht="15.75" thickBot="1" x14ac:dyDescent="0.3">
      <c r="B584" s="732" t="s">
        <v>0</v>
      </c>
      <c r="C584" s="1574" t="s">
        <v>1</v>
      </c>
      <c r="D584" s="1131" t="s">
        <v>373</v>
      </c>
      <c r="E584" s="1409" t="s">
        <v>152</v>
      </c>
      <c r="F584" s="1409" t="s">
        <v>374</v>
      </c>
      <c r="G584" s="1131" t="s">
        <v>375</v>
      </c>
      <c r="H584" s="1409" t="s">
        <v>2</v>
      </c>
      <c r="I584" s="1409" t="s">
        <v>298</v>
      </c>
      <c r="J584" s="1131" t="s">
        <v>116</v>
      </c>
      <c r="K584" s="661" t="s">
        <v>117</v>
      </c>
    </row>
    <row r="585" spans="2:11" s="104" customFormat="1" outlineLevel="1" x14ac:dyDescent="0.25">
      <c r="B585" s="1410" t="s">
        <v>2938</v>
      </c>
      <c r="C585" s="1674" t="s">
        <v>2939</v>
      </c>
      <c r="D585" s="1674" t="s">
        <v>376</v>
      </c>
      <c r="E585" s="1411">
        <v>8.6899999999999998E-3</v>
      </c>
      <c r="F585" s="1274">
        <v>-10000</v>
      </c>
      <c r="G585" s="1274">
        <v>10000</v>
      </c>
      <c r="H585" s="1406" t="s">
        <v>383</v>
      </c>
      <c r="I585" s="1406">
        <v>2</v>
      </c>
      <c r="J585" s="1406" t="s">
        <v>3368</v>
      </c>
      <c r="K585" s="1412" t="s">
        <v>381</v>
      </c>
    </row>
    <row r="586" spans="2:11" ht="15.75" outlineLevel="1" thickBot="1" x14ac:dyDescent="0.3">
      <c r="B586" s="1404" t="s">
        <v>15</v>
      </c>
      <c r="C586" s="1673" t="s">
        <v>378</v>
      </c>
      <c r="D586" s="1673" t="s">
        <v>379</v>
      </c>
      <c r="E586" s="1418">
        <v>0.01</v>
      </c>
      <c r="F586" s="1419">
        <v>0</v>
      </c>
      <c r="G586" s="1407">
        <v>0.5</v>
      </c>
      <c r="H586" s="1407" t="s">
        <v>380</v>
      </c>
      <c r="I586" s="1407">
        <v>2</v>
      </c>
      <c r="J586" s="1407" t="s">
        <v>4733</v>
      </c>
      <c r="K586" s="1405" t="s">
        <v>384</v>
      </c>
    </row>
    <row r="587" spans="2:11" ht="18" customHeight="1" thickBot="1" x14ac:dyDescent="0.3">
      <c r="E587" s="113"/>
    </row>
    <row r="588" spans="2:11" ht="15.75" thickBot="1" x14ac:dyDescent="0.3">
      <c r="C588" s="736" t="s">
        <v>3382</v>
      </c>
      <c r="D588" s="14" t="s">
        <v>317</v>
      </c>
      <c r="E588" s="1007"/>
    </row>
    <row r="589" spans="2:11" ht="15.75" thickBot="1" x14ac:dyDescent="0.3">
      <c r="B589" s="411" t="s">
        <v>0</v>
      </c>
      <c r="C589" s="1573" t="s">
        <v>1</v>
      </c>
      <c r="D589" s="720" t="s">
        <v>5</v>
      </c>
      <c r="E589" s="720" t="s">
        <v>152</v>
      </c>
      <c r="F589" s="720" t="s">
        <v>2</v>
      </c>
      <c r="G589" s="720" t="s">
        <v>298</v>
      </c>
      <c r="H589" s="720" t="s">
        <v>116</v>
      </c>
      <c r="I589" s="661" t="s">
        <v>117</v>
      </c>
    </row>
    <row r="590" spans="2:11" outlineLevel="1" x14ac:dyDescent="0.25">
      <c r="B590" s="745" t="s">
        <v>2940</v>
      </c>
      <c r="C590" s="1661" t="s">
        <v>2941</v>
      </c>
      <c r="D590" s="1675" t="s">
        <v>2942</v>
      </c>
      <c r="E590" s="1776" t="e">
        <f>S_CAT_ini+S_IC*(A_MNa*1000)</f>
        <v>#NAME?</v>
      </c>
      <c r="F590" s="672" t="s">
        <v>1045</v>
      </c>
      <c r="G590" s="672">
        <v>2</v>
      </c>
      <c r="H590" s="463" t="s">
        <v>3383</v>
      </c>
      <c r="I590" s="673" t="s">
        <v>2426</v>
      </c>
      <c r="J590" s="104"/>
      <c r="K590" s="104"/>
    </row>
    <row r="591" spans="2:11" outlineLevel="1" x14ac:dyDescent="0.25">
      <c r="B591" s="551" t="s">
        <v>2943</v>
      </c>
      <c r="C591" s="1676" t="s">
        <v>2944</v>
      </c>
      <c r="D591" s="1677" t="s">
        <v>2945</v>
      </c>
      <c r="E591" s="1777" t="e">
        <f>S_AN_ini-S_IC*(A_MCl*1000)</f>
        <v>#NAME?</v>
      </c>
      <c r="F591" s="663" t="s">
        <v>1047</v>
      </c>
      <c r="G591" s="663">
        <v>2</v>
      </c>
      <c r="H591" s="663" t="s">
        <v>3383</v>
      </c>
      <c r="I591" s="664" t="s">
        <v>2426</v>
      </c>
      <c r="J591" s="104"/>
      <c r="K591" s="104"/>
    </row>
    <row r="592" spans="2:11" outlineLevel="1" x14ac:dyDescent="0.25">
      <c r="B592" s="551" t="s">
        <v>1160</v>
      </c>
      <c r="C592" s="1661" t="s">
        <v>2946</v>
      </c>
      <c r="D592" s="1677" t="s">
        <v>2947</v>
      </c>
      <c r="E592" s="1777" t="e">
        <f>IF(S_CAT_ini_corr&gt;0,S_CAT_ini_corr,S_CAT_ini)</f>
        <v>#NAME?</v>
      </c>
      <c r="F592" s="739" t="s">
        <v>1045</v>
      </c>
      <c r="G592" s="739">
        <v>2</v>
      </c>
      <c r="H592" s="663" t="s">
        <v>3383</v>
      </c>
      <c r="I592" s="664" t="s">
        <v>2426</v>
      </c>
      <c r="J592" s="104"/>
      <c r="K592" s="104"/>
    </row>
    <row r="593" spans="2:11" ht="18.75" outlineLevel="1" thickBot="1" x14ac:dyDescent="0.3">
      <c r="B593" s="735" t="s">
        <v>2427</v>
      </c>
      <c r="C593" s="786" t="s">
        <v>2948</v>
      </c>
      <c r="D593" s="1678" t="s">
        <v>2949</v>
      </c>
      <c r="E593" s="1778" t="e">
        <f>IF(S_CAT_ini_corr&gt;0,S_AN_ini,S_AN_ini_corr)</f>
        <v>#NAME?</v>
      </c>
      <c r="F593" s="680" t="s">
        <v>1047</v>
      </c>
      <c r="G593" s="680">
        <v>2</v>
      </c>
      <c r="H593" s="680" t="s">
        <v>3383</v>
      </c>
      <c r="I593" s="683" t="s">
        <v>2426</v>
      </c>
      <c r="J593" s="104"/>
      <c r="K593" s="104"/>
    </row>
    <row r="594" spans="2:11" ht="15.75" thickBot="1" x14ac:dyDescent="0.3">
      <c r="E594" s="113"/>
    </row>
    <row r="595" spans="2:11" ht="15.75" thickBot="1" x14ac:dyDescent="0.3">
      <c r="C595" s="736" t="s">
        <v>3374</v>
      </c>
      <c r="D595" s="14" t="s">
        <v>317</v>
      </c>
      <c r="E595" s="1007"/>
    </row>
    <row r="596" spans="2:11" ht="15.75" thickBot="1" x14ac:dyDescent="0.3">
      <c r="B596" s="411" t="s">
        <v>0</v>
      </c>
      <c r="C596" s="1573" t="s">
        <v>1</v>
      </c>
      <c r="D596" s="720" t="s">
        <v>5</v>
      </c>
      <c r="E596" s="720" t="s">
        <v>152</v>
      </c>
      <c r="F596" s="720" t="s">
        <v>2</v>
      </c>
      <c r="G596" s="720" t="s">
        <v>298</v>
      </c>
      <c r="H596" s="720" t="s">
        <v>116</v>
      </c>
      <c r="I596" s="661" t="s">
        <v>117</v>
      </c>
    </row>
    <row r="597" spans="2:11" outlineLevel="1" x14ac:dyDescent="0.25">
      <c r="B597" s="745" t="s">
        <v>3375</v>
      </c>
      <c r="C597" s="1661" t="s">
        <v>2941</v>
      </c>
      <c r="D597" s="1675" t="s">
        <v>3376</v>
      </c>
      <c r="E597" s="1776" t="e">
        <f>S_CAT_ini+S_IC*(A_MNa*1000)</f>
        <v>#NAME?</v>
      </c>
      <c r="F597" s="672" t="s">
        <v>1045</v>
      </c>
      <c r="G597" s="672">
        <v>2</v>
      </c>
      <c r="H597" s="463" t="s">
        <v>3377</v>
      </c>
      <c r="I597" s="673" t="s">
        <v>2426</v>
      </c>
      <c r="J597" s="104"/>
      <c r="K597" s="104"/>
    </row>
    <row r="598" spans="2:11" outlineLevel="1" x14ac:dyDescent="0.25">
      <c r="B598" s="551" t="s">
        <v>3378</v>
      </c>
      <c r="C598" s="1676" t="s">
        <v>2944</v>
      </c>
      <c r="D598" s="1677" t="s">
        <v>3379</v>
      </c>
      <c r="E598" s="1777" t="e">
        <f>S_AN_ini-S_IC*(A_MCl*1000)</f>
        <v>#NAME?</v>
      </c>
      <c r="F598" s="663" t="s">
        <v>1047</v>
      </c>
      <c r="G598" s="663">
        <v>2</v>
      </c>
      <c r="H598" s="663" t="s">
        <v>3377</v>
      </c>
      <c r="I598" s="664" t="s">
        <v>2426</v>
      </c>
      <c r="J598" s="104"/>
      <c r="K598" s="104"/>
    </row>
    <row r="599" spans="2:11" outlineLevel="1" x14ac:dyDescent="0.25">
      <c r="B599" s="551" t="s">
        <v>1160</v>
      </c>
      <c r="C599" s="1661" t="s">
        <v>2946</v>
      </c>
      <c r="D599" s="1679" t="s">
        <v>3380</v>
      </c>
      <c r="E599" s="1777" t="e">
        <f>IF(S_CAT_ini_corr&gt;0,S_CAT_ini_corr,S_CAT_ini)</f>
        <v>#NAME?</v>
      </c>
      <c r="F599" s="739" t="s">
        <v>1045</v>
      </c>
      <c r="G599" s="739">
        <v>2</v>
      </c>
      <c r="H599" s="663" t="s">
        <v>3377</v>
      </c>
      <c r="I599" s="664" t="s">
        <v>2426</v>
      </c>
      <c r="J599" s="104"/>
      <c r="K599" s="104"/>
    </row>
    <row r="600" spans="2:11" ht="18.75" outlineLevel="1" thickBot="1" x14ac:dyDescent="0.3">
      <c r="B600" s="735" t="s">
        <v>2427</v>
      </c>
      <c r="C600" s="786" t="s">
        <v>2948</v>
      </c>
      <c r="D600" s="1678" t="s">
        <v>3381</v>
      </c>
      <c r="E600" s="1778" t="e">
        <f>IF(S_CAT_ini_corr&gt;0,S_AN_ini,S_AN_ini_corr)</f>
        <v>#NAME?</v>
      </c>
      <c r="F600" s="680" t="s">
        <v>1047</v>
      </c>
      <c r="G600" s="680">
        <v>2</v>
      </c>
      <c r="H600" s="680" t="s">
        <v>3377</v>
      </c>
      <c r="I600" s="683" t="s">
        <v>2426</v>
      </c>
      <c r="J600" s="104"/>
      <c r="K600" s="104"/>
    </row>
    <row r="601" spans="2:11" ht="18" customHeight="1" thickBot="1" x14ac:dyDescent="0.3">
      <c r="E601" s="113"/>
    </row>
    <row r="602" spans="2:11" ht="18" customHeight="1" thickBot="1" x14ac:dyDescent="0.3">
      <c r="C602" s="736" t="s">
        <v>3369</v>
      </c>
      <c r="D602" s="1007" t="s">
        <v>317</v>
      </c>
      <c r="E602" s="1007"/>
    </row>
    <row r="603" spans="2:11" ht="18" customHeight="1" thickBot="1" x14ac:dyDescent="0.3">
      <c r="B603" s="660" t="s">
        <v>0</v>
      </c>
      <c r="C603" s="1573" t="s">
        <v>1</v>
      </c>
      <c r="D603" s="720" t="s">
        <v>5</v>
      </c>
      <c r="E603" s="720" t="s">
        <v>152</v>
      </c>
      <c r="F603" s="720" t="s">
        <v>2</v>
      </c>
      <c r="G603" s="720" t="s">
        <v>298</v>
      </c>
      <c r="H603" s="720" t="s">
        <v>116</v>
      </c>
      <c r="I603" s="661" t="s">
        <v>117</v>
      </c>
    </row>
    <row r="604" spans="2:11" ht="18" customHeight="1" outlineLevel="1" x14ac:dyDescent="0.25">
      <c r="B604" s="733" t="s">
        <v>376</v>
      </c>
      <c r="C604" s="1680" t="s">
        <v>1163</v>
      </c>
      <c r="D604" s="1681" t="s">
        <v>3665</v>
      </c>
      <c r="E604" s="737">
        <f>-(IF((c_hargebalance)&lt;0,-LOG10(-(c_hargebalance)+1),LOG10((c_hargebalance)+1)))</f>
        <v>-2.4175533204406379E-4</v>
      </c>
      <c r="F604" s="734" t="s">
        <v>1880</v>
      </c>
      <c r="G604" s="734">
        <v>2</v>
      </c>
      <c r="H604" s="662" t="s">
        <v>11</v>
      </c>
      <c r="I604" s="734"/>
    </row>
    <row r="605" spans="2:11" ht="18" customHeight="1" outlineLevel="1" x14ac:dyDescent="0.25">
      <c r="B605" s="551" t="s">
        <v>379</v>
      </c>
      <c r="C605" s="1676" t="s">
        <v>389</v>
      </c>
      <c r="D605" s="1676" t="s">
        <v>1850</v>
      </c>
      <c r="E605" s="738">
        <f>I_S-I_Scalc</f>
        <v>5.2056441588948007E-3</v>
      </c>
      <c r="F605" s="738" t="s">
        <v>380</v>
      </c>
      <c r="G605" s="739">
        <v>2</v>
      </c>
      <c r="H605" s="663" t="s">
        <v>11</v>
      </c>
      <c r="I605" s="664"/>
    </row>
    <row r="606" spans="2:11" ht="18" customHeight="1" outlineLevel="1" thickBot="1" x14ac:dyDescent="0.3">
      <c r="B606" s="740" t="s">
        <v>387</v>
      </c>
      <c r="C606" s="1682" t="s">
        <v>390</v>
      </c>
      <c r="D606" s="1682" t="s">
        <v>391</v>
      </c>
      <c r="E606" s="741">
        <f>S_ALK-S_ALK_input</f>
        <v>-1.4700293775047561E-3</v>
      </c>
      <c r="F606" s="741" t="s">
        <v>1879</v>
      </c>
      <c r="G606" s="742">
        <v>2</v>
      </c>
      <c r="H606" s="680" t="s">
        <v>3370</v>
      </c>
      <c r="I606" s="665"/>
    </row>
    <row r="607" spans="2:11" ht="18" customHeight="1" x14ac:dyDescent="0.25">
      <c r="B607" s="135"/>
      <c r="C607" s="135"/>
      <c r="D607" s="135"/>
      <c r="E607" s="135"/>
      <c r="F607" s="135"/>
      <c r="G607" s="135"/>
      <c r="H607" s="135"/>
      <c r="I607" s="135"/>
    </row>
    <row r="608" spans="2:11" ht="18" customHeight="1" x14ac:dyDescent="0.25">
      <c r="B608" s="113" t="s">
        <v>3353</v>
      </c>
      <c r="E608" s="113"/>
    </row>
    <row r="609" spans="1:9" ht="18" customHeight="1" x14ac:dyDescent="0.25">
      <c r="B609" s="113" t="s">
        <v>3354</v>
      </c>
      <c r="E609" s="113"/>
    </row>
    <row r="610" spans="1:9" ht="18" customHeight="1" thickBot="1" x14ac:dyDescent="0.3">
      <c r="E610" s="113"/>
    </row>
    <row r="611" spans="1:9" s="2133" customFormat="1" ht="18" customHeight="1" thickBot="1" x14ac:dyDescent="0.3">
      <c r="A611" s="4"/>
      <c r="B611" s="113"/>
      <c r="C611" s="2228" t="s">
        <v>3355</v>
      </c>
      <c r="D611" s="14" t="s">
        <v>299</v>
      </c>
      <c r="E611" s="14"/>
      <c r="F611" s="113"/>
      <c r="G611" s="113"/>
      <c r="H611" s="113"/>
      <c r="I611" s="113"/>
    </row>
    <row r="612" spans="1:9" s="2133" customFormat="1" ht="18" customHeight="1" thickBot="1" x14ac:dyDescent="0.3">
      <c r="A612" s="4"/>
      <c r="B612" s="2229" t="s">
        <v>0</v>
      </c>
      <c r="C612" s="2230" t="s">
        <v>1</v>
      </c>
      <c r="D612" s="2231" t="s">
        <v>5</v>
      </c>
      <c r="E612" s="2231" t="s">
        <v>152</v>
      </c>
      <c r="F612" s="2231" t="s">
        <v>2</v>
      </c>
      <c r="G612" s="2231" t="s">
        <v>298</v>
      </c>
      <c r="H612" s="2231" t="s">
        <v>116</v>
      </c>
      <c r="I612" s="2232" t="s">
        <v>117</v>
      </c>
    </row>
    <row r="613" spans="1:9" outlineLevel="1" x14ac:dyDescent="0.25">
      <c r="B613" s="2233" t="s">
        <v>3358</v>
      </c>
      <c r="C613" s="2234" t="s">
        <v>3359</v>
      </c>
      <c r="D613" s="2234" t="s">
        <v>4323</v>
      </c>
      <c r="E613" s="2235">
        <f>0.15</f>
        <v>0.15</v>
      </c>
      <c r="F613" s="2236" t="s">
        <v>380</v>
      </c>
      <c r="G613" s="2236">
        <v>3</v>
      </c>
      <c r="H613" s="2236" t="s">
        <v>4532</v>
      </c>
      <c r="I613" s="2237"/>
    </row>
    <row r="614" spans="1:9" outlineLevel="1" x14ac:dyDescent="0.25">
      <c r="B614" s="721" t="s">
        <v>3358</v>
      </c>
      <c r="C614" s="1683" t="s">
        <v>3359</v>
      </c>
      <c r="D614" s="1683" t="s">
        <v>4324</v>
      </c>
      <c r="E614" s="723"/>
      <c r="F614" s="722" t="s">
        <v>380</v>
      </c>
      <c r="G614" s="722">
        <v>3</v>
      </c>
      <c r="H614" s="2238" t="s">
        <v>3360</v>
      </c>
      <c r="I614" s="2239"/>
    </row>
    <row r="615" spans="1:9" outlineLevel="1" x14ac:dyDescent="0.25">
      <c r="B615" s="721" t="s">
        <v>3358</v>
      </c>
      <c r="C615" s="1683" t="s">
        <v>3359</v>
      </c>
      <c r="D615" s="1683" t="s">
        <v>4333</v>
      </c>
      <c r="E615" s="723">
        <f>0.15</f>
        <v>0.15</v>
      </c>
      <c r="F615" s="722" t="s">
        <v>380</v>
      </c>
      <c r="G615" s="722">
        <v>3</v>
      </c>
      <c r="H615" s="2238" t="s">
        <v>4533</v>
      </c>
      <c r="I615" s="2239"/>
    </row>
    <row r="616" spans="1:9" outlineLevel="1" x14ac:dyDescent="0.25">
      <c r="B616" s="721" t="s">
        <v>907</v>
      </c>
      <c r="C616" s="1683" t="s">
        <v>904</v>
      </c>
      <c r="D616" s="1683" t="s">
        <v>1844</v>
      </c>
      <c r="E616" s="723">
        <f>1.82483*10^6*ρ__^(0.5)*(ε__*T_K)^(-1.5)</f>
        <v>0.50517320931567189</v>
      </c>
      <c r="F616" s="722" t="s">
        <v>4815</v>
      </c>
      <c r="G616" s="722">
        <v>3</v>
      </c>
      <c r="H616" s="2238" t="s">
        <v>1150</v>
      </c>
      <c r="I616" s="2239"/>
    </row>
    <row r="617" spans="1:9" outlineLevel="1" x14ac:dyDescent="0.25">
      <c r="B617" s="721" t="s">
        <v>906</v>
      </c>
      <c r="C617" s="1683" t="s">
        <v>2906</v>
      </c>
      <c r="D617" s="1683" t="s">
        <v>941</v>
      </c>
      <c r="E617" s="723">
        <f>2727.586+0.6224107*T_K-466.9151*LN(T_K)-(52000.87/T_K)</f>
        <v>80.261801298291488</v>
      </c>
      <c r="F617" s="722" t="s">
        <v>4815</v>
      </c>
      <c r="G617" s="722">
        <v>3</v>
      </c>
      <c r="H617" s="2238" t="s">
        <v>1150</v>
      </c>
      <c r="I617" s="2239"/>
    </row>
    <row r="618" spans="1:9" ht="15" outlineLevel="1" x14ac:dyDescent="0.25">
      <c r="B618" s="721" t="s">
        <v>908</v>
      </c>
      <c r="C618" s="1683" t="s">
        <v>2907</v>
      </c>
      <c r="D618" s="1683" t="s">
        <v>905</v>
      </c>
      <c r="E618" s="723">
        <f>1-(T__-3.9863)^2*(T__+288.9414)/(508929.2*(T__+68.12963))+0.011445*EXP(-374.3/T__)</f>
        <v>0.99823363622515204</v>
      </c>
      <c r="F618" s="722" t="s">
        <v>4815</v>
      </c>
      <c r="G618" s="722">
        <v>3</v>
      </c>
      <c r="H618" s="2238" t="s">
        <v>1150</v>
      </c>
      <c r="I618" s="2239"/>
    </row>
    <row r="619" spans="1:9" outlineLevel="1" x14ac:dyDescent="0.25">
      <c r="B619" s="721" t="s">
        <v>3361</v>
      </c>
      <c r="C619" s="1683" t="s">
        <v>3312</v>
      </c>
      <c r="D619" s="1683" t="s">
        <v>3362</v>
      </c>
      <c r="E619" s="723">
        <v>0.78540775368648974</v>
      </c>
      <c r="F619" s="722" t="s">
        <v>4815</v>
      </c>
      <c r="G619" s="722">
        <v>3</v>
      </c>
      <c r="H619" s="2238" t="s">
        <v>1150</v>
      </c>
      <c r="I619" s="2239"/>
    </row>
    <row r="620" spans="1:9" outlineLevel="1" x14ac:dyDescent="0.25">
      <c r="B620" s="721" t="s">
        <v>3363</v>
      </c>
      <c r="C620" s="1683" t="s">
        <v>3314</v>
      </c>
      <c r="D620" s="1683" t="s">
        <v>3364</v>
      </c>
      <c r="E620" s="723">
        <v>0.3805228471391951</v>
      </c>
      <c r="F620" s="722" t="s">
        <v>4815</v>
      </c>
      <c r="G620" s="722">
        <v>3</v>
      </c>
      <c r="H620" s="2238" t="s">
        <v>1150</v>
      </c>
      <c r="I620" s="2239"/>
    </row>
    <row r="621" spans="1:9" ht="18.75" outlineLevel="1" thickBot="1" x14ac:dyDescent="0.3">
      <c r="B621" s="724" t="s">
        <v>4816</v>
      </c>
      <c r="C621" s="1684" t="s">
        <v>3316</v>
      </c>
      <c r="D621" s="1684" t="s">
        <v>4817</v>
      </c>
      <c r="E621" s="726">
        <v>0.3805228471391951</v>
      </c>
      <c r="F621" s="725" t="s">
        <v>4815</v>
      </c>
      <c r="G621" s="725">
        <v>3</v>
      </c>
      <c r="H621" s="2240" t="s">
        <v>1150</v>
      </c>
      <c r="I621" s="2241"/>
    </row>
    <row r="622" spans="1:9" s="2133" customFormat="1" ht="18" customHeight="1" thickBot="1" x14ac:dyDescent="0.3">
      <c r="A622" s="4"/>
      <c r="B622" s="4"/>
      <c r="C622" s="4"/>
      <c r="D622" s="4"/>
      <c r="E622" s="1934"/>
      <c r="F622" s="4"/>
      <c r="G622" s="4"/>
      <c r="H622" s="4"/>
      <c r="I622" s="4"/>
    </row>
    <row r="623" spans="1:9" s="2133" customFormat="1" ht="18" customHeight="1" thickBot="1" x14ac:dyDescent="0.3">
      <c r="A623" s="4"/>
      <c r="B623" s="113"/>
      <c r="C623" s="2228" t="s">
        <v>943</v>
      </c>
      <c r="D623" s="14" t="s">
        <v>299</v>
      </c>
      <c r="E623" s="14"/>
      <c r="F623" s="113"/>
      <c r="G623" s="113"/>
      <c r="H623" s="113"/>
      <c r="I623" s="113"/>
    </row>
    <row r="624" spans="1:9" s="2133" customFormat="1" ht="18" customHeight="1" thickBot="1" x14ac:dyDescent="0.3">
      <c r="A624" s="4"/>
      <c r="B624" s="2229" t="s">
        <v>0</v>
      </c>
      <c r="C624" s="2230" t="s">
        <v>1</v>
      </c>
      <c r="D624" s="2231" t="s">
        <v>5</v>
      </c>
      <c r="E624" s="2231" t="s">
        <v>152</v>
      </c>
      <c r="F624" s="2231" t="s">
        <v>2</v>
      </c>
      <c r="G624" s="2231" t="s">
        <v>298</v>
      </c>
      <c r="H624" s="2231" t="s">
        <v>116</v>
      </c>
      <c r="I624" s="2232" t="s">
        <v>117</v>
      </c>
    </row>
    <row r="625" spans="1:9" outlineLevel="1" x14ac:dyDescent="0.25">
      <c r="B625" s="2233" t="s">
        <v>944</v>
      </c>
      <c r="C625" s="2234" t="s">
        <v>2826</v>
      </c>
      <c r="D625" s="2234" t="s">
        <v>3129</v>
      </c>
      <c r="E625" s="2235">
        <f>K_W_param*EXP(d_Hdiss_H2O/R__*(1/T_st_K-1/T_K))</f>
        <v>6.7545152316627035E-15</v>
      </c>
      <c r="F625" s="2236" t="s">
        <v>4815</v>
      </c>
      <c r="G625" s="2236">
        <v>3</v>
      </c>
      <c r="H625" s="2236" t="s">
        <v>1150</v>
      </c>
      <c r="I625" s="2237"/>
    </row>
    <row r="626" spans="1:9" ht="30" outlineLevel="1" x14ac:dyDescent="0.25">
      <c r="B626" s="721" t="s">
        <v>945</v>
      </c>
      <c r="C626" s="1683" t="s">
        <v>2827</v>
      </c>
      <c r="D626" s="1683" t="s">
        <v>1845</v>
      </c>
      <c r="E626" s="723">
        <f>10^(-(3404.7/T_K-14.8435+T_K*0.03279))</f>
        <v>4.1392419480646479E-7</v>
      </c>
      <c r="F626" s="722" t="s">
        <v>4815</v>
      </c>
      <c r="G626" s="722">
        <v>3</v>
      </c>
      <c r="H626" s="2238" t="s">
        <v>1150</v>
      </c>
      <c r="I626" s="2239"/>
    </row>
    <row r="627" spans="1:9" ht="30" outlineLevel="1" x14ac:dyDescent="0.25">
      <c r="B627" s="721" t="s">
        <v>946</v>
      </c>
      <c r="C627" s="1683" t="s">
        <v>2828</v>
      </c>
      <c r="D627" s="1683" t="s">
        <v>1846</v>
      </c>
      <c r="E627" s="723">
        <f>10^(-(2902.4/T_K-6.498+T_K*0.02379))</f>
        <v>4.1997949506593592E-11</v>
      </c>
      <c r="F627" s="722" t="s">
        <v>4815</v>
      </c>
      <c r="G627" s="722">
        <v>3</v>
      </c>
      <c r="H627" s="2238" t="s">
        <v>1150</v>
      </c>
      <c r="I627" s="2239"/>
    </row>
    <row r="628" spans="1:9" ht="30" outlineLevel="1" x14ac:dyDescent="0.25">
      <c r="B628" s="721" t="s">
        <v>947</v>
      </c>
      <c r="C628" s="1683" t="s">
        <v>2829</v>
      </c>
      <c r="D628" s="1683" t="s">
        <v>1847</v>
      </c>
      <c r="E628" s="723">
        <f>10^(-(799.3/T_K-4.5535+T_K*0.01349))</f>
        <v>7.4527408036475567E-3</v>
      </c>
      <c r="F628" s="722" t="s">
        <v>4815</v>
      </c>
      <c r="G628" s="722">
        <v>3</v>
      </c>
      <c r="H628" s="2238" t="s">
        <v>1150</v>
      </c>
      <c r="I628" s="2239"/>
    </row>
    <row r="629" spans="1:9" ht="30" outlineLevel="1" x14ac:dyDescent="0.25">
      <c r="B629" s="721" t="s">
        <v>948</v>
      </c>
      <c r="C629" s="1683" t="s">
        <v>2830</v>
      </c>
      <c r="D629" s="1683" t="s">
        <v>1848</v>
      </c>
      <c r="E629" s="723">
        <f>10^(-(1979.5/T_K-5.3541+T_K*0.01984))</f>
        <v>6.1022250881622208E-8</v>
      </c>
      <c r="F629" s="722" t="s">
        <v>4815</v>
      </c>
      <c r="G629" s="722">
        <v>3</v>
      </c>
      <c r="H629" s="2238" t="s">
        <v>1150</v>
      </c>
      <c r="I629" s="2239"/>
    </row>
    <row r="630" spans="1:9" ht="30" outlineLevel="1" x14ac:dyDescent="0.25">
      <c r="B630" s="721" t="s">
        <v>949</v>
      </c>
      <c r="C630" s="1683" t="s">
        <v>2831</v>
      </c>
      <c r="D630" s="1683" t="s">
        <v>3130</v>
      </c>
      <c r="E630" s="723">
        <f>K_P3_param*EXP(d_Hdiss_PO4_3/R__*(1/T_st_K-1/T_K))</f>
        <v>3.7853629756273106E-13</v>
      </c>
      <c r="F630" s="722" t="s">
        <v>4815</v>
      </c>
      <c r="G630" s="722">
        <v>3</v>
      </c>
      <c r="H630" s="2238" t="s">
        <v>1150</v>
      </c>
      <c r="I630" s="2239"/>
    </row>
    <row r="631" spans="1:9" outlineLevel="1" x14ac:dyDescent="0.25">
      <c r="B631" s="721" t="s">
        <v>2857</v>
      </c>
      <c r="C631" s="1683" t="s">
        <v>2832</v>
      </c>
      <c r="D631" s="1683" t="s">
        <v>1849</v>
      </c>
      <c r="E631" s="723">
        <f>10^(-(1170.5/T_K-3.165+T_K*0.0134))</f>
        <v>1.7536929986944336E-5</v>
      </c>
      <c r="F631" s="722" t="s">
        <v>4815</v>
      </c>
      <c r="G631" s="722">
        <v>3</v>
      </c>
      <c r="H631" s="2238" t="s">
        <v>1150</v>
      </c>
      <c r="I631" s="2239"/>
    </row>
    <row r="632" spans="1:9" outlineLevel="1" x14ac:dyDescent="0.25">
      <c r="B632" s="721" t="s">
        <v>2858</v>
      </c>
      <c r="C632" s="1683" t="s">
        <v>2842</v>
      </c>
      <c r="D632" s="1683" t="s">
        <v>3131</v>
      </c>
      <c r="E632" s="723">
        <f>K_NO2_param*EXP(d_Hdiss_NO2/R__*(1/T_st_K-1/T_K))</f>
        <v>4.0484694649180739E-4</v>
      </c>
      <c r="F632" s="722" t="s">
        <v>1989</v>
      </c>
      <c r="G632" s="722">
        <v>3</v>
      </c>
      <c r="H632" s="2238" t="s">
        <v>1150</v>
      </c>
      <c r="I632" s="2239"/>
    </row>
    <row r="633" spans="1:9" ht="18.75" outlineLevel="1" thickBot="1" x14ac:dyDescent="0.3">
      <c r="B633" s="724" t="s">
        <v>2848</v>
      </c>
      <c r="C633" s="1684" t="s">
        <v>2833</v>
      </c>
      <c r="D633" s="1684" t="s">
        <v>1055</v>
      </c>
      <c r="E633" s="726">
        <f>10^(-(2835.8/T_K-0.6322+0.00123*T_K))</f>
        <v>3.9635061259550542E-10</v>
      </c>
      <c r="F633" s="725" t="s">
        <v>4815</v>
      </c>
      <c r="G633" s="725">
        <v>3</v>
      </c>
      <c r="H633" s="2240" t="s">
        <v>1150</v>
      </c>
      <c r="I633" s="2241"/>
    </row>
    <row r="634" spans="1:9" s="2133" customFormat="1" ht="18" customHeight="1" thickBot="1" x14ac:dyDescent="0.3">
      <c r="A634" s="4"/>
      <c r="B634" s="4"/>
      <c r="C634" s="4"/>
      <c r="D634" s="4"/>
      <c r="E634" s="1934"/>
      <c r="F634" s="4"/>
      <c r="G634" s="4"/>
      <c r="H634" s="4"/>
      <c r="I634" s="4"/>
    </row>
    <row r="635" spans="1:9" s="2133" customFormat="1" ht="18" customHeight="1" thickBot="1" x14ac:dyDescent="0.3">
      <c r="A635" s="4"/>
      <c r="B635" s="113"/>
      <c r="C635" s="2228" t="s">
        <v>981</v>
      </c>
      <c r="D635" s="14" t="s">
        <v>299</v>
      </c>
      <c r="E635" s="14"/>
      <c r="F635" s="113"/>
      <c r="G635" s="113"/>
      <c r="H635" s="113"/>
      <c r="I635" s="113"/>
    </row>
    <row r="636" spans="1:9" s="2133" customFormat="1" ht="18" customHeight="1" thickBot="1" x14ac:dyDescent="0.3">
      <c r="A636" s="4"/>
      <c r="B636" s="2229" t="s">
        <v>0</v>
      </c>
      <c r="C636" s="2230" t="s">
        <v>1</v>
      </c>
      <c r="D636" s="2231" t="s">
        <v>5</v>
      </c>
      <c r="E636" s="2231" t="s">
        <v>152</v>
      </c>
      <c r="F636" s="2231" t="s">
        <v>2</v>
      </c>
      <c r="G636" s="2231" t="s">
        <v>298</v>
      </c>
      <c r="H636" s="2231" t="s">
        <v>116</v>
      </c>
      <c r="I636" s="2232" t="s">
        <v>117</v>
      </c>
    </row>
    <row r="637" spans="1:9" outlineLevel="1" x14ac:dyDescent="0.25">
      <c r="B637" s="2233" t="s">
        <v>343</v>
      </c>
      <c r="C637" s="2234" t="s">
        <v>2834</v>
      </c>
      <c r="D637" s="2234" t="s">
        <v>4818</v>
      </c>
      <c r="E637" s="2235">
        <f>K_W_T/f_mono^2</f>
        <v>8.7379753867564399E-15</v>
      </c>
      <c r="F637" s="2236" t="s">
        <v>4815</v>
      </c>
      <c r="G637" s="2236">
        <v>3</v>
      </c>
      <c r="H637" s="2236" t="s">
        <v>1150</v>
      </c>
      <c r="I637" s="2237"/>
    </row>
    <row r="638" spans="1:9" outlineLevel="1" x14ac:dyDescent="0.25">
      <c r="B638" s="721" t="s">
        <v>344</v>
      </c>
      <c r="C638" s="1683" t="s">
        <v>2835</v>
      </c>
      <c r="D638" s="1683" t="s">
        <v>3365</v>
      </c>
      <c r="E638" s="723">
        <f>K_C1_T/f_mono^2</f>
        <v>5.3547283589610541E-7</v>
      </c>
      <c r="F638" s="722" t="s">
        <v>4815</v>
      </c>
      <c r="G638" s="722">
        <v>3</v>
      </c>
      <c r="H638" s="2238" t="s">
        <v>1150</v>
      </c>
      <c r="I638" s="2239"/>
    </row>
    <row r="639" spans="1:9" outlineLevel="1" x14ac:dyDescent="0.25">
      <c r="B639" s="721" t="s">
        <v>345</v>
      </c>
      <c r="C639" s="1683" t="s">
        <v>2836</v>
      </c>
      <c r="D639" s="1683" t="s">
        <v>3366</v>
      </c>
      <c r="E639" s="723">
        <f>K_C2_T/f_di</f>
        <v>7.0284789816384129E-11</v>
      </c>
      <c r="F639" s="722" t="s">
        <v>4815</v>
      </c>
      <c r="G639" s="722">
        <v>3</v>
      </c>
      <c r="H639" s="2238" t="s">
        <v>1150</v>
      </c>
      <c r="I639" s="2239"/>
    </row>
    <row r="640" spans="1:9" outlineLevel="1" x14ac:dyDescent="0.25">
      <c r="B640" s="721" t="s">
        <v>355</v>
      </c>
      <c r="C640" s="1683" t="s">
        <v>2837</v>
      </c>
      <c r="D640" s="1683" t="s">
        <v>4819</v>
      </c>
      <c r="E640" s="723">
        <f>K_P1_T/f_mono^2</f>
        <v>9.6412345627529591E-3</v>
      </c>
      <c r="F640" s="722" t="s">
        <v>4815</v>
      </c>
      <c r="G640" s="722">
        <v>3</v>
      </c>
      <c r="H640" s="2238" t="s">
        <v>1150</v>
      </c>
      <c r="I640" s="2239"/>
    </row>
    <row r="641" spans="1:9" outlineLevel="1" x14ac:dyDescent="0.25">
      <c r="B641" s="721" t="s">
        <v>356</v>
      </c>
      <c r="C641" s="1683" t="s">
        <v>2838</v>
      </c>
      <c r="D641" s="1683" t="s">
        <v>4820</v>
      </c>
      <c r="E641" s="723">
        <f>K_P2_T/f_di</f>
        <v>1.0212251140175602E-7</v>
      </c>
      <c r="F641" s="722" t="s">
        <v>4815</v>
      </c>
      <c r="G641" s="722">
        <v>3</v>
      </c>
      <c r="H641" s="2238" t="s">
        <v>1150</v>
      </c>
      <c r="I641" s="2239"/>
    </row>
    <row r="642" spans="1:9" outlineLevel="1" x14ac:dyDescent="0.25">
      <c r="B642" s="721" t="s">
        <v>357</v>
      </c>
      <c r="C642" s="1683" t="s">
        <v>2839</v>
      </c>
      <c r="D642" s="1683" t="s">
        <v>4821</v>
      </c>
      <c r="E642" s="723">
        <f>K_P3_T/(f_mono*f_tri)*f_di</f>
        <v>8.1951597738298681E-13</v>
      </c>
      <c r="F642" s="722" t="s">
        <v>4815</v>
      </c>
      <c r="G642" s="722">
        <v>3</v>
      </c>
      <c r="H642" s="2238" t="s">
        <v>1150</v>
      </c>
      <c r="I642" s="2239"/>
    </row>
    <row r="643" spans="1:9" outlineLevel="1" x14ac:dyDescent="0.25">
      <c r="B643" s="721" t="s">
        <v>2843</v>
      </c>
      <c r="C643" s="1683" t="s">
        <v>2840</v>
      </c>
      <c r="D643" s="1683" t="s">
        <v>4822</v>
      </c>
      <c r="E643" s="723">
        <f>K_Ac_T/f_mono^2</f>
        <v>2.268664105854261E-5</v>
      </c>
      <c r="F643" s="722" t="s">
        <v>4815</v>
      </c>
      <c r="G643" s="722">
        <v>3</v>
      </c>
      <c r="H643" s="2238" t="s">
        <v>1150</v>
      </c>
      <c r="I643" s="2239"/>
    </row>
    <row r="644" spans="1:9" outlineLevel="1" x14ac:dyDescent="0.25">
      <c r="B644" s="721" t="s">
        <v>2845</v>
      </c>
      <c r="C644" s="1683" t="s">
        <v>2908</v>
      </c>
      <c r="D644" s="1683" t="s">
        <v>4823</v>
      </c>
      <c r="E644" s="723">
        <f>K_NO2_T/f_mono^2</f>
        <v>5.2373005797162243E-4</v>
      </c>
      <c r="F644" s="722" t="s">
        <v>1989</v>
      </c>
      <c r="G644" s="722">
        <v>3</v>
      </c>
      <c r="H644" s="2238" t="s">
        <v>1150</v>
      </c>
      <c r="I644" s="2239"/>
    </row>
    <row r="645" spans="1:9" ht="18.75" outlineLevel="1" thickBot="1" x14ac:dyDescent="0.3">
      <c r="B645" s="724" t="s">
        <v>2847</v>
      </c>
      <c r="C645" s="1684" t="s">
        <v>2841</v>
      </c>
      <c r="D645" s="1684" t="s">
        <v>2848</v>
      </c>
      <c r="E645" s="726">
        <f>K_NH3_T</f>
        <v>3.9635061259550542E-10</v>
      </c>
      <c r="F645" s="725" t="s">
        <v>4815</v>
      </c>
      <c r="G645" s="725">
        <v>3</v>
      </c>
      <c r="H645" s="2240" t="s">
        <v>1150</v>
      </c>
      <c r="I645" s="2241"/>
    </row>
    <row r="646" spans="1:9" s="2133" customFormat="1" ht="18" customHeight="1" thickBot="1" x14ac:dyDescent="0.3">
      <c r="A646" s="4"/>
      <c r="B646" s="4"/>
      <c r="C646" s="4"/>
      <c r="D646" s="4"/>
      <c r="E646" s="1934"/>
      <c r="F646" s="4"/>
      <c r="G646" s="4"/>
      <c r="H646" s="4"/>
      <c r="I646" s="4"/>
    </row>
    <row r="647" spans="1:9" s="2133" customFormat="1" ht="18" customHeight="1" thickBot="1" x14ac:dyDescent="0.3">
      <c r="A647" s="4"/>
      <c r="B647" s="113"/>
      <c r="C647" s="2228" t="s">
        <v>1316</v>
      </c>
      <c r="D647" s="14" t="s">
        <v>299</v>
      </c>
      <c r="E647" s="14"/>
      <c r="F647" s="113"/>
      <c r="G647" s="113"/>
      <c r="H647" s="113"/>
      <c r="I647" s="113"/>
    </row>
    <row r="648" spans="1:9" s="2133" customFormat="1" ht="18" customHeight="1" thickBot="1" x14ac:dyDescent="0.3">
      <c r="A648" s="4"/>
      <c r="B648" s="2229" t="s">
        <v>0</v>
      </c>
      <c r="C648" s="2230" t="s">
        <v>1</v>
      </c>
      <c r="D648" s="2231" t="s">
        <v>5</v>
      </c>
      <c r="E648" s="2231" t="s">
        <v>152</v>
      </c>
      <c r="F648" s="2231" t="s">
        <v>2</v>
      </c>
      <c r="G648" s="2231" t="s">
        <v>298</v>
      </c>
      <c r="H648" s="2231" t="s">
        <v>116</v>
      </c>
      <c r="I648" s="2232" t="s">
        <v>117</v>
      </c>
    </row>
    <row r="649" spans="1:9" outlineLevel="1" x14ac:dyDescent="0.25">
      <c r="B649" s="2233" t="s">
        <v>1326</v>
      </c>
      <c r="C649" s="2234" t="s">
        <v>2909</v>
      </c>
      <c r="D649" s="2234" t="s">
        <v>4824</v>
      </c>
      <c r="E649" s="2235">
        <f>K_sp_CaCO3_param/f_di</f>
        <v>7.4753798120141423E-7</v>
      </c>
      <c r="F649" s="2236" t="s">
        <v>4815</v>
      </c>
      <c r="G649" s="2236">
        <v>3</v>
      </c>
      <c r="H649" s="2236" t="s">
        <v>1150</v>
      </c>
      <c r="I649" s="2237"/>
    </row>
    <row r="650" spans="1:9" ht="18.75" outlineLevel="1" x14ac:dyDescent="0.25">
      <c r="B650" s="721" t="s">
        <v>1323</v>
      </c>
      <c r="C650" s="1683" t="s">
        <v>2910</v>
      </c>
      <c r="D650" s="1683" t="s">
        <v>4825</v>
      </c>
      <c r="E650" s="723">
        <f>K_sp_STR_param/(f_di^(1/3)*f_mono^(1/3)*f_tri^(1/3))</f>
        <v>1.2614964468037164E-13</v>
      </c>
      <c r="F650" s="722" t="s">
        <v>4815</v>
      </c>
      <c r="G650" s="722">
        <v>3</v>
      </c>
      <c r="H650" s="2238" t="s">
        <v>1150</v>
      </c>
      <c r="I650" s="2239"/>
    </row>
    <row r="651" spans="1:9" ht="18.75" outlineLevel="1" x14ac:dyDescent="0.25">
      <c r="B651" s="721" t="s">
        <v>1324</v>
      </c>
      <c r="C651" s="1683" t="s">
        <v>2911</v>
      </c>
      <c r="D651" s="1683" t="s">
        <v>4826</v>
      </c>
      <c r="E651" s="723">
        <f>K_sp_Vivi_param/(f_di^(3/5)*f_tri^(2/5))</f>
        <v>2.1649600914352904E-36</v>
      </c>
      <c r="F651" s="722" t="s">
        <v>4815</v>
      </c>
      <c r="G651" s="722">
        <v>3</v>
      </c>
      <c r="H651" s="2238" t="s">
        <v>1150</v>
      </c>
      <c r="I651" s="2239"/>
    </row>
    <row r="652" spans="1:9" ht="18.75" outlineLevel="1" x14ac:dyDescent="0.25">
      <c r="B652" s="721" t="s">
        <v>1325</v>
      </c>
      <c r="C652" s="1683" t="s">
        <v>2912</v>
      </c>
      <c r="D652" s="1683" t="s">
        <v>4827</v>
      </c>
      <c r="E652" s="723">
        <f>K_sp_ACP_param/(f_di^(3/5)*f_tri^(2/5))</f>
        <v>7.5067144345969344E-26</v>
      </c>
      <c r="F652" s="722" t="s">
        <v>4815</v>
      </c>
      <c r="G652" s="722">
        <v>3</v>
      </c>
      <c r="H652" s="2238" t="s">
        <v>1150</v>
      </c>
      <c r="I652" s="2239"/>
    </row>
    <row r="653" spans="1:9" ht="19.5" outlineLevel="1" thickBot="1" x14ac:dyDescent="0.3">
      <c r="B653" s="724" t="s">
        <v>3818</v>
      </c>
      <c r="C653" s="1684" t="s">
        <v>3819</v>
      </c>
      <c r="D653" s="1684" t="s">
        <v>4828</v>
      </c>
      <c r="E653" s="726">
        <f>K_sp_BSH_param/(f_di^(1/2)*f_di^(1/2))</f>
        <v>4.2037149897892104E-7</v>
      </c>
      <c r="F653" s="725" t="s">
        <v>4815</v>
      </c>
      <c r="G653" s="725">
        <v>3</v>
      </c>
      <c r="H653" s="2240" t="s">
        <v>1150</v>
      </c>
      <c r="I653" s="2241"/>
    </row>
    <row r="654" spans="1:9" s="2133" customFormat="1" ht="18" customHeight="1" thickBot="1" x14ac:dyDescent="0.3">
      <c r="A654" s="4"/>
      <c r="B654" s="4"/>
      <c r="C654" s="4"/>
      <c r="D654" s="4"/>
      <c r="E654" s="1934"/>
      <c r="F654" s="4"/>
      <c r="G654" s="4"/>
      <c r="H654" s="4"/>
      <c r="I654" s="4"/>
    </row>
    <row r="655" spans="1:9" customFormat="1" ht="15.75" thickBot="1" x14ac:dyDescent="0.3">
      <c r="B655" s="104"/>
      <c r="C655" s="2242" t="s">
        <v>394</v>
      </c>
      <c r="D655" s="14" t="s">
        <v>299</v>
      </c>
      <c r="E655" s="104"/>
      <c r="F655" s="104"/>
      <c r="G655" s="149"/>
      <c r="H655" s="116"/>
    </row>
    <row r="656" spans="1:9" s="2133" customFormat="1" ht="18" customHeight="1" thickBot="1" x14ac:dyDescent="0.3">
      <c r="A656" s="4"/>
      <c r="B656" s="2229" t="s">
        <v>0</v>
      </c>
      <c r="C656" s="2230" t="s">
        <v>1</v>
      </c>
      <c r="D656" s="2231" t="s">
        <v>5</v>
      </c>
      <c r="E656" s="2231" t="s">
        <v>152</v>
      </c>
      <c r="F656" s="2231" t="s">
        <v>2</v>
      </c>
      <c r="G656" s="2231" t="s">
        <v>298</v>
      </c>
      <c r="H656" s="2231" t="s">
        <v>116</v>
      </c>
      <c r="I656" s="2232" t="s">
        <v>117</v>
      </c>
    </row>
    <row r="657" spans="2:9" outlineLevel="1" x14ac:dyDescent="0.25">
      <c r="B657" s="2233" t="s">
        <v>4829</v>
      </c>
      <c r="C657" s="2234" t="s">
        <v>396</v>
      </c>
      <c r="D657" s="2234" t="s">
        <v>4830</v>
      </c>
      <c r="E657" s="2235"/>
      <c r="F657" s="2236" t="s">
        <v>383</v>
      </c>
      <c r="G657" s="2236">
        <v>2</v>
      </c>
      <c r="H657" s="2236" t="s">
        <v>1150</v>
      </c>
      <c r="I657" s="2237" t="s">
        <v>4831</v>
      </c>
    </row>
    <row r="658" spans="2:9" outlineLevel="1" x14ac:dyDescent="0.25">
      <c r="B658" s="721" t="s">
        <v>4832</v>
      </c>
      <c r="C658" s="1683" t="s">
        <v>398</v>
      </c>
      <c r="D658" s="1683" t="s">
        <v>4833</v>
      </c>
      <c r="E658" s="723"/>
      <c r="F658" s="722" t="s">
        <v>383</v>
      </c>
      <c r="G658" s="722">
        <v>2</v>
      </c>
      <c r="H658" s="2238" t="s">
        <v>1150</v>
      </c>
      <c r="I658" s="2239" t="s">
        <v>4834</v>
      </c>
    </row>
    <row r="659" spans="2:9" outlineLevel="1" x14ac:dyDescent="0.25">
      <c r="B659" s="721" t="s">
        <v>4835</v>
      </c>
      <c r="C659" s="1683" t="s">
        <v>400</v>
      </c>
      <c r="D659" s="1683" t="s">
        <v>4836</v>
      </c>
      <c r="E659" s="723"/>
      <c r="F659" s="722" t="s">
        <v>383</v>
      </c>
      <c r="G659" s="722">
        <v>2</v>
      </c>
      <c r="H659" s="2238" t="s">
        <v>1150</v>
      </c>
      <c r="I659" s="2239" t="s">
        <v>4837</v>
      </c>
    </row>
    <row r="660" spans="2:9" outlineLevel="1" x14ac:dyDescent="0.25">
      <c r="B660" s="721" t="s">
        <v>4838</v>
      </c>
      <c r="C660" s="1683" t="s">
        <v>402</v>
      </c>
      <c r="D660" s="1683" t="s">
        <v>4839</v>
      </c>
      <c r="E660" s="723"/>
      <c r="F660" s="722" t="s">
        <v>383</v>
      </c>
      <c r="G660" s="722">
        <v>2</v>
      </c>
      <c r="H660" s="2238" t="s">
        <v>1150</v>
      </c>
      <c r="I660" s="2239" t="s">
        <v>4840</v>
      </c>
    </row>
    <row r="661" spans="2:9" ht="18.75" outlineLevel="1" x14ac:dyDescent="0.25">
      <c r="B661" s="721" t="s">
        <v>4841</v>
      </c>
      <c r="C661" s="1683" t="s">
        <v>2196</v>
      </c>
      <c r="D661" s="1683" t="s">
        <v>2434</v>
      </c>
      <c r="E661" s="723"/>
      <c r="F661" s="722" t="s">
        <v>383</v>
      </c>
      <c r="G661" s="722">
        <v>2</v>
      </c>
      <c r="H661" s="2238" t="s">
        <v>1150</v>
      </c>
      <c r="I661" s="2239"/>
    </row>
    <row r="662" spans="2:9" ht="18.75" outlineLevel="1" x14ac:dyDescent="0.25">
      <c r="B662" s="721" t="s">
        <v>4842</v>
      </c>
      <c r="C662" s="1683" t="s">
        <v>2198</v>
      </c>
      <c r="D662" s="1683" t="s">
        <v>2435</v>
      </c>
      <c r="E662" s="723"/>
      <c r="F662" s="722" t="s">
        <v>383</v>
      </c>
      <c r="G662" s="722">
        <v>2</v>
      </c>
      <c r="H662" s="2238" t="s">
        <v>1150</v>
      </c>
      <c r="I662" s="2239"/>
    </row>
    <row r="663" spans="2:9" outlineLevel="1" x14ac:dyDescent="0.25">
      <c r="B663" s="721" t="s">
        <v>4843</v>
      </c>
      <c r="C663" s="1683" t="s">
        <v>421</v>
      </c>
      <c r="D663" s="1683" t="s">
        <v>4844</v>
      </c>
      <c r="E663" s="723"/>
      <c r="F663" s="722" t="s">
        <v>383</v>
      </c>
      <c r="G663" s="722">
        <v>2</v>
      </c>
      <c r="H663" s="2238" t="s">
        <v>1150</v>
      </c>
      <c r="I663" s="2239" t="s">
        <v>4845</v>
      </c>
    </row>
    <row r="664" spans="2:9" ht="18.75" outlineLevel="1" x14ac:dyDescent="0.25">
      <c r="B664" s="721" t="s">
        <v>4846</v>
      </c>
      <c r="C664" s="1683" t="s">
        <v>404</v>
      </c>
      <c r="D664" s="1683" t="s">
        <v>2433</v>
      </c>
      <c r="E664" s="723"/>
      <c r="F664" s="722" t="s">
        <v>383</v>
      </c>
      <c r="G664" s="722">
        <v>2</v>
      </c>
      <c r="H664" s="2238" t="s">
        <v>1150</v>
      </c>
      <c r="I664" s="2239" t="s">
        <v>4847</v>
      </c>
    </row>
    <row r="665" spans="2:9" ht="18.75" outlineLevel="1" x14ac:dyDescent="0.25">
      <c r="B665" s="721" t="s">
        <v>4848</v>
      </c>
      <c r="C665" s="1683" t="s">
        <v>406</v>
      </c>
      <c r="D665" s="1683" t="s">
        <v>2438</v>
      </c>
      <c r="E665" s="723"/>
      <c r="F665" s="722" t="s">
        <v>383</v>
      </c>
      <c r="G665" s="722">
        <v>2</v>
      </c>
      <c r="H665" s="2238" t="s">
        <v>1150</v>
      </c>
      <c r="I665" s="2239" t="s">
        <v>4849</v>
      </c>
    </row>
    <row r="666" spans="2:9" ht="18.75" outlineLevel="1" x14ac:dyDescent="0.25">
      <c r="B666" s="721" t="s">
        <v>4850</v>
      </c>
      <c r="C666" s="1683" t="s">
        <v>408</v>
      </c>
      <c r="D666" s="1683" t="s">
        <v>2439</v>
      </c>
      <c r="E666" s="723"/>
      <c r="F666" s="722" t="s">
        <v>383</v>
      </c>
      <c r="G666" s="722">
        <v>2</v>
      </c>
      <c r="H666" s="2238" t="s">
        <v>1150</v>
      </c>
      <c r="I666" s="2239" t="s">
        <v>4851</v>
      </c>
    </row>
    <row r="667" spans="2:9" ht="18.75" outlineLevel="1" x14ac:dyDescent="0.25">
      <c r="B667" s="721" t="s">
        <v>4852</v>
      </c>
      <c r="C667" s="1683" t="s">
        <v>410</v>
      </c>
      <c r="D667" s="1683" t="s">
        <v>427</v>
      </c>
      <c r="E667" s="723"/>
      <c r="F667" s="722" t="s">
        <v>383</v>
      </c>
      <c r="G667" s="722">
        <v>2</v>
      </c>
      <c r="H667" s="2238" t="s">
        <v>1150</v>
      </c>
      <c r="I667" s="2239" t="s">
        <v>4853</v>
      </c>
    </row>
    <row r="668" spans="2:9" ht="18.75" outlineLevel="1" x14ac:dyDescent="0.25">
      <c r="B668" s="721" t="s">
        <v>4854</v>
      </c>
      <c r="C668" s="1683" t="s">
        <v>412</v>
      </c>
      <c r="D668" s="1683" t="s">
        <v>428</v>
      </c>
      <c r="E668" s="723"/>
      <c r="F668" s="722" t="s">
        <v>383</v>
      </c>
      <c r="G668" s="722">
        <v>2</v>
      </c>
      <c r="H668" s="2238" t="s">
        <v>1150</v>
      </c>
      <c r="I668" s="2239" t="s">
        <v>4855</v>
      </c>
    </row>
    <row r="669" spans="2:9" ht="18.75" outlineLevel="1" x14ac:dyDescent="0.25">
      <c r="B669" s="721" t="s">
        <v>4856</v>
      </c>
      <c r="C669" s="1683" t="s">
        <v>414</v>
      </c>
      <c r="D669" s="1683" t="s">
        <v>429</v>
      </c>
      <c r="E669" s="723"/>
      <c r="F669" s="722" t="s">
        <v>383</v>
      </c>
      <c r="G669" s="722">
        <v>2</v>
      </c>
      <c r="H669" s="2238" t="s">
        <v>1150</v>
      </c>
      <c r="I669" s="2239" t="s">
        <v>4857</v>
      </c>
    </row>
    <row r="670" spans="2:9" ht="18.75" outlineLevel="1" x14ac:dyDescent="0.25">
      <c r="B670" s="721" t="s">
        <v>4858</v>
      </c>
      <c r="C670" s="1683" t="s">
        <v>416</v>
      </c>
      <c r="D670" s="1683" t="s">
        <v>430</v>
      </c>
      <c r="E670" s="723"/>
      <c r="F670" s="722" t="s">
        <v>383</v>
      </c>
      <c r="G670" s="722">
        <v>2</v>
      </c>
      <c r="H670" s="2238" t="s">
        <v>1150</v>
      </c>
      <c r="I670" s="2239" t="s">
        <v>4859</v>
      </c>
    </row>
    <row r="671" spans="2:9" ht="18.75" outlineLevel="1" x14ac:dyDescent="0.25">
      <c r="B671" s="721" t="s">
        <v>417</v>
      </c>
      <c r="C671" s="1683" t="s">
        <v>418</v>
      </c>
      <c r="D671" s="1683" t="s">
        <v>2861</v>
      </c>
      <c r="E671" s="723"/>
      <c r="F671" s="722" t="s">
        <v>383</v>
      </c>
      <c r="G671" s="722">
        <v>2</v>
      </c>
      <c r="H671" s="2238" t="s">
        <v>1150</v>
      </c>
      <c r="I671" s="2239" t="s">
        <v>4860</v>
      </c>
    </row>
    <row r="672" spans="2:9" ht="18.75" outlineLevel="1" x14ac:dyDescent="0.25">
      <c r="B672" s="721" t="s">
        <v>4861</v>
      </c>
      <c r="C672" s="1683" t="s">
        <v>420</v>
      </c>
      <c r="D672" s="1683" t="s">
        <v>2862</v>
      </c>
      <c r="E672" s="723"/>
      <c r="F672" s="722" t="s">
        <v>383</v>
      </c>
      <c r="G672" s="722">
        <v>2</v>
      </c>
      <c r="H672" s="2238" t="s">
        <v>1150</v>
      </c>
      <c r="I672" s="2239" t="s">
        <v>4862</v>
      </c>
    </row>
    <row r="673" spans="1:9" outlineLevel="1" x14ac:dyDescent="0.25">
      <c r="B673" s="721" t="s">
        <v>4863</v>
      </c>
      <c r="C673" s="1683" t="s">
        <v>995</v>
      </c>
      <c r="D673" s="1683" t="s">
        <v>991</v>
      </c>
      <c r="E673" s="723"/>
      <c r="F673" s="722" t="s">
        <v>383</v>
      </c>
      <c r="G673" s="722">
        <v>2</v>
      </c>
      <c r="H673" s="2238" t="s">
        <v>1150</v>
      </c>
      <c r="I673" s="2239" t="s">
        <v>4864</v>
      </c>
    </row>
    <row r="674" spans="1:9" outlineLevel="1" x14ac:dyDescent="0.25">
      <c r="B674" s="721" t="s">
        <v>4865</v>
      </c>
      <c r="C674" s="1683" t="s">
        <v>996</v>
      </c>
      <c r="D674" s="1683" t="s">
        <v>992</v>
      </c>
      <c r="E674" s="723"/>
      <c r="F674" s="722" t="s">
        <v>383</v>
      </c>
      <c r="G674" s="722">
        <v>2</v>
      </c>
      <c r="H674" s="2238" t="s">
        <v>1150</v>
      </c>
      <c r="I674" s="2239" t="s">
        <v>4866</v>
      </c>
    </row>
    <row r="675" spans="1:9" outlineLevel="1" x14ac:dyDescent="0.25">
      <c r="B675" s="721" t="s">
        <v>4867</v>
      </c>
      <c r="C675" s="1683" t="s">
        <v>1051</v>
      </c>
      <c r="D675" s="1683" t="s">
        <v>1161</v>
      </c>
      <c r="E675" s="723"/>
      <c r="F675" s="722" t="s">
        <v>383</v>
      </c>
      <c r="G675" s="722">
        <v>2</v>
      </c>
      <c r="H675" s="2238" t="s">
        <v>1150</v>
      </c>
      <c r="I675" s="2239" t="s">
        <v>4868</v>
      </c>
    </row>
    <row r="676" spans="1:9" outlineLevel="1" x14ac:dyDescent="0.25">
      <c r="B676" s="721" t="s">
        <v>4869</v>
      </c>
      <c r="C676" s="1683" t="s">
        <v>1044</v>
      </c>
      <c r="D676" s="1683" t="s">
        <v>1101</v>
      </c>
      <c r="E676" s="723"/>
      <c r="F676" s="722" t="s">
        <v>383</v>
      </c>
      <c r="G676" s="722">
        <v>2</v>
      </c>
      <c r="H676" s="2238" t="s">
        <v>1150</v>
      </c>
      <c r="I676" s="2239" t="s">
        <v>4870</v>
      </c>
    </row>
    <row r="677" spans="1:9" outlineLevel="1" x14ac:dyDescent="0.25">
      <c r="B677" s="721" t="s">
        <v>4871</v>
      </c>
      <c r="C677" s="1683" t="s">
        <v>1053</v>
      </c>
      <c r="D677" s="1683" t="s">
        <v>1162</v>
      </c>
      <c r="E677" s="723"/>
      <c r="F677" s="722" t="s">
        <v>383</v>
      </c>
      <c r="G677" s="722">
        <v>2</v>
      </c>
      <c r="H677" s="2238" t="s">
        <v>1150</v>
      </c>
      <c r="I677" s="2239" t="s">
        <v>4872</v>
      </c>
    </row>
    <row r="678" spans="1:9" ht="18.75" outlineLevel="1" thickBot="1" x14ac:dyDescent="0.3">
      <c r="B678" s="724" t="s">
        <v>4873</v>
      </c>
      <c r="C678" s="1684" t="s">
        <v>1049</v>
      </c>
      <c r="D678" s="1684" t="s">
        <v>1598</v>
      </c>
      <c r="E678" s="726"/>
      <c r="F678" s="725" t="s">
        <v>383</v>
      </c>
      <c r="G678" s="725">
        <v>2</v>
      </c>
      <c r="H678" s="2240" t="s">
        <v>1150</v>
      </c>
      <c r="I678" s="2241" t="s">
        <v>4874</v>
      </c>
    </row>
    <row r="679" spans="1:9" s="2133" customFormat="1" ht="18" customHeight="1" thickBot="1" x14ac:dyDescent="0.3">
      <c r="A679" s="4"/>
      <c r="B679" s="4"/>
      <c r="C679" s="4"/>
      <c r="D679" s="4"/>
      <c r="E679" s="1934"/>
      <c r="F679" s="4"/>
      <c r="G679" s="4"/>
      <c r="H679" s="4"/>
      <c r="I679" s="4"/>
    </row>
    <row r="680" spans="1:9" s="2133" customFormat="1" ht="18" customHeight="1" thickBot="1" x14ac:dyDescent="0.3">
      <c r="A680" s="4"/>
      <c r="B680" s="113"/>
      <c r="C680" s="2228" t="s">
        <v>393</v>
      </c>
      <c r="D680" s="14" t="s">
        <v>299</v>
      </c>
      <c r="E680" s="14"/>
      <c r="F680" s="113"/>
      <c r="G680" s="113"/>
      <c r="H680" s="113"/>
      <c r="I680" s="113"/>
    </row>
    <row r="681" spans="1:9" s="2133" customFormat="1" ht="18" customHeight="1" thickBot="1" x14ac:dyDescent="0.3">
      <c r="A681" s="4"/>
      <c r="B681" s="2229" t="s">
        <v>0</v>
      </c>
      <c r="C681" s="2230" t="s">
        <v>1</v>
      </c>
      <c r="D681" s="2231" t="s">
        <v>5</v>
      </c>
      <c r="E681" s="2231" t="s">
        <v>152</v>
      </c>
      <c r="F681" s="2231" t="s">
        <v>2</v>
      </c>
      <c r="G681" s="2231" t="s">
        <v>298</v>
      </c>
      <c r="H681" s="2231" t="s">
        <v>116</v>
      </c>
      <c r="I681" s="2232" t="s">
        <v>117</v>
      </c>
    </row>
    <row r="682" spans="1:9" ht="18.75" outlineLevel="1" x14ac:dyDescent="0.25">
      <c r="B682" s="2233" t="s">
        <v>894</v>
      </c>
      <c r="C682" s="2234" t="s">
        <v>895</v>
      </c>
      <c r="D682" s="2234" t="s">
        <v>1877</v>
      </c>
      <c r="E682" s="2235">
        <f>conc_Hp_Ieq*K_P2/(conc_Hp_Ieq^3+conc_Hp_Ieq^2*K_P1+K_P2*conc_Hp_Ieq*K_P1+K_P2*K_P1*K_P3)*K_P1*S_PO4/(A_MP*1000)</f>
        <v>2.5493518636920041E-8</v>
      </c>
      <c r="F682" s="2236" t="s">
        <v>383</v>
      </c>
      <c r="G682" s="2236">
        <v>3</v>
      </c>
      <c r="H682" s="2236" t="s">
        <v>1150</v>
      </c>
      <c r="I682" s="2237"/>
    </row>
    <row r="683" spans="1:9" ht="18.75" outlineLevel="1" x14ac:dyDescent="0.25">
      <c r="B683" s="721" t="s">
        <v>896</v>
      </c>
      <c r="C683" s="1683" t="s">
        <v>897</v>
      </c>
      <c r="D683" s="1683" t="s">
        <v>1878</v>
      </c>
      <c r="E683" s="723">
        <f>conc_Hp_Ieq^2*K_P1*S_PO4/(A_MP*1000)/(conc_Hp_Ieq^3+conc_Hp_Ieq^2*K_P1+K_P2*conc_Hp_Ieq*K_P1+K_P2*K_P1*K_P3)</f>
        <v>1.6010694300937341E-5</v>
      </c>
      <c r="F683" s="722" t="s">
        <v>383</v>
      </c>
      <c r="G683" s="722">
        <v>3</v>
      </c>
      <c r="H683" s="2238" t="s">
        <v>1150</v>
      </c>
      <c r="I683" s="2239"/>
    </row>
    <row r="684" spans="1:9" ht="18.75" outlineLevel="1" x14ac:dyDescent="0.25">
      <c r="B684" s="721" t="s">
        <v>898</v>
      </c>
      <c r="C684" s="1683" t="s">
        <v>899</v>
      </c>
      <c r="D684" s="1683" t="s">
        <v>2859</v>
      </c>
      <c r="E684" s="723">
        <f>S_VFA/(4*A_MO*1000)*K_Ac/(conc_Hp_Ieq+K_Ac)</f>
        <v>4.0829449054993815E-8</v>
      </c>
      <c r="F684" s="722" t="s">
        <v>383</v>
      </c>
      <c r="G684" s="722">
        <v>3</v>
      </c>
      <c r="H684" s="2238" t="s">
        <v>1150</v>
      </c>
      <c r="I684" s="2239"/>
    </row>
    <row r="685" spans="1:9" ht="18.75" outlineLevel="1" x14ac:dyDescent="0.25">
      <c r="B685" s="721" t="s">
        <v>2369</v>
      </c>
      <c r="C685" s="1683" t="s">
        <v>2370</v>
      </c>
      <c r="D685" s="1683" t="s">
        <v>2860</v>
      </c>
      <c r="E685" s="723">
        <f>K_NO2*S_NO2/(A_MN*1000)/(conc_Hp_Ieq+K_NO2)</f>
        <v>6.3605297319967442E-6</v>
      </c>
      <c r="F685" s="722" t="s">
        <v>383</v>
      </c>
      <c r="G685" s="722">
        <v>3</v>
      </c>
      <c r="H685" s="2238" t="s">
        <v>1150</v>
      </c>
      <c r="I685" s="2239"/>
    </row>
    <row r="686" spans="1:9" ht="37.5" outlineLevel="1" x14ac:dyDescent="0.25">
      <c r="B686" s="721" t="s">
        <v>1280</v>
      </c>
      <c r="C686" s="1683" t="s">
        <v>393</v>
      </c>
      <c r="D686" s="1683" t="s">
        <v>2371</v>
      </c>
      <c r="E686" s="723">
        <f>(3*conc_PO43m_I+2*conc_HPO42m_I)-2*conc_HPO42m_Ieq+conc_H2PO4m_I-conc_H2PO4m_Ieq+conc_OHm_I+conc_NO2m_I-conc_NO2m_Ieq+conc_NH3_I+2*conc_CO32m_I+conc_HCO3m_I+conc_Acm_I-conc_Acm_Ieq-conc_Hp_I</f>
        <v>5.5299706224952441E-3</v>
      </c>
      <c r="F686" s="722" t="s">
        <v>1879</v>
      </c>
      <c r="G686" s="722">
        <v>4</v>
      </c>
      <c r="H686" s="2238" t="s">
        <v>1150</v>
      </c>
      <c r="I686" s="2239"/>
    </row>
    <row r="687" spans="1:9" s="2133" customFormat="1" ht="18" customHeight="1" thickBot="1" x14ac:dyDescent="0.3">
      <c r="A687" s="4"/>
      <c r="B687" s="4"/>
      <c r="C687" s="4"/>
      <c r="D687" s="4"/>
      <c r="E687" s="1934"/>
      <c r="F687" s="4"/>
      <c r="G687" s="4"/>
      <c r="H687" s="4"/>
      <c r="I687" s="4"/>
    </row>
    <row r="688" spans="1:9" s="2133" customFormat="1" ht="18" customHeight="1" thickBot="1" x14ac:dyDescent="0.3">
      <c r="A688" s="4"/>
      <c r="B688" s="113"/>
      <c r="C688" s="2228" t="s">
        <v>4875</v>
      </c>
      <c r="D688" s="14" t="s">
        <v>299</v>
      </c>
      <c r="E688" s="14"/>
      <c r="F688" s="113"/>
      <c r="G688" s="113"/>
      <c r="H688" s="113"/>
      <c r="I688" s="113"/>
    </row>
    <row r="689" spans="1:9" s="2133" customFormat="1" ht="18" customHeight="1" thickBot="1" x14ac:dyDescent="0.3">
      <c r="A689" s="4"/>
      <c r="B689" s="2243" t="s">
        <v>0</v>
      </c>
      <c r="C689" s="2244" t="s">
        <v>1</v>
      </c>
      <c r="D689" s="2245" t="s">
        <v>5</v>
      </c>
      <c r="E689" s="2245" t="s">
        <v>152</v>
      </c>
      <c r="F689" s="2245" t="s">
        <v>2</v>
      </c>
      <c r="G689" s="2245" t="s">
        <v>298</v>
      </c>
      <c r="H689" s="2245" t="s">
        <v>116</v>
      </c>
      <c r="I689" s="2246" t="s">
        <v>117</v>
      </c>
    </row>
    <row r="690" spans="1:9" outlineLevel="1" x14ac:dyDescent="0.25">
      <c r="B690" s="2233" t="s">
        <v>3107</v>
      </c>
      <c r="C690" s="2234" t="s">
        <v>3132</v>
      </c>
      <c r="D690" s="2247" t="s">
        <v>3133</v>
      </c>
      <c r="E690" s="2248">
        <f>k_LaGCO2_bub*(S_GCO2_bub_sat-conc_H2CO3_I*M_MEQ_GCO2*c_L_m3)</f>
        <v>2861.6873452767227</v>
      </c>
      <c r="F690" s="2236" t="s">
        <v>1313</v>
      </c>
      <c r="G690" s="2236">
        <v>1</v>
      </c>
      <c r="H690" s="2236"/>
      <c r="I690" s="2237"/>
    </row>
    <row r="691" spans="1:9" outlineLevel="1" x14ac:dyDescent="0.25">
      <c r="B691" s="2249" t="s">
        <v>3111</v>
      </c>
      <c r="C691" s="2250" t="s">
        <v>3134</v>
      </c>
      <c r="D691" s="2251" t="s">
        <v>3135</v>
      </c>
      <c r="E691" s="2252">
        <f>k_LaGNH3_bub*(S_GNH3_bub_sat-conc_NH3_I*M_MEQ_GNH3*c_L_m3)</f>
        <v>0</v>
      </c>
      <c r="F691" s="2238" t="s">
        <v>1313</v>
      </c>
      <c r="G691" s="2238">
        <v>1</v>
      </c>
      <c r="H691" s="2238"/>
      <c r="I691" s="2239"/>
    </row>
    <row r="692" spans="1:9" outlineLevel="1" x14ac:dyDescent="0.25">
      <c r="B692" s="2249" t="s">
        <v>3096</v>
      </c>
      <c r="C692" s="2250" t="s">
        <v>3136</v>
      </c>
      <c r="D692" s="2251" t="s">
        <v>3137</v>
      </c>
      <c r="E692" s="2252">
        <f>k_LaGCO2_sur*(S_GCO2_sur_sat-conc_H2CO3_I*M_MEQ_GCO2*c_L_m3)</f>
        <v>85.864791591722664</v>
      </c>
      <c r="F692" s="2238" t="s">
        <v>1313</v>
      </c>
      <c r="G692" s="2238">
        <v>1</v>
      </c>
      <c r="H692" s="2238"/>
      <c r="I692" s="2239"/>
    </row>
    <row r="693" spans="1:9" ht="18.75" outlineLevel="1" thickBot="1" x14ac:dyDescent="0.3">
      <c r="B693" s="2253" t="s">
        <v>3104</v>
      </c>
      <c r="C693" s="2254" t="s">
        <v>3138</v>
      </c>
      <c r="D693" s="2255" t="s">
        <v>3139</v>
      </c>
      <c r="E693" s="2256">
        <f>k_LaGNH3_sur*(S_GNH3_sur_sat-conc_NH3_I*M_MEQ_GNH3*c_L_m3)</f>
        <v>0</v>
      </c>
      <c r="F693" s="2240" t="s">
        <v>1313</v>
      </c>
      <c r="G693" s="2240">
        <v>1</v>
      </c>
      <c r="H693" s="2240"/>
      <c r="I693" s="2241"/>
    </row>
    <row r="694" spans="1:9" s="2133" customFormat="1" ht="18" customHeight="1" thickBot="1" x14ac:dyDescent="0.3">
      <c r="A694" s="4"/>
      <c r="B694" s="4"/>
      <c r="C694" s="4"/>
      <c r="D694" s="4"/>
      <c r="E694" s="1934"/>
      <c r="F694" s="4"/>
      <c r="G694" s="4"/>
      <c r="H694" s="4"/>
      <c r="I694" s="4"/>
    </row>
    <row r="695" spans="1:9" s="2133" customFormat="1" ht="18" customHeight="1" thickBot="1" x14ac:dyDescent="0.3">
      <c r="A695" s="4"/>
      <c r="B695" s="113"/>
      <c r="C695" s="2228" t="s">
        <v>442</v>
      </c>
      <c r="D695" s="14" t="s">
        <v>299</v>
      </c>
      <c r="E695" s="14"/>
      <c r="F695" s="113"/>
      <c r="G695" s="113"/>
      <c r="H695" s="113"/>
      <c r="I695" s="113"/>
    </row>
    <row r="696" spans="1:9" s="2133" customFormat="1" ht="18" customHeight="1" thickBot="1" x14ac:dyDescent="0.3">
      <c r="A696" s="4"/>
      <c r="B696" s="2229" t="s">
        <v>0</v>
      </c>
      <c r="C696" s="2230" t="s">
        <v>1</v>
      </c>
      <c r="D696" s="2231" t="s">
        <v>5</v>
      </c>
      <c r="E696" s="2231" t="s">
        <v>152</v>
      </c>
      <c r="F696" s="2231" t="s">
        <v>2</v>
      </c>
      <c r="G696" s="2231" t="s">
        <v>298</v>
      </c>
      <c r="H696" s="2231" t="s">
        <v>116</v>
      </c>
      <c r="I696" s="2232" t="s">
        <v>117</v>
      </c>
    </row>
    <row r="697" spans="1:9" outlineLevel="1" x14ac:dyDescent="0.25">
      <c r="B697" s="2257" t="s">
        <v>3509</v>
      </c>
      <c r="C697" s="2258" t="s">
        <v>3514</v>
      </c>
      <c r="D697" s="2258" t="s">
        <v>3519</v>
      </c>
      <c r="E697" s="2259">
        <f>f_kL_GN2*(D_GN2_25/D_GO2_25)^0.5*k_L_GO2_bub</f>
        <v>11.827508281675817</v>
      </c>
      <c r="F697" s="2258" t="s">
        <v>3140</v>
      </c>
      <c r="G697" s="2258">
        <v>2</v>
      </c>
      <c r="H697" s="2260"/>
      <c r="I697" s="2261"/>
    </row>
    <row r="698" spans="1:9" outlineLevel="1" x14ac:dyDescent="0.25">
      <c r="B698" s="2262" t="s">
        <v>3510</v>
      </c>
      <c r="C698" s="2263" t="s">
        <v>3515</v>
      </c>
      <c r="D698" s="2263" t="s">
        <v>3520</v>
      </c>
      <c r="E698" s="2264">
        <f>f_kL_GCO2*(D_GCO2_25/D_GO2_25)^0.5*k_L_GO2_bub</f>
        <v>11.5508031163023</v>
      </c>
      <c r="F698" s="2263" t="s">
        <v>3140</v>
      </c>
      <c r="G698" s="2263">
        <v>2</v>
      </c>
      <c r="H698" s="2265"/>
      <c r="I698" s="2266"/>
    </row>
    <row r="699" spans="1:9" outlineLevel="1" x14ac:dyDescent="0.25">
      <c r="B699" s="2262" t="s">
        <v>3511</v>
      </c>
      <c r="C699" s="2263" t="s">
        <v>3516</v>
      </c>
      <c r="D699" s="2263" t="s">
        <v>3521</v>
      </c>
      <c r="E699" s="2264">
        <f>f_kL_GCH4*(D_GCH4_25/D_GO2_25)^0.5*k_L_GO2_bub</f>
        <v>10.976486395405258</v>
      </c>
      <c r="F699" s="2263" t="s">
        <v>3140</v>
      </c>
      <c r="G699" s="2263">
        <v>2</v>
      </c>
      <c r="H699" s="2265"/>
      <c r="I699" s="2266"/>
    </row>
    <row r="700" spans="1:9" outlineLevel="1" x14ac:dyDescent="0.25">
      <c r="B700" s="2262" t="s">
        <v>3512</v>
      </c>
      <c r="C700" s="2263" t="s">
        <v>3517</v>
      </c>
      <c r="D700" s="2263" t="s">
        <v>3522</v>
      </c>
      <c r="E700" s="2264">
        <f>f_kL_GH2*(D_GH2_25/D_GO2_25)^0.5*k_L_GO2_bub</f>
        <v>19.07552353373622</v>
      </c>
      <c r="F700" s="2263" t="s">
        <v>3140</v>
      </c>
      <c r="G700" s="2263">
        <v>2</v>
      </c>
      <c r="H700" s="2265"/>
      <c r="I700" s="2266"/>
    </row>
    <row r="701" spans="1:9" outlineLevel="1" x14ac:dyDescent="0.25">
      <c r="B701" s="2262" t="s">
        <v>3513</v>
      </c>
      <c r="C701" s="2263" t="s">
        <v>3518</v>
      </c>
      <c r="D701" s="2263" t="s">
        <v>3523</v>
      </c>
      <c r="E701" s="2264">
        <f>f_kL_GNH3*(D_GNH3_25/D_GO2_25)^0.5*k_L_GO2_bub</f>
        <v>1.1001798895970079</v>
      </c>
      <c r="F701" s="2263" t="s">
        <v>3140</v>
      </c>
      <c r="G701" s="2263">
        <v>2</v>
      </c>
      <c r="H701" s="2265"/>
      <c r="I701" s="2266"/>
    </row>
    <row r="702" spans="1:9" outlineLevel="1" x14ac:dyDescent="0.25">
      <c r="B702" s="2267" t="s">
        <v>3524</v>
      </c>
      <c r="C702" s="1661" t="s">
        <v>3529</v>
      </c>
      <c r="D702" s="1661" t="s">
        <v>3534</v>
      </c>
      <c r="E702" s="1571">
        <f>f_kL_GN2*(D_GN2_25/D_GO2_25)^0.5*k_L_GO2_sur</f>
        <v>6.9145433031335548</v>
      </c>
      <c r="F702" s="1661" t="s">
        <v>3140</v>
      </c>
      <c r="G702" s="1661">
        <v>2</v>
      </c>
      <c r="H702" s="463"/>
      <c r="I702" s="673"/>
    </row>
    <row r="703" spans="1:9" outlineLevel="1" x14ac:dyDescent="0.25">
      <c r="B703" s="2262" t="s">
        <v>3525</v>
      </c>
      <c r="C703" s="2263" t="s">
        <v>3530</v>
      </c>
      <c r="D703" s="2263" t="s">
        <v>3535</v>
      </c>
      <c r="E703" s="2264">
        <f>f_kL_GCO2*(D_GCO2_25/D_GO2_25)^0.5*k_L_GO2_sur</f>
        <v>6.7527772064536524</v>
      </c>
      <c r="F703" s="2263" t="s">
        <v>3140</v>
      </c>
      <c r="G703" s="2263">
        <v>2</v>
      </c>
      <c r="H703" s="2265"/>
      <c r="I703" s="2266"/>
    </row>
    <row r="704" spans="1:9" outlineLevel="1" x14ac:dyDescent="0.25">
      <c r="B704" s="2262" t="s">
        <v>3526</v>
      </c>
      <c r="C704" s="2263" t="s">
        <v>3531</v>
      </c>
      <c r="D704" s="2263" t="s">
        <v>3536</v>
      </c>
      <c r="E704" s="2264">
        <f>f_kL_GCH4*(D_GCH4_25/D_GO2_25)^0.5*k_L_GO2_sur</f>
        <v>6.4170228157753817</v>
      </c>
      <c r="F704" s="2263" t="s">
        <v>3140</v>
      </c>
      <c r="G704" s="2263">
        <v>2</v>
      </c>
      <c r="H704" s="2265"/>
      <c r="I704" s="2266"/>
    </row>
    <row r="705" spans="1:9" outlineLevel="1" x14ac:dyDescent="0.25">
      <c r="B705" s="2262" t="s">
        <v>3527</v>
      </c>
      <c r="C705" s="2263" t="s">
        <v>3532</v>
      </c>
      <c r="D705" s="2263" t="s">
        <v>3537</v>
      </c>
      <c r="E705" s="2264">
        <f>f_kL_GH2*(D_GH2_25/D_GO2_25)^0.5*k_L_GO2_sur</f>
        <v>11.151844527415021</v>
      </c>
      <c r="F705" s="2263" t="s">
        <v>3140</v>
      </c>
      <c r="G705" s="2263">
        <v>2</v>
      </c>
      <c r="H705" s="2265"/>
      <c r="I705" s="2266"/>
    </row>
    <row r="706" spans="1:9" ht="18.75" outlineLevel="1" thickBot="1" x14ac:dyDescent="0.3">
      <c r="B706" s="2268" t="s">
        <v>3528</v>
      </c>
      <c r="C706" s="2269" t="s">
        <v>3533</v>
      </c>
      <c r="D706" s="1682" t="s">
        <v>3538</v>
      </c>
      <c r="E706" s="2270">
        <f>f_kL_GNH3*(D_GNH3_25/D_GO2_25)^0.5*k_L_GO2_sur</f>
        <v>0.64318208930286602</v>
      </c>
      <c r="F706" s="1682" t="s">
        <v>3140</v>
      </c>
      <c r="G706" s="1682">
        <v>2</v>
      </c>
      <c r="H706" s="2271"/>
      <c r="I706" s="665"/>
    </row>
    <row r="707" spans="1:9" s="2133" customFormat="1" ht="18" customHeight="1" thickBot="1" x14ac:dyDescent="0.3">
      <c r="A707" s="4"/>
      <c r="B707" s="4"/>
      <c r="C707" s="4"/>
      <c r="D707" s="4"/>
      <c r="E707" s="1934"/>
      <c r="F707" s="4"/>
      <c r="G707" s="4"/>
      <c r="H707" s="4"/>
      <c r="I707" s="4"/>
    </row>
    <row r="708" spans="1:9" s="2133" customFormat="1" ht="18" customHeight="1" thickBot="1" x14ac:dyDescent="0.3">
      <c r="A708" s="4"/>
      <c r="B708" s="113"/>
      <c r="C708" s="2228" t="s">
        <v>4061</v>
      </c>
      <c r="D708" s="14" t="s">
        <v>299</v>
      </c>
      <c r="E708" s="14"/>
      <c r="F708" s="113"/>
      <c r="G708" s="113"/>
      <c r="H708" s="113"/>
      <c r="I708" s="113"/>
    </row>
    <row r="709" spans="1:9" s="2133" customFormat="1" ht="18" customHeight="1" thickBot="1" x14ac:dyDescent="0.3">
      <c r="A709" s="4"/>
      <c r="B709" s="2229" t="s">
        <v>0</v>
      </c>
      <c r="C709" s="2230" t="s">
        <v>1</v>
      </c>
      <c r="D709" s="2231" t="s">
        <v>5</v>
      </c>
      <c r="E709" s="2231" t="s">
        <v>152</v>
      </c>
      <c r="F709" s="2231" t="s">
        <v>2</v>
      </c>
      <c r="G709" s="2231" t="s">
        <v>298</v>
      </c>
      <c r="H709" s="2231" t="s">
        <v>116</v>
      </c>
      <c r="I709" s="2232" t="s">
        <v>117</v>
      </c>
    </row>
    <row r="710" spans="1:9" s="2133" customFormat="1" outlineLevel="1" x14ac:dyDescent="0.25">
      <c r="A710" s="4"/>
      <c r="B710" s="1090" t="s">
        <v>4484</v>
      </c>
      <c r="C710" s="2140" t="s">
        <v>4485</v>
      </c>
      <c r="D710" s="2147" t="s">
        <v>4486</v>
      </c>
      <c r="E710" s="2148">
        <f>q_ALPHA*((1-f_O2_max_ALPHA)*S_O2/(K_O2_ALPHA+S_O2)+f_O2_max_ALPHA)</f>
        <v>1.4512195121951217E-3</v>
      </c>
      <c r="F710" s="2136" t="s">
        <v>4052</v>
      </c>
      <c r="G710" s="2137">
        <v>4</v>
      </c>
      <c r="H710" s="2140"/>
      <c r="I710" s="1780"/>
    </row>
    <row r="711" spans="1:9" s="2133" customFormat="1" outlineLevel="1" x14ac:dyDescent="0.25">
      <c r="A711" s="4"/>
      <c r="B711" s="1090" t="s">
        <v>4062</v>
      </c>
      <c r="C711" s="2272" t="s">
        <v>4487</v>
      </c>
      <c r="D711" s="2147" t="s">
        <v>4063</v>
      </c>
      <c r="E711" s="2149">
        <f>1+c_oeffdamp_ALPHA*(S_ALPHA/S_ALPHA_sat)^p_owdamp_ALPHA</f>
        <v>1.0266520317554391</v>
      </c>
      <c r="F711" s="2136" t="s">
        <v>1989</v>
      </c>
      <c r="G711" s="2137">
        <v>2</v>
      </c>
      <c r="H711" s="2140"/>
      <c r="I711" s="1780"/>
    </row>
    <row r="712" spans="1:9" s="2133" customFormat="1" outlineLevel="1" x14ac:dyDescent="0.25">
      <c r="A712" s="4"/>
      <c r="B712" s="1090" t="s">
        <v>4488</v>
      </c>
      <c r="C712" s="2272" t="s">
        <v>4489</v>
      </c>
      <c r="D712" s="2147" t="s">
        <v>4490</v>
      </c>
      <c r="E712" s="2149">
        <f>(S_ALPHA-1)*EXP(s_lh_diff_α*h_diff)+1</f>
        <v>0.87571117407946009</v>
      </c>
      <c r="F712" s="2136" t="s">
        <v>1989</v>
      </c>
      <c r="G712" s="2137">
        <v>2</v>
      </c>
      <c r="H712" s="2140" t="s">
        <v>4498</v>
      </c>
      <c r="I712" s="1780"/>
    </row>
    <row r="713" spans="1:9" s="2133" customFormat="1" outlineLevel="1" x14ac:dyDescent="0.25">
      <c r="A713" s="4"/>
      <c r="B713" s="1090" t="s">
        <v>4064</v>
      </c>
      <c r="C713" s="2272" t="s">
        <v>4491</v>
      </c>
      <c r="D713" s="2147" t="s">
        <v>4065</v>
      </c>
      <c r="E713" s="2149">
        <f>EXP(s_lTSS_α_def*X_TSS/c_g_kg)</f>
        <v>0.83940376062496358</v>
      </c>
      <c r="F713" s="2136" t="s">
        <v>1989</v>
      </c>
      <c r="G713" s="2137">
        <v>2</v>
      </c>
      <c r="H713" s="2140" t="s">
        <v>4499</v>
      </c>
      <c r="I713" s="1780"/>
    </row>
    <row r="714" spans="1:9" s="2133" customFormat="1" outlineLevel="1" x14ac:dyDescent="0.25">
      <c r="A714" s="4"/>
      <c r="B714" s="1090" t="s">
        <v>4064</v>
      </c>
      <c r="C714" s="2272" t="s">
        <v>4491</v>
      </c>
      <c r="D714" s="2147" t="s">
        <v>4066</v>
      </c>
      <c r="E714" s="2149">
        <f>EXP(s_lTSS_α_coarse*X_TSS/c_g_kg)</f>
        <v>0.88984413099653981</v>
      </c>
      <c r="F714" s="2136" t="s">
        <v>1989</v>
      </c>
      <c r="G714" s="2137">
        <v>2</v>
      </c>
      <c r="H714" s="2140" t="s">
        <v>4067</v>
      </c>
      <c r="I714" s="1780"/>
    </row>
    <row r="715" spans="1:9" s="2133" customFormat="1" outlineLevel="1" x14ac:dyDescent="0.25">
      <c r="A715" s="4"/>
      <c r="B715" s="1090" t="s">
        <v>4064</v>
      </c>
      <c r="C715" s="2272" t="s">
        <v>4491</v>
      </c>
      <c r="D715" s="2147" t="s">
        <v>4066</v>
      </c>
      <c r="E715" s="2149">
        <f>EXP(s_lTSS_α_coarse*X_TSS/c_g_kg)</f>
        <v>0.88984413099653981</v>
      </c>
      <c r="F715" s="2136" t="s">
        <v>1989</v>
      </c>
      <c r="G715" s="2137">
        <v>2</v>
      </c>
      <c r="H715" s="2140" t="s">
        <v>4068</v>
      </c>
      <c r="I715" s="1780"/>
    </row>
    <row r="716" spans="1:9" s="2133" customFormat="1" outlineLevel="1" x14ac:dyDescent="0.25">
      <c r="A716" s="4"/>
      <c r="B716" s="1090" t="s">
        <v>4064</v>
      </c>
      <c r="C716" s="2272" t="s">
        <v>4491</v>
      </c>
      <c r="D716" s="2147" t="s">
        <v>4069</v>
      </c>
      <c r="E716" s="2149">
        <f>c_oefflead_TSS_α_mech*(X_TSS/c_g_kg)^2+c_oefflin_TSS_α_mech*X_TSS/c_g_kg+c_onstTSS_α_mech</f>
        <v>0.92935218789478835</v>
      </c>
      <c r="F716" s="2136" t="s">
        <v>1989</v>
      </c>
      <c r="G716" s="2137">
        <v>2</v>
      </c>
      <c r="H716" s="2140" t="s">
        <v>4070</v>
      </c>
      <c r="I716" s="1780"/>
    </row>
    <row r="717" spans="1:9" s="2133" customFormat="1" outlineLevel="1" x14ac:dyDescent="0.25">
      <c r="A717" s="4"/>
      <c r="B717" s="2273" t="s">
        <v>4071</v>
      </c>
      <c r="C717" s="2150" t="s">
        <v>4072</v>
      </c>
      <c r="D717" s="2151" t="s">
        <v>4492</v>
      </c>
      <c r="E717" s="2152">
        <f>S_ALPHA/c_orrh_diff_α*c_orrTSS_α</f>
        <v>0.47926975552603718</v>
      </c>
      <c r="F717" s="2138" t="s">
        <v>1989</v>
      </c>
      <c r="G717" s="2139">
        <v>2</v>
      </c>
      <c r="H717" s="2141" t="s">
        <v>4498</v>
      </c>
      <c r="I717" s="2274"/>
    </row>
    <row r="718" spans="1:9" s="2133" customFormat="1" ht="18.75" outlineLevel="1" thickBot="1" x14ac:dyDescent="0.3">
      <c r="A718" s="4"/>
      <c r="B718" s="2275" t="s">
        <v>4071</v>
      </c>
      <c r="C718" s="2276" t="s">
        <v>4072</v>
      </c>
      <c r="D718" s="2277" t="s">
        <v>4497</v>
      </c>
      <c r="E718" s="2278">
        <f>S_ALPHA*c_orrTSS_α</f>
        <v>0.41970188031248179</v>
      </c>
      <c r="F718" s="2279" t="s">
        <v>1989</v>
      </c>
      <c r="G718" s="2280">
        <v>2</v>
      </c>
      <c r="H718" s="2276" t="s">
        <v>4070</v>
      </c>
      <c r="I718" s="2281"/>
    </row>
    <row r="719" spans="1:9" s="2133" customFormat="1" ht="15.75" thickBot="1" x14ac:dyDescent="0.3">
      <c r="B719" s="2282"/>
      <c r="C719" s="135"/>
      <c r="D719" s="2283"/>
      <c r="E719" s="2284"/>
      <c r="F719" s="2285"/>
      <c r="G719" s="140"/>
      <c r="H719" s="135"/>
      <c r="I719" s="2286"/>
    </row>
    <row r="720" spans="1:9" ht="15.75" thickBot="1" x14ac:dyDescent="0.3">
      <c r="C720" s="2287" t="s">
        <v>279</v>
      </c>
      <c r="D720" s="14" t="s">
        <v>1212</v>
      </c>
      <c r="E720" s="14"/>
    </row>
    <row r="721" spans="2:9" ht="15.75" thickBot="1" x14ac:dyDescent="0.3">
      <c r="B721" s="2288" t="s">
        <v>0</v>
      </c>
      <c r="C721" s="2289" t="s">
        <v>1</v>
      </c>
      <c r="D721" s="2290" t="s">
        <v>5</v>
      </c>
      <c r="E721" s="2290" t="s">
        <v>152</v>
      </c>
      <c r="F721" s="2290" t="s">
        <v>2</v>
      </c>
      <c r="G721" s="2290" t="s">
        <v>298</v>
      </c>
      <c r="H721" s="2290" t="s">
        <v>116</v>
      </c>
      <c r="I721" s="2291" t="s">
        <v>117</v>
      </c>
    </row>
    <row r="722" spans="2:9" outlineLevel="1" x14ac:dyDescent="0.25">
      <c r="B722" s="745" t="s">
        <v>1851</v>
      </c>
      <c r="C722" s="1661" t="s">
        <v>1213</v>
      </c>
      <c r="D722" s="1661" t="s">
        <v>3227</v>
      </c>
      <c r="E722" s="2292">
        <f>T__+T_STP_K</f>
        <v>293.14999999999998</v>
      </c>
      <c r="F722" s="463" t="s">
        <v>474</v>
      </c>
      <c r="G722" s="463">
        <v>1</v>
      </c>
      <c r="H722" s="463"/>
      <c r="I722" s="673"/>
    </row>
    <row r="723" spans="2:9" ht="18.75" outlineLevel="1" thickBot="1" x14ac:dyDescent="0.3">
      <c r="B723" s="2293" t="s">
        <v>284</v>
      </c>
      <c r="C723" s="2269" t="s">
        <v>1214</v>
      </c>
      <c r="D723" s="2269" t="s">
        <v>4732</v>
      </c>
      <c r="E723" s="2294">
        <f>(S_H-H_STP)/c_p_water</f>
        <v>20</v>
      </c>
      <c r="F723" s="2194" t="s">
        <v>1215</v>
      </c>
      <c r="G723" s="2194">
        <v>1</v>
      </c>
      <c r="H723" s="2194"/>
      <c r="I723" s="2198"/>
    </row>
    <row r="724" spans="2:9" s="2133" customFormat="1" ht="15.75" thickBot="1" x14ac:dyDescent="0.3">
      <c r="B724" s="2282"/>
      <c r="C724" s="135"/>
      <c r="D724" s="2283"/>
      <c r="E724" s="2284"/>
      <c r="F724" s="2285"/>
      <c r="G724" s="140"/>
      <c r="H724" s="135"/>
      <c r="I724" s="2286"/>
    </row>
    <row r="725" spans="2:9" ht="15.75" thickBot="1" x14ac:dyDescent="0.3">
      <c r="C725" s="2287" t="s">
        <v>4939</v>
      </c>
      <c r="D725" s="14" t="s">
        <v>299</v>
      </c>
      <c r="E725" s="14"/>
    </row>
    <row r="726" spans="2:9" ht="15.75" thickBot="1" x14ac:dyDescent="0.3">
      <c r="B726" s="2288" t="s">
        <v>0</v>
      </c>
      <c r="C726" s="2289" t="s">
        <v>1</v>
      </c>
      <c r="D726" s="2290" t="s">
        <v>5</v>
      </c>
      <c r="E726" s="2290" t="s">
        <v>152</v>
      </c>
      <c r="F726" s="2290" t="s">
        <v>2</v>
      </c>
      <c r="G726" s="2290" t="s">
        <v>298</v>
      </c>
      <c r="H726" s="2290" t="s">
        <v>116</v>
      </c>
      <c r="I726" s="2291" t="s">
        <v>117</v>
      </c>
    </row>
    <row r="727" spans="2:9" ht="99.75" outlineLevel="1" thickBot="1" x14ac:dyDescent="0.3">
      <c r="B727" s="2385" t="s">
        <v>4940</v>
      </c>
      <c r="C727" s="2386" t="s">
        <v>4941</v>
      </c>
      <c r="D727" s="2386" t="s">
        <v>5331</v>
      </c>
      <c r="E727" s="2387">
        <f>(+(-v_1_SO2*r_1)+(-v_4_SO2*r_4)+(-v_9_SO2*r_9)+(-v_16_SO2*r_16)+(-v_19_SO2*r_19)+(-v_22_SO2*r_22)+(-v_27_SO2*r_27)+(-v_37_SO2*r_37)+(-v_40_SO2*r_40)+(-v_52_SO2*r_52)+(-v_53_SO2*r_53)+(-v_54_SO2*r_54)+(-v_78_SO2*r_78)+(+E_EQN2_NO3*v_2_SN2*r_2)+(+E_EQN2_NO3*v_5_SN2*r_5)+(+E_EQN2_NO3*v_12_SN2*r_12)+(+E_EQN2_NO3*v_17_SN2*r_17)+(+E_EQN2_NO3*v_20_SN2*r_20)+(+E_EQN2_NO3*v_23_SN2*r_23)+(+E_EQN2_NO3*v_28_SN2*r_28)+(+E_EQN2_NO3*v_43_SN2*r_43))*D_eltaHbio</f>
        <v>5.9685028590932996</v>
      </c>
      <c r="F727" s="2388" t="s">
        <v>4942</v>
      </c>
      <c r="G727" s="2388">
        <v>2</v>
      </c>
      <c r="H727" s="2388" t="s">
        <v>4631</v>
      </c>
      <c r="I727" s="2389"/>
    </row>
    <row r="728" spans="2:9" s="2133" customFormat="1" ht="15.75" thickBot="1" x14ac:dyDescent="0.3">
      <c r="B728" s="2282"/>
      <c r="C728" s="135"/>
      <c r="D728" s="2283"/>
      <c r="E728" s="2284"/>
      <c r="F728" s="2285"/>
      <c r="G728" s="140"/>
      <c r="H728" s="135"/>
      <c r="I728" s="2286"/>
    </row>
    <row r="729" spans="2:9" ht="15.75" thickBot="1" x14ac:dyDescent="0.3">
      <c r="C729" s="2287" t="s">
        <v>4943</v>
      </c>
      <c r="D729" s="14" t="s">
        <v>299</v>
      </c>
      <c r="E729" s="14"/>
    </row>
    <row r="730" spans="2:9" ht="15.75" thickBot="1" x14ac:dyDescent="0.3">
      <c r="B730" s="2288" t="s">
        <v>0</v>
      </c>
      <c r="C730" s="2289" t="s">
        <v>1</v>
      </c>
      <c r="D730" s="2290" t="s">
        <v>5</v>
      </c>
      <c r="E730" s="2290" t="s">
        <v>152</v>
      </c>
      <c r="F730" s="2290" t="s">
        <v>2</v>
      </c>
      <c r="G730" s="2290" t="s">
        <v>298</v>
      </c>
      <c r="H730" s="2290" t="s">
        <v>116</v>
      </c>
      <c r="I730" s="2291" t="s">
        <v>117</v>
      </c>
    </row>
    <row r="731" spans="2:9" ht="15" outlineLevel="1" x14ac:dyDescent="0.25">
      <c r="B731" s="2390" t="s">
        <v>4944</v>
      </c>
      <c r="C731" s="2391" t="s">
        <v>5347</v>
      </c>
      <c r="D731" s="2391" t="s">
        <v>5330</v>
      </c>
      <c r="E731" s="2393">
        <f>((v_101_SCH4*r_101)+(v_102_SH2*r_102))</f>
        <v>-6.9349999999999995E-2</v>
      </c>
      <c r="F731" s="2393" t="s">
        <v>4945</v>
      </c>
      <c r="G731" s="2392" t="s">
        <v>4946</v>
      </c>
      <c r="H731" s="2392" t="s">
        <v>4631</v>
      </c>
      <c r="I731" s="2394"/>
    </row>
    <row r="732" spans="2:9" ht="30" outlineLevel="1" x14ac:dyDescent="0.25">
      <c r="B732" s="2380" t="s">
        <v>4947</v>
      </c>
      <c r="C732" s="2381" t="s">
        <v>5348</v>
      </c>
      <c r="D732" s="2381" t="s">
        <v>4948</v>
      </c>
      <c r="E732" s="2382">
        <f>-((v_1_SO2*r_1*-1)+(v_4_SO2*r_4*-1)+(v_9_SO2*r_9*-1)+(v_16_SO2*r_16*-1)+(v_19_SO2*r_19*-1)+(v_22_SO2*r_22*-1)+(v_27_SO2*r_27*-1)+(v_54_SO2*r_54*-1))</f>
        <v>-372.4839220066911</v>
      </c>
      <c r="F732" s="2382" t="s">
        <v>4945</v>
      </c>
      <c r="G732" s="2377" t="s">
        <v>4946</v>
      </c>
      <c r="H732" s="2377" t="s">
        <v>4631</v>
      </c>
      <c r="I732" s="2383"/>
    </row>
    <row r="733" spans="2:9" ht="180" outlineLevel="1" x14ac:dyDescent="0.25">
      <c r="B733" s="2380" t="s">
        <v>4949</v>
      </c>
      <c r="C733" s="2381" t="s">
        <v>5349</v>
      </c>
      <c r="D733" s="2381" t="s">
        <v>5329</v>
      </c>
      <c r="E733" s="2382">
        <f>-((v_3_SNO3*r_3*-E_EQNO3)+(v_6_SNO3*r_6*-E_EQNO3)+(v_13_SNO3*r_13*-E_EQNO3)+(v_18_SNO3*r_18*-E_EQNO3)+(v_21_SNO3*r_21*-E_EQNO3)+(v_24_SNO3*r_24*-E_EQNO3)+(v_29_SNO3*r_29*-E_EQNO3)+(v_69_SNO3*r_69*-E_EQNO3)+(v_2_SNO2*r_2*-E_EQNO2)+(v_3_SNO2*r_3*-E_EQNO2)+(v_5_SNO2*r_5*-E_EQNO2)+(v_6_SNO2*r_6*-E_EQNO2)+(v_12_SNO2*r_12*-E_EQNO2)+(v_13_SNO2*r_13*-E_EQNO2)+(v_17_SNO2*r_17*-E_EQNO2)+(v_18_SNO2*r_18*-E_EQNO2)+(v_20_SNO2*r_20*-E_EQNO2)+(v_21_SNO2*r_21*-E_EQNO2)+(v_23_SNO2*r_23*-E_EQNO2)+(v_24_SNO2*r_24*-E_EQNO2)+(v_28_SNO2*r_28*-E_EQNO2)+(v_29_SNO2*r_29*-E_EQNO2)+(v_68_SNO2*r_68*-E_EQNO2)+(v_2_SN2*r_2*-E_EQN2)+(v_5_SN2*r_5*-E_EQN2)+(v_12_SN2*r_12*-E_EQN2)+(v_17_SN2*r_17*-E_EQN2)+(v_20_SN2*r_20*-E_EQN2)+(v_23_SN2*r_23*-E_EQN2)+(v_28_SN2*r_28*-E_EQN2))</f>
        <v>-18.214899245333537</v>
      </c>
      <c r="F733" s="2382" t="s">
        <v>4945</v>
      </c>
      <c r="G733" s="2377" t="s">
        <v>4946</v>
      </c>
      <c r="H733" s="2377" t="s">
        <v>4631</v>
      </c>
      <c r="I733" s="2383"/>
    </row>
    <row r="734" spans="2:9" ht="15" outlineLevel="1" x14ac:dyDescent="0.25">
      <c r="B734" s="2380" t="s">
        <v>4950</v>
      </c>
      <c r="C734" s="2381" t="s">
        <v>5350</v>
      </c>
      <c r="D734" s="2381" t="s">
        <v>4951</v>
      </c>
      <c r="E734" s="2382">
        <f>((v_53_XALGAE*r_53)+(v_52_XALGAE*r_52))</f>
        <v>0</v>
      </c>
      <c r="F734" s="2382" t="s">
        <v>4945</v>
      </c>
      <c r="G734" s="2377" t="s">
        <v>4946</v>
      </c>
      <c r="H734" s="2377" t="s">
        <v>4631</v>
      </c>
      <c r="I734" s="2383"/>
    </row>
    <row r="735" spans="2:9" ht="15.75" outlineLevel="1" thickBot="1" x14ac:dyDescent="0.3">
      <c r="B735" s="2395" t="s">
        <v>4952</v>
      </c>
      <c r="C735" s="2396" t="s">
        <v>5351</v>
      </c>
      <c r="D735" s="2396" t="s">
        <v>4953</v>
      </c>
      <c r="E735" s="2398">
        <f>((v_37_XAOB*r_37)+(v_40_XNOB*r_40))</f>
        <v>18.671298262767429</v>
      </c>
      <c r="F735" s="2398" t="s">
        <v>4945</v>
      </c>
      <c r="G735" s="2397" t="s">
        <v>4946</v>
      </c>
      <c r="H735" s="2397" t="s">
        <v>4631</v>
      </c>
      <c r="I735" s="2399"/>
    </row>
    <row r="736" spans="2:9" s="2133" customFormat="1" ht="15.75" thickBot="1" x14ac:dyDescent="0.3">
      <c r="B736" s="2282"/>
      <c r="C736" s="135"/>
      <c r="D736" s="2283"/>
      <c r="E736" s="2284"/>
      <c r="F736" s="2285"/>
      <c r="G736" s="140"/>
      <c r="H736" s="135"/>
      <c r="I736" s="2286"/>
    </row>
    <row r="737" spans="2:9" ht="15.75" thickBot="1" x14ac:dyDescent="0.3">
      <c r="C737" s="2287" t="s">
        <v>4954</v>
      </c>
      <c r="D737" s="14" t="s">
        <v>299</v>
      </c>
      <c r="E737" s="14"/>
    </row>
    <row r="738" spans="2:9" ht="15.75" thickBot="1" x14ac:dyDescent="0.3">
      <c r="B738" s="2288" t="s">
        <v>0</v>
      </c>
      <c r="C738" s="2289" t="s">
        <v>1</v>
      </c>
      <c r="D738" s="2290" t="s">
        <v>5</v>
      </c>
      <c r="E738" s="2290" t="s">
        <v>152</v>
      </c>
      <c r="F738" s="2290" t="s">
        <v>2</v>
      </c>
      <c r="G738" s="2290" t="s">
        <v>298</v>
      </c>
      <c r="H738" s="2290" t="s">
        <v>116</v>
      </c>
      <c r="I738" s="2291" t="s">
        <v>117</v>
      </c>
    </row>
    <row r="739" spans="2:9" ht="15" outlineLevel="1" x14ac:dyDescent="0.25">
      <c r="B739" s="2390" t="s">
        <v>4955</v>
      </c>
      <c r="C739" s="2391" t="s">
        <v>5352</v>
      </c>
      <c r="D739" s="2391" t="s">
        <v>5327</v>
      </c>
      <c r="E739" s="2393">
        <f>((v_104_SNHx*r_104))</f>
        <v>0</v>
      </c>
      <c r="F739" s="2393" t="s">
        <v>4945</v>
      </c>
      <c r="G739" s="2392" t="s">
        <v>4946</v>
      </c>
      <c r="H739" s="2392" t="s">
        <v>4631</v>
      </c>
      <c r="I739" s="2394"/>
    </row>
    <row r="740" spans="2:9" ht="90.75" outlineLevel="1" thickBot="1" x14ac:dyDescent="0.3">
      <c r="B740" s="2395" t="s">
        <v>4956</v>
      </c>
      <c r="C740" s="2396" t="s">
        <v>5353</v>
      </c>
      <c r="D740" s="2396" t="s">
        <v>5328</v>
      </c>
      <c r="E740" s="2398">
        <f>+((v_3_SNO3*r_3*1)+(v_6_SNO3*r_6*1)+(v_13_SNO3*r_13*1)+(v_18_SNO3*r_18*1)+(v_21_SNO3*r_21*1)+(v_24_SNO3*r_24*1)+(v_29_SNO3*r_29*1)+(v_69_SNO3*r_69*1)+(v_2_SNO2*r_2*1)+(v_3_SNO2*r_3*1)+(v_5_SNO2*r_5*1)+(v_6_SNO2*r_6*1)+(v_12_SNO2*r_12*1)+(v_13_SNO2*r_13*1)+(v_17_SNO2*r_17*1)+(v_18_SNO2*r_18*1)+(v_20_SNO2*r_20*1)+(v_21_SNO2*r_21*1)+(v_23_SNO2*r_23*1)+(v_24_SNO2*r_24*1)+(v_28_SNO2*r_28*1)+(v_29_SNO2*r_29*1)+(v_68_SNO2*r_68*1))</f>
        <v>-6.4460797163673167</v>
      </c>
      <c r="F740" s="2398" t="s">
        <v>4945</v>
      </c>
      <c r="G740" s="2397" t="s">
        <v>4946</v>
      </c>
      <c r="H740" s="2397" t="s">
        <v>4631</v>
      </c>
      <c r="I740" s="2399"/>
    </row>
    <row r="741" spans="2:9" s="2133" customFormat="1" ht="15.75" thickBot="1" x14ac:dyDescent="0.3">
      <c r="B741" s="2282"/>
      <c r="C741" s="135"/>
      <c r="D741" s="2283"/>
      <c r="E741" s="2284"/>
      <c r="F741" s="2285"/>
      <c r="G741" s="140"/>
      <c r="H741" s="135"/>
      <c r="I741" s="2286"/>
    </row>
    <row r="742" spans="2:9" ht="15.75" thickBot="1" x14ac:dyDescent="0.3">
      <c r="C742" s="2287" t="s">
        <v>4957</v>
      </c>
      <c r="D742" s="14" t="s">
        <v>299</v>
      </c>
      <c r="E742" s="14"/>
    </row>
    <row r="743" spans="2:9" ht="15.75" thickBot="1" x14ac:dyDescent="0.3">
      <c r="B743" s="2288" t="s">
        <v>0</v>
      </c>
      <c r="C743" s="2289" t="s">
        <v>1</v>
      </c>
      <c r="D743" s="2290" t="s">
        <v>5</v>
      </c>
      <c r="E743" s="2290" t="s">
        <v>152</v>
      </c>
      <c r="F743" s="2290" t="s">
        <v>2</v>
      </c>
      <c r="G743" s="2290" t="s">
        <v>298</v>
      </c>
      <c r="H743" s="2290" t="s">
        <v>116</v>
      </c>
      <c r="I743" s="2291" t="s">
        <v>117</v>
      </c>
    </row>
    <row r="744" spans="2:9" ht="15" outlineLevel="1" x14ac:dyDescent="0.25">
      <c r="B744" s="2390" t="s">
        <v>4958</v>
      </c>
      <c r="C744" s="2391" t="s">
        <v>5354</v>
      </c>
      <c r="D744" s="2391" t="s">
        <v>5325</v>
      </c>
      <c r="E744" s="2393">
        <f>((v_103_SO2*r_103))*S_OTRaerator/S_OTRsur</f>
        <v>12</v>
      </c>
      <c r="F744" s="2393" t="s">
        <v>4945</v>
      </c>
      <c r="G744" s="2392" t="s">
        <v>4946</v>
      </c>
      <c r="H744" s="2392" t="s">
        <v>4631</v>
      </c>
      <c r="I744" s="2394"/>
    </row>
    <row r="745" spans="2:9" ht="15" outlineLevel="1" x14ac:dyDescent="0.25">
      <c r="B745" s="2380" t="s">
        <v>4959</v>
      </c>
      <c r="C745" s="2381" t="s">
        <v>5355</v>
      </c>
      <c r="D745" s="2381" t="s">
        <v>5326</v>
      </c>
      <c r="E745" s="2382">
        <f>((v_103_SO2*r_103))*S_OTRsur_min/S_OTRsur</f>
        <v>12</v>
      </c>
      <c r="F745" s="2382" t="s">
        <v>4945</v>
      </c>
      <c r="G745" s="2377" t="s">
        <v>4946</v>
      </c>
      <c r="H745" s="2377" t="s">
        <v>4631</v>
      </c>
      <c r="I745" s="2383"/>
    </row>
    <row r="746" spans="2:9" ht="30" outlineLevel="1" x14ac:dyDescent="0.25">
      <c r="B746" s="2380" t="s">
        <v>4960</v>
      </c>
      <c r="C746" s="2381" t="s">
        <v>5356</v>
      </c>
      <c r="D746" s="2381" t="s">
        <v>4961</v>
      </c>
      <c r="E746" s="2382">
        <f>-((v_1_SO2*r_1*-1)+(v_4_SO2*r_4*-1)+(v_9_SO2*r_9*-1)+(v_16_SO2*r_16*-1)+(v_19_SO2*r_19*-1)+(v_22_SO2*r_22*-1)+(v_27_SO2*r_27*-1))</f>
        <v>-372.4839220066911</v>
      </c>
      <c r="F746" s="2382" t="s">
        <v>4945</v>
      </c>
      <c r="G746" s="2377" t="s">
        <v>4946</v>
      </c>
      <c r="H746" s="2377" t="s">
        <v>4631</v>
      </c>
      <c r="I746" s="2383"/>
    </row>
    <row r="747" spans="2:9" ht="15" outlineLevel="1" x14ac:dyDescent="0.25">
      <c r="B747" s="2380" t="s">
        <v>4962</v>
      </c>
      <c r="C747" s="2381" t="s">
        <v>5357</v>
      </c>
      <c r="D747" s="2381" t="s">
        <v>4963</v>
      </c>
      <c r="E747" s="2382">
        <f>((v_37_SO2*r_37)+(v_40_SO2*r_40))</f>
        <v>-356.66048190251411</v>
      </c>
      <c r="F747" s="2382" t="s">
        <v>4945</v>
      </c>
      <c r="G747" s="2377" t="s">
        <v>4946</v>
      </c>
      <c r="H747" s="2377" t="s">
        <v>4631</v>
      </c>
      <c r="I747" s="2383"/>
    </row>
    <row r="748" spans="2:9" ht="15" outlineLevel="1" x14ac:dyDescent="0.25">
      <c r="B748" s="2380" t="s">
        <v>4964</v>
      </c>
      <c r="C748" s="2381" t="s">
        <v>5358</v>
      </c>
      <c r="D748" s="2381" t="s">
        <v>5324</v>
      </c>
      <c r="E748" s="2382">
        <f>((v_78_SO2*r_78))</f>
        <v>-6.6629603949469767E-50</v>
      </c>
      <c r="F748" s="2382" t="s">
        <v>4945</v>
      </c>
      <c r="G748" s="2377" t="s">
        <v>4946</v>
      </c>
      <c r="H748" s="2377" t="s">
        <v>4631</v>
      </c>
      <c r="I748" s="2383"/>
    </row>
    <row r="749" spans="2:9" ht="15" outlineLevel="1" x14ac:dyDescent="0.25">
      <c r="B749" s="2380" t="s">
        <v>4965</v>
      </c>
      <c r="C749" s="2381" t="s">
        <v>5359</v>
      </c>
      <c r="D749" s="2381" t="s">
        <v>4966</v>
      </c>
      <c r="E749" s="2382">
        <f>((v_53_SO2*r_53)+(v_52_SO2*r_52))</f>
        <v>0</v>
      </c>
      <c r="F749" s="2382" t="s">
        <v>4945</v>
      </c>
      <c r="G749" s="2377" t="s">
        <v>4946</v>
      </c>
      <c r="H749" s="2377" t="s">
        <v>4631</v>
      </c>
      <c r="I749" s="2383"/>
    </row>
    <row r="750" spans="2:9" ht="15.75" outlineLevel="1" thickBot="1" x14ac:dyDescent="0.3">
      <c r="B750" s="2395" t="s">
        <v>4967</v>
      </c>
      <c r="C750" s="2396" t="s">
        <v>5360</v>
      </c>
      <c r="D750" s="2396" t="s">
        <v>4968</v>
      </c>
      <c r="E750" s="2398">
        <f>((v_54_SO2*r_54))</f>
        <v>0</v>
      </c>
      <c r="F750" s="2398" t="s">
        <v>4945</v>
      </c>
      <c r="G750" s="2397" t="s">
        <v>4946</v>
      </c>
      <c r="H750" s="2397" t="s">
        <v>4631</v>
      </c>
      <c r="I750" s="2399"/>
    </row>
    <row r="751" spans="2:9" s="2133" customFormat="1" ht="15.75" thickBot="1" x14ac:dyDescent="0.3">
      <c r="B751" s="2282"/>
      <c r="C751" s="135"/>
      <c r="D751" s="2283"/>
      <c r="E751" s="2284"/>
      <c r="F751" s="2285"/>
      <c r="G751" s="140"/>
      <c r="H751" s="135"/>
      <c r="I751" s="2286"/>
    </row>
    <row r="752" spans="2:9" ht="15.75" thickBot="1" x14ac:dyDescent="0.3">
      <c r="C752" s="2287" t="s">
        <v>4969</v>
      </c>
      <c r="D752" s="14" t="s">
        <v>299</v>
      </c>
      <c r="E752" s="14"/>
    </row>
    <row r="753" spans="2:9" ht="15.75" thickBot="1" x14ac:dyDescent="0.3">
      <c r="B753" s="2288" t="s">
        <v>0</v>
      </c>
      <c r="C753" s="2289" t="s">
        <v>1</v>
      </c>
      <c r="D753" s="2290" t="s">
        <v>5</v>
      </c>
      <c r="E753" s="2290" t="s">
        <v>152</v>
      </c>
      <c r="F753" s="2290" t="s">
        <v>2</v>
      </c>
      <c r="G753" s="2290" t="s">
        <v>298</v>
      </c>
      <c r="H753" s="2290" t="s">
        <v>116</v>
      </c>
      <c r="I753" s="2291" t="s">
        <v>117</v>
      </c>
    </row>
    <row r="754" spans="2:9" ht="45" outlineLevel="1" x14ac:dyDescent="0.25">
      <c r="B754" s="2390" t="s">
        <v>4970</v>
      </c>
      <c r="C754" s="2391" t="s">
        <v>5362</v>
      </c>
      <c r="D754" s="2391" t="s">
        <v>4971</v>
      </c>
      <c r="E754" s="2393">
        <f>((v_1_SNHx*r_1)+(v_2_SNHx*r_2)+(v_3_SNHx*r_3)+(v_4_SNHx*r_4)+(v_5_SNHx*r_5)+(v_6_SNHx*r_6)+(v_7_SNHx*r_7)+(v_8_SNHx*r_8)+(v_9_SNHx*r_9)+(v_10_SNHx*r_10)+(v_11_SNHx*r_11))</f>
        <v>-24.301640810726582</v>
      </c>
      <c r="F754" s="2393" t="s">
        <v>4945</v>
      </c>
      <c r="G754" s="2392" t="s">
        <v>4946</v>
      </c>
      <c r="H754" s="2392" t="s">
        <v>4631</v>
      </c>
      <c r="I754" s="2394"/>
    </row>
    <row r="755" spans="2:9" ht="30" outlineLevel="1" x14ac:dyDescent="0.25">
      <c r="B755" s="2380" t="s">
        <v>4972</v>
      </c>
      <c r="C755" s="2381" t="s">
        <v>5363</v>
      </c>
      <c r="D755" s="2381" t="s">
        <v>4973</v>
      </c>
      <c r="E755" s="2382">
        <f>((v_37_SNHx*r_37)+(v_38_SNHx*r_38)+(v_39_SNHx*r_39)+(v_40_SNHx*r_40)+(v_41_SNHx*r_41)+(v_42_SNHx*r_42))</f>
        <v>-92.14524132086764</v>
      </c>
      <c r="F755" s="2382" t="s">
        <v>4945</v>
      </c>
      <c r="G755" s="2377" t="s">
        <v>4946</v>
      </c>
      <c r="H755" s="2377" t="s">
        <v>4631</v>
      </c>
      <c r="I755" s="2383"/>
    </row>
    <row r="756" spans="2:9" ht="15" outlineLevel="1" x14ac:dyDescent="0.25">
      <c r="B756" s="2380" t="s">
        <v>4974</v>
      </c>
      <c r="C756" s="2381" t="s">
        <v>5364</v>
      </c>
      <c r="D756" s="2381" t="s">
        <v>4975</v>
      </c>
      <c r="E756" s="2382">
        <f>((v_53_SNHx*r_53)+(v_54_SNHx*r_54)+(v_55_SNHx*r_55))</f>
        <v>0</v>
      </c>
      <c r="F756" s="2382" t="s">
        <v>4945</v>
      </c>
      <c r="G756" s="2377" t="s">
        <v>4946</v>
      </c>
      <c r="H756" s="2377" t="s">
        <v>4631</v>
      </c>
      <c r="I756" s="2383"/>
    </row>
    <row r="757" spans="2:9" ht="15.75" outlineLevel="1" thickBot="1" x14ac:dyDescent="0.3">
      <c r="B757" s="2395" t="s">
        <v>4976</v>
      </c>
      <c r="C757" s="2396" t="s">
        <v>5366</v>
      </c>
      <c r="D757" s="2396" t="s">
        <v>5323</v>
      </c>
      <c r="E757" s="2398">
        <f>((v_62_SNHx*r_62)+(v_68_SNHx*r_68)+(v_69_SNHx*r_69))</f>
        <v>25.661933873883115</v>
      </c>
      <c r="F757" s="2398" t="s">
        <v>4945</v>
      </c>
      <c r="G757" s="2397" t="s">
        <v>4946</v>
      </c>
      <c r="H757" s="2397" t="s">
        <v>4631</v>
      </c>
      <c r="I757" s="2399"/>
    </row>
    <row r="758" spans="2:9" s="2133" customFormat="1" ht="15.75" thickBot="1" x14ac:dyDescent="0.3">
      <c r="B758" s="2282"/>
      <c r="C758" s="135"/>
      <c r="D758" s="2283"/>
      <c r="E758" s="2284"/>
      <c r="F758" s="2285"/>
      <c r="G758" s="140"/>
      <c r="H758" s="135"/>
      <c r="I758" s="2286"/>
    </row>
    <row r="759" spans="2:9" ht="15.75" thickBot="1" x14ac:dyDescent="0.3">
      <c r="C759" s="2287" t="s">
        <v>4977</v>
      </c>
      <c r="D759" s="14" t="s">
        <v>299</v>
      </c>
      <c r="E759" s="14"/>
    </row>
    <row r="760" spans="2:9" ht="15.75" thickBot="1" x14ac:dyDescent="0.3">
      <c r="B760" s="2288" t="s">
        <v>0</v>
      </c>
      <c r="C760" s="2289" t="s">
        <v>1</v>
      </c>
      <c r="D760" s="2290" t="s">
        <v>5</v>
      </c>
      <c r="E760" s="2290" t="s">
        <v>152</v>
      </c>
      <c r="F760" s="2290" t="s">
        <v>2</v>
      </c>
      <c r="G760" s="2290" t="s">
        <v>298</v>
      </c>
      <c r="H760" s="2290" t="s">
        <v>116</v>
      </c>
      <c r="I760" s="2291" t="s">
        <v>117</v>
      </c>
    </row>
    <row r="761" spans="2:9" ht="15" outlineLevel="1" x14ac:dyDescent="0.25">
      <c r="B761" s="2390" t="s">
        <v>4978</v>
      </c>
      <c r="C761" s="2391" t="s">
        <v>5365</v>
      </c>
      <c r="D761" s="2391" t="s">
        <v>4979</v>
      </c>
      <c r="E761" s="2393">
        <f>((v_3_SNO3*r_3)+(v_6_SNO3*r_6))</f>
        <v>-4.4212156942070902</v>
      </c>
      <c r="F761" s="2393" t="s">
        <v>4945</v>
      </c>
      <c r="G761" s="2392" t="s">
        <v>4946</v>
      </c>
      <c r="H761" s="2392" t="s">
        <v>4631</v>
      </c>
      <c r="I761" s="2394"/>
    </row>
    <row r="762" spans="2:9" ht="15" outlineLevel="1" x14ac:dyDescent="0.25">
      <c r="B762" s="2380" t="s">
        <v>4980</v>
      </c>
      <c r="C762" s="2381" t="s">
        <v>5367</v>
      </c>
      <c r="D762" s="2381" t="s">
        <v>4981</v>
      </c>
      <c r="E762" s="2382">
        <f>((v_40_SNO3*r_40))</f>
        <v>56.05145687224006</v>
      </c>
      <c r="F762" s="2382" t="s">
        <v>4945</v>
      </c>
      <c r="G762" s="2377" t="s">
        <v>4946</v>
      </c>
      <c r="H762" s="2377" t="s">
        <v>4631</v>
      </c>
      <c r="I762" s="2383"/>
    </row>
    <row r="763" spans="2:9" ht="15.75" outlineLevel="1" thickBot="1" x14ac:dyDescent="0.3">
      <c r="B763" s="2395" t="s">
        <v>4982</v>
      </c>
      <c r="C763" s="2396" t="s">
        <v>5368</v>
      </c>
      <c r="D763" s="2396" t="s">
        <v>4983</v>
      </c>
      <c r="E763" s="2398">
        <f>((v_52_SNO3*r_52))</f>
        <v>0</v>
      </c>
      <c r="F763" s="2398" t="s">
        <v>4945</v>
      </c>
      <c r="G763" s="2397" t="s">
        <v>4946</v>
      </c>
      <c r="H763" s="2397" t="s">
        <v>4631</v>
      </c>
      <c r="I763" s="2399"/>
    </row>
    <row r="764" spans="2:9" s="2133" customFormat="1" ht="15.75" thickBot="1" x14ac:dyDescent="0.3">
      <c r="B764" s="2282"/>
      <c r="C764" s="135"/>
      <c r="D764" s="2283"/>
      <c r="E764" s="2284"/>
      <c r="F764" s="2285"/>
      <c r="G764" s="140"/>
      <c r="H764" s="135"/>
      <c r="I764" s="2286"/>
    </row>
    <row r="765" spans="2:9" ht="15.75" thickBot="1" x14ac:dyDescent="0.3">
      <c r="C765" s="2287" t="s">
        <v>4984</v>
      </c>
      <c r="D765" s="14" t="s">
        <v>299</v>
      </c>
      <c r="E765" s="14"/>
    </row>
    <row r="766" spans="2:9" ht="15.75" thickBot="1" x14ac:dyDescent="0.3">
      <c r="B766" s="2288" t="s">
        <v>0</v>
      </c>
      <c r="C766" s="2289" t="s">
        <v>1</v>
      </c>
      <c r="D766" s="2290" t="s">
        <v>5</v>
      </c>
      <c r="E766" s="2290" t="s">
        <v>152</v>
      </c>
      <c r="F766" s="2290" t="s">
        <v>2</v>
      </c>
      <c r="G766" s="2290" t="s">
        <v>298</v>
      </c>
      <c r="H766" s="2290" t="s">
        <v>116</v>
      </c>
      <c r="I766" s="2291" t="s">
        <v>117</v>
      </c>
    </row>
    <row r="767" spans="2:9" ht="30" outlineLevel="1" x14ac:dyDescent="0.25">
      <c r="B767" s="2390" t="s">
        <v>4985</v>
      </c>
      <c r="C767" s="2391" t="s">
        <v>5369</v>
      </c>
      <c r="D767" s="2391" t="s">
        <v>4986</v>
      </c>
      <c r="E767" s="2393">
        <f>((v_1_SPO4*r_1)+(v_2_SPO4*r_2)+(v_3_SPO4*r_3)+(v_4_SPO4*r_4)+(v_5_SPO4*r_5)+(v_6_SPO4*r_6)+(v_7_SPO4*r_7)+(v_8_SPO4*r_8)+(v_9_SPO4*r_9))</f>
        <v>-7.0116289359551027</v>
      </c>
      <c r="F767" s="2393" t="s">
        <v>4945</v>
      </c>
      <c r="G767" s="2392" t="s">
        <v>4946</v>
      </c>
      <c r="H767" s="2392" t="s">
        <v>4631</v>
      </c>
      <c r="I767" s="2394"/>
    </row>
    <row r="768" spans="2:9" ht="15" outlineLevel="1" x14ac:dyDescent="0.25">
      <c r="B768" s="2380" t="s">
        <v>4987</v>
      </c>
      <c r="C768" s="2381" t="s">
        <v>5370</v>
      </c>
      <c r="D768" s="2381" t="s">
        <v>4988</v>
      </c>
      <c r="E768" s="2382">
        <f>((v_37_SPO4*r_37)+(v_40_SPO4*r_40))</f>
        <v>-0.37342596525534855</v>
      </c>
      <c r="F768" s="2382" t="s">
        <v>4945</v>
      </c>
      <c r="G768" s="2377" t="s">
        <v>4946</v>
      </c>
      <c r="H768" s="2377" t="s">
        <v>4631</v>
      </c>
      <c r="I768" s="2383"/>
    </row>
    <row r="769" spans="2:9" ht="15" outlineLevel="1" x14ac:dyDescent="0.25">
      <c r="B769" s="2380" t="s">
        <v>4989</v>
      </c>
      <c r="C769" s="2381" t="s">
        <v>5371</v>
      </c>
      <c r="D769" s="2381" t="s">
        <v>4990</v>
      </c>
      <c r="E769" s="2382">
        <f>((v_52_SPO4*r_52)+(v_53_SPO4*r_53)+(v_54_SPO4*r_54)+(v_55_SPO4*r_55))</f>
        <v>0</v>
      </c>
      <c r="F769" s="2382" t="s">
        <v>4945</v>
      </c>
      <c r="G769" s="2377" t="s">
        <v>4946</v>
      </c>
      <c r="H769" s="2377" t="s">
        <v>4631</v>
      </c>
      <c r="I769" s="2383"/>
    </row>
    <row r="770" spans="2:9" ht="15" outlineLevel="1" x14ac:dyDescent="0.25">
      <c r="B770" s="2380" t="s">
        <v>4991</v>
      </c>
      <c r="C770" s="2381" t="s">
        <v>5372</v>
      </c>
      <c r="D770" s="2381" t="s">
        <v>5322</v>
      </c>
      <c r="E770" s="2382">
        <f>((v_63_SPO4*r_63)+(v_68_SPO4*r_68)+(v_69_SPO4*r_69))</f>
        <v>5.0377710460942655</v>
      </c>
      <c r="F770" s="2382" t="s">
        <v>4945</v>
      </c>
      <c r="G770" s="2377" t="s">
        <v>4946</v>
      </c>
      <c r="H770" s="2377" t="s">
        <v>4631</v>
      </c>
      <c r="I770" s="2383"/>
    </row>
    <row r="771" spans="2:9" ht="60.75" outlineLevel="1" thickBot="1" x14ac:dyDescent="0.3">
      <c r="B771" s="2395" t="s">
        <v>4992</v>
      </c>
      <c r="C771" s="2396" t="s">
        <v>5373</v>
      </c>
      <c r="D771" s="2396" t="s">
        <v>5321</v>
      </c>
      <c r="E771" s="2398">
        <f>((v_72_SPO4*r_72)+(v_73_SPO4*r_73)+(v_74_SPO4*r_74)+(v_75_SPO4*r_75)+(v_76_SPO4*r_76)+(v_77_SPO4*r_77)+(v_81_SPO4*r_81)+(v_82_SPO4*r_82)+(v_83_SPO4*r_83)+(v_84_SPO4*r_84)+(v_85_SPO4*r_85)+(v_87_SPO4*r_87)+(v_88_SPO4*r_88)+(v_89_SPO4*r_89)+(v_90_SPO4*r_90))</f>
        <v>-2.4189831663441118E-48</v>
      </c>
      <c r="F771" s="2398" t="s">
        <v>4945</v>
      </c>
      <c r="G771" s="2397" t="s">
        <v>4946</v>
      </c>
      <c r="H771" s="2397" t="s">
        <v>4631</v>
      </c>
      <c r="I771" s="2399"/>
    </row>
    <row r="772" spans="2:9" s="2133" customFormat="1" ht="15.75" thickBot="1" x14ac:dyDescent="0.3">
      <c r="B772" s="2282"/>
      <c r="C772" s="135"/>
      <c r="D772" s="2283"/>
      <c r="E772" s="2284"/>
      <c r="F772" s="2285"/>
      <c r="G772" s="140"/>
      <c r="H772" s="135"/>
      <c r="I772" s="2286"/>
    </row>
    <row r="773" spans="2:9" ht="15.75" thickBot="1" x14ac:dyDescent="0.3">
      <c r="C773" s="2287" t="s">
        <v>4993</v>
      </c>
      <c r="D773" s="14" t="s">
        <v>299</v>
      </c>
      <c r="E773" s="14"/>
    </row>
    <row r="774" spans="2:9" ht="15.75" thickBot="1" x14ac:dyDescent="0.3">
      <c r="B774" s="2288" t="s">
        <v>0</v>
      </c>
      <c r="C774" s="2289" t="s">
        <v>1</v>
      </c>
      <c r="D774" s="2290" t="s">
        <v>5</v>
      </c>
      <c r="E774" s="2290" t="s">
        <v>152</v>
      </c>
      <c r="F774" s="2290" t="s">
        <v>2</v>
      </c>
      <c r="G774" s="2290" t="s">
        <v>298</v>
      </c>
      <c r="H774" s="2290" t="s">
        <v>116</v>
      </c>
      <c r="I774" s="2291" t="s">
        <v>117</v>
      </c>
    </row>
    <row r="775" spans="2:9" ht="15" outlineLevel="1" x14ac:dyDescent="0.25">
      <c r="B775" s="2390" t="s">
        <v>4994</v>
      </c>
      <c r="C775" s="2392" t="s">
        <v>5361</v>
      </c>
      <c r="D775" s="2391" t="s">
        <v>5320</v>
      </c>
      <c r="E775" s="2393">
        <f>((v_100_SCO2*r_100))</f>
        <v>85.864791591722664</v>
      </c>
      <c r="F775" s="2393" t="s">
        <v>4945</v>
      </c>
      <c r="G775" s="2392" t="s">
        <v>4946</v>
      </c>
      <c r="H775" s="2392" t="s">
        <v>4631</v>
      </c>
      <c r="I775" s="2394"/>
    </row>
    <row r="776" spans="2:9" ht="45" outlineLevel="1" x14ac:dyDescent="0.25">
      <c r="B776" s="2380" t="s">
        <v>4995</v>
      </c>
      <c r="C776" s="2377" t="s">
        <v>5374</v>
      </c>
      <c r="D776" s="2381" t="s">
        <v>4996</v>
      </c>
      <c r="E776" s="2382">
        <f>((v_1_SCO2*r_1)+(v_2_SCO2*r_2)+(v_3_SCO2*r_3)+(v_4_SCO2*r_4)+(v_5_SCO2*r_5)+(v_6_SCO2*r_6)+(v_7_SCO2*r_7)+(v_8_SCO2*r_8)+(v_9_SCO2*r_9)+(v_10_SCO2*r_10)+(v_11_SCO2*r_11))</f>
        <v>53.419723486203353</v>
      </c>
      <c r="F776" s="2382" t="s">
        <v>4945</v>
      </c>
      <c r="G776" s="2377" t="s">
        <v>4946</v>
      </c>
      <c r="H776" s="2377" t="s">
        <v>4631</v>
      </c>
      <c r="I776" s="2383"/>
    </row>
    <row r="777" spans="2:9" ht="30" outlineLevel="1" x14ac:dyDescent="0.25">
      <c r="B777" s="2380" t="s">
        <v>4997</v>
      </c>
      <c r="C777" s="2377" t="s">
        <v>5375</v>
      </c>
      <c r="D777" s="2381" t="s">
        <v>4998</v>
      </c>
      <c r="E777" s="2382">
        <f>((v_37_SCO2*r_37)+(v_38_SCO2*r_38)+(v_39_SCO2*r_39)+(v_40_SCO2*r_40)+(v_41_SCO2*r_41)+(v_42_SCO2*r_42))</f>
        <v>-6.1019305737572918</v>
      </c>
      <c r="F777" s="2382" t="s">
        <v>4945</v>
      </c>
      <c r="G777" s="2377" t="s">
        <v>4946</v>
      </c>
      <c r="H777" s="2377" t="s">
        <v>4631</v>
      </c>
      <c r="I777" s="2383"/>
    </row>
    <row r="778" spans="2:9" ht="15" outlineLevel="1" x14ac:dyDescent="0.25">
      <c r="B778" s="2380" t="s">
        <v>4999</v>
      </c>
      <c r="C778" s="2377" t="s">
        <v>5376</v>
      </c>
      <c r="D778" s="2381" t="s">
        <v>5000</v>
      </c>
      <c r="E778" s="2382">
        <f>((v_52_SCO2*r_52)+(v_53_SCO2*r_53)+(v_54_SCO2*r_54)+(v_55_SCO2*r_55))</f>
        <v>0</v>
      </c>
      <c r="F778" s="2382" t="s">
        <v>4945</v>
      </c>
      <c r="G778" s="2377" t="s">
        <v>4946</v>
      </c>
      <c r="H778" s="2377" t="s">
        <v>4631</v>
      </c>
      <c r="I778" s="2383"/>
    </row>
    <row r="779" spans="2:9" ht="30" outlineLevel="1" x14ac:dyDescent="0.25">
      <c r="B779" s="2380" t="s">
        <v>5001</v>
      </c>
      <c r="C779" s="2377" t="s">
        <v>5377</v>
      </c>
      <c r="D779" s="2381" t="s">
        <v>5319</v>
      </c>
      <c r="E779" s="2382">
        <f>((v_64_SCO2*r_64)+(v_65_SCO2*r_65)+(v_67_SCO2*r_67)+(v_68_SCO2*r_68)+(v_69_SCO2*r_69))</f>
        <v>0.90380518987291569</v>
      </c>
      <c r="F779" s="2382" t="s">
        <v>4945</v>
      </c>
      <c r="G779" s="2377" t="s">
        <v>4946</v>
      </c>
      <c r="H779" s="2377" t="s">
        <v>4631</v>
      </c>
      <c r="I779" s="2383"/>
    </row>
    <row r="780" spans="2:9" ht="15.75" outlineLevel="1" thickBot="1" x14ac:dyDescent="0.3">
      <c r="B780" s="2395" t="s">
        <v>5002</v>
      </c>
      <c r="C780" s="2397" t="s">
        <v>5378</v>
      </c>
      <c r="D780" s="2396" t="s">
        <v>5318</v>
      </c>
      <c r="E780" s="2398">
        <f>((v_77_SCO2*r_77)+(v_86_SCO2*r_86))</f>
        <v>2.8103784824724214E-21</v>
      </c>
      <c r="F780" s="2398" t="s">
        <v>4945</v>
      </c>
      <c r="G780" s="2397" t="s">
        <v>4946</v>
      </c>
      <c r="H780" s="2397" t="s">
        <v>4631</v>
      </c>
      <c r="I780" s="2399"/>
    </row>
    <row r="781" spans="2:9" s="2133" customFormat="1" ht="15.75" thickBot="1" x14ac:dyDescent="0.3">
      <c r="B781" s="2282"/>
      <c r="C781" s="135"/>
      <c r="D781" s="2283"/>
      <c r="E781" s="2284"/>
      <c r="F781" s="2285"/>
      <c r="G781" s="140"/>
      <c r="H781" s="135"/>
      <c r="I781" s="2286"/>
    </row>
    <row r="782" spans="2:9" ht="15.75" thickBot="1" x14ac:dyDescent="0.3">
      <c r="C782" s="2287" t="s">
        <v>5003</v>
      </c>
      <c r="D782" s="14" t="s">
        <v>299</v>
      </c>
      <c r="E782" s="14"/>
    </row>
    <row r="783" spans="2:9" ht="15.75" thickBot="1" x14ac:dyDescent="0.3">
      <c r="B783" s="2288" t="s">
        <v>0</v>
      </c>
      <c r="C783" s="2289" t="s">
        <v>1</v>
      </c>
      <c r="D783" s="2290" t="s">
        <v>5</v>
      </c>
      <c r="E783" s="2290" t="s">
        <v>152</v>
      </c>
      <c r="F783" s="2290" t="s">
        <v>2</v>
      </c>
      <c r="G783" s="2290" t="s">
        <v>298</v>
      </c>
      <c r="H783" s="2290" t="s">
        <v>116</v>
      </c>
      <c r="I783" s="2291" t="s">
        <v>117</v>
      </c>
    </row>
    <row r="784" spans="2:9" ht="15" outlineLevel="1" x14ac:dyDescent="0.25">
      <c r="B784" s="2390" t="s">
        <v>5004</v>
      </c>
      <c r="C784" s="2391" t="s">
        <v>5005</v>
      </c>
      <c r="D784" s="2391" t="s">
        <v>5317</v>
      </c>
      <c r="E784" s="2393">
        <f>(v_97_SO2*r_97)</f>
        <v>800</v>
      </c>
      <c r="F784" s="2393" t="s">
        <v>4945</v>
      </c>
      <c r="G784" s="2392" t="s">
        <v>4946</v>
      </c>
      <c r="H784" s="2392" t="s">
        <v>4631</v>
      </c>
      <c r="I784" s="2394"/>
    </row>
    <row r="785" spans="2:9" ht="15.75" outlineLevel="1" thickBot="1" x14ac:dyDescent="0.3">
      <c r="B785" s="2395" t="s">
        <v>5006</v>
      </c>
      <c r="C785" s="2396" t="s">
        <v>5007</v>
      </c>
      <c r="D785" s="2396" t="s">
        <v>5316</v>
      </c>
      <c r="E785" s="2398">
        <f>(v_103_SO2*r_103)</f>
        <v>24</v>
      </c>
      <c r="F785" s="2398" t="s">
        <v>4945</v>
      </c>
      <c r="G785" s="2397" t="s">
        <v>4946</v>
      </c>
      <c r="H785" s="2397" t="s">
        <v>4631</v>
      </c>
      <c r="I785" s="2399"/>
    </row>
    <row r="786" spans="2:9" s="2133" customFormat="1" ht="15.75" thickBot="1" x14ac:dyDescent="0.3">
      <c r="B786" s="2282"/>
      <c r="C786" s="135"/>
      <c r="D786" s="2283"/>
      <c r="E786" s="2284"/>
      <c r="F786" s="2285"/>
      <c r="G786" s="140"/>
      <c r="H786" s="135"/>
      <c r="I786" s="2286"/>
    </row>
    <row r="787" spans="2:9" ht="15.75" thickBot="1" x14ac:dyDescent="0.3">
      <c r="C787" s="2287" t="s">
        <v>5008</v>
      </c>
      <c r="D787" s="14" t="s">
        <v>299</v>
      </c>
      <c r="E787" s="14"/>
    </row>
    <row r="788" spans="2:9" ht="15.75" thickBot="1" x14ac:dyDescent="0.3">
      <c r="B788" s="2288" t="s">
        <v>0</v>
      </c>
      <c r="C788" s="2289" t="s">
        <v>1</v>
      </c>
      <c r="D788" s="2290" t="s">
        <v>5</v>
      </c>
      <c r="E788" s="2290" t="s">
        <v>152</v>
      </c>
      <c r="F788" s="2290" t="s">
        <v>2</v>
      </c>
      <c r="G788" s="2290" t="s">
        <v>298</v>
      </c>
      <c r="H788" s="2290" t="s">
        <v>116</v>
      </c>
      <c r="I788" s="2291" t="s">
        <v>117</v>
      </c>
    </row>
    <row r="789" spans="2:9" outlineLevel="1" x14ac:dyDescent="0.25">
      <c r="B789" s="2390" t="s">
        <v>5009</v>
      </c>
      <c r="C789" s="2391" t="s">
        <v>5023</v>
      </c>
      <c r="D789" s="2391" t="s">
        <v>5116</v>
      </c>
      <c r="E789" s="2393">
        <f>µ_AOB_T</f>
        <v>0.9</v>
      </c>
      <c r="F789" s="2393" t="s">
        <v>1314</v>
      </c>
      <c r="G789" s="2392">
        <v>2</v>
      </c>
      <c r="H789" s="2392" t="s">
        <v>4631</v>
      </c>
      <c r="I789" s="2394"/>
    </row>
    <row r="790" spans="2:9" outlineLevel="1" x14ac:dyDescent="0.25">
      <c r="B790" s="2380" t="s">
        <v>5010</v>
      </c>
      <c r="C790" s="2381" t="s">
        <v>5024</v>
      </c>
      <c r="D790" s="2381" t="s">
        <v>5117</v>
      </c>
      <c r="E790" s="2382">
        <f>X_AOB</f>
        <v>33</v>
      </c>
      <c r="F790" s="2382" t="s">
        <v>5011</v>
      </c>
      <c r="G790" s="2377">
        <v>2</v>
      </c>
      <c r="H790" s="2377" t="s">
        <v>4631</v>
      </c>
      <c r="I790" s="2383"/>
    </row>
    <row r="791" spans="2:9" outlineLevel="1" x14ac:dyDescent="0.25">
      <c r="B791" s="2380" t="s">
        <v>5012</v>
      </c>
      <c r="C791" s="2381" t="s">
        <v>5025</v>
      </c>
      <c r="D791" s="2381" t="s">
        <v>5118</v>
      </c>
      <c r="E791" s="2382">
        <f>M_satSNHx_KNHx_AOB</f>
        <v>0.58823529411764708</v>
      </c>
      <c r="F791" s="2384" t="s">
        <v>282</v>
      </c>
      <c r="G791" s="2377">
        <v>2</v>
      </c>
      <c r="H791" s="2377" t="s">
        <v>4631</v>
      </c>
      <c r="I791" s="2383"/>
    </row>
    <row r="792" spans="2:9" outlineLevel="1" x14ac:dyDescent="0.25">
      <c r="B792" s="2380" t="s">
        <v>5013</v>
      </c>
      <c r="C792" s="2381" t="s">
        <v>5026</v>
      </c>
      <c r="D792" s="2381" t="s">
        <v>5126</v>
      </c>
      <c r="E792" s="2382">
        <f>L_ogsatpHCO2_AOB</f>
        <v>0.99999999997903732</v>
      </c>
      <c r="F792" s="2384" t="s">
        <v>282</v>
      </c>
      <c r="G792" s="2377">
        <v>2</v>
      </c>
      <c r="H792" s="2377" t="s">
        <v>4631</v>
      </c>
      <c r="I792" s="2383"/>
    </row>
    <row r="793" spans="2:9" outlineLevel="1" x14ac:dyDescent="0.25">
      <c r="B793" s="2380" t="s">
        <v>5014</v>
      </c>
      <c r="C793" s="2381" t="s">
        <v>5027</v>
      </c>
      <c r="D793" s="2381" t="s">
        <v>5119</v>
      </c>
      <c r="E793" s="2382">
        <f>M_satSO2_KO2_AOB</f>
        <v>0.8</v>
      </c>
      <c r="F793" s="2384" t="s">
        <v>282</v>
      </c>
      <c r="G793" s="2377">
        <v>2</v>
      </c>
      <c r="H793" s="2377" t="s">
        <v>4631</v>
      </c>
      <c r="I793" s="2383"/>
    </row>
    <row r="794" spans="2:9" outlineLevel="1" x14ac:dyDescent="0.25">
      <c r="B794" s="2380" t="s">
        <v>5015</v>
      </c>
      <c r="C794" s="2381" t="s">
        <v>5028</v>
      </c>
      <c r="D794" s="2381" t="s">
        <v>5120</v>
      </c>
      <c r="E794" s="2382">
        <f>M_satSPO4_KPO4_BIO</f>
        <v>0.99601593625498008</v>
      </c>
      <c r="F794" s="2384" t="s">
        <v>282</v>
      </c>
      <c r="G794" s="2377">
        <v>2</v>
      </c>
      <c r="H794" s="2377" t="s">
        <v>4631</v>
      </c>
      <c r="I794" s="2383"/>
    </row>
    <row r="795" spans="2:9" outlineLevel="1" x14ac:dyDescent="0.25">
      <c r="B795" s="2380" t="s">
        <v>5016</v>
      </c>
      <c r="C795" s="2381" t="s">
        <v>5029</v>
      </c>
      <c r="D795" s="2381" t="s">
        <v>5121</v>
      </c>
      <c r="E795" s="2382">
        <f>M_satSCAT_KCAT</f>
        <v>0.99715099715099709</v>
      </c>
      <c r="F795" s="2384" t="s">
        <v>282</v>
      </c>
      <c r="G795" s="2377">
        <v>2</v>
      </c>
      <c r="H795" s="2377" t="s">
        <v>4631</v>
      </c>
      <c r="I795" s="2383"/>
    </row>
    <row r="796" spans="2:9" outlineLevel="1" x14ac:dyDescent="0.25">
      <c r="B796" s="2380" t="s">
        <v>5017</v>
      </c>
      <c r="C796" s="2381" t="s">
        <v>5030</v>
      </c>
      <c r="D796" s="2381" t="s">
        <v>5122</v>
      </c>
      <c r="E796" s="2382">
        <f>M_satSAN_KAN</f>
        <v>0.99933377748167895</v>
      </c>
      <c r="F796" s="2384" t="s">
        <v>282</v>
      </c>
      <c r="G796" s="2377">
        <v>2</v>
      </c>
      <c r="H796" s="2377" t="s">
        <v>4631</v>
      </c>
      <c r="I796" s="2383"/>
    </row>
    <row r="797" spans="2:9" outlineLevel="1" x14ac:dyDescent="0.25">
      <c r="B797" s="2380" t="s">
        <v>5018</v>
      </c>
      <c r="C797" s="2381" t="s">
        <v>5031</v>
      </c>
      <c r="D797" s="2381" t="s">
        <v>5123</v>
      </c>
      <c r="E797" s="2382">
        <f>M_satSCa_KCa</f>
        <v>0.99999933333377777</v>
      </c>
      <c r="F797" s="2384" t="s">
        <v>282</v>
      </c>
      <c r="G797" s="2377">
        <v>2</v>
      </c>
      <c r="H797" s="2377" t="s">
        <v>4631</v>
      </c>
      <c r="I797" s="2383"/>
    </row>
    <row r="798" spans="2:9" outlineLevel="1" x14ac:dyDescent="0.25">
      <c r="B798" s="2380" t="s">
        <v>5019</v>
      </c>
      <c r="C798" s="2381" t="s">
        <v>5032</v>
      </c>
      <c r="D798" s="2381" t="s">
        <v>5124</v>
      </c>
      <c r="E798" s="2382">
        <f>M_satSMg_KMg</f>
        <v>0.99999333337777752</v>
      </c>
      <c r="F798" s="2384" t="s">
        <v>282</v>
      </c>
      <c r="G798" s="2377">
        <v>2</v>
      </c>
      <c r="H798" s="2377" t="s">
        <v>4631</v>
      </c>
      <c r="I798" s="2383"/>
    </row>
    <row r="799" spans="2:9" ht="15" outlineLevel="1" x14ac:dyDescent="0.25">
      <c r="B799" s="2380" t="s">
        <v>5020</v>
      </c>
      <c r="C799" s="2381" t="s">
        <v>5033</v>
      </c>
      <c r="D799" s="2381">
        <v>-1</v>
      </c>
      <c r="E799" s="2382">
        <f>-1</f>
        <v>-1</v>
      </c>
      <c r="F799" s="2384" t="s">
        <v>1989</v>
      </c>
      <c r="G799" s="2377">
        <v>2</v>
      </c>
      <c r="H799" s="2377" t="s">
        <v>4631</v>
      </c>
      <c r="I799" s="2383"/>
    </row>
    <row r="800" spans="2:9" outlineLevel="1" x14ac:dyDescent="0.25">
      <c r="B800" s="2380" t="s">
        <v>5021</v>
      </c>
      <c r="C800" s="2381" t="s">
        <v>5034</v>
      </c>
      <c r="D800" s="2381" t="s">
        <v>5125</v>
      </c>
      <c r="E800" s="2382">
        <f>M_inhpHHNO2_AOB</f>
        <v>0.99999999999991396</v>
      </c>
      <c r="F800" s="2384" t="s">
        <v>282</v>
      </c>
      <c r="G800" s="2377">
        <v>2</v>
      </c>
      <c r="H800" s="2377" t="s">
        <v>4631</v>
      </c>
      <c r="I800" s="2383"/>
    </row>
    <row r="801" spans="2:9" ht="15" outlineLevel="1" x14ac:dyDescent="0.25">
      <c r="B801" s="2380" t="s">
        <v>5035</v>
      </c>
      <c r="C801" s="2381" t="s">
        <v>5036</v>
      </c>
      <c r="D801" s="2381">
        <v>-1</v>
      </c>
      <c r="E801" s="2382">
        <f>-1</f>
        <v>-1</v>
      </c>
      <c r="F801" s="2384" t="s">
        <v>1989</v>
      </c>
      <c r="G801" s="2377">
        <v>2</v>
      </c>
      <c r="H801" s="2377" t="s">
        <v>4631</v>
      </c>
      <c r="I801" s="2383"/>
    </row>
    <row r="802" spans="2:9" outlineLevel="1" x14ac:dyDescent="0.25">
      <c r="B802" s="2380" t="s">
        <v>5022</v>
      </c>
      <c r="C802" s="2381" t="s">
        <v>5037</v>
      </c>
      <c r="D802" s="2381" t="s">
        <v>5127</v>
      </c>
      <c r="E802" s="2382">
        <f>B_ellinhpH_AOB</f>
        <v>0.98233028995495941</v>
      </c>
      <c r="F802" s="2384" t="s">
        <v>282</v>
      </c>
      <c r="G802" s="2377">
        <v>2</v>
      </c>
      <c r="H802" s="2377" t="s">
        <v>4631</v>
      </c>
      <c r="I802" s="2383"/>
    </row>
    <row r="803" spans="2:9" ht="15.75" outlineLevel="1" thickBot="1" x14ac:dyDescent="0.3">
      <c r="B803" s="2395" t="s">
        <v>5038</v>
      </c>
      <c r="C803" s="2396" t="s">
        <v>5039</v>
      </c>
      <c r="D803" s="2396">
        <v>-1</v>
      </c>
      <c r="E803" s="2398">
        <f>-1</f>
        <v>-1</v>
      </c>
      <c r="F803" s="2400" t="s">
        <v>1989</v>
      </c>
      <c r="G803" s="2397">
        <v>2</v>
      </c>
      <c r="H803" s="2397" t="s">
        <v>4631</v>
      </c>
      <c r="I803" s="2399"/>
    </row>
    <row r="804" spans="2:9" ht="15.75" thickBot="1" x14ac:dyDescent="0.3">
      <c r="H804" s="460"/>
    </row>
    <row r="805" spans="2:9" ht="18" customHeight="1" thickBot="1" x14ac:dyDescent="0.3">
      <c r="C805" s="2287" t="s">
        <v>5040</v>
      </c>
      <c r="D805" s="14" t="s">
        <v>299</v>
      </c>
      <c r="E805" s="14"/>
    </row>
    <row r="806" spans="2:9" ht="18" customHeight="1" thickBot="1" x14ac:dyDescent="0.3">
      <c r="B806" s="2288" t="s">
        <v>0</v>
      </c>
      <c r="C806" s="2289" t="s">
        <v>1</v>
      </c>
      <c r="D806" s="2290" t="s">
        <v>5</v>
      </c>
      <c r="E806" s="2290" t="s">
        <v>152</v>
      </c>
      <c r="F806" s="2290" t="s">
        <v>2</v>
      </c>
      <c r="G806" s="2290" t="s">
        <v>298</v>
      </c>
      <c r="H806" s="2290" t="s">
        <v>116</v>
      </c>
      <c r="I806" s="2291" t="s">
        <v>117</v>
      </c>
    </row>
    <row r="807" spans="2:9" outlineLevel="1" x14ac:dyDescent="0.25">
      <c r="B807" s="2401" t="s">
        <v>5041</v>
      </c>
      <c r="C807" s="2391" t="s">
        <v>5042</v>
      </c>
      <c r="D807" s="2391" t="s">
        <v>5128</v>
      </c>
      <c r="E807" s="2391">
        <f>µ_ALGAE_T</f>
        <v>2</v>
      </c>
      <c r="F807" s="2393" t="s">
        <v>1314</v>
      </c>
      <c r="G807" s="2392">
        <v>2</v>
      </c>
      <c r="H807" s="2392" t="s">
        <v>4631</v>
      </c>
      <c r="I807" s="2402"/>
    </row>
    <row r="808" spans="2:9" outlineLevel="1" x14ac:dyDescent="0.25">
      <c r="B808" s="2403" t="s">
        <v>5043</v>
      </c>
      <c r="C808" s="2381" t="s">
        <v>5044</v>
      </c>
      <c r="D808" s="2381" t="s">
        <v>5129</v>
      </c>
      <c r="E808" s="2381">
        <f>X_ALGAE</f>
        <v>0</v>
      </c>
      <c r="F808" s="2382" t="s">
        <v>5011</v>
      </c>
      <c r="G808" s="2377">
        <v>2</v>
      </c>
      <c r="H808" s="2377" t="s">
        <v>4631</v>
      </c>
      <c r="I808" s="2404"/>
    </row>
    <row r="809" spans="2:9" ht="30" outlineLevel="1" x14ac:dyDescent="0.25">
      <c r="B809" s="2403" t="s">
        <v>5045</v>
      </c>
      <c r="C809" s="2381" t="s">
        <v>5046</v>
      </c>
      <c r="D809" s="2381" t="s">
        <v>5130</v>
      </c>
      <c r="E809" s="2381">
        <f>M_satSCO2_KCO2_ALGAE</f>
        <v>0.88095238095238093</v>
      </c>
      <c r="F809" s="2384" t="s">
        <v>282</v>
      </c>
      <c r="G809" s="2377">
        <v>2</v>
      </c>
      <c r="H809" s="2377" t="s">
        <v>4631</v>
      </c>
      <c r="I809" s="2404"/>
    </row>
    <row r="810" spans="2:9" ht="15" outlineLevel="1" x14ac:dyDescent="0.25">
      <c r="B810" s="2403" t="s">
        <v>5047</v>
      </c>
      <c r="C810" s="2381" t="s">
        <v>5048</v>
      </c>
      <c r="D810" s="2381" t="s">
        <v>4669</v>
      </c>
      <c r="E810" s="2381">
        <f>L_ightSwitch</f>
        <v>3.1393009872987806E-64</v>
      </c>
      <c r="F810" s="2384" t="s">
        <v>282</v>
      </c>
      <c r="G810" s="2377">
        <v>2</v>
      </c>
      <c r="H810" s="2377" t="s">
        <v>4631</v>
      </c>
      <c r="I810" s="2404"/>
    </row>
    <row r="811" spans="2:9" ht="30" outlineLevel="1" x14ac:dyDescent="0.25">
      <c r="B811" s="2403" t="s">
        <v>5049</v>
      </c>
      <c r="C811" s="2381" t="s">
        <v>5050</v>
      </c>
      <c r="D811" s="2381" t="s">
        <v>5131</v>
      </c>
      <c r="E811" s="2381">
        <f>M_satSNOx_KNOx_ALGAE</f>
        <v>0.9107142857142857</v>
      </c>
      <c r="F811" s="2384" t="s">
        <v>282</v>
      </c>
      <c r="G811" s="2377">
        <v>2</v>
      </c>
      <c r="H811" s="2377" t="s">
        <v>4631</v>
      </c>
      <c r="I811" s="2404"/>
    </row>
    <row r="812" spans="2:9" ht="30" outlineLevel="1" x14ac:dyDescent="0.25">
      <c r="B812" s="2403" t="s">
        <v>5051</v>
      </c>
      <c r="C812" s="2381" t="s">
        <v>5052</v>
      </c>
      <c r="D812" s="2381" t="s">
        <v>5132</v>
      </c>
      <c r="E812" s="2381">
        <f>M_inhSNHx_KiNHx_ALGAE</f>
        <v>0.33333333333333331</v>
      </c>
      <c r="F812" s="2384" t="s">
        <v>282</v>
      </c>
      <c r="G812" s="2377">
        <v>2</v>
      </c>
      <c r="H812" s="2377" t="s">
        <v>4631</v>
      </c>
      <c r="I812" s="2404"/>
    </row>
    <row r="813" spans="2:9" ht="30.75" outlineLevel="1" thickBot="1" x14ac:dyDescent="0.3">
      <c r="B813" s="2405" t="s">
        <v>5053</v>
      </c>
      <c r="C813" s="2396" t="s">
        <v>5025</v>
      </c>
      <c r="D813" s="2396" t="s">
        <v>5133</v>
      </c>
      <c r="E813" s="2396">
        <f>M_satSNHx_KNHx_ALGAE</f>
        <v>0.58823529411764708</v>
      </c>
      <c r="F813" s="2400" t="s">
        <v>282</v>
      </c>
      <c r="G813" s="2397">
        <v>2</v>
      </c>
      <c r="H813" s="2397" t="s">
        <v>4631</v>
      </c>
      <c r="I813" s="2406"/>
    </row>
  </sheetData>
  <phoneticPr fontId="31" type="noConversion"/>
  <conditionalFormatting sqref="B597:B598 E597:E598">
    <cfRule type="cellIs" dxfId="144" priority="60" stopIfTrue="1" operator="notEqual">
      <formula>INDIRECT("Dummy_for_Comparison5!"&amp;ADDRESS(ROW(),COLUMN()))</formula>
    </cfRule>
  </conditionalFormatting>
  <conditionalFormatting sqref="F597:H597">
    <cfRule type="cellIs" dxfId="143" priority="59" stopIfTrue="1" operator="notEqual">
      <formula>INDIRECT("Dummy_for_Comparison5!"&amp;ADDRESS(ROW(),COLUMN()))</formula>
    </cfRule>
  </conditionalFormatting>
  <conditionalFormatting sqref="D595">
    <cfRule type="cellIs" dxfId="142" priority="64" stopIfTrue="1" operator="notEqual">
      <formula>INDIRECT("Dummy_for_Comparison5!"&amp;ADDRESS(ROW(),COLUMN()))</formula>
    </cfRule>
  </conditionalFormatting>
  <conditionalFormatting sqref="L600">
    <cfRule type="cellIs" dxfId="141" priority="62" stopIfTrue="1" operator="notEqual">
      <formula>INDIRECT("Dummy_for_Comparison5!"&amp;ADDRESS(ROW(),COLUMN()))</formula>
    </cfRule>
  </conditionalFormatting>
  <conditionalFormatting sqref="B599 E599:H599">
    <cfRule type="cellIs" dxfId="140" priority="63" stopIfTrue="1" operator="notEqual">
      <formula>INDIRECT("Dummy_for_Comparison5!"&amp;ADDRESS(ROW(),COLUMN()))</formula>
    </cfRule>
  </conditionalFormatting>
  <conditionalFormatting sqref="H600">
    <cfRule type="cellIs" dxfId="139" priority="61" stopIfTrue="1" operator="notEqual">
      <formula>INDIRECT("Dummy_for_Comparison5!"&amp;ADDRESS(ROW(),COLUMN()))</formula>
    </cfRule>
  </conditionalFormatting>
  <conditionalFormatting sqref="H598">
    <cfRule type="cellIs" dxfId="138" priority="58" stopIfTrue="1" operator="notEqual">
      <formula>INDIRECT("Dummy_for_Comparison5!"&amp;ADDRESS(ROW(),COLUMN()))</formula>
    </cfRule>
  </conditionalFormatting>
  <conditionalFormatting sqref="D605">
    <cfRule type="cellIs" dxfId="137" priority="79" stopIfTrue="1" operator="notEqual">
      <formula>INDIRECT("Dummy_for_Comparison5!"&amp;ADDRESS(ROW(),COLUMN()))</formula>
    </cfRule>
  </conditionalFormatting>
  <conditionalFormatting sqref="H604:H605">
    <cfRule type="cellIs" dxfId="136" priority="78" stopIfTrue="1" operator="notEqual">
      <formula>INDIRECT("Dummy_for_Comparison5!"&amp;ADDRESS(ROW(),COLUMN()))</formula>
    </cfRule>
  </conditionalFormatting>
  <conditionalFormatting sqref="D606">
    <cfRule type="cellIs" dxfId="135" priority="77" stopIfTrue="1" operator="notEqual">
      <formula>INDIRECT("Dummy_for_Comparison5!"&amp;ADDRESS(ROW(),COLUMN()))</formula>
    </cfRule>
  </conditionalFormatting>
  <conditionalFormatting sqref="H606">
    <cfRule type="cellIs" dxfId="134" priority="76" stopIfTrue="1" operator="notEqual">
      <formula>INDIRECT("Dummy_for_Comparison5!"&amp;ADDRESS(ROW(),COLUMN()))</formula>
    </cfRule>
  </conditionalFormatting>
  <conditionalFormatting sqref="F590:H590">
    <cfRule type="cellIs" dxfId="133" priority="52" stopIfTrue="1" operator="notEqual">
      <formula>INDIRECT("Dummy_for_Comparison5!"&amp;ADDRESS(ROW(),COLUMN()))</formula>
    </cfRule>
  </conditionalFormatting>
  <conditionalFormatting sqref="H591">
    <cfRule type="cellIs" dxfId="132" priority="51" stopIfTrue="1" operator="notEqual">
      <formula>INDIRECT("Dummy_for_Comparison5!"&amp;ADDRESS(ROW(),COLUMN()))</formula>
    </cfRule>
  </conditionalFormatting>
  <conditionalFormatting sqref="I604">
    <cfRule type="cellIs" dxfId="131" priority="49" stopIfTrue="1" operator="notEqual">
      <formula>INDIRECT("Dummy_for_Comparison5!"&amp;ADDRESS(ROW(),COLUMN()))</formula>
    </cfRule>
  </conditionalFormatting>
  <conditionalFormatting sqref="D604">
    <cfRule type="cellIs" dxfId="130" priority="48" stopIfTrue="1" operator="notEqual">
      <formula>INDIRECT("Dummy_for_Comparison5!"&amp;ADDRESS(ROW(),COLUMN()))</formula>
    </cfRule>
  </conditionalFormatting>
  <conditionalFormatting sqref="D588">
    <cfRule type="cellIs" dxfId="129" priority="57" stopIfTrue="1" operator="notEqual">
      <formula>INDIRECT("Dummy_for_Comparison5!"&amp;ADDRESS(ROW(),COLUMN()))</formula>
    </cfRule>
  </conditionalFormatting>
  <conditionalFormatting sqref="B592 E592:H592">
    <cfRule type="cellIs" dxfId="128" priority="56" stopIfTrue="1" operator="notEqual">
      <formula>INDIRECT("Dummy_for_Comparison5!"&amp;ADDRESS(ROW(),COLUMN()))</formula>
    </cfRule>
  </conditionalFormatting>
  <conditionalFormatting sqref="H593">
    <cfRule type="cellIs" dxfId="127" priority="54" stopIfTrue="1" operator="notEqual">
      <formula>INDIRECT("Dummy_for_Comparison5!"&amp;ADDRESS(ROW(),COLUMN()))</formula>
    </cfRule>
  </conditionalFormatting>
  <conditionalFormatting sqref="L593">
    <cfRule type="cellIs" dxfId="126" priority="55" stopIfTrue="1" operator="notEqual">
      <formula>INDIRECT("Dummy_for_Comparison5!"&amp;ADDRESS(ROW(),COLUMN()))</formula>
    </cfRule>
  </conditionalFormatting>
  <conditionalFormatting sqref="B590:B591 E590:E591">
    <cfRule type="cellIs" dxfId="125" priority="53" stopIfTrue="1" operator="notEqual">
      <formula>INDIRECT("Dummy_for_Comparison5!"&amp;ADDRESS(ROW(),COLUMN()))</formula>
    </cfRule>
  </conditionalFormatting>
  <conditionalFormatting sqref="E585:H585 B585">
    <cfRule type="cellIs" dxfId="124" priority="20" stopIfTrue="1" operator="notEqual">
      <formula>INDIRECT("Dummy_for_Comparison5!"&amp;ADDRESS(ROW(),COLUMN()))</formula>
    </cfRule>
  </conditionalFormatting>
  <conditionalFormatting sqref="C583">
    <cfRule type="cellIs" dxfId="123" priority="21" stopIfTrue="1" operator="notEqual">
      <formula>INDIRECT("Dummy_for_Comparison5!"&amp;ADDRESS(ROW(),COLUMN()))</formula>
    </cfRule>
  </conditionalFormatting>
  <conditionalFormatting sqref="J585">
    <cfRule type="cellIs" dxfId="122" priority="19" stopIfTrue="1" operator="notEqual">
      <formula>INDIRECT("Dummy_for_Comparison5!"&amp;ADDRESS(ROW(),COLUMN()))</formula>
    </cfRule>
  </conditionalFormatting>
  <conditionalFormatting sqref="J580">
    <cfRule type="cellIs" dxfId="121" priority="18" stopIfTrue="1" operator="notEqual">
      <formula>INDIRECT("Dummy_for_Comparison5!"&amp;ADDRESS(ROW(),COLUMN()))</formula>
    </cfRule>
  </conditionalFormatting>
  <conditionalFormatting sqref="J581">
    <cfRule type="cellIs" dxfId="120" priority="17" stopIfTrue="1" operator="notEqual">
      <formula>INDIRECT("Dummy_for_Comparison5!"&amp;ADDRESS(ROW(),COLUMN()))</formula>
    </cfRule>
  </conditionalFormatting>
  <conditionalFormatting sqref="D563 B562:B563">
    <cfRule type="cellIs" dxfId="119" priority="36" stopIfTrue="1" operator="notEqual">
      <formula>INDIRECT("Dummy_for_Comparison5!"&amp;ADDRESS(ROW(),COLUMN()))</formula>
    </cfRule>
  </conditionalFormatting>
  <conditionalFormatting sqref="F562:G562">
    <cfRule type="cellIs" dxfId="118" priority="35" stopIfTrue="1" operator="notEqual">
      <formula>INDIRECT("Dummy_for_Comparison5!"&amp;ADDRESS(ROW(),COLUMN()))</formula>
    </cfRule>
  </conditionalFormatting>
  <conditionalFormatting sqref="C572">
    <cfRule type="cellIs" dxfId="117" priority="13" stopIfTrue="1" operator="notEqual">
      <formula>INDIRECT("Dummy_for_Comparison5!"&amp;ADDRESS(ROW(),COLUMN()))</formula>
    </cfRule>
  </conditionalFormatting>
  <conditionalFormatting sqref="D562 F563:G563">
    <cfRule type="cellIs" dxfId="116" priority="37" stopIfTrue="1" operator="notEqual">
      <formula>INDIRECT("Dummy_for_Comparison5!"&amp;ADDRESS(ROW(),COLUMN()))</formula>
    </cfRule>
  </conditionalFormatting>
  <conditionalFormatting sqref="F574:G574">
    <cfRule type="cellIs" dxfId="115" priority="12" stopIfTrue="1" operator="notEqual">
      <formula>INDIRECT("Dummy_for_Comparison5!"&amp;ADDRESS(ROW(),COLUMN()))</formula>
    </cfRule>
  </conditionalFormatting>
  <conditionalFormatting sqref="L581 E577:K577">
    <cfRule type="cellIs" dxfId="114" priority="34" stopIfTrue="1" operator="notEqual">
      <formula>INDIRECT("Dummy_for_Comparison5!"&amp;ADDRESS(ROW(),COLUMN()))</formula>
    </cfRule>
  </conditionalFormatting>
  <conditionalFormatting sqref="B578 E580:F580 D578:K578 B580 H580">
    <cfRule type="cellIs" dxfId="113" priority="33" stopIfTrue="1" operator="notEqual">
      <formula>INDIRECT("Dummy_for_Comparison5!"&amp;ADDRESS(ROW(),COLUMN()))</formula>
    </cfRule>
  </conditionalFormatting>
  <conditionalFormatting sqref="B577 C578">
    <cfRule type="cellIs" dxfId="112" priority="32" stopIfTrue="1" operator="notEqual">
      <formula>INDIRECT("Dummy_for_Comparison5!"&amp;ADDRESS(ROW(),COLUMN()))</formula>
    </cfRule>
  </conditionalFormatting>
  <conditionalFormatting sqref="D577">
    <cfRule type="cellIs" dxfId="111" priority="31" stopIfTrue="1" operator="notEqual">
      <formula>INDIRECT("Dummy_for_Comparison5!"&amp;ADDRESS(ROW(),COLUMN()))</formula>
    </cfRule>
  </conditionalFormatting>
  <conditionalFormatting sqref="H581">
    <cfRule type="cellIs" dxfId="110" priority="30" stopIfTrue="1" operator="notEqual">
      <formula>INDIRECT("Dummy_for_Comparison5!"&amp;ADDRESS(ROW(),COLUMN()))</formula>
    </cfRule>
  </conditionalFormatting>
  <conditionalFormatting sqref="C577">
    <cfRule type="cellIs" dxfId="109" priority="29" stopIfTrue="1" operator="notEqual">
      <formula>INDIRECT("Dummy_for_Comparison5!"&amp;ADDRESS(ROW(),COLUMN()))</formula>
    </cfRule>
  </conditionalFormatting>
  <conditionalFormatting sqref="E579:H579 B579">
    <cfRule type="cellIs" dxfId="108" priority="28" stopIfTrue="1" operator="notEqual">
      <formula>INDIRECT("Dummy_for_Comparison5!"&amp;ADDRESS(ROW(),COLUMN()))</formula>
    </cfRule>
  </conditionalFormatting>
  <conditionalFormatting sqref="J579">
    <cfRule type="cellIs" dxfId="107" priority="27" stopIfTrue="1" operator="notEqual">
      <formula>INDIRECT("Dummy_for_Comparison5!"&amp;ADDRESS(ROW(),COLUMN()))</formula>
    </cfRule>
  </conditionalFormatting>
  <conditionalFormatting sqref="E583:K583">
    <cfRule type="cellIs" dxfId="106" priority="26" stopIfTrue="1" operator="notEqual">
      <formula>INDIRECT("Dummy_for_Comparison5!"&amp;ADDRESS(ROW(),COLUMN()))</formula>
    </cfRule>
  </conditionalFormatting>
  <conditionalFormatting sqref="B584 E586:F586 D584:K584 B586 H586">
    <cfRule type="cellIs" dxfId="105" priority="25" stopIfTrue="1" operator="notEqual">
      <formula>INDIRECT("Dummy_for_Comparison5!"&amp;ADDRESS(ROW(),COLUMN()))</formula>
    </cfRule>
  </conditionalFormatting>
  <conditionalFormatting sqref="B583 C584">
    <cfRule type="cellIs" dxfId="104" priority="24" stopIfTrue="1" operator="notEqual">
      <formula>INDIRECT("Dummy_for_Comparison5!"&amp;ADDRESS(ROW(),COLUMN()))</formula>
    </cfRule>
  </conditionalFormatting>
  <conditionalFormatting sqref="D583">
    <cfRule type="cellIs" dxfId="103" priority="23" stopIfTrue="1" operator="notEqual">
      <formula>INDIRECT("Dummy_for_Comparison5!"&amp;ADDRESS(ROW(),COLUMN()))</formula>
    </cfRule>
  </conditionalFormatting>
  <conditionalFormatting sqref="J586">
    <cfRule type="cellIs" dxfId="102" priority="22" stopIfTrue="1" operator="notEqual">
      <formula>INDIRECT("Dummy_for_Comparison5!"&amp;ADDRESS(ROW(),COLUMN()))</formula>
    </cfRule>
  </conditionalFormatting>
  <conditionalFormatting sqref="D575 E572:K572 B572:B575 J574:K575">
    <cfRule type="cellIs" dxfId="101" priority="15" stopIfTrue="1" operator="notEqual">
      <formula>INDIRECT("Dummy_for_Comparison5!"&amp;ADDRESS(ROW(),COLUMN()))</formula>
    </cfRule>
  </conditionalFormatting>
  <conditionalFormatting sqref="D573:D574 F573:K573 H574 F575:H575">
    <cfRule type="cellIs" dxfId="100" priority="16" stopIfTrue="1" operator="notEqual">
      <formula>INDIRECT("Dummy_for_Comparison5!"&amp;ADDRESS(ROW(),COLUMN()))</formula>
    </cfRule>
  </conditionalFormatting>
  <conditionalFormatting sqref="D572">
    <cfRule type="cellIs" dxfId="99" priority="14" stopIfTrue="1" operator="notEqual">
      <formula>INDIRECT("Dummy_for_Comparison5!"&amp;ADDRESS(ROW(),COLUMN()))</formula>
    </cfRule>
  </conditionalFormatting>
  <conditionalFormatting sqref="H563">
    <cfRule type="cellIs" dxfId="98" priority="11" stopIfTrue="1" operator="notEqual">
      <formula>INDIRECT("Dummy_for_Comparison5!"&amp;ADDRESS(ROW(),COLUMN()))</formula>
    </cfRule>
  </conditionalFormatting>
  <conditionalFormatting sqref="I562:I563">
    <cfRule type="cellIs" dxfId="97" priority="9" stopIfTrue="1" operator="notEqual">
      <formula>INDIRECT("Dummy_for_Comparison5!"&amp;ADDRESS(ROW(),COLUMN()))</formula>
    </cfRule>
  </conditionalFormatting>
  <conditionalFormatting sqref="I561">
    <cfRule type="cellIs" dxfId="96" priority="10" stopIfTrue="1" operator="notEqual">
      <formula>INDIRECT("Dummy_for_Comparison5!"&amp;ADDRESS(ROW(),COLUMN()))</formula>
    </cfRule>
  </conditionalFormatting>
  <conditionalFormatting sqref="D564 B564 I564">
    <cfRule type="cellIs" dxfId="95" priority="7" stopIfTrue="1" operator="notEqual">
      <formula>INDIRECT("Dummy_for_Comparison5!"&amp;ADDRESS(ROW(),COLUMN()))</formula>
    </cfRule>
  </conditionalFormatting>
  <conditionalFormatting sqref="F564:H564">
    <cfRule type="cellIs" dxfId="94" priority="8" stopIfTrue="1" operator="notEqual">
      <formula>INDIRECT("Dummy_for_Comparison5!"&amp;ADDRESS(ROW(),COLUMN()))</formula>
    </cfRule>
  </conditionalFormatting>
  <conditionalFormatting sqref="H562">
    <cfRule type="cellIs" dxfId="93" priority="6" stopIfTrue="1" operator="notEqual">
      <formula>INDIRECT("Dummy_for_Comparison5!"&amp;ADDRESS(ROW(),COLUMN()))</formula>
    </cfRule>
  </conditionalFormatting>
  <conditionalFormatting sqref="D569 B568:B569 I568:I569">
    <cfRule type="cellIs" dxfId="92" priority="4" stopIfTrue="1" operator="notEqual">
      <formula>INDIRECT("Dummy_for_Comparison5!"&amp;ADDRESS(ROW(),COLUMN()))</formula>
    </cfRule>
  </conditionalFormatting>
  <conditionalFormatting sqref="D568 H568 F569:H569">
    <cfRule type="cellIs" dxfId="91" priority="5" stopIfTrue="1" operator="notEqual">
      <formula>INDIRECT("Dummy_for_Comparison5!"&amp;ADDRESS(ROW(),COLUMN()))</formula>
    </cfRule>
  </conditionalFormatting>
  <conditionalFormatting sqref="F568:G568">
    <cfRule type="cellIs" dxfId="90" priority="3" stopIfTrue="1" operator="notEqual">
      <formula>INDIRECT("Dummy_for_Comparison5!"&amp;ADDRESS(ROW(),COLUMN()))</formula>
    </cfRule>
  </conditionalFormatting>
  <conditionalFormatting sqref="D570 B570 I570">
    <cfRule type="cellIs" dxfId="89" priority="1" stopIfTrue="1" operator="notEqual">
      <formula>INDIRECT("Dummy_for_Comparison5!"&amp;ADDRESS(ROW(),COLUMN()))</formula>
    </cfRule>
  </conditionalFormatting>
  <conditionalFormatting sqref="F570:H570">
    <cfRule type="cellIs" dxfId="88" priority="2" stopIfTrue="1" operator="notEqual">
      <formula>INDIRECT("Dummy_for_Comparison5!"&amp;ADDRESS(ROW(),COLUMN()))</formula>
    </cfRule>
  </conditionalFormatting>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2:L517"/>
  <sheetViews>
    <sheetView showGridLines="0" zoomScaleNormal="100" zoomScalePageLayoutView="85" workbookViewId="0">
      <selection activeCell="B3" sqref="B3:D517"/>
    </sheetView>
  </sheetViews>
  <sheetFormatPr baseColWidth="10" defaultColWidth="9.28515625" defaultRowHeight="15" outlineLevelRow="1" x14ac:dyDescent="0.25"/>
  <cols>
    <col min="1" max="1" width="9.28515625" style="1504"/>
    <col min="2" max="2" width="13.28515625" style="1504" customWidth="1"/>
    <col min="3" max="3" width="58.28515625" style="1504" bestFit="1" customWidth="1"/>
    <col min="4" max="4" width="12.28515625" style="1504" bestFit="1" customWidth="1"/>
    <col min="5" max="5" width="8.7109375" style="1504" bestFit="1" customWidth="1"/>
    <col min="6" max="6" width="10.28515625" style="1504" bestFit="1" customWidth="1"/>
    <col min="7" max="7" width="18" style="1504" bestFit="1" customWidth="1"/>
    <col min="8" max="8" width="8.28515625" style="1504" bestFit="1" customWidth="1"/>
    <col min="9" max="9" width="9.28515625" style="1504"/>
    <col min="10" max="10" width="76.7109375" style="1504" customWidth="1"/>
    <col min="11" max="11" width="9.28515625" style="1504"/>
    <col min="12" max="12" width="29.28515625" style="1504" bestFit="1" customWidth="1"/>
    <col min="13" max="16384" width="9.28515625" style="1504"/>
  </cols>
  <sheetData>
    <row r="2" spans="2:10" ht="15.75" thickBot="1" x14ac:dyDescent="0.3">
      <c r="C2" s="1742" t="s">
        <v>469</v>
      </c>
    </row>
    <row r="3" spans="2:10" ht="15.75" thickBot="1" x14ac:dyDescent="0.3">
      <c r="B3" s="1743" t="s">
        <v>0</v>
      </c>
      <c r="C3" s="1744" t="s">
        <v>1</v>
      </c>
      <c r="D3" s="1745" t="s">
        <v>152</v>
      </c>
      <c r="E3" s="1745" t="s">
        <v>470</v>
      </c>
      <c r="F3" s="1745" t="s">
        <v>471</v>
      </c>
      <c r="G3" s="1745" t="s">
        <v>2</v>
      </c>
      <c r="H3" s="1745" t="s">
        <v>298</v>
      </c>
      <c r="I3" s="1745" t="s">
        <v>116</v>
      </c>
      <c r="J3" s="1746" t="s">
        <v>117</v>
      </c>
    </row>
    <row r="4" spans="2:10" ht="18" x14ac:dyDescent="0.25">
      <c r="B4" s="1505" t="s">
        <v>1002</v>
      </c>
      <c r="C4" s="1506" t="s">
        <v>472</v>
      </c>
      <c r="D4" s="1506">
        <v>1.2059812053432154E-3</v>
      </c>
      <c r="E4" s="1508"/>
      <c r="F4" s="1508"/>
      <c r="G4" s="1506" t="s">
        <v>444</v>
      </c>
      <c r="H4" s="1509"/>
      <c r="I4" s="1509"/>
      <c r="J4" s="1506" t="s">
        <v>3933</v>
      </c>
    </row>
    <row r="5" spans="2:10" ht="18" x14ac:dyDescent="0.25">
      <c r="B5" s="1505" t="s">
        <v>1003</v>
      </c>
      <c r="C5" s="1506" t="s">
        <v>473</v>
      </c>
      <c r="D5" s="1506">
        <v>1842.5346589768687</v>
      </c>
      <c r="E5" s="1508"/>
      <c r="F5" s="1508"/>
      <c r="G5" s="1506" t="s">
        <v>474</v>
      </c>
      <c r="H5" s="1509"/>
      <c r="I5" s="1509"/>
      <c r="J5" s="1506" t="s">
        <v>3933</v>
      </c>
    </row>
    <row r="6" spans="2:10" ht="18" x14ac:dyDescent="0.25">
      <c r="B6" s="1505" t="s">
        <v>1004</v>
      </c>
      <c r="C6" s="1506" t="s">
        <v>475</v>
      </c>
      <c r="D6" s="1506">
        <v>3.5000000000000003E-2</v>
      </c>
      <c r="E6" s="1508"/>
      <c r="F6" s="1508"/>
      <c r="G6" s="1506" t="s">
        <v>444</v>
      </c>
      <c r="H6" s="1509"/>
      <c r="I6" s="1509"/>
      <c r="J6" s="1506" t="s">
        <v>909</v>
      </c>
    </row>
    <row r="7" spans="2:10" ht="18" x14ac:dyDescent="0.25">
      <c r="B7" s="1505" t="s">
        <v>1005</v>
      </c>
      <c r="C7" s="1506" t="s">
        <v>3934</v>
      </c>
      <c r="D7" s="1506">
        <v>2400</v>
      </c>
      <c r="E7" s="1508"/>
      <c r="F7" s="1508"/>
      <c r="G7" s="1506" t="s">
        <v>474</v>
      </c>
      <c r="H7" s="1509"/>
      <c r="I7" s="1509"/>
      <c r="J7" s="1506" t="s">
        <v>909</v>
      </c>
    </row>
    <row r="8" spans="2:10" ht="18" x14ac:dyDescent="0.25">
      <c r="B8" s="1505" t="s">
        <v>1006</v>
      </c>
      <c r="C8" s="1506" t="s">
        <v>477</v>
      </c>
      <c r="D8" s="1506">
        <v>1.9E-3</v>
      </c>
      <c r="E8" s="1508"/>
      <c r="F8" s="1508"/>
      <c r="G8" s="1506" t="s">
        <v>444</v>
      </c>
      <c r="H8" s="1509"/>
      <c r="I8" s="1509"/>
      <c r="J8" s="1506" t="s">
        <v>910</v>
      </c>
    </row>
    <row r="9" spans="2:10" ht="18" x14ac:dyDescent="0.25">
      <c r="B9" s="1505" t="s">
        <v>1007</v>
      </c>
      <c r="C9" s="1506" t="s">
        <v>478</v>
      </c>
      <c r="D9" s="1506">
        <v>1400</v>
      </c>
      <c r="E9" s="1508"/>
      <c r="F9" s="1508"/>
      <c r="G9" s="1506" t="s">
        <v>474</v>
      </c>
      <c r="H9" s="1509"/>
      <c r="I9" s="1509"/>
      <c r="J9" s="1506" t="s">
        <v>910</v>
      </c>
    </row>
    <row r="10" spans="2:10" ht="18" x14ac:dyDescent="0.25">
      <c r="B10" s="1505" t="s">
        <v>1008</v>
      </c>
      <c r="C10" s="1506" t="s">
        <v>479</v>
      </c>
      <c r="D10" s="1506">
        <v>2.5000000000000001E-2</v>
      </c>
      <c r="E10" s="1508"/>
      <c r="F10" s="1508"/>
      <c r="G10" s="1506" t="s">
        <v>444</v>
      </c>
      <c r="H10" s="1509"/>
      <c r="I10" s="1509"/>
      <c r="J10" s="1506" t="s">
        <v>911</v>
      </c>
    </row>
    <row r="11" spans="2:10" ht="18" x14ac:dyDescent="0.25">
      <c r="B11" s="1505" t="s">
        <v>1009</v>
      </c>
      <c r="C11" s="1506" t="s">
        <v>476</v>
      </c>
      <c r="D11" s="1506">
        <v>2600</v>
      </c>
      <c r="E11" s="1508"/>
      <c r="F11" s="1508"/>
      <c r="G11" s="1506" t="s">
        <v>474</v>
      </c>
      <c r="H11" s="1509"/>
      <c r="I11" s="1509"/>
      <c r="J11" s="1506" t="s">
        <v>911</v>
      </c>
    </row>
    <row r="12" spans="2:10" ht="18" x14ac:dyDescent="0.25">
      <c r="B12" s="1505" t="s">
        <v>1010</v>
      </c>
      <c r="C12" s="1506" t="s">
        <v>480</v>
      </c>
      <c r="D12" s="1506">
        <v>6.4999999999999997E-4</v>
      </c>
      <c r="E12" s="1508"/>
      <c r="F12" s="1508"/>
      <c r="G12" s="1506" t="s">
        <v>444</v>
      </c>
      <c r="H12" s="1509"/>
      <c r="I12" s="1509"/>
      <c r="J12" s="1506" t="s">
        <v>912</v>
      </c>
    </row>
    <row r="13" spans="2:10" ht="18" x14ac:dyDescent="0.25">
      <c r="B13" s="1505" t="s">
        <v>1011</v>
      </c>
      <c r="C13" s="1506" t="s">
        <v>481</v>
      </c>
      <c r="D13" s="1506">
        <v>1300</v>
      </c>
      <c r="E13" s="1508"/>
      <c r="F13" s="1508"/>
      <c r="G13" s="1506" t="s">
        <v>474</v>
      </c>
      <c r="H13" s="1509"/>
      <c r="I13" s="1509"/>
      <c r="J13" s="1506" t="s">
        <v>912</v>
      </c>
    </row>
    <row r="14" spans="2:10" ht="18" x14ac:dyDescent="0.25">
      <c r="B14" s="1505" t="s">
        <v>1012</v>
      </c>
      <c r="C14" s="1506" t="s">
        <v>482</v>
      </c>
      <c r="D14" s="1506">
        <v>7.7999999999999999E-4</v>
      </c>
      <c r="E14" s="1508"/>
      <c r="F14" s="1508"/>
      <c r="G14" s="1506" t="s">
        <v>444</v>
      </c>
      <c r="H14" s="1509"/>
      <c r="I14" s="1509"/>
      <c r="J14" s="1506" t="s">
        <v>1194</v>
      </c>
    </row>
    <row r="15" spans="2:10" ht="18" x14ac:dyDescent="0.25">
      <c r="B15" s="1505" t="s">
        <v>1013</v>
      </c>
      <c r="C15" s="1506" t="s">
        <v>483</v>
      </c>
      <c r="D15" s="1506">
        <v>500</v>
      </c>
      <c r="E15" s="1508"/>
      <c r="F15" s="1508"/>
      <c r="G15" s="1506" t="s">
        <v>474</v>
      </c>
      <c r="H15" s="1509"/>
      <c r="I15" s="1509"/>
      <c r="J15" s="1506" t="s">
        <v>1194</v>
      </c>
    </row>
    <row r="16" spans="2:10" ht="18" x14ac:dyDescent="0.25">
      <c r="B16" s="1505" t="s">
        <v>1014</v>
      </c>
      <c r="C16" s="1506" t="s">
        <v>445</v>
      </c>
      <c r="D16" s="1506">
        <v>1.4E-3</v>
      </c>
      <c r="E16" s="1508"/>
      <c r="F16" s="1508"/>
      <c r="G16" s="1506" t="s">
        <v>444</v>
      </c>
      <c r="H16" s="1509"/>
      <c r="I16" s="1509"/>
      <c r="J16" s="1506" t="s">
        <v>1195</v>
      </c>
    </row>
    <row r="17" spans="2:12" ht="18" x14ac:dyDescent="0.25">
      <c r="B17" s="1505" t="s">
        <v>1015</v>
      </c>
      <c r="C17" s="1506" t="s">
        <v>484</v>
      </c>
      <c r="D17" s="1506">
        <v>1600</v>
      </c>
      <c r="E17" s="1508"/>
      <c r="F17" s="1508"/>
      <c r="G17" s="1506" t="s">
        <v>474</v>
      </c>
      <c r="H17" s="1509"/>
      <c r="I17" s="1509"/>
      <c r="J17" s="1506" t="s">
        <v>1195</v>
      </c>
    </row>
    <row r="18" spans="2:12" ht="18" x14ac:dyDescent="0.25">
      <c r="B18" s="1505" t="s">
        <v>1196</v>
      </c>
      <c r="C18" s="1506" t="s">
        <v>1197</v>
      </c>
      <c r="D18" s="1506">
        <v>61</v>
      </c>
      <c r="E18" s="1508"/>
      <c r="F18" s="1508"/>
      <c r="G18" s="1506" t="s">
        <v>444</v>
      </c>
      <c r="H18" s="1509"/>
      <c r="I18" s="1509"/>
      <c r="J18" s="1506" t="s">
        <v>1198</v>
      </c>
    </row>
    <row r="19" spans="2:12" ht="18" x14ac:dyDescent="0.25">
      <c r="B19" s="1505" t="s">
        <v>1199</v>
      </c>
      <c r="C19" s="1506" t="s">
        <v>1200</v>
      </c>
      <c r="D19" s="1506">
        <v>4100</v>
      </c>
      <c r="E19" s="1508"/>
      <c r="F19" s="1508"/>
      <c r="G19" s="1506" t="s">
        <v>474</v>
      </c>
      <c r="H19" s="1509"/>
      <c r="I19" s="1509"/>
      <c r="J19" s="1506" t="s">
        <v>1198</v>
      </c>
    </row>
    <row r="20" spans="2:12" ht="18" x14ac:dyDescent="0.25">
      <c r="B20" s="1505" t="s">
        <v>1151</v>
      </c>
      <c r="C20" s="1506" t="s">
        <v>1201</v>
      </c>
      <c r="D20" s="1506">
        <v>0.1</v>
      </c>
      <c r="E20" s="1508"/>
      <c r="F20" s="1508"/>
      <c r="G20" s="1506" t="s">
        <v>444</v>
      </c>
      <c r="H20" s="1509"/>
      <c r="I20" s="1509"/>
      <c r="J20" s="1506" t="s">
        <v>1202</v>
      </c>
    </row>
    <row r="21" spans="2:12" ht="18" x14ac:dyDescent="0.25">
      <c r="B21" s="1505" t="s">
        <v>1152</v>
      </c>
      <c r="C21" s="1506" t="s">
        <v>1153</v>
      </c>
      <c r="D21" s="1506">
        <v>2200</v>
      </c>
      <c r="E21" s="1508"/>
      <c r="F21" s="1508"/>
      <c r="G21" s="1506" t="s">
        <v>474</v>
      </c>
      <c r="H21" s="1509"/>
      <c r="I21" s="1509"/>
      <c r="J21" s="1506" t="s">
        <v>1202</v>
      </c>
    </row>
    <row r="23" spans="2:12" ht="15.75" thickBot="1" x14ac:dyDescent="0.3">
      <c r="C23" s="1742" t="s">
        <v>3386</v>
      </c>
    </row>
    <row r="24" spans="2:12" ht="15.75" thickBot="1" x14ac:dyDescent="0.3">
      <c r="B24" s="1743" t="s">
        <v>0</v>
      </c>
      <c r="C24" s="1744" t="s">
        <v>1</v>
      </c>
      <c r="D24" s="1745" t="s">
        <v>152</v>
      </c>
      <c r="E24" s="1745" t="s">
        <v>470</v>
      </c>
      <c r="F24" s="1745" t="s">
        <v>471</v>
      </c>
      <c r="G24" s="1745" t="s">
        <v>2</v>
      </c>
      <c r="H24" s="1745" t="s">
        <v>298</v>
      </c>
      <c r="I24" s="1745" t="s">
        <v>116</v>
      </c>
      <c r="J24" s="1746" t="s">
        <v>117</v>
      </c>
    </row>
    <row r="25" spans="2:12" ht="18" x14ac:dyDescent="0.25">
      <c r="B25" s="1505" t="s">
        <v>3141</v>
      </c>
      <c r="C25" s="1506" t="s">
        <v>454</v>
      </c>
      <c r="D25" s="1506">
        <v>2.0900000000000001E-4</v>
      </c>
      <c r="E25" s="1508"/>
      <c r="F25" s="1508"/>
      <c r="G25" s="1506" t="s">
        <v>485</v>
      </c>
      <c r="H25" s="1509">
        <v>2</v>
      </c>
      <c r="I25" s="1509"/>
      <c r="J25" s="1506"/>
    </row>
    <row r="26" spans="2:12" ht="18" x14ac:dyDescent="0.25">
      <c r="B26" s="1505" t="s">
        <v>3142</v>
      </c>
      <c r="C26" s="1506" t="s">
        <v>455</v>
      </c>
      <c r="D26" s="1506">
        <v>1.73E-4</v>
      </c>
      <c r="E26" s="1508"/>
      <c r="F26" s="1508"/>
      <c r="G26" s="1506" t="s">
        <v>485</v>
      </c>
      <c r="H26" s="1509">
        <v>2</v>
      </c>
      <c r="I26" s="1509"/>
      <c r="J26" s="1506"/>
    </row>
    <row r="27" spans="2:12" ht="18" x14ac:dyDescent="0.25">
      <c r="B27" s="1505" t="s">
        <v>3143</v>
      </c>
      <c r="C27" s="1506" t="s">
        <v>1063</v>
      </c>
      <c r="D27" s="1506">
        <f>0.0000693*216/25</f>
        <v>5.9875200000000003E-4</v>
      </c>
      <c r="E27" s="1508"/>
      <c r="F27" s="1508"/>
      <c r="G27" s="1506" t="s">
        <v>485</v>
      </c>
      <c r="H27" s="1509">
        <v>2</v>
      </c>
      <c r="I27" s="1509"/>
      <c r="J27" s="1506"/>
    </row>
    <row r="28" spans="2:12" ht="18" x14ac:dyDescent="0.25">
      <c r="B28" s="1505" t="s">
        <v>3144</v>
      </c>
      <c r="C28" s="1506" t="s">
        <v>456</v>
      </c>
      <c r="D28" s="1506">
        <v>1.65E-4</v>
      </c>
      <c r="E28" s="1508"/>
      <c r="F28" s="1508"/>
      <c r="G28" s="1506" t="s">
        <v>485</v>
      </c>
      <c r="H28" s="1509">
        <v>2</v>
      </c>
      <c r="I28" s="1509"/>
      <c r="J28" s="1506"/>
    </row>
    <row r="29" spans="2:12" ht="18" x14ac:dyDescent="0.25">
      <c r="B29" s="1505" t="s">
        <v>3145</v>
      </c>
      <c r="C29" s="1506" t="s">
        <v>457</v>
      </c>
      <c r="D29" s="1506">
        <v>4.4999999999999999E-4</v>
      </c>
      <c r="E29" s="1508"/>
      <c r="F29" s="1508"/>
      <c r="G29" s="1506" t="s">
        <v>486</v>
      </c>
      <c r="H29" s="1509">
        <v>2</v>
      </c>
      <c r="I29" s="1509"/>
      <c r="J29" s="1506"/>
    </row>
    <row r="30" spans="2:12" ht="18" x14ac:dyDescent="0.25">
      <c r="B30" s="1505" t="s">
        <v>3146</v>
      </c>
      <c r="C30" s="1506" t="s">
        <v>458</v>
      </c>
      <c r="D30" s="1506">
        <v>1.4899999999999999E-4</v>
      </c>
      <c r="E30" s="1508"/>
      <c r="F30" s="1508"/>
      <c r="G30" s="1506" t="s">
        <v>486</v>
      </c>
      <c r="H30" s="1509">
        <v>2</v>
      </c>
      <c r="I30" s="1509"/>
      <c r="J30" s="1506"/>
      <c r="L30" s="1504" t="s">
        <v>3935</v>
      </c>
    </row>
    <row r="31" spans="2:12" ht="18" x14ac:dyDescent="0.25">
      <c r="B31" s="1505" t="s">
        <v>3147</v>
      </c>
      <c r="C31" s="1506" t="s">
        <v>782</v>
      </c>
      <c r="D31" s="1506">
        <f>0.000211</f>
        <v>2.1100000000000001E-4</v>
      </c>
      <c r="E31" s="1508"/>
      <c r="F31" s="1508"/>
      <c r="G31" s="1506" t="s">
        <v>486</v>
      </c>
      <c r="H31" s="1509">
        <v>2</v>
      </c>
      <c r="I31" s="1509"/>
      <c r="J31" s="1506" t="s">
        <v>3936</v>
      </c>
      <c r="K31" s="1506">
        <f>0.0001909*1.024^(25-20)</f>
        <v>2.1493429221625696E-4</v>
      </c>
      <c r="L31" s="1506">
        <v>2.9499999999999999E-5</v>
      </c>
    </row>
    <row r="32" spans="2:12" ht="18" x14ac:dyDescent="0.25">
      <c r="B32" s="1505" t="s">
        <v>3148</v>
      </c>
      <c r="C32" s="1506" t="s">
        <v>1255</v>
      </c>
      <c r="D32" s="1506">
        <f>0.000245</f>
        <v>2.4499999999999999E-4</v>
      </c>
      <c r="E32" s="1508"/>
      <c r="F32" s="1508"/>
      <c r="G32" s="1506" t="s">
        <v>486</v>
      </c>
      <c r="H32" s="1509">
        <v>2</v>
      </c>
      <c r="I32" s="1509"/>
      <c r="J32" s="1506" t="s">
        <v>3936</v>
      </c>
      <c r="K32" s="1506">
        <f>0.00015293*1.024^(25-20)</f>
        <v>1.7218387275344247E-4</v>
      </c>
      <c r="L32" s="1506">
        <v>1.8E-5</v>
      </c>
    </row>
    <row r="33" spans="2:10" ht="18" x14ac:dyDescent="0.25">
      <c r="B33" s="1505" t="s">
        <v>3149</v>
      </c>
      <c r="C33" s="1506" t="s">
        <v>1203</v>
      </c>
      <c r="D33" s="1506">
        <v>1.22E-4</v>
      </c>
      <c r="E33" s="1508"/>
      <c r="F33" s="1508"/>
      <c r="G33" s="1506" t="s">
        <v>485</v>
      </c>
      <c r="H33" s="1509">
        <v>2</v>
      </c>
      <c r="I33" s="1509"/>
      <c r="J33" s="1506"/>
    </row>
    <row r="35" spans="2:10" ht="15.75" thickBot="1" x14ac:dyDescent="0.3">
      <c r="C35" s="1742" t="s">
        <v>487</v>
      </c>
    </row>
    <row r="36" spans="2:10" ht="15.75" thickBot="1" x14ac:dyDescent="0.3">
      <c r="B36" s="1743" t="s">
        <v>0</v>
      </c>
      <c r="C36" s="1744" t="s">
        <v>1</v>
      </c>
      <c r="D36" s="1745" t="s">
        <v>152</v>
      </c>
      <c r="E36" s="1745" t="s">
        <v>470</v>
      </c>
      <c r="F36" s="1745" t="s">
        <v>471</v>
      </c>
      <c r="G36" s="1745" t="s">
        <v>2</v>
      </c>
      <c r="H36" s="1745" t="s">
        <v>298</v>
      </c>
      <c r="I36" s="1745" t="s">
        <v>116</v>
      </c>
      <c r="J36" s="1746" t="s">
        <v>117</v>
      </c>
    </row>
    <row r="37" spans="2:10" ht="18" x14ac:dyDescent="0.25">
      <c r="B37" s="1505" t="s">
        <v>488</v>
      </c>
      <c r="C37" s="1506" t="s">
        <v>489</v>
      </c>
      <c r="D37" s="1506">
        <v>8.0713100000000004</v>
      </c>
      <c r="E37" s="1508"/>
      <c r="F37" s="1508"/>
      <c r="G37" s="1506" t="s">
        <v>282</v>
      </c>
      <c r="H37" s="1509"/>
      <c r="I37" s="1509"/>
      <c r="J37" s="1506"/>
    </row>
    <row r="38" spans="2:10" ht="18" x14ac:dyDescent="0.25">
      <c r="B38" s="1505" t="s">
        <v>490</v>
      </c>
      <c r="C38" s="1506" t="s">
        <v>491</v>
      </c>
      <c r="D38" s="1506">
        <v>1730.63</v>
      </c>
      <c r="E38" s="1508"/>
      <c r="F38" s="1508"/>
      <c r="G38" s="1506" t="s">
        <v>282</v>
      </c>
      <c r="H38" s="1509"/>
      <c r="I38" s="1509"/>
      <c r="J38" s="1506"/>
    </row>
    <row r="39" spans="2:10" ht="18" x14ac:dyDescent="0.25">
      <c r="B39" s="1505" t="s">
        <v>492</v>
      </c>
      <c r="C39" s="1506" t="s">
        <v>493</v>
      </c>
      <c r="D39" s="1506">
        <v>233.42599999999999</v>
      </c>
      <c r="E39" s="1508"/>
      <c r="F39" s="1508"/>
      <c r="G39" s="1506" t="s">
        <v>282</v>
      </c>
      <c r="H39" s="1509"/>
      <c r="I39" s="1509"/>
      <c r="J39" s="1506"/>
    </row>
    <row r="40" spans="2:10" ht="18" x14ac:dyDescent="0.25">
      <c r="B40" s="1505" t="s">
        <v>3150</v>
      </c>
      <c r="C40" s="1506" t="s">
        <v>3151</v>
      </c>
      <c r="D40" s="1506">
        <v>7.2800000000000004E-2</v>
      </c>
      <c r="E40" s="1508"/>
      <c r="F40" s="1508"/>
      <c r="G40" s="1506" t="s">
        <v>3152</v>
      </c>
      <c r="H40" s="1509"/>
      <c r="I40" s="1509"/>
      <c r="J40" s="1506"/>
    </row>
    <row r="41" spans="2:10" ht="18" x14ac:dyDescent="0.25">
      <c r="B41" s="1505" t="s">
        <v>494</v>
      </c>
      <c r="C41" s="1506" t="s">
        <v>3153</v>
      </c>
      <c r="D41" s="1506">
        <v>1000000</v>
      </c>
      <c r="E41" s="1508"/>
      <c r="F41" s="1508"/>
      <c r="G41" s="1506" t="s">
        <v>783</v>
      </c>
      <c r="H41" s="1509"/>
      <c r="I41" s="1509"/>
      <c r="J41" s="1506"/>
    </row>
    <row r="42" spans="2:10" ht="18" x14ac:dyDescent="0.25">
      <c r="B42" s="1505" t="s">
        <v>1578</v>
      </c>
      <c r="C42" s="1506" t="s">
        <v>3154</v>
      </c>
      <c r="D42" s="1506">
        <f>10^-3</f>
        <v>1E-3</v>
      </c>
      <c r="E42" s="1508"/>
      <c r="F42" s="1508"/>
      <c r="G42" s="1506" t="s">
        <v>1579</v>
      </c>
      <c r="H42" s="1509"/>
      <c r="I42" s="1509"/>
      <c r="J42" s="1506"/>
    </row>
    <row r="44" spans="2:10" ht="15.75" thickBot="1" x14ac:dyDescent="0.3">
      <c r="C44" s="1742" t="s">
        <v>495</v>
      </c>
    </row>
    <row r="45" spans="2:10" ht="15.75" thickBot="1" x14ac:dyDescent="0.3">
      <c r="B45" s="1743" t="s">
        <v>0</v>
      </c>
      <c r="C45" s="1744" t="s">
        <v>1</v>
      </c>
      <c r="D45" s="1745" t="s">
        <v>152</v>
      </c>
      <c r="E45" s="1745" t="s">
        <v>470</v>
      </c>
      <c r="F45" s="1745" t="s">
        <v>471</v>
      </c>
      <c r="G45" s="1745" t="s">
        <v>2</v>
      </c>
      <c r="H45" s="1745" t="s">
        <v>298</v>
      </c>
      <c r="I45" s="1745" t="s">
        <v>116</v>
      </c>
      <c r="J45" s="1746" t="s">
        <v>117</v>
      </c>
    </row>
    <row r="46" spans="2:10" ht="18" x14ac:dyDescent="0.25">
      <c r="B46" s="1505" t="s">
        <v>496</v>
      </c>
      <c r="C46" s="1506" t="s">
        <v>497</v>
      </c>
      <c r="D46" s="1506">
        <v>0.20949999999999999</v>
      </c>
      <c r="E46" s="1508">
        <v>0</v>
      </c>
      <c r="F46" s="1508">
        <v>1</v>
      </c>
      <c r="G46" s="1506" t="s">
        <v>498</v>
      </c>
      <c r="H46" s="1509"/>
      <c r="I46" s="1509"/>
      <c r="J46" s="1506"/>
    </row>
    <row r="47" spans="2:10" ht="18" x14ac:dyDescent="0.25">
      <c r="B47" s="1505" t="s">
        <v>499</v>
      </c>
      <c r="C47" s="1506" t="s">
        <v>500</v>
      </c>
      <c r="D47" s="1506">
        <v>0.78080000000000005</v>
      </c>
      <c r="E47" s="1508">
        <v>0</v>
      </c>
      <c r="F47" s="1508">
        <v>1</v>
      </c>
      <c r="G47" s="1506" t="s">
        <v>498</v>
      </c>
      <c r="H47" s="1509"/>
      <c r="I47" s="1509"/>
      <c r="J47" s="1506"/>
    </row>
    <row r="48" spans="2:10" ht="18" x14ac:dyDescent="0.25">
      <c r="B48" s="1505" t="s">
        <v>501</v>
      </c>
      <c r="C48" s="1506" t="s">
        <v>502</v>
      </c>
      <c r="D48" s="1506">
        <v>9.2999999999999992E-3</v>
      </c>
      <c r="E48" s="1508">
        <v>0</v>
      </c>
      <c r="F48" s="1508">
        <v>1</v>
      </c>
      <c r="G48" s="1506" t="s">
        <v>498</v>
      </c>
      <c r="H48" s="1509"/>
      <c r="I48" s="1509"/>
      <c r="J48" s="1506"/>
    </row>
    <row r="49" spans="2:12" ht="18" x14ac:dyDescent="0.25">
      <c r="B49" s="1505" t="s">
        <v>503</v>
      </c>
      <c r="C49" s="1506" t="s">
        <v>504</v>
      </c>
      <c r="D49" s="1506">
        <v>4.0000000000000002E-4</v>
      </c>
      <c r="E49" s="1508">
        <v>0</v>
      </c>
      <c r="F49" s="1508">
        <v>1</v>
      </c>
      <c r="G49" s="1506" t="s">
        <v>498</v>
      </c>
      <c r="H49" s="1509"/>
      <c r="I49" s="1509"/>
      <c r="J49" s="1506"/>
    </row>
    <row r="50" spans="2:12" ht="18" x14ac:dyDescent="0.25">
      <c r="B50" s="1505" t="s">
        <v>3155</v>
      </c>
      <c r="C50" s="1506" t="s">
        <v>3156</v>
      </c>
      <c r="D50" s="1506">
        <v>1200</v>
      </c>
      <c r="E50" s="1508"/>
      <c r="F50" s="1508"/>
      <c r="G50" s="1506" t="s">
        <v>783</v>
      </c>
      <c r="H50" s="1509"/>
      <c r="I50" s="1509"/>
      <c r="J50" s="1506"/>
    </row>
    <row r="51" spans="2:12" ht="18" x14ac:dyDescent="0.25">
      <c r="B51" s="1505" t="s">
        <v>3157</v>
      </c>
      <c r="C51" s="1506" t="s">
        <v>3158</v>
      </c>
      <c r="D51" s="1506">
        <v>101325</v>
      </c>
      <c r="E51" s="1508">
        <v>0</v>
      </c>
      <c r="F51" s="1508"/>
      <c r="G51" s="1506" t="s">
        <v>784</v>
      </c>
      <c r="H51" s="1509"/>
      <c r="I51" s="1509"/>
      <c r="J51" s="1506"/>
    </row>
    <row r="52" spans="2:12" ht="18" x14ac:dyDescent="0.25">
      <c r="B52" s="1505" t="s">
        <v>3937</v>
      </c>
      <c r="C52" s="1506" t="s">
        <v>3159</v>
      </c>
      <c r="D52" s="1506">
        <v>101325</v>
      </c>
      <c r="E52" s="1508">
        <v>0</v>
      </c>
      <c r="F52" s="1508"/>
      <c r="G52" s="1506" t="s">
        <v>784</v>
      </c>
      <c r="H52" s="1509"/>
      <c r="I52" s="1509"/>
      <c r="J52" s="1506"/>
    </row>
    <row r="54" spans="2:12" ht="15.75" thickBot="1" x14ac:dyDescent="0.3">
      <c r="C54" s="1742" t="s">
        <v>4451</v>
      </c>
    </row>
    <row r="55" spans="2:12" ht="15.75" thickBot="1" x14ac:dyDescent="0.3">
      <c r="B55" s="1743" t="s">
        <v>0</v>
      </c>
      <c r="C55" s="1744" t="s">
        <v>1</v>
      </c>
      <c r="D55" s="1745" t="s">
        <v>152</v>
      </c>
      <c r="E55" s="1745" t="s">
        <v>470</v>
      </c>
      <c r="F55" s="1745" t="s">
        <v>471</v>
      </c>
      <c r="G55" s="1745" t="s">
        <v>2</v>
      </c>
      <c r="H55" s="1745" t="s">
        <v>298</v>
      </c>
      <c r="I55" s="1745" t="s">
        <v>116</v>
      </c>
      <c r="J55" s="1746" t="s">
        <v>117</v>
      </c>
    </row>
    <row r="56" spans="2:12" ht="18" x14ac:dyDescent="0.25">
      <c r="B56" s="1505" t="s">
        <v>3160</v>
      </c>
      <c r="C56" s="1506" t="s">
        <v>3161</v>
      </c>
      <c r="D56" s="1506">
        <v>1</v>
      </c>
      <c r="E56" s="1508">
        <v>0</v>
      </c>
      <c r="F56" s="1508">
        <v>1</v>
      </c>
      <c r="G56" s="1506" t="s">
        <v>3162</v>
      </c>
      <c r="H56" s="1509"/>
      <c r="I56" s="1509"/>
      <c r="J56" s="1506" t="s">
        <v>3163</v>
      </c>
    </row>
    <row r="58" spans="2:12" ht="15.75" thickBot="1" x14ac:dyDescent="0.3">
      <c r="C58" s="1742" t="s">
        <v>505</v>
      </c>
    </row>
    <row r="59" spans="2:12" ht="15.75" thickBot="1" x14ac:dyDescent="0.3">
      <c r="B59" s="1743" t="s">
        <v>0</v>
      </c>
      <c r="C59" s="1744" t="s">
        <v>1</v>
      </c>
      <c r="D59" s="1745" t="s">
        <v>152</v>
      </c>
      <c r="E59" s="1745" t="s">
        <v>470</v>
      </c>
      <c r="F59" s="1745" t="s">
        <v>471</v>
      </c>
      <c r="G59" s="1745" t="s">
        <v>2</v>
      </c>
      <c r="H59" s="1745" t="s">
        <v>298</v>
      </c>
      <c r="I59" s="1745" t="s">
        <v>116</v>
      </c>
      <c r="J59" s="1746" t="s">
        <v>117</v>
      </c>
    </row>
    <row r="60" spans="2:12" ht="17.25" x14ac:dyDescent="0.25">
      <c r="B60" s="1505" t="s">
        <v>506</v>
      </c>
      <c r="C60" s="1506" t="s">
        <v>507</v>
      </c>
      <c r="D60" s="1506">
        <v>8.3144721500000003</v>
      </c>
      <c r="E60" s="1508"/>
      <c r="F60" s="1508"/>
      <c r="G60" s="1506" t="s">
        <v>508</v>
      </c>
      <c r="H60" s="1509"/>
      <c r="I60" s="1509"/>
      <c r="J60" s="1506"/>
    </row>
    <row r="61" spans="2:12" ht="18" x14ac:dyDescent="0.25">
      <c r="B61" s="1505" t="s">
        <v>1580</v>
      </c>
      <c r="C61" s="1506" t="s">
        <v>1581</v>
      </c>
      <c r="D61" s="1506">
        <v>287.10199999999998</v>
      </c>
      <c r="E61" s="1508"/>
      <c r="F61" s="1508"/>
      <c r="G61" s="1506" t="s">
        <v>1582</v>
      </c>
      <c r="H61" s="1509"/>
      <c r="I61" s="1509"/>
      <c r="J61" s="1506"/>
    </row>
    <row r="62" spans="2:12" ht="18" x14ac:dyDescent="0.25">
      <c r="B62" s="1505" t="s">
        <v>2372</v>
      </c>
      <c r="C62" s="1506" t="s">
        <v>2373</v>
      </c>
      <c r="D62" s="1506" t="e">
        <f>(T_STP_K*R__)/p_N</f>
        <v>#NAME?</v>
      </c>
      <c r="E62" s="1508"/>
      <c r="F62" s="1508"/>
      <c r="G62" s="1506" t="s">
        <v>2374</v>
      </c>
      <c r="H62" s="1509"/>
      <c r="I62" s="1509"/>
      <c r="J62" s="1506"/>
    </row>
    <row r="63" spans="2:12" x14ac:dyDescent="0.25">
      <c r="B63" s="1505" t="s">
        <v>1583</v>
      </c>
      <c r="C63" s="1506" t="s">
        <v>3387</v>
      </c>
      <c r="D63" s="1506">
        <v>1.4</v>
      </c>
      <c r="E63" s="1508"/>
      <c r="F63" s="1508"/>
      <c r="G63" s="1506" t="s">
        <v>282</v>
      </c>
      <c r="H63" s="1509"/>
      <c r="I63" s="1509"/>
      <c r="J63" s="1506"/>
      <c r="L63" s="1504">
        <v>2.24139952407846E-2</v>
      </c>
    </row>
    <row r="64" spans="2:12" ht="17.25" x14ac:dyDescent="0.25">
      <c r="B64" s="1505" t="s">
        <v>509</v>
      </c>
      <c r="C64" s="1506" t="s">
        <v>510</v>
      </c>
      <c r="D64" s="1506">
        <v>96485.339924</v>
      </c>
      <c r="E64" s="1508"/>
      <c r="F64" s="1508"/>
      <c r="G64" s="1506" t="s">
        <v>511</v>
      </c>
      <c r="H64" s="1509"/>
      <c r="I64" s="1509"/>
      <c r="J64" s="1506"/>
    </row>
    <row r="65" spans="2:10" ht="18" x14ac:dyDescent="0.25">
      <c r="B65" s="1505" t="s">
        <v>512</v>
      </c>
      <c r="C65" s="1506" t="s">
        <v>513</v>
      </c>
      <c r="D65" s="1506">
        <v>9.8066499999999994</v>
      </c>
      <c r="E65" s="1508"/>
      <c r="F65" s="1508"/>
      <c r="G65" s="1506" t="s">
        <v>514</v>
      </c>
      <c r="H65" s="1509"/>
      <c r="I65" s="1509"/>
      <c r="J65" s="1506"/>
    </row>
    <row r="66" spans="2:10" ht="18" x14ac:dyDescent="0.25">
      <c r="B66" s="1505" t="s">
        <v>913</v>
      </c>
      <c r="C66" s="1506" t="s">
        <v>914</v>
      </c>
      <c r="D66" s="1506">
        <v>4.1813000000000002</v>
      </c>
      <c r="E66" s="1508"/>
      <c r="F66" s="1508"/>
      <c r="G66" s="1506" t="s">
        <v>3322</v>
      </c>
      <c r="H66" s="1509"/>
      <c r="I66" s="1509"/>
      <c r="J66" s="1506"/>
    </row>
    <row r="67" spans="2:10" ht="18" x14ac:dyDescent="0.25">
      <c r="B67" s="1505" t="s">
        <v>3164</v>
      </c>
      <c r="C67" s="1506" t="s">
        <v>3165</v>
      </c>
      <c r="D67" s="1506">
        <v>298.14999999999998</v>
      </c>
      <c r="E67" s="1508"/>
      <c r="F67" s="1508"/>
      <c r="G67" s="1506" t="s">
        <v>474</v>
      </c>
      <c r="H67" s="1509"/>
      <c r="I67" s="1509"/>
      <c r="J67" s="1506" t="s">
        <v>3166</v>
      </c>
    </row>
    <row r="68" spans="2:10" ht="18" x14ac:dyDescent="0.25">
      <c r="B68" s="1505" t="s">
        <v>3167</v>
      </c>
      <c r="C68" s="1506" t="s">
        <v>3168</v>
      </c>
      <c r="D68" s="1506">
        <v>293.14999999999998</v>
      </c>
      <c r="E68" s="1508"/>
      <c r="F68" s="1508"/>
      <c r="G68" s="1506" t="s">
        <v>474</v>
      </c>
      <c r="H68" s="1509"/>
      <c r="I68" s="1509"/>
      <c r="J68" s="1506" t="s">
        <v>3169</v>
      </c>
    </row>
    <row r="69" spans="2:10" ht="18" x14ac:dyDescent="0.25">
      <c r="B69" s="1505" t="s">
        <v>3170</v>
      </c>
      <c r="C69" s="1506" t="s">
        <v>3171</v>
      </c>
      <c r="D69" s="1506">
        <v>273.14999999999998</v>
      </c>
      <c r="E69" s="1508"/>
      <c r="F69" s="1508"/>
      <c r="G69" s="1506" t="s">
        <v>474</v>
      </c>
      <c r="H69" s="1509"/>
      <c r="I69" s="1509"/>
      <c r="J69" s="1506" t="s">
        <v>3172</v>
      </c>
    </row>
    <row r="70" spans="2:10" ht="18" x14ac:dyDescent="0.25">
      <c r="B70" s="1505" t="s">
        <v>3173</v>
      </c>
      <c r="C70" s="1506" t="s">
        <v>1204</v>
      </c>
      <c r="D70" s="1506">
        <v>0</v>
      </c>
      <c r="E70" s="1508"/>
      <c r="F70" s="1508"/>
      <c r="G70" s="1506" t="s">
        <v>2984</v>
      </c>
      <c r="H70" s="1509"/>
      <c r="I70" s="1509"/>
      <c r="J70" s="1506" t="s">
        <v>1584</v>
      </c>
    </row>
    <row r="72" spans="2:10" ht="15.75" thickBot="1" x14ac:dyDescent="0.3">
      <c r="C72" s="1742" t="s">
        <v>515</v>
      </c>
    </row>
    <row r="73" spans="2:10" ht="15.75" thickBot="1" x14ac:dyDescent="0.3">
      <c r="B73" s="1743" t="s">
        <v>0</v>
      </c>
      <c r="C73" s="1744" t="s">
        <v>1</v>
      </c>
      <c r="D73" s="1745" t="s">
        <v>152</v>
      </c>
      <c r="E73" s="1745" t="s">
        <v>470</v>
      </c>
      <c r="F73" s="1745" t="s">
        <v>471</v>
      </c>
      <c r="G73" s="1745" t="s">
        <v>2</v>
      </c>
      <c r="H73" s="1745" t="s">
        <v>298</v>
      </c>
      <c r="I73" s="1745" t="s">
        <v>116</v>
      </c>
      <c r="J73" s="1746" t="s">
        <v>117</v>
      </c>
    </row>
    <row r="74" spans="2:10" x14ac:dyDescent="0.25">
      <c r="B74" s="1505" t="s">
        <v>516</v>
      </c>
      <c r="C74" s="1506" t="s">
        <v>517</v>
      </c>
      <c r="D74" s="1506">
        <v>3.1415926500000002</v>
      </c>
      <c r="E74" s="1508"/>
      <c r="F74" s="1508"/>
      <c r="G74" s="1506" t="s">
        <v>282</v>
      </c>
      <c r="H74" s="1509"/>
      <c r="I74" s="1509"/>
      <c r="J74" s="1506"/>
    </row>
    <row r="76" spans="2:10" ht="15.75" thickBot="1" x14ac:dyDescent="0.3">
      <c r="C76" s="1742" t="s">
        <v>518</v>
      </c>
    </row>
    <row r="77" spans="2:10" ht="15.75" thickBot="1" x14ac:dyDescent="0.3">
      <c r="B77" s="1743" t="s">
        <v>0</v>
      </c>
      <c r="C77" s="1744" t="s">
        <v>1</v>
      </c>
      <c r="D77" s="1745" t="s">
        <v>152</v>
      </c>
      <c r="E77" s="1745" t="s">
        <v>470</v>
      </c>
      <c r="F77" s="1745" t="s">
        <v>471</v>
      </c>
      <c r="G77" s="1745" t="s">
        <v>2</v>
      </c>
      <c r="H77" s="1745" t="s">
        <v>298</v>
      </c>
      <c r="I77" s="1745" t="s">
        <v>116</v>
      </c>
      <c r="J77" s="1746" t="s">
        <v>117</v>
      </c>
    </row>
    <row r="78" spans="2:10" ht="18" hidden="1" outlineLevel="1" x14ac:dyDescent="0.25">
      <c r="B78" s="1505" t="s">
        <v>368</v>
      </c>
      <c r="C78" s="1506" t="s">
        <v>271</v>
      </c>
      <c r="D78" s="1506">
        <v>1.0079400000000001</v>
      </c>
      <c r="E78" s="1508"/>
      <c r="F78" s="1508"/>
      <c r="G78" s="1506" t="s">
        <v>360</v>
      </c>
      <c r="H78" s="1509"/>
      <c r="I78" s="1509"/>
      <c r="J78" s="1506"/>
    </row>
    <row r="79" spans="2:10" ht="18" hidden="1" outlineLevel="1" x14ac:dyDescent="0.25">
      <c r="B79" s="1505" t="s">
        <v>519</v>
      </c>
      <c r="C79" s="1506" t="s">
        <v>520</v>
      </c>
      <c r="D79" s="1506">
        <v>4.0026020000000004</v>
      </c>
      <c r="E79" s="1508"/>
      <c r="F79" s="1508"/>
      <c r="G79" s="1506" t="s">
        <v>360</v>
      </c>
      <c r="H79" s="1509"/>
      <c r="I79" s="1509"/>
      <c r="J79" s="1506"/>
    </row>
    <row r="80" spans="2:10" ht="18" hidden="1" outlineLevel="1" x14ac:dyDescent="0.25">
      <c r="B80" s="1505" t="s">
        <v>521</v>
      </c>
      <c r="C80" s="1506" t="s">
        <v>522</v>
      </c>
      <c r="D80" s="1506">
        <v>6.9409999999999998</v>
      </c>
      <c r="E80" s="1508"/>
      <c r="F80" s="1508"/>
      <c r="G80" s="1506" t="s">
        <v>360</v>
      </c>
      <c r="H80" s="1509"/>
      <c r="I80" s="1509"/>
      <c r="J80" s="1506"/>
    </row>
    <row r="81" spans="2:10" ht="18" hidden="1" outlineLevel="1" x14ac:dyDescent="0.25">
      <c r="B81" s="1505" t="s">
        <v>523</v>
      </c>
      <c r="C81" s="1506" t="s">
        <v>524</v>
      </c>
      <c r="D81" s="1506">
        <v>9.0121819999999992</v>
      </c>
      <c r="E81" s="1508"/>
      <c r="F81" s="1508"/>
      <c r="G81" s="1506" t="s">
        <v>360</v>
      </c>
      <c r="H81" s="1509"/>
      <c r="I81" s="1509"/>
      <c r="J81" s="1506"/>
    </row>
    <row r="82" spans="2:10" ht="18" hidden="1" outlineLevel="1" x14ac:dyDescent="0.25">
      <c r="B82" s="1505" t="s">
        <v>525</v>
      </c>
      <c r="C82" s="1506" t="s">
        <v>526</v>
      </c>
      <c r="D82" s="1506">
        <v>10.811</v>
      </c>
      <c r="E82" s="1508"/>
      <c r="F82" s="1508"/>
      <c r="G82" s="1506" t="s">
        <v>360</v>
      </c>
      <c r="H82" s="1509"/>
      <c r="I82" s="1509"/>
      <c r="J82" s="1506"/>
    </row>
    <row r="83" spans="2:10" ht="18" hidden="1" outlineLevel="1" x14ac:dyDescent="0.25">
      <c r="B83" s="1505" t="s">
        <v>359</v>
      </c>
      <c r="C83" s="1506" t="s">
        <v>278</v>
      </c>
      <c r="D83" s="1506">
        <v>12.0107</v>
      </c>
      <c r="E83" s="1508"/>
      <c r="F83" s="1508"/>
      <c r="G83" s="1506" t="s">
        <v>360</v>
      </c>
      <c r="H83" s="1509"/>
      <c r="I83" s="1509"/>
      <c r="J83" s="1506"/>
    </row>
    <row r="84" spans="2:10" ht="18" hidden="1" outlineLevel="1" x14ac:dyDescent="0.25">
      <c r="B84" s="1505" t="s">
        <v>362</v>
      </c>
      <c r="C84" s="1506" t="s">
        <v>262</v>
      </c>
      <c r="D84" s="1506">
        <v>14.0067</v>
      </c>
      <c r="E84" s="1508"/>
      <c r="F84" s="1508"/>
      <c r="G84" s="1506" t="s">
        <v>360</v>
      </c>
      <c r="H84" s="1509"/>
      <c r="I84" s="1509"/>
      <c r="J84" s="1506"/>
    </row>
    <row r="85" spans="2:10" ht="18" hidden="1" outlineLevel="1" x14ac:dyDescent="0.25">
      <c r="B85" s="1505" t="s">
        <v>363</v>
      </c>
      <c r="C85" s="1506" t="s">
        <v>261</v>
      </c>
      <c r="D85" s="1506">
        <v>15.9994</v>
      </c>
      <c r="E85" s="1508"/>
      <c r="F85" s="1508"/>
      <c r="G85" s="1506" t="s">
        <v>360</v>
      </c>
      <c r="H85" s="1509"/>
      <c r="I85" s="1509"/>
      <c r="J85" s="1506"/>
    </row>
    <row r="86" spans="2:10" ht="18" hidden="1" outlineLevel="1" x14ac:dyDescent="0.25">
      <c r="B86" s="1505" t="s">
        <v>527</v>
      </c>
      <c r="C86" s="1506" t="s">
        <v>528</v>
      </c>
      <c r="D86" s="1506">
        <v>18.998403</v>
      </c>
      <c r="E86" s="1508"/>
      <c r="F86" s="1508"/>
      <c r="G86" s="1506" t="s">
        <v>360</v>
      </c>
      <c r="H86" s="1509"/>
      <c r="I86" s="1509"/>
      <c r="J86" s="1506"/>
    </row>
    <row r="87" spans="2:10" ht="18" hidden="1" outlineLevel="1" x14ac:dyDescent="0.25">
      <c r="B87" s="1505" t="s">
        <v>529</v>
      </c>
      <c r="C87" s="1506" t="s">
        <v>530</v>
      </c>
      <c r="D87" s="1506">
        <v>20.1797</v>
      </c>
      <c r="E87" s="1508"/>
      <c r="F87" s="1508"/>
      <c r="G87" s="1506" t="s">
        <v>360</v>
      </c>
      <c r="H87" s="1509"/>
      <c r="I87" s="1509"/>
      <c r="J87" s="1506"/>
    </row>
    <row r="88" spans="2:10" ht="18" hidden="1" outlineLevel="1" x14ac:dyDescent="0.25">
      <c r="B88" s="1505" t="s">
        <v>369</v>
      </c>
      <c r="C88" s="1506" t="s">
        <v>291</v>
      </c>
      <c r="D88" s="1506">
        <v>22.989768999999999</v>
      </c>
      <c r="E88" s="1508"/>
      <c r="F88" s="1508"/>
      <c r="G88" s="1506" t="s">
        <v>360</v>
      </c>
      <c r="H88" s="1509"/>
      <c r="I88" s="1509"/>
      <c r="J88" s="1506"/>
    </row>
    <row r="89" spans="2:10" ht="18" hidden="1" outlineLevel="1" x14ac:dyDescent="0.25">
      <c r="B89" s="1505" t="s">
        <v>531</v>
      </c>
      <c r="C89" s="1506" t="s">
        <v>532</v>
      </c>
      <c r="D89" s="1506">
        <v>24.305</v>
      </c>
      <c r="E89" s="1508"/>
      <c r="F89" s="1508"/>
      <c r="G89" s="1506" t="s">
        <v>360</v>
      </c>
      <c r="H89" s="1509"/>
      <c r="I89" s="1509"/>
      <c r="J89" s="1506"/>
    </row>
    <row r="90" spans="2:10" ht="18" hidden="1" outlineLevel="1" x14ac:dyDescent="0.25">
      <c r="B90" s="1505" t="s">
        <v>367</v>
      </c>
      <c r="C90" s="1506" t="s">
        <v>265</v>
      </c>
      <c r="D90" s="1506">
        <v>26.9815</v>
      </c>
      <c r="E90" s="1508"/>
      <c r="F90" s="1508"/>
      <c r="G90" s="1506" t="s">
        <v>360</v>
      </c>
      <c r="H90" s="1509"/>
      <c r="I90" s="1509"/>
      <c r="J90" s="1506"/>
    </row>
    <row r="91" spans="2:10" ht="18" hidden="1" outlineLevel="1" x14ac:dyDescent="0.25">
      <c r="B91" s="1505" t="s">
        <v>533</v>
      </c>
      <c r="C91" s="1506" t="s">
        <v>534</v>
      </c>
      <c r="D91" s="1506">
        <v>28.0855</v>
      </c>
      <c r="E91" s="1508"/>
      <c r="F91" s="1508"/>
      <c r="G91" s="1506" t="s">
        <v>360</v>
      </c>
      <c r="H91" s="1509"/>
      <c r="I91" s="1509"/>
      <c r="J91" s="1506"/>
    </row>
    <row r="92" spans="2:10" ht="18" hidden="1" outlineLevel="1" x14ac:dyDescent="0.25">
      <c r="B92" s="1505" t="s">
        <v>361</v>
      </c>
      <c r="C92" s="1506" t="s">
        <v>266</v>
      </c>
      <c r="D92" s="1506">
        <v>30.973762199999999</v>
      </c>
      <c r="E92" s="1508"/>
      <c r="F92" s="1508"/>
      <c r="G92" s="1506" t="s">
        <v>360</v>
      </c>
      <c r="H92" s="1509"/>
      <c r="I92" s="1509"/>
      <c r="J92" s="1506"/>
    </row>
    <row r="93" spans="2:10" ht="18" hidden="1" outlineLevel="1" x14ac:dyDescent="0.25">
      <c r="B93" s="1505" t="s">
        <v>535</v>
      </c>
      <c r="C93" s="1506" t="s">
        <v>536</v>
      </c>
      <c r="D93" s="1506">
        <v>32.064999999999998</v>
      </c>
      <c r="E93" s="1508"/>
      <c r="F93" s="1508"/>
      <c r="G93" s="1506" t="s">
        <v>360</v>
      </c>
      <c r="H93" s="1509"/>
      <c r="I93" s="1509"/>
      <c r="J93" s="1506"/>
    </row>
    <row r="94" spans="2:10" ht="18" hidden="1" outlineLevel="1" x14ac:dyDescent="0.25">
      <c r="B94" s="1505" t="s">
        <v>370</v>
      </c>
      <c r="C94" s="1506" t="s">
        <v>371</v>
      </c>
      <c r="D94" s="1506">
        <v>35.453000000000003</v>
      </c>
      <c r="E94" s="1508"/>
      <c r="F94" s="1508"/>
      <c r="G94" s="1506" t="s">
        <v>360</v>
      </c>
      <c r="H94" s="1509"/>
      <c r="I94" s="1509"/>
      <c r="J94" s="1506"/>
    </row>
    <row r="95" spans="2:10" ht="18" hidden="1" outlineLevel="1" x14ac:dyDescent="0.25">
      <c r="B95" s="1505" t="s">
        <v>537</v>
      </c>
      <c r="C95" s="1506" t="s">
        <v>538</v>
      </c>
      <c r="D95" s="1506">
        <v>39.948</v>
      </c>
      <c r="E95" s="1508"/>
      <c r="F95" s="1508"/>
      <c r="G95" s="1506" t="s">
        <v>360</v>
      </c>
      <c r="H95" s="1509"/>
      <c r="I95" s="1509"/>
      <c r="J95" s="1506"/>
    </row>
    <row r="96" spans="2:10" ht="18" hidden="1" outlineLevel="1" x14ac:dyDescent="0.25">
      <c r="B96" s="1505" t="s">
        <v>539</v>
      </c>
      <c r="C96" s="1506" t="s">
        <v>540</v>
      </c>
      <c r="D96" s="1506">
        <v>39.098300000000002</v>
      </c>
      <c r="E96" s="1508"/>
      <c r="F96" s="1508"/>
      <c r="G96" s="1506" t="s">
        <v>360</v>
      </c>
      <c r="H96" s="1509"/>
      <c r="I96" s="1509"/>
      <c r="J96" s="1506"/>
    </row>
    <row r="97" spans="2:10" ht="18" hidden="1" outlineLevel="1" x14ac:dyDescent="0.25">
      <c r="B97" s="1505" t="s">
        <v>364</v>
      </c>
      <c r="C97" s="1506" t="s">
        <v>365</v>
      </c>
      <c r="D97" s="1506">
        <v>40.078000000000003</v>
      </c>
      <c r="E97" s="1508"/>
      <c r="F97" s="1508"/>
      <c r="G97" s="1506" t="s">
        <v>360</v>
      </c>
      <c r="H97" s="1509"/>
      <c r="I97" s="1509"/>
      <c r="J97" s="1506"/>
    </row>
    <row r="98" spans="2:10" ht="18" hidden="1" outlineLevel="1" x14ac:dyDescent="0.25">
      <c r="B98" s="1505" t="s">
        <v>541</v>
      </c>
      <c r="C98" s="1506" t="s">
        <v>542</v>
      </c>
      <c r="D98" s="1506">
        <v>44.955911999999998</v>
      </c>
      <c r="E98" s="1508"/>
      <c r="F98" s="1508"/>
      <c r="G98" s="1506" t="s">
        <v>360</v>
      </c>
      <c r="H98" s="1509"/>
      <c r="I98" s="1509"/>
      <c r="J98" s="1506"/>
    </row>
    <row r="99" spans="2:10" ht="18" hidden="1" outlineLevel="1" x14ac:dyDescent="0.25">
      <c r="B99" s="1505" t="s">
        <v>543</v>
      </c>
      <c r="C99" s="1506" t="s">
        <v>544</v>
      </c>
      <c r="D99" s="1506">
        <v>47.866999999999997</v>
      </c>
      <c r="E99" s="1508"/>
      <c r="F99" s="1508"/>
      <c r="G99" s="1506" t="s">
        <v>360</v>
      </c>
      <c r="H99" s="1509"/>
      <c r="I99" s="1509"/>
      <c r="J99" s="1506"/>
    </row>
    <row r="100" spans="2:10" ht="18" hidden="1" outlineLevel="1" x14ac:dyDescent="0.25">
      <c r="B100" s="1505" t="s">
        <v>545</v>
      </c>
      <c r="C100" s="1506" t="s">
        <v>546</v>
      </c>
      <c r="D100" s="1506">
        <v>50.941499999999998</v>
      </c>
      <c r="E100" s="1508"/>
      <c r="F100" s="1508"/>
      <c r="G100" s="1506" t="s">
        <v>360</v>
      </c>
      <c r="H100" s="1509"/>
      <c r="I100" s="1509"/>
      <c r="J100" s="1506"/>
    </row>
    <row r="101" spans="2:10" ht="18" hidden="1" outlineLevel="1" x14ac:dyDescent="0.25">
      <c r="B101" s="1505" t="s">
        <v>547</v>
      </c>
      <c r="C101" s="1506" t="s">
        <v>548</v>
      </c>
      <c r="D101" s="1506">
        <v>51.996099999999998</v>
      </c>
      <c r="E101" s="1508"/>
      <c r="F101" s="1508"/>
      <c r="G101" s="1506" t="s">
        <v>360</v>
      </c>
      <c r="H101" s="1509"/>
      <c r="I101" s="1509"/>
      <c r="J101" s="1506"/>
    </row>
    <row r="102" spans="2:10" ht="18" hidden="1" outlineLevel="1" x14ac:dyDescent="0.25">
      <c r="B102" s="1505" t="s">
        <v>549</v>
      </c>
      <c r="C102" s="1506" t="s">
        <v>550</v>
      </c>
      <c r="D102" s="1506">
        <v>54.938045000000002</v>
      </c>
      <c r="E102" s="1508"/>
      <c r="F102" s="1508"/>
      <c r="G102" s="1506" t="s">
        <v>360</v>
      </c>
      <c r="H102" s="1509"/>
      <c r="I102" s="1509"/>
      <c r="J102" s="1506"/>
    </row>
    <row r="103" spans="2:10" ht="18" hidden="1" outlineLevel="1" x14ac:dyDescent="0.25">
      <c r="B103" s="1505" t="s">
        <v>366</v>
      </c>
      <c r="C103" s="1506" t="s">
        <v>264</v>
      </c>
      <c r="D103" s="1506">
        <v>55.844999999999999</v>
      </c>
      <c r="E103" s="1508"/>
      <c r="F103" s="1508"/>
      <c r="G103" s="1506" t="s">
        <v>360</v>
      </c>
      <c r="H103" s="1509"/>
      <c r="I103" s="1509"/>
      <c r="J103" s="1506"/>
    </row>
    <row r="104" spans="2:10" ht="18" hidden="1" outlineLevel="1" x14ac:dyDescent="0.25">
      <c r="B104" s="1505" t="s">
        <v>551</v>
      </c>
      <c r="C104" s="1506" t="s">
        <v>552</v>
      </c>
      <c r="D104" s="1506">
        <v>58.933194999999998</v>
      </c>
      <c r="E104" s="1508"/>
      <c r="F104" s="1508"/>
      <c r="G104" s="1506" t="s">
        <v>360</v>
      </c>
      <c r="H104" s="1509"/>
      <c r="I104" s="1509"/>
      <c r="J104" s="1506"/>
    </row>
    <row r="105" spans="2:10" ht="18" hidden="1" outlineLevel="1" x14ac:dyDescent="0.25">
      <c r="B105" s="1505" t="s">
        <v>553</v>
      </c>
      <c r="C105" s="1506" t="s">
        <v>554</v>
      </c>
      <c r="D105" s="1506">
        <v>58.693399999999997</v>
      </c>
      <c r="E105" s="1508"/>
      <c r="F105" s="1508"/>
      <c r="G105" s="1506" t="s">
        <v>360</v>
      </c>
      <c r="H105" s="1509"/>
      <c r="I105" s="1509"/>
      <c r="J105" s="1506"/>
    </row>
    <row r="106" spans="2:10" ht="18" hidden="1" outlineLevel="1" x14ac:dyDescent="0.25">
      <c r="B106" s="1505" t="s">
        <v>555</v>
      </c>
      <c r="C106" s="1506" t="s">
        <v>556</v>
      </c>
      <c r="D106" s="1506">
        <v>63.545999999999999</v>
      </c>
      <c r="E106" s="1508"/>
      <c r="F106" s="1508"/>
      <c r="G106" s="1506" t="s">
        <v>360</v>
      </c>
      <c r="H106" s="1509"/>
      <c r="I106" s="1509"/>
      <c r="J106" s="1506"/>
    </row>
    <row r="107" spans="2:10" ht="18" hidden="1" outlineLevel="1" x14ac:dyDescent="0.25">
      <c r="B107" s="1505" t="s">
        <v>557</v>
      </c>
      <c r="C107" s="1506" t="s">
        <v>558</v>
      </c>
      <c r="D107" s="1506">
        <v>65.38</v>
      </c>
      <c r="E107" s="1508"/>
      <c r="F107" s="1508"/>
      <c r="G107" s="1506" t="s">
        <v>360</v>
      </c>
      <c r="H107" s="1509"/>
      <c r="I107" s="1509"/>
      <c r="J107" s="1506"/>
    </row>
    <row r="108" spans="2:10" ht="18" hidden="1" outlineLevel="1" x14ac:dyDescent="0.25">
      <c r="B108" s="1505" t="s">
        <v>559</v>
      </c>
      <c r="C108" s="1506" t="s">
        <v>560</v>
      </c>
      <c r="D108" s="1506">
        <v>69.722999999999999</v>
      </c>
      <c r="E108" s="1508"/>
      <c r="F108" s="1508"/>
      <c r="G108" s="1506" t="s">
        <v>360</v>
      </c>
      <c r="H108" s="1509"/>
      <c r="I108" s="1509"/>
      <c r="J108" s="1506"/>
    </row>
    <row r="109" spans="2:10" ht="18" hidden="1" outlineLevel="1" x14ac:dyDescent="0.25">
      <c r="B109" s="1505" t="s">
        <v>561</v>
      </c>
      <c r="C109" s="1506" t="s">
        <v>562</v>
      </c>
      <c r="D109" s="1506">
        <v>72.64</v>
      </c>
      <c r="E109" s="1508"/>
      <c r="F109" s="1508"/>
      <c r="G109" s="1506" t="s">
        <v>360</v>
      </c>
      <c r="H109" s="1509"/>
      <c r="I109" s="1509"/>
      <c r="J109" s="1506"/>
    </row>
    <row r="110" spans="2:10" ht="18" hidden="1" outlineLevel="1" x14ac:dyDescent="0.25">
      <c r="B110" s="1505" t="s">
        <v>563</v>
      </c>
      <c r="C110" s="1506" t="s">
        <v>564</v>
      </c>
      <c r="D110" s="1506">
        <v>74.921599999999998</v>
      </c>
      <c r="E110" s="1508"/>
      <c r="F110" s="1508"/>
      <c r="G110" s="1506" t="s">
        <v>360</v>
      </c>
      <c r="H110" s="1509"/>
      <c r="I110" s="1509"/>
      <c r="J110" s="1506"/>
    </row>
    <row r="111" spans="2:10" ht="18" hidden="1" outlineLevel="1" x14ac:dyDescent="0.25">
      <c r="B111" s="1505" t="s">
        <v>565</v>
      </c>
      <c r="C111" s="1506" t="s">
        <v>566</v>
      </c>
      <c r="D111" s="1506">
        <v>78.959999999999994</v>
      </c>
      <c r="E111" s="1508"/>
      <c r="F111" s="1508"/>
      <c r="G111" s="1506" t="s">
        <v>360</v>
      </c>
      <c r="H111" s="1509"/>
      <c r="I111" s="1509"/>
      <c r="J111" s="1506"/>
    </row>
    <row r="112" spans="2:10" ht="18" hidden="1" outlineLevel="1" x14ac:dyDescent="0.25">
      <c r="B112" s="1505" t="s">
        <v>567</v>
      </c>
      <c r="C112" s="1506" t="s">
        <v>568</v>
      </c>
      <c r="D112" s="1506">
        <v>79.903999999999996</v>
      </c>
      <c r="E112" s="1508"/>
      <c r="F112" s="1508"/>
      <c r="G112" s="1506" t="s">
        <v>360</v>
      </c>
      <c r="H112" s="1509"/>
      <c r="I112" s="1509"/>
      <c r="J112" s="1506"/>
    </row>
    <row r="113" spans="2:10" ht="18" hidden="1" outlineLevel="1" x14ac:dyDescent="0.25">
      <c r="B113" s="1505" t="s">
        <v>569</v>
      </c>
      <c r="C113" s="1506" t="s">
        <v>570</v>
      </c>
      <c r="D113" s="1506">
        <v>83.798000000000002</v>
      </c>
      <c r="E113" s="1508"/>
      <c r="F113" s="1508"/>
      <c r="G113" s="1506" t="s">
        <v>360</v>
      </c>
      <c r="H113" s="1509"/>
      <c r="I113" s="1509"/>
      <c r="J113" s="1506"/>
    </row>
    <row r="114" spans="2:10" ht="18" hidden="1" outlineLevel="1" x14ac:dyDescent="0.25">
      <c r="B114" s="1505" t="s">
        <v>571</v>
      </c>
      <c r="C114" s="1506" t="s">
        <v>572</v>
      </c>
      <c r="D114" s="1506">
        <v>85.467799999999997</v>
      </c>
      <c r="E114" s="1508"/>
      <c r="F114" s="1508"/>
      <c r="G114" s="1506" t="s">
        <v>360</v>
      </c>
      <c r="H114" s="1509"/>
      <c r="I114" s="1509"/>
      <c r="J114" s="1506"/>
    </row>
    <row r="115" spans="2:10" ht="18" hidden="1" outlineLevel="1" x14ac:dyDescent="0.25">
      <c r="B115" s="1505" t="s">
        <v>573</v>
      </c>
      <c r="C115" s="1506" t="s">
        <v>574</v>
      </c>
      <c r="D115" s="1506">
        <v>87.62</v>
      </c>
      <c r="E115" s="1508"/>
      <c r="F115" s="1508"/>
      <c r="G115" s="1506" t="s">
        <v>360</v>
      </c>
      <c r="H115" s="1509"/>
      <c r="I115" s="1509"/>
      <c r="J115" s="1506"/>
    </row>
    <row r="116" spans="2:10" ht="18" hidden="1" outlineLevel="1" x14ac:dyDescent="0.25">
      <c r="B116" s="1505" t="s">
        <v>575</v>
      </c>
      <c r="C116" s="1506" t="s">
        <v>576</v>
      </c>
      <c r="D116" s="1506">
        <v>88.905850000000001</v>
      </c>
      <c r="E116" s="1508"/>
      <c r="F116" s="1508"/>
      <c r="G116" s="1506" t="s">
        <v>360</v>
      </c>
      <c r="H116" s="1509"/>
      <c r="I116" s="1509"/>
      <c r="J116" s="1506"/>
    </row>
    <row r="117" spans="2:10" ht="18" hidden="1" outlineLevel="1" x14ac:dyDescent="0.25">
      <c r="B117" s="1505" t="s">
        <v>577</v>
      </c>
      <c r="C117" s="1506" t="s">
        <v>578</v>
      </c>
      <c r="D117" s="1506">
        <v>91.224000000000004</v>
      </c>
      <c r="E117" s="1508"/>
      <c r="F117" s="1508"/>
      <c r="G117" s="1506" t="s">
        <v>360</v>
      </c>
      <c r="H117" s="1509"/>
      <c r="I117" s="1509"/>
      <c r="J117" s="1506"/>
    </row>
    <row r="118" spans="2:10" ht="18" hidden="1" outlineLevel="1" x14ac:dyDescent="0.25">
      <c r="B118" s="1505" t="s">
        <v>579</v>
      </c>
      <c r="C118" s="1506" t="s">
        <v>580</v>
      </c>
      <c r="D118" s="1506">
        <v>92.906379999999999</v>
      </c>
      <c r="E118" s="1508"/>
      <c r="F118" s="1508"/>
      <c r="G118" s="1506" t="s">
        <v>360</v>
      </c>
      <c r="H118" s="1509"/>
      <c r="I118" s="1509"/>
      <c r="J118" s="1506"/>
    </row>
    <row r="119" spans="2:10" ht="18" hidden="1" outlineLevel="1" x14ac:dyDescent="0.25">
      <c r="B119" s="1505" t="s">
        <v>581</v>
      </c>
      <c r="C119" s="1506" t="s">
        <v>582</v>
      </c>
      <c r="D119" s="1506">
        <v>95.94</v>
      </c>
      <c r="E119" s="1508"/>
      <c r="F119" s="1508"/>
      <c r="G119" s="1506" t="s">
        <v>360</v>
      </c>
      <c r="H119" s="1509"/>
      <c r="I119" s="1509"/>
      <c r="J119" s="1506"/>
    </row>
    <row r="120" spans="2:10" ht="18" hidden="1" outlineLevel="1" x14ac:dyDescent="0.25">
      <c r="B120" s="1505" t="s">
        <v>583</v>
      </c>
      <c r="C120" s="1506" t="s">
        <v>584</v>
      </c>
      <c r="D120" s="1506">
        <v>98</v>
      </c>
      <c r="E120" s="1508"/>
      <c r="F120" s="1508"/>
      <c r="G120" s="1506" t="s">
        <v>360</v>
      </c>
      <c r="H120" s="1509"/>
      <c r="I120" s="1509"/>
      <c r="J120" s="1506"/>
    </row>
    <row r="121" spans="2:10" ht="18" hidden="1" outlineLevel="1" x14ac:dyDescent="0.25">
      <c r="B121" s="1505" t="s">
        <v>585</v>
      </c>
      <c r="C121" s="1506" t="s">
        <v>586</v>
      </c>
      <c r="D121" s="1506">
        <v>101.07</v>
      </c>
      <c r="E121" s="1508"/>
      <c r="F121" s="1508"/>
      <c r="G121" s="1506" t="s">
        <v>360</v>
      </c>
      <c r="H121" s="1509"/>
      <c r="I121" s="1509"/>
      <c r="J121" s="1506"/>
    </row>
    <row r="122" spans="2:10" ht="18" hidden="1" outlineLevel="1" x14ac:dyDescent="0.25">
      <c r="B122" s="1505" t="s">
        <v>587</v>
      </c>
      <c r="C122" s="1506" t="s">
        <v>588</v>
      </c>
      <c r="D122" s="1506">
        <v>102.9055</v>
      </c>
      <c r="E122" s="1508"/>
      <c r="F122" s="1508"/>
      <c r="G122" s="1506" t="s">
        <v>360</v>
      </c>
      <c r="H122" s="1509"/>
      <c r="I122" s="1509"/>
      <c r="J122" s="1506"/>
    </row>
    <row r="123" spans="2:10" ht="18" hidden="1" outlineLevel="1" x14ac:dyDescent="0.25">
      <c r="B123" s="1505" t="s">
        <v>589</v>
      </c>
      <c r="C123" s="1506" t="s">
        <v>590</v>
      </c>
      <c r="D123" s="1506">
        <v>106.42</v>
      </c>
      <c r="E123" s="1508"/>
      <c r="F123" s="1508"/>
      <c r="G123" s="1506" t="s">
        <v>360</v>
      </c>
      <c r="H123" s="1509"/>
      <c r="I123" s="1509"/>
      <c r="J123" s="1506"/>
    </row>
    <row r="124" spans="2:10" ht="18" hidden="1" outlineLevel="1" x14ac:dyDescent="0.25">
      <c r="B124" s="1505" t="s">
        <v>591</v>
      </c>
      <c r="C124" s="1506" t="s">
        <v>592</v>
      </c>
      <c r="D124" s="1506">
        <v>107.8682</v>
      </c>
      <c r="E124" s="1508"/>
      <c r="F124" s="1508"/>
      <c r="G124" s="1506" t="s">
        <v>360</v>
      </c>
      <c r="H124" s="1509"/>
      <c r="I124" s="1509"/>
      <c r="J124" s="1506"/>
    </row>
    <row r="125" spans="2:10" ht="18" hidden="1" outlineLevel="1" x14ac:dyDescent="0.25">
      <c r="B125" s="1505" t="s">
        <v>593</v>
      </c>
      <c r="C125" s="1506" t="s">
        <v>594</v>
      </c>
      <c r="D125" s="1506">
        <v>112.411</v>
      </c>
      <c r="E125" s="1508"/>
      <c r="F125" s="1508"/>
      <c r="G125" s="1506" t="s">
        <v>360</v>
      </c>
      <c r="H125" s="1509"/>
      <c r="I125" s="1509"/>
      <c r="J125" s="1506"/>
    </row>
    <row r="126" spans="2:10" ht="18" hidden="1" outlineLevel="1" x14ac:dyDescent="0.25">
      <c r="B126" s="1505" t="s">
        <v>595</v>
      </c>
      <c r="C126" s="1506" t="s">
        <v>596</v>
      </c>
      <c r="D126" s="1506">
        <v>114.818</v>
      </c>
      <c r="E126" s="1508"/>
      <c r="F126" s="1508"/>
      <c r="G126" s="1506" t="s">
        <v>360</v>
      </c>
      <c r="H126" s="1509"/>
      <c r="I126" s="1509"/>
      <c r="J126" s="1506"/>
    </row>
    <row r="127" spans="2:10" ht="18" hidden="1" outlineLevel="1" x14ac:dyDescent="0.25">
      <c r="B127" s="1505" t="s">
        <v>597</v>
      </c>
      <c r="C127" s="1506" t="s">
        <v>598</v>
      </c>
      <c r="D127" s="1506">
        <v>118.71</v>
      </c>
      <c r="E127" s="1508"/>
      <c r="F127" s="1508"/>
      <c r="G127" s="1506" t="s">
        <v>360</v>
      </c>
      <c r="H127" s="1509"/>
      <c r="I127" s="1509"/>
      <c r="J127" s="1506"/>
    </row>
    <row r="128" spans="2:10" ht="18" hidden="1" outlineLevel="1" x14ac:dyDescent="0.25">
      <c r="B128" s="1505" t="s">
        <v>599</v>
      </c>
      <c r="C128" s="1506" t="s">
        <v>600</v>
      </c>
      <c r="D128" s="1506">
        <v>121.76</v>
      </c>
      <c r="E128" s="1508"/>
      <c r="F128" s="1508"/>
      <c r="G128" s="1506" t="s">
        <v>360</v>
      </c>
      <c r="H128" s="1509"/>
      <c r="I128" s="1509"/>
      <c r="J128" s="1506"/>
    </row>
    <row r="129" spans="2:10" ht="18" hidden="1" outlineLevel="1" x14ac:dyDescent="0.25">
      <c r="B129" s="1505" t="s">
        <v>601</v>
      </c>
      <c r="C129" s="1506" t="s">
        <v>602</v>
      </c>
      <c r="D129" s="1506">
        <v>127.6</v>
      </c>
      <c r="E129" s="1508"/>
      <c r="F129" s="1508"/>
      <c r="G129" s="1506" t="s">
        <v>360</v>
      </c>
      <c r="H129" s="1509"/>
      <c r="I129" s="1509"/>
      <c r="J129" s="1506"/>
    </row>
    <row r="130" spans="2:10" ht="18" hidden="1" outlineLevel="1" x14ac:dyDescent="0.25">
      <c r="B130" s="1505" t="s">
        <v>603</v>
      </c>
      <c r="C130" s="1506" t="s">
        <v>604</v>
      </c>
      <c r="D130" s="1506">
        <v>126.90447</v>
      </c>
      <c r="E130" s="1508"/>
      <c r="F130" s="1508"/>
      <c r="G130" s="1506" t="s">
        <v>360</v>
      </c>
      <c r="H130" s="1509"/>
      <c r="I130" s="1509"/>
      <c r="J130" s="1506"/>
    </row>
    <row r="131" spans="2:10" ht="18" hidden="1" outlineLevel="1" x14ac:dyDescent="0.25">
      <c r="B131" s="1505" t="s">
        <v>605</v>
      </c>
      <c r="C131" s="1506" t="s">
        <v>606</v>
      </c>
      <c r="D131" s="1506">
        <v>131.29300000000001</v>
      </c>
      <c r="E131" s="1508"/>
      <c r="F131" s="1508"/>
      <c r="G131" s="1506" t="s">
        <v>360</v>
      </c>
      <c r="H131" s="1509"/>
      <c r="I131" s="1509"/>
      <c r="J131" s="1506"/>
    </row>
    <row r="132" spans="2:10" ht="18" hidden="1" outlineLevel="1" x14ac:dyDescent="0.25">
      <c r="B132" s="1505" t="s">
        <v>607</v>
      </c>
      <c r="C132" s="1506" t="s">
        <v>608</v>
      </c>
      <c r="D132" s="1506">
        <v>132.90545</v>
      </c>
      <c r="E132" s="1508"/>
      <c r="F132" s="1508"/>
      <c r="G132" s="1506" t="s">
        <v>360</v>
      </c>
      <c r="H132" s="1509"/>
      <c r="I132" s="1509"/>
      <c r="J132" s="1506"/>
    </row>
    <row r="133" spans="2:10" ht="18" hidden="1" outlineLevel="1" x14ac:dyDescent="0.25">
      <c r="B133" s="1505" t="s">
        <v>609</v>
      </c>
      <c r="C133" s="1506" t="s">
        <v>610</v>
      </c>
      <c r="D133" s="1506">
        <v>137.327</v>
      </c>
      <c r="E133" s="1508"/>
      <c r="F133" s="1508"/>
      <c r="G133" s="1506" t="s">
        <v>360</v>
      </c>
      <c r="H133" s="1509"/>
      <c r="I133" s="1509"/>
      <c r="J133" s="1506"/>
    </row>
    <row r="134" spans="2:10" ht="18" hidden="1" outlineLevel="1" x14ac:dyDescent="0.25">
      <c r="B134" s="1505" t="s">
        <v>611</v>
      </c>
      <c r="C134" s="1506" t="s">
        <v>612</v>
      </c>
      <c r="D134" s="1506">
        <v>138.90547000000001</v>
      </c>
      <c r="E134" s="1508"/>
      <c r="F134" s="1508"/>
      <c r="G134" s="1506" t="s">
        <v>360</v>
      </c>
      <c r="H134" s="1509"/>
      <c r="I134" s="1509"/>
      <c r="J134" s="1506"/>
    </row>
    <row r="135" spans="2:10" ht="18" hidden="1" outlineLevel="1" x14ac:dyDescent="0.25">
      <c r="B135" s="1505" t="s">
        <v>613</v>
      </c>
      <c r="C135" s="1506" t="s">
        <v>614</v>
      </c>
      <c r="D135" s="1506">
        <v>140.11600000000001</v>
      </c>
      <c r="E135" s="1508"/>
      <c r="F135" s="1508"/>
      <c r="G135" s="1506" t="s">
        <v>360</v>
      </c>
      <c r="H135" s="1509"/>
      <c r="I135" s="1509"/>
      <c r="J135" s="1506"/>
    </row>
    <row r="136" spans="2:10" ht="18" hidden="1" outlineLevel="1" x14ac:dyDescent="0.25">
      <c r="B136" s="1505" t="s">
        <v>615</v>
      </c>
      <c r="C136" s="1506" t="s">
        <v>616</v>
      </c>
      <c r="D136" s="1506">
        <v>140.90764999999999</v>
      </c>
      <c r="E136" s="1508"/>
      <c r="F136" s="1508"/>
      <c r="G136" s="1506" t="s">
        <v>360</v>
      </c>
      <c r="H136" s="1509"/>
      <c r="I136" s="1509"/>
      <c r="J136" s="1506"/>
    </row>
    <row r="137" spans="2:10" ht="18" hidden="1" outlineLevel="1" x14ac:dyDescent="0.25">
      <c r="B137" s="1505" t="s">
        <v>617</v>
      </c>
      <c r="C137" s="1506" t="s">
        <v>618</v>
      </c>
      <c r="D137" s="1506">
        <v>144.24199999999999</v>
      </c>
      <c r="E137" s="1508"/>
      <c r="F137" s="1508"/>
      <c r="G137" s="1506" t="s">
        <v>360</v>
      </c>
      <c r="H137" s="1509"/>
      <c r="I137" s="1509"/>
      <c r="J137" s="1506"/>
    </row>
    <row r="138" spans="2:10" ht="18" hidden="1" outlineLevel="1" x14ac:dyDescent="0.25">
      <c r="B138" s="1505" t="s">
        <v>619</v>
      </c>
      <c r="C138" s="1506" t="s">
        <v>620</v>
      </c>
      <c r="D138" s="1506">
        <v>145</v>
      </c>
      <c r="E138" s="1508"/>
      <c r="F138" s="1508"/>
      <c r="G138" s="1506" t="s">
        <v>360</v>
      </c>
      <c r="H138" s="1509"/>
      <c r="I138" s="1509"/>
      <c r="J138" s="1506"/>
    </row>
    <row r="139" spans="2:10" ht="18" hidden="1" outlineLevel="1" x14ac:dyDescent="0.25">
      <c r="B139" s="1505" t="s">
        <v>621</v>
      </c>
      <c r="C139" s="1506" t="s">
        <v>622</v>
      </c>
      <c r="D139" s="1506">
        <v>150.36000000000001</v>
      </c>
      <c r="E139" s="1508"/>
      <c r="F139" s="1508"/>
      <c r="G139" s="1506" t="s">
        <v>360</v>
      </c>
      <c r="H139" s="1509"/>
      <c r="I139" s="1509"/>
      <c r="J139" s="1506"/>
    </row>
    <row r="140" spans="2:10" ht="18" hidden="1" outlineLevel="1" x14ac:dyDescent="0.25">
      <c r="B140" s="1505" t="s">
        <v>623</v>
      </c>
      <c r="C140" s="1506" t="s">
        <v>624</v>
      </c>
      <c r="D140" s="1506">
        <v>151.964</v>
      </c>
      <c r="E140" s="1508"/>
      <c r="F140" s="1508"/>
      <c r="G140" s="1506" t="s">
        <v>360</v>
      </c>
      <c r="H140" s="1509"/>
      <c r="I140" s="1509"/>
      <c r="J140" s="1506"/>
    </row>
    <row r="141" spans="2:10" ht="18" hidden="1" outlineLevel="1" x14ac:dyDescent="0.25">
      <c r="B141" s="1505" t="s">
        <v>625</v>
      </c>
      <c r="C141" s="1506" t="s">
        <v>626</v>
      </c>
      <c r="D141" s="1506">
        <v>157.25</v>
      </c>
      <c r="E141" s="1508"/>
      <c r="F141" s="1508"/>
      <c r="G141" s="1506" t="s">
        <v>360</v>
      </c>
      <c r="H141" s="1509"/>
      <c r="I141" s="1509"/>
      <c r="J141" s="1506"/>
    </row>
    <row r="142" spans="2:10" ht="18" hidden="1" outlineLevel="1" x14ac:dyDescent="0.25">
      <c r="B142" s="1505" t="s">
        <v>627</v>
      </c>
      <c r="C142" s="1506" t="s">
        <v>628</v>
      </c>
      <c r="D142" s="1506">
        <v>158.92535000000001</v>
      </c>
      <c r="E142" s="1508"/>
      <c r="F142" s="1508"/>
      <c r="G142" s="1506" t="s">
        <v>360</v>
      </c>
      <c r="H142" s="1509"/>
      <c r="I142" s="1509"/>
      <c r="J142" s="1506"/>
    </row>
    <row r="143" spans="2:10" ht="18" hidden="1" outlineLevel="1" x14ac:dyDescent="0.25">
      <c r="B143" s="1505" t="s">
        <v>629</v>
      </c>
      <c r="C143" s="1506" t="s">
        <v>630</v>
      </c>
      <c r="D143" s="1506">
        <v>162.5</v>
      </c>
      <c r="E143" s="1508"/>
      <c r="F143" s="1508"/>
      <c r="G143" s="1506" t="s">
        <v>360</v>
      </c>
      <c r="H143" s="1509"/>
      <c r="I143" s="1509"/>
      <c r="J143" s="1506"/>
    </row>
    <row r="144" spans="2:10" ht="18" hidden="1" outlineLevel="1" x14ac:dyDescent="0.25">
      <c r="B144" s="1505" t="s">
        <v>631</v>
      </c>
      <c r="C144" s="1506" t="s">
        <v>632</v>
      </c>
      <c r="D144" s="1506">
        <v>164.93031999999999</v>
      </c>
      <c r="E144" s="1508"/>
      <c r="F144" s="1508"/>
      <c r="G144" s="1506" t="s">
        <v>360</v>
      </c>
      <c r="H144" s="1509"/>
      <c r="I144" s="1509"/>
      <c r="J144" s="1506"/>
    </row>
    <row r="145" spans="2:10" ht="18" hidden="1" outlineLevel="1" x14ac:dyDescent="0.25">
      <c r="B145" s="1505" t="s">
        <v>633</v>
      </c>
      <c r="C145" s="1506" t="s">
        <v>634</v>
      </c>
      <c r="D145" s="1506">
        <v>167.25899999999999</v>
      </c>
      <c r="E145" s="1508"/>
      <c r="F145" s="1508"/>
      <c r="G145" s="1506" t="s">
        <v>360</v>
      </c>
      <c r="H145" s="1509"/>
      <c r="I145" s="1509"/>
      <c r="J145" s="1506"/>
    </row>
    <row r="146" spans="2:10" ht="18" hidden="1" outlineLevel="1" x14ac:dyDescent="0.25">
      <c r="B146" s="1505" t="s">
        <v>635</v>
      </c>
      <c r="C146" s="1506" t="s">
        <v>636</v>
      </c>
      <c r="D146" s="1506">
        <v>168.93421000000001</v>
      </c>
      <c r="E146" s="1508"/>
      <c r="F146" s="1508"/>
      <c r="G146" s="1506" t="s">
        <v>360</v>
      </c>
      <c r="H146" s="1509"/>
      <c r="I146" s="1509"/>
      <c r="J146" s="1506"/>
    </row>
    <row r="147" spans="2:10" ht="18" hidden="1" outlineLevel="1" x14ac:dyDescent="0.25">
      <c r="B147" s="1505" t="s">
        <v>637</v>
      </c>
      <c r="C147" s="1506" t="s">
        <v>638</v>
      </c>
      <c r="D147" s="1506">
        <v>173.04</v>
      </c>
      <c r="E147" s="1508"/>
      <c r="F147" s="1508"/>
      <c r="G147" s="1506" t="s">
        <v>360</v>
      </c>
      <c r="H147" s="1509"/>
      <c r="I147" s="1509"/>
      <c r="J147" s="1506"/>
    </row>
    <row r="148" spans="2:10" ht="18" hidden="1" outlineLevel="1" x14ac:dyDescent="0.25">
      <c r="B148" s="1505" t="s">
        <v>639</v>
      </c>
      <c r="C148" s="1506" t="s">
        <v>640</v>
      </c>
      <c r="D148" s="1506">
        <v>174.96700000000001</v>
      </c>
      <c r="E148" s="1508"/>
      <c r="F148" s="1508"/>
      <c r="G148" s="1506" t="s">
        <v>360</v>
      </c>
      <c r="H148" s="1509"/>
      <c r="I148" s="1509"/>
      <c r="J148" s="1506"/>
    </row>
    <row r="149" spans="2:10" ht="18" hidden="1" outlineLevel="1" x14ac:dyDescent="0.25">
      <c r="B149" s="1505" t="s">
        <v>641</v>
      </c>
      <c r="C149" s="1506" t="s">
        <v>642</v>
      </c>
      <c r="D149" s="1506">
        <v>178.49</v>
      </c>
      <c r="E149" s="1508"/>
      <c r="F149" s="1508"/>
      <c r="G149" s="1506" t="s">
        <v>360</v>
      </c>
      <c r="H149" s="1509"/>
      <c r="I149" s="1509"/>
      <c r="J149" s="1506"/>
    </row>
    <row r="150" spans="2:10" ht="18" hidden="1" outlineLevel="1" x14ac:dyDescent="0.25">
      <c r="B150" s="1505" t="s">
        <v>643</v>
      </c>
      <c r="C150" s="1506" t="s">
        <v>644</v>
      </c>
      <c r="D150" s="1506">
        <v>180.94788</v>
      </c>
      <c r="E150" s="1508"/>
      <c r="F150" s="1508"/>
      <c r="G150" s="1506" t="s">
        <v>360</v>
      </c>
      <c r="H150" s="1509"/>
      <c r="I150" s="1509"/>
      <c r="J150" s="1506"/>
    </row>
    <row r="151" spans="2:10" ht="18" hidden="1" outlineLevel="1" x14ac:dyDescent="0.25">
      <c r="B151" s="1505" t="s">
        <v>645</v>
      </c>
      <c r="C151" s="1506" t="s">
        <v>646</v>
      </c>
      <c r="D151" s="1506">
        <v>183.84</v>
      </c>
      <c r="E151" s="1508"/>
      <c r="F151" s="1508"/>
      <c r="G151" s="1506" t="s">
        <v>360</v>
      </c>
      <c r="H151" s="1509"/>
      <c r="I151" s="1509"/>
      <c r="J151" s="1506"/>
    </row>
    <row r="152" spans="2:10" ht="18" hidden="1" outlineLevel="1" x14ac:dyDescent="0.25">
      <c r="B152" s="1505" t="s">
        <v>647</v>
      </c>
      <c r="C152" s="1506" t="s">
        <v>648</v>
      </c>
      <c r="D152" s="1506">
        <v>186.20699999999999</v>
      </c>
      <c r="E152" s="1508"/>
      <c r="F152" s="1508"/>
      <c r="G152" s="1506" t="s">
        <v>360</v>
      </c>
      <c r="H152" s="1509"/>
      <c r="I152" s="1509"/>
      <c r="J152" s="1506"/>
    </row>
    <row r="153" spans="2:10" ht="18" hidden="1" outlineLevel="1" x14ac:dyDescent="0.25">
      <c r="B153" s="1505" t="s">
        <v>649</v>
      </c>
      <c r="C153" s="1506" t="s">
        <v>650</v>
      </c>
      <c r="D153" s="1506">
        <v>190.23</v>
      </c>
      <c r="E153" s="1508"/>
      <c r="F153" s="1508"/>
      <c r="G153" s="1506" t="s">
        <v>360</v>
      </c>
      <c r="H153" s="1509"/>
      <c r="I153" s="1509"/>
      <c r="J153" s="1506"/>
    </row>
    <row r="154" spans="2:10" ht="18" hidden="1" outlineLevel="1" x14ac:dyDescent="0.25">
      <c r="B154" s="1505" t="s">
        <v>651</v>
      </c>
      <c r="C154" s="1506" t="s">
        <v>652</v>
      </c>
      <c r="D154" s="1506">
        <v>192.21700000000001</v>
      </c>
      <c r="E154" s="1508"/>
      <c r="F154" s="1508"/>
      <c r="G154" s="1506" t="s">
        <v>360</v>
      </c>
      <c r="H154" s="1509"/>
      <c r="I154" s="1509"/>
      <c r="J154" s="1506"/>
    </row>
    <row r="155" spans="2:10" ht="18" hidden="1" outlineLevel="1" x14ac:dyDescent="0.25">
      <c r="B155" s="1505" t="s">
        <v>653</v>
      </c>
      <c r="C155" s="1506" t="s">
        <v>654</v>
      </c>
      <c r="D155" s="1506">
        <v>195.084</v>
      </c>
      <c r="E155" s="1508"/>
      <c r="F155" s="1508"/>
      <c r="G155" s="1506" t="s">
        <v>360</v>
      </c>
      <c r="H155" s="1509"/>
      <c r="I155" s="1509"/>
      <c r="J155" s="1506"/>
    </row>
    <row r="156" spans="2:10" ht="18" hidden="1" outlineLevel="1" x14ac:dyDescent="0.25">
      <c r="B156" s="1505" t="s">
        <v>655</v>
      </c>
      <c r="C156" s="1506" t="s">
        <v>656</v>
      </c>
      <c r="D156" s="1506">
        <v>196.96656999999999</v>
      </c>
      <c r="E156" s="1508"/>
      <c r="F156" s="1508"/>
      <c r="G156" s="1506" t="s">
        <v>360</v>
      </c>
      <c r="H156" s="1509"/>
      <c r="I156" s="1509"/>
      <c r="J156" s="1506"/>
    </row>
    <row r="157" spans="2:10" ht="18" hidden="1" outlineLevel="1" x14ac:dyDescent="0.25">
      <c r="B157" s="1505" t="s">
        <v>657</v>
      </c>
      <c r="C157" s="1506" t="s">
        <v>658</v>
      </c>
      <c r="D157" s="1506">
        <v>200.59</v>
      </c>
      <c r="E157" s="1508"/>
      <c r="F157" s="1508"/>
      <c r="G157" s="1506" t="s">
        <v>360</v>
      </c>
      <c r="H157" s="1509"/>
      <c r="I157" s="1509"/>
      <c r="J157" s="1506"/>
    </row>
    <row r="158" spans="2:10" ht="18" hidden="1" outlineLevel="1" x14ac:dyDescent="0.25">
      <c r="B158" s="1505" t="s">
        <v>659</v>
      </c>
      <c r="C158" s="1506" t="s">
        <v>660</v>
      </c>
      <c r="D158" s="1506">
        <v>204.38329999999999</v>
      </c>
      <c r="E158" s="1508"/>
      <c r="F158" s="1508"/>
      <c r="G158" s="1506" t="s">
        <v>360</v>
      </c>
      <c r="H158" s="1509"/>
      <c r="I158" s="1509"/>
      <c r="J158" s="1506"/>
    </row>
    <row r="159" spans="2:10" ht="18" hidden="1" outlineLevel="1" x14ac:dyDescent="0.25">
      <c r="B159" s="1505" t="s">
        <v>661</v>
      </c>
      <c r="C159" s="1506" t="s">
        <v>662</v>
      </c>
      <c r="D159" s="1506">
        <v>207.2</v>
      </c>
      <c r="E159" s="1508"/>
      <c r="F159" s="1508"/>
      <c r="G159" s="1506" t="s">
        <v>360</v>
      </c>
      <c r="H159" s="1509"/>
      <c r="I159" s="1509"/>
      <c r="J159" s="1506"/>
    </row>
    <row r="160" spans="2:10" ht="18" hidden="1" outlineLevel="1" x14ac:dyDescent="0.25">
      <c r="B160" s="1505" t="s">
        <v>663</v>
      </c>
      <c r="C160" s="1506" t="s">
        <v>664</v>
      </c>
      <c r="D160" s="1506">
        <v>208.9804</v>
      </c>
      <c r="E160" s="1508"/>
      <c r="F160" s="1508"/>
      <c r="G160" s="1506" t="s">
        <v>360</v>
      </c>
      <c r="H160" s="1509"/>
      <c r="I160" s="1509"/>
      <c r="J160" s="1506"/>
    </row>
    <row r="161" spans="2:10" ht="18" hidden="1" outlineLevel="1" x14ac:dyDescent="0.25">
      <c r="B161" s="1505" t="s">
        <v>665</v>
      </c>
      <c r="C161" s="1506" t="s">
        <v>666</v>
      </c>
      <c r="D161" s="1506">
        <v>209</v>
      </c>
      <c r="E161" s="1508"/>
      <c r="F161" s="1508"/>
      <c r="G161" s="1506" t="s">
        <v>360</v>
      </c>
      <c r="H161" s="1509"/>
      <c r="I161" s="1509"/>
      <c r="J161" s="1506"/>
    </row>
    <row r="162" spans="2:10" ht="18" hidden="1" outlineLevel="1" x14ac:dyDescent="0.25">
      <c r="B162" s="1505" t="s">
        <v>667</v>
      </c>
      <c r="C162" s="1506" t="s">
        <v>668</v>
      </c>
      <c r="D162" s="1506">
        <v>210</v>
      </c>
      <c r="E162" s="1508"/>
      <c r="F162" s="1508"/>
      <c r="G162" s="1506" t="s">
        <v>360</v>
      </c>
      <c r="H162" s="1509"/>
      <c r="I162" s="1509"/>
      <c r="J162" s="1506"/>
    </row>
    <row r="163" spans="2:10" ht="18" hidden="1" outlineLevel="1" x14ac:dyDescent="0.25">
      <c r="B163" s="1505" t="s">
        <v>669</v>
      </c>
      <c r="C163" s="1506" t="s">
        <v>670</v>
      </c>
      <c r="D163" s="1506">
        <v>222</v>
      </c>
      <c r="E163" s="1508"/>
      <c r="F163" s="1508"/>
      <c r="G163" s="1506" t="s">
        <v>360</v>
      </c>
      <c r="H163" s="1509"/>
      <c r="I163" s="1509"/>
      <c r="J163" s="1506"/>
    </row>
    <row r="164" spans="2:10" ht="18" hidden="1" outlineLevel="1" x14ac:dyDescent="0.25">
      <c r="B164" s="1505" t="s">
        <v>671</v>
      </c>
      <c r="C164" s="1506" t="s">
        <v>672</v>
      </c>
      <c r="D164" s="1506">
        <v>223</v>
      </c>
      <c r="E164" s="1508"/>
      <c r="F164" s="1508"/>
      <c r="G164" s="1506" t="s">
        <v>360</v>
      </c>
      <c r="H164" s="1509"/>
      <c r="I164" s="1509"/>
      <c r="J164" s="1506"/>
    </row>
    <row r="165" spans="2:10" ht="18" hidden="1" outlineLevel="1" x14ac:dyDescent="0.25">
      <c r="B165" s="1505" t="s">
        <v>673</v>
      </c>
      <c r="C165" s="1506" t="s">
        <v>674</v>
      </c>
      <c r="D165" s="1506">
        <v>226</v>
      </c>
      <c r="E165" s="1508"/>
      <c r="F165" s="1508"/>
      <c r="G165" s="1506" t="s">
        <v>360</v>
      </c>
      <c r="H165" s="1509"/>
      <c r="I165" s="1509"/>
      <c r="J165" s="1506"/>
    </row>
    <row r="166" spans="2:10" ht="18" hidden="1" outlineLevel="1" x14ac:dyDescent="0.25">
      <c r="B166" s="1505" t="s">
        <v>675</v>
      </c>
      <c r="C166" s="1506" t="s">
        <v>676</v>
      </c>
      <c r="D166" s="1506">
        <v>227</v>
      </c>
      <c r="E166" s="1508"/>
      <c r="F166" s="1508"/>
      <c r="G166" s="1506" t="s">
        <v>360</v>
      </c>
      <c r="H166" s="1509"/>
      <c r="I166" s="1509"/>
      <c r="J166" s="1506"/>
    </row>
    <row r="167" spans="2:10" ht="18" hidden="1" outlineLevel="1" x14ac:dyDescent="0.25">
      <c r="B167" s="1505" t="s">
        <v>677</v>
      </c>
      <c r="C167" s="1506" t="s">
        <v>678</v>
      </c>
      <c r="D167" s="1506">
        <v>232.03806</v>
      </c>
      <c r="E167" s="1508"/>
      <c r="F167" s="1508"/>
      <c r="G167" s="1506" t="s">
        <v>360</v>
      </c>
      <c r="H167" s="1509"/>
      <c r="I167" s="1509"/>
      <c r="J167" s="1506"/>
    </row>
    <row r="168" spans="2:10" ht="18" hidden="1" outlineLevel="1" x14ac:dyDescent="0.25">
      <c r="B168" s="1505" t="s">
        <v>679</v>
      </c>
      <c r="C168" s="1506" t="s">
        <v>680</v>
      </c>
      <c r="D168" s="1506">
        <v>231.03587999999999</v>
      </c>
      <c r="E168" s="1508"/>
      <c r="F168" s="1508"/>
      <c r="G168" s="1506" t="s">
        <v>360</v>
      </c>
      <c r="H168" s="1509"/>
      <c r="I168" s="1509"/>
      <c r="J168" s="1506"/>
    </row>
    <row r="169" spans="2:10" ht="18" hidden="1" outlineLevel="1" x14ac:dyDescent="0.25">
      <c r="B169" s="1505" t="s">
        <v>681</v>
      </c>
      <c r="C169" s="1506" t="s">
        <v>682</v>
      </c>
      <c r="D169" s="1506">
        <v>238.02891</v>
      </c>
      <c r="E169" s="1508"/>
      <c r="F169" s="1508"/>
      <c r="G169" s="1506" t="s">
        <v>360</v>
      </c>
      <c r="H169" s="1509"/>
      <c r="I169" s="1509"/>
      <c r="J169" s="1506"/>
    </row>
    <row r="170" spans="2:10" ht="18" hidden="1" outlineLevel="1" x14ac:dyDescent="0.25">
      <c r="B170" s="1505" t="s">
        <v>683</v>
      </c>
      <c r="C170" s="1506" t="s">
        <v>684</v>
      </c>
      <c r="D170" s="1506">
        <v>237</v>
      </c>
      <c r="E170" s="1508"/>
      <c r="F170" s="1508"/>
      <c r="G170" s="1506" t="s">
        <v>360</v>
      </c>
      <c r="H170" s="1509"/>
      <c r="I170" s="1509"/>
      <c r="J170" s="1506"/>
    </row>
    <row r="171" spans="2:10" ht="18" hidden="1" outlineLevel="1" x14ac:dyDescent="0.25">
      <c r="B171" s="1505" t="s">
        <v>685</v>
      </c>
      <c r="C171" s="1506" t="s">
        <v>686</v>
      </c>
      <c r="D171" s="1506">
        <v>244</v>
      </c>
      <c r="E171" s="1508"/>
      <c r="F171" s="1508"/>
      <c r="G171" s="1506" t="s">
        <v>360</v>
      </c>
      <c r="H171" s="1509"/>
      <c r="I171" s="1509"/>
      <c r="J171" s="1506"/>
    </row>
    <row r="172" spans="2:10" ht="18" hidden="1" outlineLevel="1" x14ac:dyDescent="0.25">
      <c r="B172" s="1505" t="s">
        <v>687</v>
      </c>
      <c r="C172" s="1506" t="s">
        <v>688</v>
      </c>
      <c r="D172" s="1506">
        <v>243</v>
      </c>
      <c r="E172" s="1508"/>
      <c r="F172" s="1508"/>
      <c r="G172" s="1506" t="s">
        <v>360</v>
      </c>
      <c r="H172" s="1509"/>
      <c r="I172" s="1509"/>
      <c r="J172" s="1506"/>
    </row>
    <row r="173" spans="2:10" ht="18" hidden="1" outlineLevel="1" x14ac:dyDescent="0.25">
      <c r="B173" s="1505" t="s">
        <v>689</v>
      </c>
      <c r="C173" s="1506" t="s">
        <v>690</v>
      </c>
      <c r="D173" s="1506">
        <v>247</v>
      </c>
      <c r="E173" s="1508"/>
      <c r="F173" s="1508"/>
      <c r="G173" s="1506" t="s">
        <v>360</v>
      </c>
      <c r="H173" s="1509"/>
      <c r="I173" s="1509"/>
      <c r="J173" s="1506"/>
    </row>
    <row r="174" spans="2:10" ht="18" hidden="1" outlineLevel="1" x14ac:dyDescent="0.25">
      <c r="B174" s="1505" t="s">
        <v>691</v>
      </c>
      <c r="C174" s="1506" t="s">
        <v>692</v>
      </c>
      <c r="D174" s="1506">
        <v>247</v>
      </c>
      <c r="E174" s="1508"/>
      <c r="F174" s="1508"/>
      <c r="G174" s="1506" t="s">
        <v>360</v>
      </c>
      <c r="H174" s="1509"/>
      <c r="I174" s="1509"/>
      <c r="J174" s="1506"/>
    </row>
    <row r="175" spans="2:10" ht="18" hidden="1" outlineLevel="1" x14ac:dyDescent="0.25">
      <c r="B175" s="1505" t="s">
        <v>693</v>
      </c>
      <c r="C175" s="1506" t="s">
        <v>694</v>
      </c>
      <c r="D175" s="1506">
        <v>251</v>
      </c>
      <c r="E175" s="1508"/>
      <c r="F175" s="1508"/>
      <c r="G175" s="1506" t="s">
        <v>360</v>
      </c>
      <c r="H175" s="1509"/>
      <c r="I175" s="1509"/>
      <c r="J175" s="1506"/>
    </row>
    <row r="176" spans="2:10" ht="18" hidden="1" outlineLevel="1" x14ac:dyDescent="0.25">
      <c r="B176" s="1505" t="s">
        <v>695</v>
      </c>
      <c r="C176" s="1506" t="s">
        <v>696</v>
      </c>
      <c r="D176" s="1506">
        <v>252</v>
      </c>
      <c r="E176" s="1508"/>
      <c r="F176" s="1508"/>
      <c r="G176" s="1506" t="s">
        <v>360</v>
      </c>
      <c r="H176" s="1509"/>
      <c r="I176" s="1509"/>
      <c r="J176" s="1506"/>
    </row>
    <row r="177" spans="2:10" ht="18" hidden="1" outlineLevel="1" x14ac:dyDescent="0.25">
      <c r="B177" s="1505" t="s">
        <v>697</v>
      </c>
      <c r="C177" s="1506" t="s">
        <v>698</v>
      </c>
      <c r="D177" s="1506">
        <v>257</v>
      </c>
      <c r="E177" s="1508"/>
      <c r="F177" s="1508"/>
      <c r="G177" s="1506" t="s">
        <v>360</v>
      </c>
      <c r="H177" s="1509"/>
      <c r="I177" s="1509"/>
      <c r="J177" s="1506"/>
    </row>
    <row r="178" spans="2:10" ht="18" hidden="1" outlineLevel="1" x14ac:dyDescent="0.25">
      <c r="B178" s="1505" t="s">
        <v>699</v>
      </c>
      <c r="C178" s="1506" t="s">
        <v>700</v>
      </c>
      <c r="D178" s="1506">
        <v>258</v>
      </c>
      <c r="E178" s="1508"/>
      <c r="F178" s="1508"/>
      <c r="G178" s="1506" t="s">
        <v>360</v>
      </c>
      <c r="H178" s="1509"/>
      <c r="I178" s="1509"/>
      <c r="J178" s="1506"/>
    </row>
    <row r="179" spans="2:10" ht="18" hidden="1" outlineLevel="1" x14ac:dyDescent="0.25">
      <c r="B179" s="1505" t="s">
        <v>701</v>
      </c>
      <c r="C179" s="1506" t="s">
        <v>702</v>
      </c>
      <c r="D179" s="1506">
        <v>259</v>
      </c>
      <c r="E179" s="1508"/>
      <c r="F179" s="1508"/>
      <c r="G179" s="1506" t="s">
        <v>360</v>
      </c>
      <c r="H179" s="1509"/>
      <c r="I179" s="1509"/>
      <c r="J179" s="1506"/>
    </row>
    <row r="180" spans="2:10" ht="18" hidden="1" outlineLevel="1" x14ac:dyDescent="0.25">
      <c r="B180" s="1505" t="s">
        <v>703</v>
      </c>
      <c r="C180" s="1506" t="s">
        <v>704</v>
      </c>
      <c r="D180" s="1506">
        <v>262</v>
      </c>
      <c r="E180" s="1508"/>
      <c r="F180" s="1508"/>
      <c r="G180" s="1506" t="s">
        <v>360</v>
      </c>
      <c r="H180" s="1509"/>
      <c r="I180" s="1509"/>
      <c r="J180" s="1506"/>
    </row>
    <row r="181" spans="2:10" ht="18" hidden="1" outlineLevel="1" x14ac:dyDescent="0.25">
      <c r="B181" s="1505" t="s">
        <v>705</v>
      </c>
      <c r="C181" s="1506" t="s">
        <v>706</v>
      </c>
      <c r="D181" s="1506">
        <v>261</v>
      </c>
      <c r="E181" s="1508"/>
      <c r="F181" s="1508"/>
      <c r="G181" s="1506" t="s">
        <v>360</v>
      </c>
      <c r="H181" s="1509"/>
      <c r="I181" s="1509"/>
      <c r="J181" s="1506"/>
    </row>
    <row r="182" spans="2:10" ht="18" hidden="1" outlineLevel="1" x14ac:dyDescent="0.25">
      <c r="B182" s="1505" t="s">
        <v>707</v>
      </c>
      <c r="C182" s="1506" t="s">
        <v>708</v>
      </c>
      <c r="D182" s="1506">
        <v>262</v>
      </c>
      <c r="E182" s="1508"/>
      <c r="F182" s="1508"/>
      <c r="G182" s="1506" t="s">
        <v>360</v>
      </c>
      <c r="H182" s="1509"/>
      <c r="I182" s="1509"/>
      <c r="J182" s="1506"/>
    </row>
    <row r="183" spans="2:10" ht="18" hidden="1" outlineLevel="1" x14ac:dyDescent="0.25">
      <c r="B183" s="1505" t="s">
        <v>709</v>
      </c>
      <c r="C183" s="1506" t="s">
        <v>710</v>
      </c>
      <c r="D183" s="1506">
        <v>266</v>
      </c>
      <c r="E183" s="1508"/>
      <c r="F183" s="1508"/>
      <c r="G183" s="1506" t="s">
        <v>360</v>
      </c>
      <c r="H183" s="1509"/>
      <c r="I183" s="1509"/>
      <c r="J183" s="1506"/>
    </row>
    <row r="184" spans="2:10" ht="18" hidden="1" outlineLevel="1" x14ac:dyDescent="0.25">
      <c r="B184" s="1505" t="s">
        <v>711</v>
      </c>
      <c r="C184" s="1506" t="s">
        <v>712</v>
      </c>
      <c r="D184" s="1506">
        <v>264</v>
      </c>
      <c r="E184" s="1508"/>
      <c r="F184" s="1508"/>
      <c r="G184" s="1506" t="s">
        <v>360</v>
      </c>
      <c r="H184" s="1509"/>
      <c r="I184" s="1509"/>
      <c r="J184" s="1506"/>
    </row>
    <row r="185" spans="2:10" ht="18" hidden="1" outlineLevel="1" x14ac:dyDescent="0.25">
      <c r="B185" s="1505" t="s">
        <v>713</v>
      </c>
      <c r="C185" s="1506" t="s">
        <v>714</v>
      </c>
      <c r="D185" s="1506">
        <v>277</v>
      </c>
      <c r="E185" s="1508"/>
      <c r="F185" s="1508"/>
      <c r="G185" s="1506" t="s">
        <v>360</v>
      </c>
      <c r="H185" s="1509"/>
      <c r="I185" s="1509"/>
      <c r="J185" s="1506"/>
    </row>
    <row r="186" spans="2:10" ht="18" hidden="1" outlineLevel="1" x14ac:dyDescent="0.25">
      <c r="B186" s="1505" t="s">
        <v>715</v>
      </c>
      <c r="C186" s="1506" t="s">
        <v>716</v>
      </c>
      <c r="D186" s="1506">
        <v>268</v>
      </c>
      <c r="E186" s="1508"/>
      <c r="F186" s="1508"/>
      <c r="G186" s="1506" t="s">
        <v>360</v>
      </c>
      <c r="H186" s="1509"/>
      <c r="I186" s="1509"/>
      <c r="J186" s="1506"/>
    </row>
    <row r="187" spans="2:10" ht="18" hidden="1" outlineLevel="1" x14ac:dyDescent="0.25">
      <c r="B187" s="1505" t="s">
        <v>717</v>
      </c>
      <c r="C187" s="1506" t="s">
        <v>718</v>
      </c>
      <c r="D187" s="1506">
        <v>281</v>
      </c>
      <c r="E187" s="1508"/>
      <c r="F187" s="1508"/>
      <c r="G187" s="1506" t="s">
        <v>360</v>
      </c>
      <c r="H187" s="1509"/>
      <c r="I187" s="1509"/>
      <c r="J187" s="1506"/>
    </row>
    <row r="188" spans="2:10" ht="18" hidden="1" outlineLevel="1" x14ac:dyDescent="0.25">
      <c r="B188" s="1505" t="s">
        <v>719</v>
      </c>
      <c r="C188" s="1506" t="s">
        <v>720</v>
      </c>
      <c r="D188" s="1506">
        <v>272</v>
      </c>
      <c r="E188" s="1508"/>
      <c r="F188" s="1508"/>
      <c r="G188" s="1506" t="s">
        <v>360</v>
      </c>
      <c r="H188" s="1509"/>
      <c r="I188" s="1509"/>
      <c r="J188" s="1506"/>
    </row>
    <row r="189" spans="2:10" ht="18" hidden="1" outlineLevel="1" x14ac:dyDescent="0.25">
      <c r="B189" s="1505" t="s">
        <v>721</v>
      </c>
      <c r="C189" s="1506" t="s">
        <v>722</v>
      </c>
      <c r="D189" s="1506">
        <v>285</v>
      </c>
      <c r="E189" s="1508"/>
      <c r="F189" s="1508"/>
      <c r="G189" s="1506" t="s">
        <v>360</v>
      </c>
      <c r="H189" s="1509"/>
      <c r="I189" s="1509"/>
      <c r="J189" s="1506"/>
    </row>
    <row r="190" spans="2:10" ht="18" hidden="1" outlineLevel="1" x14ac:dyDescent="0.25">
      <c r="B190" s="1505" t="s">
        <v>723</v>
      </c>
      <c r="C190" s="1506" t="s">
        <v>724</v>
      </c>
      <c r="D190" s="1506">
        <v>284</v>
      </c>
      <c r="E190" s="1508"/>
      <c r="F190" s="1508"/>
      <c r="G190" s="1506" t="s">
        <v>360</v>
      </c>
      <c r="H190" s="1509"/>
      <c r="I190" s="1509"/>
      <c r="J190" s="1506"/>
    </row>
    <row r="191" spans="2:10" ht="18" hidden="1" outlineLevel="1" x14ac:dyDescent="0.25">
      <c r="B191" s="1505" t="s">
        <v>725</v>
      </c>
      <c r="C191" s="1506" t="s">
        <v>726</v>
      </c>
      <c r="D191" s="1506">
        <v>289</v>
      </c>
      <c r="E191" s="1508"/>
      <c r="F191" s="1508"/>
      <c r="G191" s="1506" t="s">
        <v>360</v>
      </c>
      <c r="H191" s="1509"/>
      <c r="I191" s="1509"/>
      <c r="J191" s="1506"/>
    </row>
    <row r="192" spans="2:10" ht="18" hidden="1" outlineLevel="1" x14ac:dyDescent="0.25">
      <c r="B192" s="1505" t="s">
        <v>727</v>
      </c>
      <c r="C192" s="1506" t="s">
        <v>728</v>
      </c>
      <c r="D192" s="1506">
        <v>288</v>
      </c>
      <c r="E192" s="1508"/>
      <c r="F192" s="1508"/>
      <c r="G192" s="1506" t="s">
        <v>360</v>
      </c>
      <c r="H192" s="1509"/>
      <c r="I192" s="1509"/>
      <c r="J192" s="1506"/>
    </row>
    <row r="193" spans="2:10" ht="18" hidden="1" outlineLevel="1" x14ac:dyDescent="0.25">
      <c r="B193" s="1505" t="s">
        <v>729</v>
      </c>
      <c r="C193" s="1506" t="s">
        <v>730</v>
      </c>
      <c r="D193" s="1506">
        <v>292</v>
      </c>
      <c r="E193" s="1508"/>
      <c r="F193" s="1508"/>
      <c r="G193" s="1506" t="s">
        <v>360</v>
      </c>
      <c r="H193" s="1509"/>
      <c r="I193" s="1509"/>
      <c r="J193" s="1506"/>
    </row>
    <row r="194" spans="2:10" ht="18" hidden="1" outlineLevel="1" x14ac:dyDescent="0.25">
      <c r="B194" s="1505" t="s">
        <v>731</v>
      </c>
      <c r="C194" s="1506" t="s">
        <v>732</v>
      </c>
      <c r="D194" s="1506">
        <v>292</v>
      </c>
      <c r="E194" s="1508"/>
      <c r="F194" s="1508"/>
      <c r="G194" s="1506" t="s">
        <v>360</v>
      </c>
      <c r="H194" s="1509"/>
      <c r="I194" s="1509"/>
      <c r="J194" s="1506"/>
    </row>
    <row r="195" spans="2:10" ht="18" hidden="1" outlineLevel="1" x14ac:dyDescent="0.25">
      <c r="B195" s="1505" t="s">
        <v>733</v>
      </c>
      <c r="C195" s="1506" t="s">
        <v>734</v>
      </c>
      <c r="D195" s="1506">
        <v>294</v>
      </c>
      <c r="E195" s="1508"/>
      <c r="F195" s="1508"/>
      <c r="G195" s="1506" t="s">
        <v>360</v>
      </c>
      <c r="H195" s="1509"/>
      <c r="I195" s="1509"/>
      <c r="J195" s="1506"/>
    </row>
    <row r="196" spans="2:10" collapsed="1" x14ac:dyDescent="0.25"/>
    <row r="197" spans="2:10" ht="15.75" thickBot="1" x14ac:dyDescent="0.3">
      <c r="C197" s="1742" t="s">
        <v>735</v>
      </c>
    </row>
    <row r="198" spans="2:10" ht="15.75" thickBot="1" x14ac:dyDescent="0.3">
      <c r="B198" s="1743" t="s">
        <v>0</v>
      </c>
      <c r="C198" s="1744" t="s">
        <v>1</v>
      </c>
      <c r="D198" s="1745" t="s">
        <v>152</v>
      </c>
      <c r="E198" s="1745" t="s">
        <v>470</v>
      </c>
      <c r="F198" s="1745" t="s">
        <v>471</v>
      </c>
      <c r="G198" s="1745" t="s">
        <v>2</v>
      </c>
      <c r="H198" s="1745" t="s">
        <v>298</v>
      </c>
      <c r="I198" s="1745" t="s">
        <v>116</v>
      </c>
      <c r="J198" s="1746" t="s">
        <v>117</v>
      </c>
    </row>
    <row r="199" spans="2:10" ht="18" hidden="1" outlineLevel="1" x14ac:dyDescent="0.25">
      <c r="B199" s="1505" t="s">
        <v>2005</v>
      </c>
      <c r="C199" s="1506" t="s">
        <v>2006</v>
      </c>
      <c r="D199" s="1506">
        <v>28.97</v>
      </c>
      <c r="E199" s="1508"/>
      <c r="F199" s="1508"/>
      <c r="G199" s="1506" t="s">
        <v>360</v>
      </c>
      <c r="H199" s="1509"/>
      <c r="I199" s="1509"/>
      <c r="J199" s="1506"/>
    </row>
    <row r="200" spans="2:10" ht="18" hidden="1" outlineLevel="1" x14ac:dyDescent="0.25">
      <c r="B200" s="1505" t="s">
        <v>459</v>
      </c>
      <c r="C200" s="1506" t="s">
        <v>452</v>
      </c>
      <c r="D200" s="1506">
        <f>2*A_MH</f>
        <v>2.0158800000000001</v>
      </c>
      <c r="E200" s="1508"/>
      <c r="F200" s="1508"/>
      <c r="G200" s="1506" t="s">
        <v>360</v>
      </c>
      <c r="H200" s="1509"/>
      <c r="I200" s="1509"/>
      <c r="J200" s="1506"/>
    </row>
    <row r="201" spans="2:10" ht="18" hidden="1" outlineLevel="1" x14ac:dyDescent="0.25">
      <c r="B201" s="1505" t="s">
        <v>460</v>
      </c>
      <c r="C201" s="1506" t="s">
        <v>453</v>
      </c>
      <c r="D201" s="1506">
        <f>A_MC+4*A_MH</f>
        <v>16.042459999999998</v>
      </c>
      <c r="E201" s="1508"/>
      <c r="F201" s="1508"/>
      <c r="G201" s="1506" t="s">
        <v>360</v>
      </c>
      <c r="H201" s="1509"/>
      <c r="I201" s="1509"/>
      <c r="J201" s="1506"/>
    </row>
    <row r="202" spans="2:10" ht="18" hidden="1" outlineLevel="1" x14ac:dyDescent="0.25">
      <c r="B202" s="1505" t="s">
        <v>736</v>
      </c>
      <c r="C202" s="1506" t="s">
        <v>737</v>
      </c>
      <c r="D202" s="1506">
        <f>A_MC+2*A_MO</f>
        <v>44.009500000000003</v>
      </c>
      <c r="E202" s="1508"/>
      <c r="F202" s="1508"/>
      <c r="G202" s="1506" t="s">
        <v>360</v>
      </c>
      <c r="H202" s="1509"/>
      <c r="I202" s="1509"/>
      <c r="J202" s="1506"/>
    </row>
    <row r="203" spans="2:10" ht="18" hidden="1" outlineLevel="1" x14ac:dyDescent="0.25">
      <c r="B203" s="1505" t="s">
        <v>1108</v>
      </c>
      <c r="C203" s="1506" t="s">
        <v>747</v>
      </c>
      <c r="D203" s="1506">
        <f>A_MN+3*A_MH</f>
        <v>17.030519999999999</v>
      </c>
      <c r="E203" s="1508"/>
      <c r="F203" s="1508"/>
      <c r="G203" s="1506" t="s">
        <v>360</v>
      </c>
      <c r="H203" s="1509"/>
      <c r="I203" s="1509"/>
      <c r="J203" s="1506"/>
    </row>
    <row r="204" spans="2:10" ht="18" hidden="1" outlineLevel="1" x14ac:dyDescent="0.25">
      <c r="B204" s="1505" t="s">
        <v>451</v>
      </c>
      <c r="C204" s="1506" t="s">
        <v>450</v>
      </c>
      <c r="D204" s="1506">
        <f>2*A_MN</f>
        <v>28.013400000000001</v>
      </c>
      <c r="E204" s="1508"/>
      <c r="F204" s="1508"/>
      <c r="G204" s="1506" t="s">
        <v>360</v>
      </c>
      <c r="H204" s="1509"/>
      <c r="I204" s="1509"/>
      <c r="J204" s="1506"/>
    </row>
    <row r="205" spans="2:10" ht="18" hidden="1" outlineLevel="1" x14ac:dyDescent="0.25">
      <c r="B205" s="1505" t="s">
        <v>446</v>
      </c>
      <c r="C205" s="1506" t="s">
        <v>447</v>
      </c>
      <c r="D205" s="1506">
        <f>2*A_MO</f>
        <v>31.998799999999999</v>
      </c>
      <c r="E205" s="1508"/>
      <c r="F205" s="1508"/>
      <c r="G205" s="1506" t="s">
        <v>360</v>
      </c>
      <c r="H205" s="1509"/>
      <c r="I205" s="1509"/>
      <c r="J205" s="1506" t="s">
        <v>738</v>
      </c>
    </row>
    <row r="206" spans="2:10" ht="18" hidden="1" outlineLevel="1" x14ac:dyDescent="0.25">
      <c r="B206" s="1505" t="s">
        <v>739</v>
      </c>
      <c r="C206" s="1506" t="s">
        <v>740</v>
      </c>
      <c r="D206" s="1506">
        <f>A_MN+A_MO</f>
        <v>30.0061</v>
      </c>
      <c r="E206" s="1508"/>
      <c r="F206" s="1508"/>
      <c r="G206" s="1506" t="s">
        <v>360</v>
      </c>
      <c r="H206" s="1509"/>
      <c r="I206" s="1509"/>
      <c r="J206" s="1506" t="s">
        <v>741</v>
      </c>
    </row>
    <row r="207" spans="2:10" ht="18" hidden="1" outlineLevel="1" x14ac:dyDescent="0.25">
      <c r="B207" s="1505" t="s">
        <v>742</v>
      </c>
      <c r="C207" s="1506" t="s">
        <v>743</v>
      </c>
      <c r="D207" s="1506">
        <f>2*A_MN+A_MO</f>
        <v>44.012799999999999</v>
      </c>
      <c r="E207" s="1508"/>
      <c r="F207" s="1508"/>
      <c r="G207" s="1506" t="s">
        <v>360</v>
      </c>
      <c r="H207" s="1509"/>
      <c r="I207" s="1509"/>
      <c r="J207" s="1506" t="s">
        <v>744</v>
      </c>
    </row>
    <row r="208" spans="2:10" ht="18" hidden="1" outlineLevel="1" x14ac:dyDescent="0.25">
      <c r="B208" s="1505" t="s">
        <v>1154</v>
      </c>
      <c r="C208" s="1506" t="s">
        <v>1205</v>
      </c>
      <c r="D208" s="1506">
        <f>M_MH2S</f>
        <v>34.080880000000001</v>
      </c>
      <c r="E208" s="1508"/>
      <c r="F208" s="1508"/>
      <c r="G208" s="1506" t="s">
        <v>360</v>
      </c>
      <c r="H208" s="1509"/>
      <c r="I208" s="1509"/>
      <c r="J208" s="1506"/>
    </row>
    <row r="209" spans="1:10" collapsed="1" x14ac:dyDescent="0.25"/>
    <row r="210" spans="1:10" ht="15.75" thickBot="1" x14ac:dyDescent="0.3">
      <c r="C210" s="1742" t="s">
        <v>745</v>
      </c>
    </row>
    <row r="211" spans="1:10" ht="15.75" thickBot="1" x14ac:dyDescent="0.3">
      <c r="B211" s="1743" t="s">
        <v>0</v>
      </c>
      <c r="C211" s="1744" t="s">
        <v>1</v>
      </c>
      <c r="D211" s="1745" t="s">
        <v>152</v>
      </c>
      <c r="E211" s="1745" t="s">
        <v>470</v>
      </c>
      <c r="F211" s="1745" t="s">
        <v>471</v>
      </c>
      <c r="G211" s="1745" t="s">
        <v>2</v>
      </c>
      <c r="H211" s="1745" t="s">
        <v>298</v>
      </c>
      <c r="I211" s="1745" t="s">
        <v>116</v>
      </c>
      <c r="J211" s="1746" t="s">
        <v>117</v>
      </c>
    </row>
    <row r="212" spans="1:10" ht="18" outlineLevel="1" x14ac:dyDescent="0.25">
      <c r="B212" s="1505" t="s">
        <v>1206</v>
      </c>
      <c r="C212" s="1506" t="s">
        <v>1130</v>
      </c>
      <c r="D212" s="1506">
        <f>3*A_MCa+2*M_MPO4+4*M_MH2O</f>
        <v>382.23784440000003</v>
      </c>
      <c r="E212" s="1508"/>
      <c r="F212" s="1508"/>
      <c r="G212" s="1506" t="s">
        <v>360</v>
      </c>
      <c r="H212" s="1509"/>
      <c r="I212" s="1509"/>
      <c r="J212" s="1506" t="s">
        <v>3938</v>
      </c>
    </row>
    <row r="213" spans="1:10" ht="18" outlineLevel="1" x14ac:dyDescent="0.25">
      <c r="B213" s="1505" t="s">
        <v>3939</v>
      </c>
      <c r="C213" s="1506" t="s">
        <v>3940</v>
      </c>
      <c r="D213" s="1506">
        <f>2*A_MAl+3*A_MS+12*A_MO</f>
        <v>342.1508</v>
      </c>
      <c r="E213" s="1508"/>
      <c r="F213" s="1508"/>
      <c r="G213" s="1506" t="s">
        <v>360</v>
      </c>
      <c r="H213" s="1509"/>
      <c r="I213" s="1509"/>
      <c r="J213" s="1506"/>
    </row>
    <row r="214" spans="1:10" ht="18" outlineLevel="1" x14ac:dyDescent="0.25">
      <c r="B214" s="1505" t="s">
        <v>3941</v>
      </c>
      <c r="C214" s="1506" t="s">
        <v>3942</v>
      </c>
      <c r="D214" s="1506">
        <f>A_MAl+3*A_MCl</f>
        <v>133.34050000000002</v>
      </c>
      <c r="E214" s="1508"/>
      <c r="F214" s="1508"/>
      <c r="G214" s="1506" t="s">
        <v>360</v>
      </c>
      <c r="H214" s="1509"/>
      <c r="I214" s="1509"/>
      <c r="J214" s="1506"/>
    </row>
    <row r="215" spans="1:10" ht="18" outlineLevel="1" x14ac:dyDescent="0.25">
      <c r="B215" s="1505" t="s">
        <v>3175</v>
      </c>
      <c r="C215" s="1506" t="s">
        <v>2986</v>
      </c>
      <c r="D215" s="1506">
        <f>A_MAl+3*(A_MO+A_MH)</f>
        <v>78.003519999999995</v>
      </c>
      <c r="E215" s="1508"/>
      <c r="F215" s="1508"/>
      <c r="G215" s="1506" t="s">
        <v>360</v>
      </c>
      <c r="H215" s="1509"/>
      <c r="I215" s="1509"/>
      <c r="J215" s="1506"/>
    </row>
    <row r="216" spans="1:10" ht="18" outlineLevel="1" x14ac:dyDescent="0.25">
      <c r="B216" s="1505" t="s">
        <v>3176</v>
      </c>
      <c r="C216" s="1506" t="s">
        <v>2987</v>
      </c>
      <c r="D216" s="1506">
        <f>A_MAl+A_MP+4*A_MO</f>
        <v>121.9528622</v>
      </c>
      <c r="E216" s="1508"/>
      <c r="F216" s="1508"/>
      <c r="G216" s="1506" t="s">
        <v>360</v>
      </c>
      <c r="H216" s="1509"/>
      <c r="I216" s="1509"/>
      <c r="J216" s="1506"/>
    </row>
    <row r="217" spans="1:10" ht="18" x14ac:dyDescent="0.25">
      <c r="A217" s="1747"/>
      <c r="B217" s="1505" t="s">
        <v>3890</v>
      </c>
      <c r="C217" s="1506" t="s">
        <v>3891</v>
      </c>
      <c r="D217" s="1506">
        <f>1*A_MCa+1*A_MH+1*M_MPO4+2*M_MH2O</f>
        <v>172.08786220000002</v>
      </c>
      <c r="E217" s="1508"/>
      <c r="F217" s="1508"/>
      <c r="G217" s="1506" t="s">
        <v>360</v>
      </c>
      <c r="H217" s="1509"/>
      <c r="I217" s="1509"/>
      <c r="J217" s="1506"/>
    </row>
    <row r="218" spans="1:10" s="1748" customFormat="1" ht="18" outlineLevel="1" x14ac:dyDescent="0.25">
      <c r="B218" s="1505" t="s">
        <v>3943</v>
      </c>
      <c r="C218" s="1506" t="s">
        <v>3944</v>
      </c>
      <c r="D218" s="1506">
        <f>A_MCa+2*A_MCl</f>
        <v>110.98400000000001</v>
      </c>
      <c r="E218" s="1508"/>
      <c r="F218" s="1508"/>
      <c r="G218" s="1506" t="s">
        <v>360</v>
      </c>
      <c r="H218" s="1749"/>
      <c r="I218" s="1749"/>
      <c r="J218" s="1750"/>
    </row>
    <row r="219" spans="1:10" s="1748" customFormat="1" ht="18" outlineLevel="1" x14ac:dyDescent="0.25">
      <c r="B219" s="1505" t="s">
        <v>1260</v>
      </c>
      <c r="C219" s="1506" t="s">
        <v>1028</v>
      </c>
      <c r="D219" s="1506">
        <f>A_MCa+A_MC+3*A_MO</f>
        <v>100.0869</v>
      </c>
      <c r="E219" s="1508"/>
      <c r="F219" s="1508"/>
      <c r="G219" s="1506" t="s">
        <v>360</v>
      </c>
      <c r="H219" s="1749"/>
      <c r="I219" s="1749"/>
      <c r="J219" s="1750"/>
    </row>
    <row r="220" spans="1:10" ht="18" outlineLevel="1" x14ac:dyDescent="0.25">
      <c r="B220" s="1505" t="s">
        <v>1299</v>
      </c>
      <c r="C220" s="1506" t="s">
        <v>1331</v>
      </c>
      <c r="D220" s="1506">
        <f>A_MCa+2*A_MH+A_MP+4*A_MO</f>
        <v>137.0652422</v>
      </c>
      <c r="E220" s="1508"/>
      <c r="F220" s="1508"/>
      <c r="G220" s="1506" t="s">
        <v>360</v>
      </c>
      <c r="H220" s="1509"/>
      <c r="I220" s="1509"/>
      <c r="J220" s="1506"/>
    </row>
    <row r="221" spans="1:10" ht="18" outlineLevel="1" x14ac:dyDescent="0.25">
      <c r="B221" s="1505" t="s">
        <v>1296</v>
      </c>
      <c r="C221" s="1506" t="s">
        <v>1328</v>
      </c>
      <c r="D221" s="1506">
        <f>A_MCa+A_MH+A_MC+3*A_MO</f>
        <v>101.09484</v>
      </c>
      <c r="E221" s="1508"/>
      <c r="F221" s="1508"/>
      <c r="G221" s="1506" t="s">
        <v>360</v>
      </c>
      <c r="H221" s="1509"/>
      <c r="I221" s="1509"/>
      <c r="J221" s="1506"/>
    </row>
    <row r="222" spans="1:10" ht="18" outlineLevel="1" x14ac:dyDescent="0.25">
      <c r="B222" s="1505" t="s">
        <v>1298</v>
      </c>
      <c r="C222" s="1506" t="s">
        <v>1330</v>
      </c>
      <c r="D222" s="1506">
        <f>A_MCa+A_MH+A_MP+4*A_MO</f>
        <v>136.05730220000001</v>
      </c>
      <c r="E222" s="1508"/>
      <c r="F222" s="1508"/>
      <c r="G222" s="1506" t="s">
        <v>360</v>
      </c>
      <c r="H222" s="1509"/>
      <c r="I222" s="1509"/>
      <c r="J222" s="1506"/>
    </row>
    <row r="223" spans="1:10" ht="18" outlineLevel="1" x14ac:dyDescent="0.25">
      <c r="B223" s="1505" t="s">
        <v>1294</v>
      </c>
      <c r="C223" s="1506" t="s">
        <v>1295</v>
      </c>
      <c r="D223" s="1506">
        <f>A_MCa+A_MO+A_MH</f>
        <v>57.085340000000002</v>
      </c>
      <c r="E223" s="1508"/>
      <c r="F223" s="1508"/>
      <c r="G223" s="1506" t="s">
        <v>360</v>
      </c>
      <c r="H223" s="1509"/>
      <c r="I223" s="1509"/>
      <c r="J223" s="1506"/>
    </row>
    <row r="224" spans="1:10" ht="18" outlineLevel="1" x14ac:dyDescent="0.25">
      <c r="B224" s="1505" t="s">
        <v>3945</v>
      </c>
      <c r="C224" s="1506" t="s">
        <v>3946</v>
      </c>
      <c r="D224" s="1506">
        <f>A_MCa+2*(A_MO+A_MH)</f>
        <v>74.092680000000001</v>
      </c>
      <c r="E224" s="1508"/>
      <c r="F224" s="1508"/>
      <c r="G224" s="1506" t="s">
        <v>360</v>
      </c>
      <c r="H224" s="1509"/>
      <c r="I224" s="1509"/>
      <c r="J224" s="1506"/>
    </row>
    <row r="225" spans="2:10" ht="18" outlineLevel="1" x14ac:dyDescent="0.25">
      <c r="B225" s="1505" t="s">
        <v>1297</v>
      </c>
      <c r="C225" s="1506" t="s">
        <v>1329</v>
      </c>
      <c r="D225" s="1506">
        <f>A_MCa+A_MP+4*A_MO</f>
        <v>135.04936219999999</v>
      </c>
      <c r="E225" s="1508"/>
      <c r="F225" s="1508"/>
      <c r="G225" s="1506" t="s">
        <v>360</v>
      </c>
      <c r="H225" s="1509"/>
      <c r="I225" s="1509"/>
      <c r="J225" s="1506"/>
    </row>
    <row r="226" spans="2:10" ht="18" outlineLevel="1" x14ac:dyDescent="0.25">
      <c r="B226" s="1505" t="s">
        <v>751</v>
      </c>
      <c r="C226" s="1506" t="s">
        <v>752</v>
      </c>
      <c r="D226" s="1506">
        <f>A_MC+3*A_MH+A_MC+2*A_MO+A_MH</f>
        <v>60.051960000000001</v>
      </c>
      <c r="E226" s="1508"/>
      <c r="F226" s="1508"/>
      <c r="G226" s="1506" t="s">
        <v>360</v>
      </c>
      <c r="H226" s="1509"/>
      <c r="I226" s="1509"/>
      <c r="J226" s="1506"/>
    </row>
    <row r="227" spans="2:10" ht="18" outlineLevel="1" x14ac:dyDescent="0.25">
      <c r="B227" s="1505" t="s">
        <v>749</v>
      </c>
      <c r="C227" s="1506" t="s">
        <v>750</v>
      </c>
      <c r="D227" s="1506">
        <f>A_MC+3*A_MH+A_MO+A_MH</f>
        <v>32.04186</v>
      </c>
      <c r="E227" s="1508"/>
      <c r="F227" s="1508"/>
      <c r="G227" s="1506" t="s">
        <v>360</v>
      </c>
      <c r="H227" s="1509"/>
      <c r="I227" s="1509"/>
      <c r="J227" s="1506"/>
    </row>
    <row r="228" spans="2:10" ht="18" outlineLevel="1" x14ac:dyDescent="0.25">
      <c r="B228" s="1505" t="s">
        <v>1259</v>
      </c>
      <c r="C228" s="1506" t="s">
        <v>737</v>
      </c>
      <c r="D228" s="1506">
        <f>A_MC+2*A_MO</f>
        <v>44.009500000000003</v>
      </c>
      <c r="E228" s="1508"/>
      <c r="F228" s="1508"/>
      <c r="G228" s="1506" t="s">
        <v>360</v>
      </c>
      <c r="H228" s="1509"/>
      <c r="I228" s="1509"/>
      <c r="J228" s="1506"/>
    </row>
    <row r="229" spans="2:10" ht="18" outlineLevel="1" x14ac:dyDescent="0.25">
      <c r="B229" s="1505" t="s">
        <v>1019</v>
      </c>
      <c r="C229" s="1506" t="s">
        <v>1020</v>
      </c>
      <c r="D229" s="1506">
        <f>A_MC + 3*A_MO</f>
        <v>60.008899999999997</v>
      </c>
      <c r="E229" s="1508"/>
      <c r="F229" s="1508"/>
      <c r="G229" s="1506" t="s">
        <v>360</v>
      </c>
      <c r="H229" s="1509"/>
      <c r="I229" s="1509"/>
      <c r="J229" s="1506"/>
    </row>
    <row r="230" spans="2:10" ht="18" outlineLevel="1" x14ac:dyDescent="0.25">
      <c r="B230" s="1505" t="s">
        <v>1256</v>
      </c>
      <c r="C230" s="1506" t="s">
        <v>1257</v>
      </c>
      <c r="D230" s="1506">
        <f>2*A_MFe+3*A_MO</f>
        <v>159.68819999999999</v>
      </c>
      <c r="E230" s="1508"/>
      <c r="F230" s="1508"/>
      <c r="G230" s="1506" t="s">
        <v>360</v>
      </c>
      <c r="H230" s="1509"/>
      <c r="I230" s="1509"/>
      <c r="J230" s="1506"/>
    </row>
    <row r="231" spans="2:10" ht="18" outlineLevel="1" x14ac:dyDescent="0.25">
      <c r="B231" s="1505" t="s">
        <v>3947</v>
      </c>
      <c r="C231" s="1506" t="s">
        <v>3948</v>
      </c>
      <c r="D231" s="1506">
        <f>2*A_MFe+3*A_MS+12*A_MO</f>
        <v>399.87779999999998</v>
      </c>
      <c r="E231" s="1508"/>
      <c r="F231" s="1508"/>
      <c r="G231" s="1506" t="s">
        <v>360</v>
      </c>
      <c r="H231" s="1509"/>
      <c r="I231" s="1509"/>
      <c r="J231" s="1506"/>
    </row>
    <row r="232" spans="2:10" ht="18" outlineLevel="1" x14ac:dyDescent="0.25">
      <c r="B232" s="1505" t="s">
        <v>2377</v>
      </c>
      <c r="C232" s="1506" t="s">
        <v>2378</v>
      </c>
      <c r="D232" s="1506">
        <f>A_MFe+2*A_MCl</f>
        <v>126.751</v>
      </c>
      <c r="E232" s="1508"/>
      <c r="F232" s="1508"/>
      <c r="G232" s="1506" t="s">
        <v>360</v>
      </c>
      <c r="H232" s="1509"/>
      <c r="I232" s="1509"/>
      <c r="J232" s="1506"/>
    </row>
    <row r="233" spans="2:10" ht="18" outlineLevel="1" x14ac:dyDescent="0.25">
      <c r="B233" s="1505" t="s">
        <v>2375</v>
      </c>
      <c r="C233" s="1506" t="s">
        <v>2376</v>
      </c>
      <c r="D233" s="1506">
        <f>A_MFe+3*A_MCl</f>
        <v>162.20400000000001</v>
      </c>
      <c r="E233" s="1508"/>
      <c r="F233" s="1508"/>
      <c r="G233" s="1506" t="s">
        <v>360</v>
      </c>
      <c r="H233" s="1509"/>
      <c r="I233" s="1509"/>
      <c r="J233" s="1506"/>
    </row>
    <row r="234" spans="2:10" ht="18" outlineLevel="1" x14ac:dyDescent="0.25">
      <c r="B234" s="1505" t="s">
        <v>3174</v>
      </c>
      <c r="C234" s="1506" t="s">
        <v>2985</v>
      </c>
      <c r="D234" s="1506">
        <f>A_MFe+3*(A_MO+A_MH)</f>
        <v>106.86702</v>
      </c>
      <c r="E234" s="1508"/>
      <c r="F234" s="1508"/>
      <c r="G234" s="1506" t="s">
        <v>360</v>
      </c>
      <c r="H234" s="1509"/>
      <c r="I234" s="1509"/>
      <c r="J234" s="1506"/>
    </row>
    <row r="235" spans="2:10" ht="18" outlineLevel="1" x14ac:dyDescent="0.25">
      <c r="B235" s="1505" t="s">
        <v>1119</v>
      </c>
      <c r="C235" s="1506" t="s">
        <v>1115</v>
      </c>
      <c r="D235" s="1506">
        <f>A_MFe+A_MS</f>
        <v>87.91</v>
      </c>
      <c r="E235" s="1508"/>
      <c r="F235" s="1508"/>
      <c r="G235" s="1506" t="s">
        <v>360</v>
      </c>
      <c r="H235" s="1509"/>
      <c r="I235" s="1509"/>
      <c r="J235" s="1506"/>
    </row>
    <row r="236" spans="2:10" ht="18" outlineLevel="1" x14ac:dyDescent="0.25">
      <c r="B236" s="1505" t="s">
        <v>2379</v>
      </c>
      <c r="C236" s="1506" t="s">
        <v>2380</v>
      </c>
      <c r="D236" s="1506">
        <f>A_MFe+M_MSO4</f>
        <v>151.9076</v>
      </c>
      <c r="E236" s="1508"/>
      <c r="F236" s="1508"/>
      <c r="G236" s="1506" t="s">
        <v>360</v>
      </c>
      <c r="H236" s="1509"/>
      <c r="I236" s="1509"/>
      <c r="J236" s="1506"/>
    </row>
    <row r="237" spans="2:10" ht="18" outlineLevel="1" x14ac:dyDescent="0.25">
      <c r="B237" s="1505" t="s">
        <v>1023</v>
      </c>
      <c r="C237" s="1506" t="s">
        <v>1024</v>
      </c>
      <c r="D237" s="1506">
        <f>2*A_MH+A_MC + 3*A_MO</f>
        <v>62.024779999999993</v>
      </c>
      <c r="E237" s="1508"/>
      <c r="F237" s="1508"/>
      <c r="G237" s="1506" t="s">
        <v>360</v>
      </c>
      <c r="H237" s="1509"/>
      <c r="I237" s="1509"/>
      <c r="J237" s="1506"/>
    </row>
    <row r="238" spans="2:10" ht="18" outlineLevel="1" x14ac:dyDescent="0.25">
      <c r="B238" s="1505" t="s">
        <v>1116</v>
      </c>
      <c r="C238" s="1506" t="s">
        <v>1117</v>
      </c>
      <c r="D238" s="1506">
        <f>2*A_MH+A_MO</f>
        <v>18.015280000000001</v>
      </c>
      <c r="E238" s="1508"/>
      <c r="F238" s="1508"/>
      <c r="G238" s="1506" t="s">
        <v>360</v>
      </c>
      <c r="H238" s="1509"/>
      <c r="I238" s="1509"/>
      <c r="J238" s="1506"/>
    </row>
    <row r="239" spans="2:10" ht="18" outlineLevel="1" x14ac:dyDescent="0.25">
      <c r="B239" s="1505" t="s">
        <v>3949</v>
      </c>
      <c r="C239" s="1506" t="s">
        <v>3950</v>
      </c>
      <c r="D239" s="1506">
        <f>3*A_MH + A_MP+4*A_MO</f>
        <v>97.995182199999988</v>
      </c>
      <c r="E239" s="1508"/>
      <c r="F239" s="1508"/>
      <c r="G239" s="1506" t="s">
        <v>360</v>
      </c>
      <c r="H239" s="1509"/>
      <c r="I239" s="1509"/>
      <c r="J239" s="1506"/>
    </row>
    <row r="240" spans="2:10" ht="18" outlineLevel="1" x14ac:dyDescent="0.25">
      <c r="B240" s="1505" t="s">
        <v>1110</v>
      </c>
      <c r="C240" s="1506" t="s">
        <v>1027</v>
      </c>
      <c r="D240" s="1506">
        <f>2*A_MH + A_MS</f>
        <v>34.080880000000001</v>
      </c>
      <c r="E240" s="1508"/>
      <c r="F240" s="1508"/>
      <c r="G240" s="1506" t="s">
        <v>360</v>
      </c>
      <c r="H240" s="1509"/>
      <c r="I240" s="1509"/>
      <c r="J240" s="1506"/>
    </row>
    <row r="241" spans="2:10" ht="18" outlineLevel="1" x14ac:dyDescent="0.25">
      <c r="B241" s="1505" t="s">
        <v>1066</v>
      </c>
      <c r="C241" s="1506" t="s">
        <v>1025</v>
      </c>
      <c r="D241" s="1506">
        <f>2*A_MH + A_MS+4*A_MO</f>
        <v>98.078479999999999</v>
      </c>
      <c r="E241" s="1508"/>
      <c r="F241" s="1508"/>
      <c r="G241" s="1506" t="s">
        <v>360</v>
      </c>
      <c r="H241" s="1509"/>
      <c r="I241" s="1509"/>
      <c r="J241" s="1506"/>
    </row>
    <row r="242" spans="2:10" ht="18" outlineLevel="1" x14ac:dyDescent="0.25">
      <c r="B242" s="1505" t="s">
        <v>1292</v>
      </c>
      <c r="C242" s="1506" t="s">
        <v>1293</v>
      </c>
      <c r="D242" s="1506">
        <f>5*A_MCa+A_MP*3+4*3*A_MO+A_MO+A_MH</f>
        <v>502.3114266</v>
      </c>
      <c r="E242" s="1508"/>
      <c r="F242" s="1508"/>
      <c r="G242" s="1506" t="s">
        <v>360</v>
      </c>
      <c r="H242" s="1509"/>
      <c r="I242" s="1509"/>
      <c r="J242" s="1506" t="s">
        <v>3951</v>
      </c>
    </row>
    <row r="243" spans="2:10" ht="18" outlineLevel="1" x14ac:dyDescent="0.25">
      <c r="B243" s="1505" t="s">
        <v>1026</v>
      </c>
      <c r="C243" s="1506" t="s">
        <v>1106</v>
      </c>
      <c r="D243" s="1506">
        <f>A_MH + A_MCl</f>
        <v>36.460940000000001</v>
      </c>
      <c r="E243" s="1508"/>
      <c r="F243" s="1508"/>
      <c r="G243" s="1506" t="s">
        <v>360</v>
      </c>
      <c r="H243" s="1509"/>
      <c r="I243" s="1509"/>
      <c r="J243" s="1506"/>
    </row>
    <row r="244" spans="2:10" ht="18" outlineLevel="1" x14ac:dyDescent="0.25">
      <c r="B244" s="1505" t="s">
        <v>1021</v>
      </c>
      <c r="C244" s="1506" t="s">
        <v>1022</v>
      </c>
      <c r="D244" s="1506">
        <f>A_MH + A_MC + 3*A_MO</f>
        <v>61.016839999999995</v>
      </c>
      <c r="E244" s="1508"/>
      <c r="F244" s="1508"/>
      <c r="G244" s="1506" t="s">
        <v>360</v>
      </c>
      <c r="H244" s="1509"/>
      <c r="I244" s="1509"/>
      <c r="J244" s="1506"/>
    </row>
    <row r="245" spans="2:10" ht="18" outlineLevel="1" x14ac:dyDescent="0.25">
      <c r="B245" s="1505" t="s">
        <v>1290</v>
      </c>
      <c r="C245" s="1506" t="s">
        <v>1291</v>
      </c>
      <c r="D245" s="1506">
        <f>2*A_MCa+A_MP+4*A_MO+2*(A_MO+A_MH)</f>
        <v>209.14204219999999</v>
      </c>
      <c r="E245" s="1508"/>
      <c r="F245" s="1508"/>
      <c r="G245" s="1506" t="s">
        <v>360</v>
      </c>
      <c r="H245" s="1509"/>
      <c r="I245" s="1509"/>
      <c r="J245" s="1506" t="s">
        <v>3952</v>
      </c>
    </row>
    <row r="246" spans="2:10" ht="18" outlineLevel="1" x14ac:dyDescent="0.25">
      <c r="B246" s="1505" t="s">
        <v>3953</v>
      </c>
      <c r="C246" s="1506" t="s">
        <v>3954</v>
      </c>
      <c r="D246" s="1506">
        <f>A_MH + A_MN+3*A_MO</f>
        <v>63.012839999999997</v>
      </c>
      <c r="E246" s="1508"/>
      <c r="F246" s="1508"/>
      <c r="G246" s="1506" t="s">
        <v>360</v>
      </c>
      <c r="H246" s="1509"/>
      <c r="I246" s="1509"/>
      <c r="J246" s="1506"/>
    </row>
    <row r="247" spans="2:10" ht="18" outlineLevel="1" x14ac:dyDescent="0.25">
      <c r="B247" s="1505" t="s">
        <v>1065</v>
      </c>
      <c r="C247" s="1506" t="s">
        <v>1107</v>
      </c>
      <c r="D247" s="1506">
        <f>A_MH + A_MS+4*A_MO</f>
        <v>97.070539999999994</v>
      </c>
      <c r="E247" s="1508"/>
      <c r="F247" s="1508"/>
      <c r="G247" s="1506" t="s">
        <v>360</v>
      </c>
      <c r="H247" s="1509"/>
      <c r="I247" s="1509"/>
      <c r="J247" s="1506"/>
    </row>
    <row r="248" spans="2:10" ht="18" outlineLevel="1" x14ac:dyDescent="0.25">
      <c r="B248" s="1505" t="s">
        <v>1301</v>
      </c>
      <c r="C248" s="1506" t="s">
        <v>1333</v>
      </c>
      <c r="D248" s="1506">
        <f>A_MMg+A_MC+3*A_MO</f>
        <v>84.31389999999999</v>
      </c>
      <c r="E248" s="1508"/>
      <c r="F248" s="1508"/>
      <c r="G248" s="1506" t="s">
        <v>360</v>
      </c>
      <c r="H248" s="1509"/>
      <c r="I248" s="1509"/>
      <c r="J248" s="1506"/>
    </row>
    <row r="249" spans="2:10" ht="18" outlineLevel="1" x14ac:dyDescent="0.25">
      <c r="B249" s="1505" t="s">
        <v>1305</v>
      </c>
      <c r="C249" s="1506" t="s">
        <v>1337</v>
      </c>
      <c r="D249" s="1506">
        <f>A_MMg+2*A_MH+A_MP+4*A_MO</f>
        <v>121.2922422</v>
      </c>
      <c r="E249" s="1508"/>
      <c r="F249" s="1508"/>
      <c r="G249" s="1506" t="s">
        <v>360</v>
      </c>
      <c r="H249" s="1509"/>
      <c r="I249" s="1509"/>
      <c r="J249" s="1506"/>
    </row>
    <row r="250" spans="2:10" ht="18" outlineLevel="1" x14ac:dyDescent="0.25">
      <c r="B250" s="1505" t="s">
        <v>1302</v>
      </c>
      <c r="C250" s="1506" t="s">
        <v>1334</v>
      </c>
      <c r="D250" s="1506">
        <f>A_MMg+A_MH+A_MC+3*A_MO</f>
        <v>85.321839999999995</v>
      </c>
      <c r="E250" s="1508"/>
      <c r="F250" s="1508"/>
      <c r="G250" s="1506" t="s">
        <v>360</v>
      </c>
      <c r="H250" s="1509"/>
      <c r="I250" s="1509"/>
      <c r="J250" s="1506"/>
    </row>
    <row r="251" spans="2:10" ht="18" outlineLevel="1" x14ac:dyDescent="0.25">
      <c r="B251" s="1505" t="s">
        <v>1303</v>
      </c>
      <c r="C251" s="1506" t="s">
        <v>1335</v>
      </c>
      <c r="D251" s="1506">
        <f>A_MMg+A_MH+A_MP+4*A_MO</f>
        <v>120.2843022</v>
      </c>
      <c r="E251" s="1508"/>
      <c r="F251" s="1508"/>
      <c r="G251" s="1506" t="s">
        <v>360</v>
      </c>
      <c r="H251" s="1509"/>
      <c r="I251" s="1509"/>
      <c r="J251" s="1506"/>
    </row>
    <row r="252" spans="2:10" ht="18" outlineLevel="1" x14ac:dyDescent="0.25">
      <c r="B252" s="1505" t="s">
        <v>1300</v>
      </c>
      <c r="C252" s="1506" t="s">
        <v>1332</v>
      </c>
      <c r="D252" s="1506">
        <f>A_MMg+A_MO+A_MH</f>
        <v>41.312339999999999</v>
      </c>
      <c r="E252" s="1508"/>
      <c r="F252" s="1508"/>
      <c r="G252" s="1506" t="s">
        <v>360</v>
      </c>
      <c r="H252" s="1509"/>
      <c r="I252" s="1509"/>
      <c r="J252" s="1506"/>
    </row>
    <row r="253" spans="2:10" ht="18" outlineLevel="1" x14ac:dyDescent="0.25">
      <c r="B253" s="1505" t="s">
        <v>2381</v>
      </c>
      <c r="C253" s="1506" t="s">
        <v>2382</v>
      </c>
      <c r="D253" s="1506">
        <f>A_MMg+2*(A_MO+A_MH)</f>
        <v>58.319679999999998</v>
      </c>
      <c r="E253" s="1508"/>
      <c r="F253" s="1508"/>
      <c r="G253" s="1506" t="s">
        <v>360</v>
      </c>
      <c r="H253" s="1509"/>
      <c r="I253" s="1509"/>
      <c r="J253" s="1506"/>
    </row>
    <row r="254" spans="2:10" ht="18" outlineLevel="1" x14ac:dyDescent="0.25">
      <c r="B254" s="1505" t="s">
        <v>1304</v>
      </c>
      <c r="C254" s="1506" t="s">
        <v>1336</v>
      </c>
      <c r="D254" s="1506">
        <f>A_MMg+A_MP+4*A_MO</f>
        <v>119.27636219999999</v>
      </c>
      <c r="E254" s="1508"/>
      <c r="F254" s="1508"/>
      <c r="G254" s="1506" t="s">
        <v>360</v>
      </c>
      <c r="H254" s="1509"/>
      <c r="I254" s="1509"/>
      <c r="J254" s="1506"/>
    </row>
    <row r="255" spans="2:10" ht="18" outlineLevel="1" x14ac:dyDescent="0.25">
      <c r="B255" s="1505" t="s">
        <v>1288</v>
      </c>
      <c r="C255" s="1506" t="s">
        <v>1289</v>
      </c>
      <c r="D255" s="1506">
        <f>A_MMg+A_MK+A_MP+4*A_MO+6*2*A_MH+6*A_MO</f>
        <v>266.46634219999999</v>
      </c>
      <c r="E255" s="1508"/>
      <c r="F255" s="1508"/>
      <c r="G255" s="1506" t="s">
        <v>360</v>
      </c>
      <c r="H255" s="1509"/>
      <c r="I255" s="1509"/>
      <c r="J255" s="1506"/>
    </row>
    <row r="256" spans="2:10" ht="18" outlineLevel="1" x14ac:dyDescent="0.25">
      <c r="B256" s="1505" t="s">
        <v>2011</v>
      </c>
      <c r="C256" s="1506" t="s">
        <v>2012</v>
      </c>
      <c r="D256" s="1506">
        <f>4*A_MH+A_MC+A_MS</f>
        <v>48.107459999999996</v>
      </c>
      <c r="E256" s="1508"/>
      <c r="F256" s="1508"/>
      <c r="G256" s="1506" t="s">
        <v>360</v>
      </c>
      <c r="H256" s="1509"/>
      <c r="I256" s="1509"/>
      <c r="J256" s="1507" t="s">
        <v>3955</v>
      </c>
    </row>
    <row r="257" spans="2:10" ht="18" outlineLevel="1" x14ac:dyDescent="0.25">
      <c r="B257" s="1505" t="s">
        <v>449</v>
      </c>
      <c r="C257" s="1506" t="s">
        <v>450</v>
      </c>
      <c r="D257" s="1506">
        <f>2*A_MN</f>
        <v>28.013400000000001</v>
      </c>
      <c r="E257" s="1508"/>
      <c r="F257" s="1508"/>
      <c r="G257" s="1506" t="s">
        <v>360</v>
      </c>
      <c r="H257" s="1509"/>
      <c r="I257" s="1509"/>
      <c r="J257" s="1506"/>
    </row>
    <row r="258" spans="2:10" ht="18" outlineLevel="1" x14ac:dyDescent="0.25">
      <c r="B258" s="1751" t="s">
        <v>3956</v>
      </c>
      <c r="C258" s="1750" t="s">
        <v>3957</v>
      </c>
      <c r="D258" s="1750">
        <f>2*A_MN + A_MO</f>
        <v>44.012799999999999</v>
      </c>
      <c r="E258" s="1752"/>
      <c r="F258" s="1752"/>
      <c r="G258" s="1750" t="s">
        <v>360</v>
      </c>
      <c r="H258" s="1509"/>
      <c r="I258" s="1509"/>
      <c r="J258" s="1506"/>
    </row>
    <row r="259" spans="2:10" ht="18" outlineLevel="1" x14ac:dyDescent="0.25">
      <c r="B259" s="1505" t="s">
        <v>2383</v>
      </c>
      <c r="C259" s="1506" t="s">
        <v>2384</v>
      </c>
      <c r="D259" s="1506">
        <f>2*A_MNa+A_MC+3*A_MO</f>
        <v>105.988438</v>
      </c>
      <c r="E259" s="1508"/>
      <c r="F259" s="1508"/>
      <c r="G259" s="1506" t="s">
        <v>360</v>
      </c>
      <c r="H259" s="1509"/>
      <c r="I259" s="1509"/>
      <c r="J259" s="1506"/>
    </row>
    <row r="260" spans="2:10" ht="18" outlineLevel="1" x14ac:dyDescent="0.25">
      <c r="B260" s="1505" t="s">
        <v>2007</v>
      </c>
      <c r="C260" s="1506" t="s">
        <v>2008</v>
      </c>
      <c r="D260" s="1506">
        <f>A_MNa+A_MCl</f>
        <v>58.442768999999998</v>
      </c>
      <c r="E260" s="1508"/>
      <c r="F260" s="1508"/>
      <c r="G260" s="1506" t="s">
        <v>360</v>
      </c>
      <c r="H260" s="1509"/>
      <c r="I260" s="1509"/>
      <c r="J260" s="1506"/>
    </row>
    <row r="261" spans="2:10" ht="18" outlineLevel="1" x14ac:dyDescent="0.25">
      <c r="B261" s="1505" t="s">
        <v>2385</v>
      </c>
      <c r="C261" s="1506" t="s">
        <v>2386</v>
      </c>
      <c r="D261" s="1506">
        <f>A_MNa+A_MH+A_MC+3*A_MO</f>
        <v>84.006608999999997</v>
      </c>
      <c r="E261" s="1508"/>
      <c r="F261" s="1508"/>
      <c r="G261" s="1506" t="s">
        <v>360</v>
      </c>
      <c r="H261" s="1509"/>
      <c r="I261" s="1509"/>
      <c r="J261" s="1506"/>
    </row>
    <row r="262" spans="2:10" ht="18" outlineLevel="1" x14ac:dyDescent="0.25">
      <c r="B262" s="1505" t="s">
        <v>1306</v>
      </c>
      <c r="C262" s="1506" t="s">
        <v>1338</v>
      </c>
      <c r="D262" s="1506">
        <f>A_MNa+A_MH+A_MP+4*A_MO</f>
        <v>118.9690712</v>
      </c>
      <c r="E262" s="1508"/>
      <c r="F262" s="1508"/>
      <c r="G262" s="1506" t="s">
        <v>360</v>
      </c>
      <c r="H262" s="1509"/>
      <c r="I262" s="1509"/>
      <c r="J262" s="1506"/>
    </row>
    <row r="263" spans="2:10" ht="18" outlineLevel="1" x14ac:dyDescent="0.25">
      <c r="B263" s="1505" t="s">
        <v>3958</v>
      </c>
      <c r="C263" s="1506" t="s">
        <v>3959</v>
      </c>
      <c r="D263" s="1506">
        <f>A_MK+A_MN+2*A_MO</f>
        <v>85.103800000000007</v>
      </c>
      <c r="E263" s="1508"/>
      <c r="F263" s="1508"/>
      <c r="G263" s="1506" t="s">
        <v>360</v>
      </c>
      <c r="H263" s="1509"/>
      <c r="I263" s="1509"/>
      <c r="J263" s="1506"/>
    </row>
    <row r="264" spans="2:10" ht="18" outlineLevel="1" x14ac:dyDescent="0.25">
      <c r="B264" s="1505" t="s">
        <v>3960</v>
      </c>
      <c r="C264" s="1506" t="s">
        <v>3961</v>
      </c>
      <c r="D264" s="1506">
        <f>A_MK+A_MN+3*A_MO</f>
        <v>101.1032</v>
      </c>
      <c r="E264" s="1508"/>
      <c r="F264" s="1508"/>
      <c r="G264" s="1506" t="s">
        <v>360</v>
      </c>
      <c r="H264" s="1509"/>
      <c r="I264" s="1509"/>
      <c r="J264" s="1506"/>
    </row>
    <row r="265" spans="2:10" ht="18" outlineLevel="1" x14ac:dyDescent="0.25">
      <c r="B265" s="1505" t="s">
        <v>2009</v>
      </c>
      <c r="C265" s="1506" t="s">
        <v>2010</v>
      </c>
      <c r="D265" s="1506">
        <f>A_MNa+A_MH+A_MO</f>
        <v>39.997109000000002</v>
      </c>
      <c r="E265" s="1508"/>
      <c r="F265" s="1508"/>
      <c r="G265" s="1506" t="s">
        <v>360</v>
      </c>
      <c r="H265" s="1509"/>
      <c r="I265" s="1509"/>
      <c r="J265" s="1506"/>
    </row>
    <row r="266" spans="2:10" ht="18" outlineLevel="1" x14ac:dyDescent="0.25">
      <c r="B266" s="1505" t="s">
        <v>746</v>
      </c>
      <c r="C266" s="1506" t="s">
        <v>747</v>
      </c>
      <c r="D266" s="1506">
        <f>A_MN+3*A_MH</f>
        <v>17.030519999999999</v>
      </c>
      <c r="E266" s="1508"/>
      <c r="F266" s="1508"/>
      <c r="G266" s="1506" t="s">
        <v>360</v>
      </c>
      <c r="H266" s="1509"/>
      <c r="I266" s="1509"/>
      <c r="J266" s="1506"/>
    </row>
    <row r="267" spans="2:10" ht="18" outlineLevel="1" x14ac:dyDescent="0.25">
      <c r="B267" s="1505" t="s">
        <v>1016</v>
      </c>
      <c r="C267" s="1506" t="s">
        <v>3388</v>
      </c>
      <c r="D267" s="1506">
        <f>A_MN+4*A_MH</f>
        <v>18.038460000000001</v>
      </c>
      <c r="E267" s="1508"/>
      <c r="F267" s="1508"/>
      <c r="G267" s="1506" t="s">
        <v>360</v>
      </c>
      <c r="H267" s="1509"/>
      <c r="I267" s="1509"/>
      <c r="J267" s="1506"/>
    </row>
    <row r="268" spans="2:10" ht="18" outlineLevel="1" x14ac:dyDescent="0.25">
      <c r="B268" s="1505" t="s">
        <v>3962</v>
      </c>
      <c r="C268" s="1506" t="s">
        <v>3963</v>
      </c>
      <c r="D268" s="1506">
        <f>M_MNH4+A_MH+A_MC+3*A_MO</f>
        <v>79.055300000000003</v>
      </c>
      <c r="E268" s="1508"/>
      <c r="F268" s="1508"/>
      <c r="G268" s="1506" t="s">
        <v>360</v>
      </c>
      <c r="H268" s="1509"/>
      <c r="I268" s="1509"/>
      <c r="J268" s="1506"/>
    </row>
    <row r="269" spans="2:10" ht="18" outlineLevel="1" x14ac:dyDescent="0.25">
      <c r="B269" s="1751" t="s">
        <v>3964</v>
      </c>
      <c r="C269" s="1750" t="s">
        <v>3965</v>
      </c>
      <c r="D269" s="1750">
        <f>A_MN + A_MO</f>
        <v>30.0061</v>
      </c>
      <c r="E269" s="1752"/>
      <c r="F269" s="1752"/>
      <c r="G269" s="1750" t="s">
        <v>360</v>
      </c>
      <c r="H269" s="1509"/>
      <c r="I269" s="1509"/>
      <c r="J269" s="1506"/>
    </row>
    <row r="270" spans="2:10" ht="18" outlineLevel="1" x14ac:dyDescent="0.25">
      <c r="B270" s="1505" t="s">
        <v>1017</v>
      </c>
      <c r="C270" s="1506" t="s">
        <v>3389</v>
      </c>
      <c r="D270" s="1506">
        <f>A_MN + 2*A_MO</f>
        <v>46.005499999999998</v>
      </c>
      <c r="E270" s="1508"/>
      <c r="F270" s="1508"/>
      <c r="G270" s="1506" t="s">
        <v>360</v>
      </c>
      <c r="H270" s="1509"/>
      <c r="I270" s="1509"/>
      <c r="J270" s="1506"/>
    </row>
    <row r="271" spans="2:10" ht="18" outlineLevel="1" x14ac:dyDescent="0.25">
      <c r="B271" s="1505" t="s">
        <v>1018</v>
      </c>
      <c r="C271" s="1506" t="s">
        <v>3390</v>
      </c>
      <c r="D271" s="1506">
        <f>A_MN + 3*A_MO</f>
        <v>62.004899999999999</v>
      </c>
      <c r="E271" s="1508"/>
      <c r="F271" s="1508"/>
      <c r="G271" s="1506" t="s">
        <v>360</v>
      </c>
      <c r="H271" s="1509"/>
      <c r="I271" s="1509"/>
      <c r="J271" s="1506"/>
    </row>
    <row r="272" spans="2:10" ht="18" outlineLevel="1" x14ac:dyDescent="0.25">
      <c r="B272" s="1505" t="s">
        <v>448</v>
      </c>
      <c r="C272" s="1506" t="s">
        <v>447</v>
      </c>
      <c r="D272" s="1506">
        <f>2*A_MO</f>
        <v>31.998799999999999</v>
      </c>
      <c r="E272" s="1508"/>
      <c r="F272" s="1508"/>
      <c r="G272" s="1506" t="s">
        <v>360</v>
      </c>
      <c r="H272" s="1509"/>
      <c r="I272" s="1509"/>
      <c r="J272" s="1506"/>
    </row>
    <row r="273" spans="2:10" ht="18" outlineLevel="1" x14ac:dyDescent="0.25">
      <c r="B273" s="1505" t="s">
        <v>1258</v>
      </c>
      <c r="C273" s="1506" t="s">
        <v>748</v>
      </c>
      <c r="D273" s="1506">
        <f>A_MP+4*A_MO</f>
        <v>94.971362200000002</v>
      </c>
      <c r="E273" s="1508"/>
      <c r="F273" s="1508"/>
      <c r="G273" s="1506" t="s">
        <v>360</v>
      </c>
      <c r="H273" s="1509"/>
      <c r="I273" s="1509"/>
      <c r="J273" s="1506"/>
    </row>
    <row r="274" spans="2:10" ht="18" outlineLevel="1" x14ac:dyDescent="0.25">
      <c r="B274" s="1505" t="s">
        <v>1030</v>
      </c>
      <c r="C274" s="1506" t="s">
        <v>1031</v>
      </c>
      <c r="D274" s="1506">
        <f>A_MSi + 2*A_MO</f>
        <v>60.084299999999999</v>
      </c>
      <c r="E274" s="1508"/>
      <c r="F274" s="1508"/>
      <c r="G274" s="1506" t="s">
        <v>360</v>
      </c>
      <c r="H274" s="1509"/>
      <c r="I274" s="1509"/>
      <c r="J274" s="1506"/>
    </row>
    <row r="275" spans="2:10" ht="18" outlineLevel="1" x14ac:dyDescent="0.25">
      <c r="B275" s="1505" t="s">
        <v>1064</v>
      </c>
      <c r="C275" s="1506" t="s">
        <v>1109</v>
      </c>
      <c r="D275" s="1506">
        <f>A_MS+4*A_MO</f>
        <v>96.062600000000003</v>
      </c>
      <c r="E275" s="1508"/>
      <c r="F275" s="1508"/>
      <c r="G275" s="1506" t="s">
        <v>360</v>
      </c>
      <c r="H275" s="1509"/>
      <c r="I275" s="1509"/>
      <c r="J275" s="1506"/>
    </row>
    <row r="276" spans="2:10" ht="18" outlineLevel="1" x14ac:dyDescent="0.25">
      <c r="B276" s="1505" t="s">
        <v>1261</v>
      </c>
      <c r="C276" s="1506" t="s">
        <v>1029</v>
      </c>
      <c r="D276" s="1506">
        <f>A_MMg+A_MN+4*A_MH+A_MP+4*A_MO+6*(M_MH2O)</f>
        <v>245.40650220000001</v>
      </c>
      <c r="E276" s="1508"/>
      <c r="F276" s="1508"/>
      <c r="G276" s="1506" t="s">
        <v>360</v>
      </c>
      <c r="H276" s="1509"/>
      <c r="I276" s="1509"/>
      <c r="J276" s="1506" t="s">
        <v>3966</v>
      </c>
    </row>
    <row r="277" spans="2:10" ht="18" outlineLevel="1" x14ac:dyDescent="0.25">
      <c r="B277" s="1505" t="s">
        <v>1118</v>
      </c>
      <c r="C277" s="1506" t="s">
        <v>1114</v>
      </c>
      <c r="D277" s="1506">
        <f>3*A_MFe+2*(A_MP+4*A_MO)+8*M_MH2O</f>
        <v>501.59996439999998</v>
      </c>
      <c r="E277" s="1508"/>
      <c r="F277" s="1508"/>
      <c r="G277" s="1506" t="s">
        <v>360</v>
      </c>
      <c r="H277" s="1509"/>
      <c r="I277" s="1509"/>
      <c r="J277" s="1506" t="s">
        <v>3967</v>
      </c>
    </row>
    <row r="279" spans="2:10" ht="15.75" thickBot="1" x14ac:dyDescent="0.3">
      <c r="C279" s="1742" t="s">
        <v>753</v>
      </c>
    </row>
    <row r="280" spans="2:10" ht="15.75" thickBot="1" x14ac:dyDescent="0.3">
      <c r="B280" s="1743" t="s">
        <v>0</v>
      </c>
      <c r="C280" s="1744" t="s">
        <v>1</v>
      </c>
      <c r="D280" s="1745" t="s">
        <v>152</v>
      </c>
      <c r="E280" s="1745" t="s">
        <v>470</v>
      </c>
      <c r="F280" s="1745" t="s">
        <v>471</v>
      </c>
      <c r="G280" s="1745" t="s">
        <v>2</v>
      </c>
      <c r="H280" s="1745" t="s">
        <v>298</v>
      </c>
      <c r="I280" s="1745" t="s">
        <v>116</v>
      </c>
      <c r="J280" s="1746" t="s">
        <v>117</v>
      </c>
    </row>
    <row r="281" spans="2:10" ht="18" x14ac:dyDescent="0.25">
      <c r="B281" s="1505" t="s">
        <v>1262</v>
      </c>
      <c r="C281" s="1506" t="s">
        <v>1067</v>
      </c>
      <c r="D281" s="1506">
        <f>2*A_MN</f>
        <v>28.013400000000001</v>
      </c>
      <c r="E281" s="1508"/>
      <c r="F281" s="1508"/>
      <c r="G281" s="1506" t="s">
        <v>2013</v>
      </c>
      <c r="H281" s="1509"/>
      <c r="I281" s="1509"/>
      <c r="J281" s="1506"/>
    </row>
    <row r="282" spans="2:10" ht="18" x14ac:dyDescent="0.25">
      <c r="B282" s="1505" t="s">
        <v>1263</v>
      </c>
      <c r="C282" s="1506" t="s">
        <v>1111</v>
      </c>
      <c r="D282" s="1506">
        <f>A_MN</f>
        <v>14.0067</v>
      </c>
      <c r="E282" s="1508"/>
      <c r="F282" s="1508"/>
      <c r="G282" s="1506" t="s">
        <v>2013</v>
      </c>
      <c r="H282" s="1509"/>
      <c r="I282" s="1509"/>
      <c r="J282" s="1506"/>
    </row>
    <row r="283" spans="2:10" ht="18" x14ac:dyDescent="0.25">
      <c r="B283" s="1505" t="s">
        <v>1264</v>
      </c>
      <c r="C283" s="1506" t="s">
        <v>1068</v>
      </c>
      <c r="D283" s="1506">
        <f>A_MN</f>
        <v>14.0067</v>
      </c>
      <c r="E283" s="1508"/>
      <c r="F283" s="1508"/>
      <c r="G283" s="1506" t="s">
        <v>2013</v>
      </c>
      <c r="H283" s="1509"/>
      <c r="I283" s="1509"/>
      <c r="J283" s="1506"/>
    </row>
    <row r="284" spans="2:10" ht="18" x14ac:dyDescent="0.25">
      <c r="B284" s="1505" t="s">
        <v>1265</v>
      </c>
      <c r="C284" s="1506" t="s">
        <v>1069</v>
      </c>
      <c r="D284" s="1506">
        <f>2*A_MN</f>
        <v>28.013400000000001</v>
      </c>
      <c r="E284" s="1508"/>
      <c r="F284" s="1508"/>
      <c r="G284" s="1506" t="s">
        <v>2013</v>
      </c>
      <c r="H284" s="1509"/>
      <c r="I284" s="1509"/>
      <c r="J284" s="1506"/>
    </row>
    <row r="285" spans="2:10" ht="18" x14ac:dyDescent="0.25">
      <c r="B285" s="1505" t="s">
        <v>1266</v>
      </c>
      <c r="C285" s="1506" t="s">
        <v>1070</v>
      </c>
      <c r="D285" s="1506">
        <v>12.0107</v>
      </c>
      <c r="E285" s="1508"/>
      <c r="F285" s="1508"/>
      <c r="G285" s="1506" t="s">
        <v>360</v>
      </c>
      <c r="H285" s="1509"/>
      <c r="I285" s="1509"/>
      <c r="J285" s="1506" t="s">
        <v>1267</v>
      </c>
    </row>
    <row r="286" spans="2:10" ht="18" x14ac:dyDescent="0.25">
      <c r="B286" s="1505" t="s">
        <v>1268</v>
      </c>
      <c r="C286" s="1506" t="s">
        <v>1071</v>
      </c>
      <c r="D286" s="1506">
        <f>2*A_MO</f>
        <v>31.998799999999999</v>
      </c>
      <c r="E286" s="1508"/>
      <c r="F286" s="1508"/>
      <c r="G286" s="1506" t="s">
        <v>360</v>
      </c>
      <c r="H286" s="1509"/>
      <c r="I286" s="1509"/>
      <c r="J286" s="1506"/>
    </row>
    <row r="287" spans="2:10" ht="18" x14ac:dyDescent="0.25">
      <c r="B287" s="1505" t="s">
        <v>754</v>
      </c>
      <c r="C287" s="1506" t="s">
        <v>1072</v>
      </c>
      <c r="D287" s="1506">
        <v>63.997599999999998</v>
      </c>
      <c r="E287" s="1508"/>
      <c r="F287" s="1508"/>
      <c r="G287" s="1506" t="s">
        <v>2014</v>
      </c>
      <c r="H287" s="1509"/>
      <c r="I287" s="1509"/>
      <c r="J287" s="1506"/>
    </row>
    <row r="288" spans="2:10" ht="18" x14ac:dyDescent="0.25">
      <c r="B288" s="1505" t="s">
        <v>755</v>
      </c>
      <c r="C288" s="1506" t="s">
        <v>1073</v>
      </c>
      <c r="D288" s="1506">
        <f>2*7.9997</f>
        <v>15.9994</v>
      </c>
      <c r="E288" s="1508"/>
      <c r="F288" s="1508"/>
      <c r="G288" s="1506" t="s">
        <v>2014</v>
      </c>
      <c r="H288" s="1509"/>
      <c r="I288" s="1509"/>
      <c r="J288" s="1506"/>
    </row>
    <row r="289" spans="2:10" ht="18" x14ac:dyDescent="0.25">
      <c r="B289" s="1505" t="s">
        <v>1148</v>
      </c>
      <c r="C289" s="1506" t="s">
        <v>1149</v>
      </c>
      <c r="D289" s="1506">
        <f>A_MS</f>
        <v>32.064999999999998</v>
      </c>
      <c r="E289" s="1508"/>
      <c r="F289" s="1508"/>
      <c r="G289" s="1506" t="s">
        <v>2015</v>
      </c>
      <c r="H289" s="1509"/>
      <c r="I289" s="1509"/>
      <c r="J289" s="1506"/>
    </row>
    <row r="291" spans="2:10" ht="15.75" thickBot="1" x14ac:dyDescent="0.3">
      <c r="C291" s="1742" t="s">
        <v>756</v>
      </c>
    </row>
    <row r="292" spans="2:10" x14ac:dyDescent="0.25">
      <c r="B292" s="1753" t="s">
        <v>0</v>
      </c>
      <c r="C292" s="1754" t="s">
        <v>1</v>
      </c>
      <c r="D292" s="1755" t="s">
        <v>152</v>
      </c>
      <c r="E292" s="1755" t="s">
        <v>470</v>
      </c>
      <c r="F292" s="1755" t="s">
        <v>471</v>
      </c>
      <c r="G292" s="1755" t="s">
        <v>2</v>
      </c>
      <c r="H292" s="1755" t="s">
        <v>298</v>
      </c>
      <c r="I292" s="1755" t="s">
        <v>116</v>
      </c>
      <c r="J292" s="1756" t="s">
        <v>117</v>
      </c>
    </row>
    <row r="293" spans="2:10" ht="18" x14ac:dyDescent="0.35">
      <c r="B293" s="1508" t="s">
        <v>915</v>
      </c>
      <c r="C293" s="1508" t="s">
        <v>2988</v>
      </c>
      <c r="D293" s="1508">
        <f>10^-13.997</f>
        <v>1.0069316688518014E-14</v>
      </c>
      <c r="E293" s="1508"/>
      <c r="F293" s="1508"/>
      <c r="G293" s="1508"/>
      <c r="H293" s="1508"/>
      <c r="I293" s="1508"/>
      <c r="J293" s="1508" t="s">
        <v>2989</v>
      </c>
    </row>
    <row r="294" spans="2:10" ht="18" x14ac:dyDescent="0.35">
      <c r="B294" s="1508" t="s">
        <v>3177</v>
      </c>
      <c r="C294" s="1508" t="s">
        <v>2990</v>
      </c>
      <c r="D294" s="1508">
        <f>10^-9.244</f>
        <v>5.7016427228074759E-10</v>
      </c>
      <c r="E294" s="1508"/>
      <c r="F294" s="1508"/>
      <c r="G294" s="1508"/>
      <c r="H294" s="1508"/>
      <c r="I294" s="1508"/>
      <c r="J294" s="1508" t="s">
        <v>2991</v>
      </c>
    </row>
    <row r="295" spans="2:10" ht="18" x14ac:dyDescent="0.35">
      <c r="B295" s="1508" t="s">
        <v>3178</v>
      </c>
      <c r="C295" s="1508" t="s">
        <v>2992</v>
      </c>
      <c r="D295" s="1508">
        <f>10^-3.35</f>
        <v>4.4668359215096267E-4</v>
      </c>
      <c r="E295" s="1508"/>
      <c r="F295" s="1508"/>
      <c r="G295" s="1508"/>
      <c r="H295" s="1508"/>
      <c r="I295" s="1508"/>
      <c r="J295" s="1508" t="s">
        <v>2993</v>
      </c>
    </row>
    <row r="296" spans="2:10" ht="18" x14ac:dyDescent="0.35">
      <c r="B296" s="1508" t="s">
        <v>916</v>
      </c>
      <c r="C296" s="1508" t="s">
        <v>2994</v>
      </c>
      <c r="D296" s="1508">
        <f>10^-6.352</f>
        <v>4.4463126746910741E-7</v>
      </c>
      <c r="E296" s="1508"/>
      <c r="F296" s="1508"/>
      <c r="G296" s="1508"/>
      <c r="H296" s="1508"/>
      <c r="I296" s="1508"/>
      <c r="J296" s="1508" t="s">
        <v>2995</v>
      </c>
    </row>
    <row r="297" spans="2:10" ht="18" x14ac:dyDescent="0.35">
      <c r="B297" s="1508" t="s">
        <v>917</v>
      </c>
      <c r="C297" s="1508" t="s">
        <v>2996</v>
      </c>
      <c r="D297" s="1508">
        <f>10^-10.329</f>
        <v>4.6881338214526346E-11</v>
      </c>
      <c r="E297" s="1508"/>
      <c r="F297" s="1508"/>
      <c r="G297" s="1508"/>
      <c r="H297" s="1508"/>
      <c r="I297" s="1508"/>
      <c r="J297" s="1508" t="s">
        <v>2997</v>
      </c>
    </row>
    <row r="298" spans="2:10" ht="18" x14ac:dyDescent="0.35">
      <c r="B298" s="1508" t="s">
        <v>918</v>
      </c>
      <c r="C298" s="1508" t="s">
        <v>2998</v>
      </c>
      <c r="D298" s="1508">
        <f>10^-2.148</f>
        <v>7.1121351365332815E-3</v>
      </c>
      <c r="E298" s="1508"/>
      <c r="F298" s="1508"/>
      <c r="G298" s="1508"/>
      <c r="H298" s="1508"/>
      <c r="I298" s="1508"/>
      <c r="J298" s="1508" t="s">
        <v>2999</v>
      </c>
    </row>
    <row r="299" spans="2:10" ht="18" x14ac:dyDescent="0.35">
      <c r="B299" s="1508" t="s">
        <v>919</v>
      </c>
      <c r="C299" s="1508" t="s">
        <v>3000</v>
      </c>
      <c r="D299" s="1508">
        <f>10^-7.198</f>
        <v>6.3386971125692633E-8</v>
      </c>
      <c r="E299" s="1508"/>
      <c r="F299" s="1508"/>
      <c r="G299" s="1508"/>
      <c r="H299" s="1508"/>
      <c r="I299" s="1508"/>
      <c r="J299" s="1508" t="s">
        <v>3001</v>
      </c>
    </row>
    <row r="300" spans="2:10" ht="18" x14ac:dyDescent="0.35">
      <c r="B300" s="1508" t="s">
        <v>920</v>
      </c>
      <c r="C300" s="1508" t="s">
        <v>3002</v>
      </c>
      <c r="D300" s="1508">
        <f>10^-12.375</f>
        <v>4.216965034285812E-13</v>
      </c>
      <c r="E300" s="1508"/>
      <c r="F300" s="1508"/>
      <c r="G300" s="1508"/>
      <c r="H300" s="1508"/>
      <c r="I300" s="1508"/>
      <c r="J300" s="1508" t="s">
        <v>3003</v>
      </c>
    </row>
    <row r="301" spans="2:10" ht="18" x14ac:dyDescent="0.35">
      <c r="B301" s="1508" t="s">
        <v>3179</v>
      </c>
      <c r="C301" s="1508" t="s">
        <v>3004</v>
      </c>
      <c r="D301" s="1508">
        <f>10^-4.757</f>
        <v>1.7498466886246563E-5</v>
      </c>
      <c r="E301" s="1508"/>
      <c r="F301" s="1508"/>
      <c r="G301" s="1508"/>
      <c r="H301" s="1508"/>
      <c r="I301" s="1508"/>
      <c r="J301" s="1508" t="s">
        <v>3005</v>
      </c>
    </row>
    <row r="302" spans="2:10" ht="18" x14ac:dyDescent="0.35">
      <c r="B302" s="1508" t="s">
        <v>4452</v>
      </c>
      <c r="C302" s="1508" t="s">
        <v>3968</v>
      </c>
      <c r="D302" s="1508">
        <v>1.3365955165464412E-5</v>
      </c>
      <c r="E302" s="1508"/>
      <c r="F302" s="1508"/>
      <c r="G302" s="1508"/>
      <c r="H302" s="1508"/>
      <c r="I302" s="1508"/>
      <c r="J302" s="1508" t="s">
        <v>3971</v>
      </c>
    </row>
    <row r="303" spans="2:10" ht="18" x14ac:dyDescent="0.35">
      <c r="B303" s="1508" t="s">
        <v>3969</v>
      </c>
      <c r="C303" s="1508" t="s">
        <v>3970</v>
      </c>
      <c r="D303" s="1508">
        <v>1.5170503674593348E-5</v>
      </c>
      <c r="E303" s="1508"/>
      <c r="F303" s="1508"/>
      <c r="G303" s="1508"/>
      <c r="H303" s="1508"/>
      <c r="I303" s="1508"/>
      <c r="J303" s="1508" t="s">
        <v>3971</v>
      </c>
    </row>
    <row r="304" spans="2:10" ht="18" x14ac:dyDescent="0.35">
      <c r="B304" s="1508" t="s">
        <v>3972</v>
      </c>
      <c r="C304" s="1508" t="s">
        <v>3973</v>
      </c>
      <c r="D304" s="1508">
        <v>1.4354894333536556E-5</v>
      </c>
      <c r="E304" s="1508"/>
      <c r="F304" s="1508"/>
      <c r="G304" s="1508"/>
      <c r="H304" s="1508"/>
      <c r="I304" s="1508"/>
      <c r="J304" s="1508" t="s">
        <v>3971</v>
      </c>
    </row>
    <row r="305" spans="1:10" ht="18" x14ac:dyDescent="0.35">
      <c r="B305" s="1508" t="s">
        <v>1339</v>
      </c>
      <c r="C305" s="1508" t="s">
        <v>3006</v>
      </c>
      <c r="D305" s="1508">
        <f>10^(-7.02)</f>
        <v>9.5499258602143556E-8</v>
      </c>
      <c r="E305" s="1508"/>
      <c r="F305" s="1508"/>
      <c r="G305" s="1508"/>
      <c r="H305" s="1508"/>
      <c r="I305" s="1508"/>
      <c r="J305" s="1508" t="s">
        <v>3007</v>
      </c>
    </row>
    <row r="306" spans="1:10" ht="18" x14ac:dyDescent="0.35">
      <c r="B306" s="1508" t="s">
        <v>1340</v>
      </c>
      <c r="C306" s="1508" t="s">
        <v>3008</v>
      </c>
      <c r="D306" s="1508">
        <f>10^(-17.3)</f>
        <v>5.0118723362726963E-18</v>
      </c>
      <c r="E306" s="1508"/>
      <c r="F306" s="1508"/>
      <c r="G306" s="1508"/>
      <c r="H306" s="1508"/>
      <c r="I306" s="1508"/>
      <c r="J306" s="1508" t="s">
        <v>3007</v>
      </c>
    </row>
    <row r="307" spans="1:10" ht="18" x14ac:dyDescent="0.35">
      <c r="B307" s="1508" t="s">
        <v>1341</v>
      </c>
      <c r="C307" s="1508" t="s">
        <v>3009</v>
      </c>
      <c r="D307" s="1508">
        <f>10^(3)</f>
        <v>1000</v>
      </c>
      <c r="E307" s="1508"/>
      <c r="F307" s="1508"/>
      <c r="G307" s="1508"/>
      <c r="H307" s="1508"/>
      <c r="I307" s="1508"/>
      <c r="J307" s="1508" t="s">
        <v>1269</v>
      </c>
    </row>
    <row r="308" spans="1:10" ht="18" x14ac:dyDescent="0.35">
      <c r="B308" s="1508" t="s">
        <v>1342</v>
      </c>
      <c r="C308" s="1508" t="s">
        <v>3010</v>
      </c>
      <c r="D308" s="1508">
        <f>10^(-1.99)</f>
        <v>1.0232929922807535E-2</v>
      </c>
      <c r="E308" s="1508"/>
      <c r="F308" s="1508"/>
      <c r="G308" s="1508"/>
      <c r="H308" s="1508"/>
      <c r="I308" s="1508"/>
      <c r="J308" s="1508" t="s">
        <v>3011</v>
      </c>
    </row>
    <row r="309" spans="1:10" ht="18" x14ac:dyDescent="0.35">
      <c r="B309" s="1508" t="s">
        <v>3180</v>
      </c>
      <c r="C309" s="1508" t="s">
        <v>3006</v>
      </c>
      <c r="D309" s="1508">
        <f>10^(-7.02)</f>
        <v>9.5499258602143556E-8</v>
      </c>
      <c r="E309" s="1508"/>
      <c r="F309" s="1508"/>
      <c r="G309" s="1508"/>
      <c r="H309" s="1508"/>
      <c r="I309" s="1508"/>
      <c r="J309" s="1508" t="s">
        <v>3011</v>
      </c>
    </row>
    <row r="311" spans="1:10" ht="15.75" thickBot="1" x14ac:dyDescent="0.3">
      <c r="C311" s="1742" t="s">
        <v>1307</v>
      </c>
    </row>
    <row r="312" spans="1:10" ht="15.75" thickBot="1" x14ac:dyDescent="0.3">
      <c r="B312" s="1743" t="s">
        <v>0</v>
      </c>
      <c r="C312" s="1744" t="s">
        <v>1</v>
      </c>
      <c r="D312" s="1745" t="s">
        <v>152</v>
      </c>
      <c r="E312" s="1745" t="s">
        <v>470</v>
      </c>
      <c r="F312" s="1745" t="s">
        <v>471</v>
      </c>
      <c r="G312" s="1745" t="s">
        <v>2</v>
      </c>
      <c r="H312" s="1745" t="s">
        <v>298</v>
      </c>
      <c r="I312" s="1745" t="s">
        <v>116</v>
      </c>
      <c r="J312" s="1746" t="s">
        <v>117</v>
      </c>
    </row>
    <row r="313" spans="1:10" ht="18" x14ac:dyDescent="0.25">
      <c r="B313" s="1505" t="s">
        <v>1317</v>
      </c>
      <c r="C313" s="1506" t="s">
        <v>3391</v>
      </c>
      <c r="D313" s="1506">
        <f>10^(-6.35)</f>
        <v>4.4668359215096327E-7</v>
      </c>
      <c r="E313" s="1508"/>
      <c r="F313" s="1508"/>
      <c r="G313" s="1506"/>
      <c r="H313" s="1509"/>
      <c r="I313" s="1509"/>
      <c r="J313" s="1506"/>
    </row>
    <row r="314" spans="1:10" ht="18" x14ac:dyDescent="0.25">
      <c r="B314" s="1505" t="s">
        <v>1318</v>
      </c>
      <c r="C314" s="1506" t="s">
        <v>3392</v>
      </c>
      <c r="D314" s="1506">
        <v>6.9180000000000002E-14</v>
      </c>
      <c r="E314" s="1508"/>
      <c r="F314" s="1508"/>
      <c r="G314" s="1506"/>
      <c r="H314" s="1509"/>
      <c r="I314" s="1509"/>
      <c r="J314" s="1506"/>
    </row>
    <row r="315" spans="1:10" ht="18" x14ac:dyDescent="0.25">
      <c r="B315" s="1505" t="s">
        <v>1322</v>
      </c>
      <c r="C315" s="1506" t="s">
        <v>3012</v>
      </c>
      <c r="D315" s="1757">
        <f>10^(-25.46)</f>
        <v>3.4673685045252971E-26</v>
      </c>
      <c r="E315" s="1508"/>
      <c r="F315" s="1508"/>
      <c r="G315" s="1506"/>
      <c r="H315" s="1509"/>
      <c r="I315" s="1509"/>
      <c r="J315" s="1506" t="s">
        <v>3974</v>
      </c>
    </row>
    <row r="316" spans="1:10" ht="18" x14ac:dyDescent="0.25">
      <c r="A316" s="1747"/>
      <c r="B316" s="1505" t="s">
        <v>3892</v>
      </c>
      <c r="C316" s="1506" t="s">
        <v>3893</v>
      </c>
      <c r="D316" s="1757">
        <f>10^-6.6</f>
        <v>2.511886431509578E-7</v>
      </c>
      <c r="E316" s="1508"/>
      <c r="F316" s="1508"/>
      <c r="G316" s="1506"/>
      <c r="H316" s="1509"/>
      <c r="I316" s="1509"/>
      <c r="J316" s="1506" t="s">
        <v>3894</v>
      </c>
    </row>
    <row r="317" spans="1:10" ht="18" x14ac:dyDescent="0.25">
      <c r="B317" s="1505" t="s">
        <v>1319</v>
      </c>
      <c r="C317" s="1506" t="s">
        <v>3013</v>
      </c>
      <c r="D317" s="1506">
        <v>9.9999999999999994E-37</v>
      </c>
      <c r="E317" s="1508"/>
      <c r="F317" s="1508"/>
      <c r="G317" s="1506"/>
      <c r="H317" s="1509"/>
      <c r="I317" s="1509"/>
      <c r="J317" s="1506" t="s">
        <v>1872</v>
      </c>
    </row>
    <row r="318" spans="1:10" ht="18" x14ac:dyDescent="0.25">
      <c r="B318" s="1505" t="s">
        <v>1343</v>
      </c>
      <c r="C318" s="1506" t="s">
        <v>3014</v>
      </c>
      <c r="D318" s="1506">
        <f>3.7*10^-19</f>
        <v>3.7000000000000001E-19</v>
      </c>
      <c r="E318" s="1508"/>
      <c r="F318" s="1508"/>
      <c r="G318" s="1506"/>
      <c r="H318" s="1509"/>
      <c r="I318" s="1509"/>
      <c r="J318" s="1506"/>
    </row>
    <row r="319" spans="1:10" ht="18" x14ac:dyDescent="0.25">
      <c r="B319" s="1505" t="s">
        <v>1320</v>
      </c>
      <c r="C319" s="1506" t="s">
        <v>3015</v>
      </c>
      <c r="D319" s="1506">
        <v>2.7500000000000001E-22</v>
      </c>
      <c r="E319" s="1508"/>
      <c r="F319" s="1508"/>
      <c r="G319" s="1506"/>
      <c r="H319" s="1509"/>
      <c r="I319" s="1509"/>
      <c r="J319" s="1506"/>
    </row>
    <row r="320" spans="1:10" ht="18" x14ac:dyDescent="0.25">
      <c r="B320" s="1505" t="s">
        <v>1321</v>
      </c>
      <c r="C320" s="1506" t="s">
        <v>3016</v>
      </c>
      <c r="D320" s="1506">
        <f>10^(-16)</f>
        <v>9.9999999999999998E-17</v>
      </c>
      <c r="E320" s="1508"/>
      <c r="F320" s="1508"/>
      <c r="G320" s="1506"/>
      <c r="H320" s="1509"/>
      <c r="I320" s="1509"/>
      <c r="J320" s="1506"/>
    </row>
    <row r="322" spans="1:10" ht="15.75" thickBot="1" x14ac:dyDescent="0.3">
      <c r="C322" s="1742" t="s">
        <v>758</v>
      </c>
    </row>
    <row r="323" spans="1:10" ht="15.75" thickBot="1" x14ac:dyDescent="0.3">
      <c r="B323" s="1743" t="s">
        <v>0</v>
      </c>
      <c r="C323" s="1744" t="s">
        <v>1</v>
      </c>
      <c r="D323" s="1745" t="s">
        <v>152</v>
      </c>
      <c r="E323" s="1745" t="s">
        <v>470</v>
      </c>
      <c r="F323" s="1745" t="s">
        <v>471</v>
      </c>
      <c r="G323" s="1745" t="s">
        <v>2</v>
      </c>
      <c r="H323" s="1745" t="s">
        <v>298</v>
      </c>
      <c r="I323" s="1745" t="s">
        <v>116</v>
      </c>
      <c r="J323" s="1746" t="s">
        <v>117</v>
      </c>
    </row>
    <row r="324" spans="1:10" ht="18" x14ac:dyDescent="0.25">
      <c r="B324" s="1505" t="s">
        <v>759</v>
      </c>
      <c r="C324" s="1506" t="s">
        <v>760</v>
      </c>
      <c r="D324" s="1506">
        <f>3*A_MO/(2*A_MN)</f>
        <v>1.7134014435948508</v>
      </c>
      <c r="E324" s="1508"/>
      <c r="F324" s="1508"/>
      <c r="G324" s="1506" t="s">
        <v>2016</v>
      </c>
      <c r="H324" s="1509"/>
      <c r="I324" s="1509"/>
      <c r="J324" s="1506" t="s">
        <v>263</v>
      </c>
    </row>
    <row r="325" spans="1:10" ht="18" x14ac:dyDescent="0.25">
      <c r="B325" s="1505" t="s">
        <v>761</v>
      </c>
      <c r="C325" s="1506" t="s">
        <v>762</v>
      </c>
      <c r="D325" s="1506">
        <f>2*A_MO/(A_MN)</f>
        <v>2.2845352581264677</v>
      </c>
      <c r="E325" s="1508"/>
      <c r="F325" s="1508"/>
      <c r="G325" s="1506" t="s">
        <v>2016</v>
      </c>
      <c r="H325" s="1509"/>
      <c r="I325" s="1509"/>
      <c r="J325" s="1506" t="s">
        <v>263</v>
      </c>
    </row>
    <row r="326" spans="1:10" ht="18" x14ac:dyDescent="0.25">
      <c r="B326" s="1505" t="s">
        <v>763</v>
      </c>
      <c r="C326" s="1506" t="s">
        <v>764</v>
      </c>
      <c r="D326" s="1506">
        <f>2.5*A_MO/(A_MN)</f>
        <v>2.8556690726580851</v>
      </c>
      <c r="E326" s="1508"/>
      <c r="F326" s="1508"/>
      <c r="G326" s="1506" t="s">
        <v>2016</v>
      </c>
      <c r="H326" s="1509"/>
      <c r="I326" s="1509"/>
      <c r="J326" s="1506" t="s">
        <v>263</v>
      </c>
    </row>
    <row r="327" spans="1:10" ht="18" x14ac:dyDescent="0.25">
      <c r="B327" s="1505" t="s">
        <v>765</v>
      </c>
      <c r="C327" s="1506" t="s">
        <v>766</v>
      </c>
      <c r="D327" s="1506">
        <f>3*A_MO/A_MN</f>
        <v>3.4268028871897016</v>
      </c>
      <c r="E327" s="1508"/>
      <c r="F327" s="1508"/>
      <c r="G327" s="1506" t="s">
        <v>2016</v>
      </c>
      <c r="H327" s="1509"/>
      <c r="I327" s="1509"/>
      <c r="J327" s="1506" t="s">
        <v>263</v>
      </c>
    </row>
    <row r="328" spans="1:10" ht="18" x14ac:dyDescent="0.25">
      <c r="B328" s="1505" t="s">
        <v>767</v>
      </c>
      <c r="C328" s="1506" t="s">
        <v>768</v>
      </c>
      <c r="D328" s="1506">
        <f>4*A_MO/A_MN</f>
        <v>4.5690705162529355</v>
      </c>
      <c r="E328" s="1508"/>
      <c r="F328" s="1508"/>
      <c r="G328" s="1506" t="s">
        <v>2016</v>
      </c>
      <c r="H328" s="1509"/>
      <c r="I328" s="1509"/>
      <c r="J328" s="1506" t="s">
        <v>263</v>
      </c>
    </row>
    <row r="329" spans="1:10" ht="18" x14ac:dyDescent="0.25">
      <c r="A329" s="1758"/>
      <c r="B329" s="1505" t="s">
        <v>3975</v>
      </c>
      <c r="C329" s="1506" t="s">
        <v>3976</v>
      </c>
      <c r="D329" s="1506">
        <f>A_MO/A_MN</f>
        <v>1.1422676290632339</v>
      </c>
      <c r="E329" s="1508"/>
      <c r="F329" s="1508"/>
      <c r="G329" s="1506" t="s">
        <v>2016</v>
      </c>
      <c r="H329" s="1509"/>
      <c r="I329" s="1509"/>
      <c r="J329" s="1506" t="s">
        <v>263</v>
      </c>
    </row>
    <row r="330" spans="1:10" ht="18" x14ac:dyDescent="0.25">
      <c r="A330" s="1758"/>
      <c r="B330" s="1505" t="s">
        <v>3977</v>
      </c>
      <c r="C330" s="1506" t="s">
        <v>3978</v>
      </c>
      <c r="D330" s="1506">
        <f>1.5*A_MO/A_MN</f>
        <v>1.7134014435948508</v>
      </c>
      <c r="E330" s="1508"/>
      <c r="F330" s="1508"/>
      <c r="G330" s="1506" t="s">
        <v>2016</v>
      </c>
      <c r="H330" s="1509"/>
      <c r="I330" s="1509"/>
      <c r="J330" s="1506" t="s">
        <v>263</v>
      </c>
    </row>
    <row r="331" spans="1:10" ht="18" x14ac:dyDescent="0.25">
      <c r="B331" s="1505" t="s">
        <v>1032</v>
      </c>
      <c r="C331" s="1506" t="s">
        <v>769</v>
      </c>
      <c r="D331" s="1506">
        <f>A_MO/A_MN</f>
        <v>1.1422676290632339</v>
      </c>
      <c r="E331" s="1508"/>
      <c r="F331" s="1508"/>
      <c r="G331" s="1506" t="s">
        <v>2016</v>
      </c>
      <c r="H331" s="1509"/>
      <c r="I331" s="1509"/>
      <c r="J331" s="1506"/>
    </row>
    <row r="332" spans="1:10" ht="18" x14ac:dyDescent="0.25">
      <c r="B332" s="1505" t="s">
        <v>1033</v>
      </c>
      <c r="C332" s="1506" t="s">
        <v>770</v>
      </c>
      <c r="D332" s="1506">
        <f>3*A_MO/(2*A_MN)</f>
        <v>1.7134014435948508</v>
      </c>
      <c r="E332" s="1508"/>
      <c r="F332" s="1508"/>
      <c r="G332" s="1506" t="s">
        <v>2016</v>
      </c>
      <c r="H332" s="1509"/>
      <c r="I332" s="1509"/>
      <c r="J332" s="1506"/>
    </row>
    <row r="333" spans="1:10" ht="18" x14ac:dyDescent="0.25">
      <c r="B333" s="1505" t="s">
        <v>1034</v>
      </c>
      <c r="C333" s="1506" t="s">
        <v>771</v>
      </c>
      <c r="D333" s="1506">
        <f>0.5*A_MO/A_MN</f>
        <v>0.57113381453161693</v>
      </c>
      <c r="E333" s="1508"/>
      <c r="F333" s="1508"/>
      <c r="G333" s="1506" t="s">
        <v>2016</v>
      </c>
      <c r="H333" s="1509"/>
      <c r="I333" s="1509"/>
      <c r="J333" s="1506"/>
    </row>
    <row r="334" spans="1:10" ht="18" x14ac:dyDescent="0.25">
      <c r="B334" s="1505" t="s">
        <v>1035</v>
      </c>
      <c r="C334" s="1506" t="s">
        <v>772</v>
      </c>
      <c r="D334" s="1506">
        <f>0.5*A_MO/A_MN</f>
        <v>0.57113381453161693</v>
      </c>
      <c r="E334" s="1508"/>
      <c r="F334" s="1508"/>
      <c r="G334" s="1506" t="s">
        <v>2016</v>
      </c>
      <c r="H334" s="1509"/>
      <c r="I334" s="1509"/>
      <c r="J334" s="1506"/>
    </row>
    <row r="335" spans="1:10" ht="18" x14ac:dyDescent="0.25">
      <c r="B335" s="1505" t="s">
        <v>1036</v>
      </c>
      <c r="C335" s="1506" t="s">
        <v>773</v>
      </c>
      <c r="D335" s="1506">
        <f>0.5*A_MO/A_MN</f>
        <v>0.57113381453161693</v>
      </c>
      <c r="E335" s="1508"/>
      <c r="F335" s="1508"/>
      <c r="G335" s="1506" t="s">
        <v>2016</v>
      </c>
      <c r="H335" s="1509"/>
      <c r="I335" s="1509"/>
      <c r="J335" s="1506"/>
    </row>
    <row r="336" spans="1:10" ht="18" x14ac:dyDescent="0.25">
      <c r="B336" s="1505" t="s">
        <v>1074</v>
      </c>
      <c r="C336" s="1506" t="s">
        <v>788</v>
      </c>
      <c r="D336" s="1506">
        <f>5*A_MO/(2*A_MN)</f>
        <v>2.8556690726580851</v>
      </c>
      <c r="E336" s="1508"/>
      <c r="F336" s="1508"/>
      <c r="G336" s="1506" t="s">
        <v>2016</v>
      </c>
      <c r="H336" s="1509"/>
      <c r="I336" s="1509"/>
      <c r="J336" s="1506"/>
    </row>
    <row r="337" spans="2:10" ht="18" x14ac:dyDescent="0.25">
      <c r="B337" s="1505" t="s">
        <v>1344</v>
      </c>
      <c r="C337" s="1506" t="s">
        <v>1345</v>
      </c>
      <c r="D337" s="1506">
        <f>8/A_MFe</f>
        <v>0.14325364849136002</v>
      </c>
      <c r="E337" s="1508"/>
      <c r="F337" s="1508"/>
      <c r="G337" s="1506" t="s">
        <v>2017</v>
      </c>
      <c r="H337" s="1509"/>
      <c r="I337" s="1509"/>
      <c r="J337" s="1506"/>
    </row>
    <row r="338" spans="2:10" ht="18" x14ac:dyDescent="0.25">
      <c r="B338" s="1505" t="s">
        <v>1327</v>
      </c>
      <c r="C338" s="1506" t="s">
        <v>1315</v>
      </c>
      <c r="D338" s="1506">
        <f>3*A_MO/(A_MS)</f>
        <v>1.4969031654451894</v>
      </c>
      <c r="E338" s="1508"/>
      <c r="F338" s="1508"/>
      <c r="G338" s="1506" t="s">
        <v>2018</v>
      </c>
      <c r="H338" s="1509"/>
      <c r="I338" s="1509"/>
      <c r="J338" s="1506" t="s">
        <v>1270</v>
      </c>
    </row>
    <row r="339" spans="2:10" ht="18" x14ac:dyDescent="0.25">
      <c r="B339" s="1505" t="s">
        <v>1146</v>
      </c>
      <c r="C339" s="1506" t="s">
        <v>1207</v>
      </c>
      <c r="D339" s="1506">
        <f>4*A_MO/(A_MS)</f>
        <v>1.9958708872602526</v>
      </c>
      <c r="E339" s="1508"/>
      <c r="F339" s="1508"/>
      <c r="G339" s="1506" t="s">
        <v>2019</v>
      </c>
      <c r="H339" s="1509"/>
      <c r="I339" s="1509"/>
      <c r="J339" s="1506" t="s">
        <v>1270</v>
      </c>
    </row>
    <row r="341" spans="2:10" ht="15.75" thickBot="1" x14ac:dyDescent="0.3">
      <c r="C341" s="1742" t="s">
        <v>921</v>
      </c>
    </row>
    <row r="342" spans="2:10" ht="15.75" thickBot="1" x14ac:dyDescent="0.3">
      <c r="B342" s="1743" t="s">
        <v>0</v>
      </c>
      <c r="C342" s="1744" t="s">
        <v>1</v>
      </c>
      <c r="D342" s="1745" t="s">
        <v>152</v>
      </c>
      <c r="E342" s="1745" t="s">
        <v>470</v>
      </c>
      <c r="F342" s="1745" t="s">
        <v>471</v>
      </c>
      <c r="G342" s="1745" t="s">
        <v>2</v>
      </c>
      <c r="H342" s="1745" t="s">
        <v>298</v>
      </c>
      <c r="I342" s="1745" t="s">
        <v>116</v>
      </c>
      <c r="J342" s="1746" t="s">
        <v>117</v>
      </c>
    </row>
    <row r="343" spans="2:10" ht="18" x14ac:dyDescent="0.25">
      <c r="B343" s="1505" t="s">
        <v>922</v>
      </c>
      <c r="C343" s="1506" t="s">
        <v>923</v>
      </c>
      <c r="D343" s="1506">
        <v>0.5</v>
      </c>
      <c r="E343" s="1508"/>
      <c r="F343" s="1508"/>
      <c r="G343" s="1506"/>
      <c r="H343" s="1509"/>
      <c r="I343" s="1509"/>
      <c r="J343" s="1506" t="s">
        <v>1075</v>
      </c>
    </row>
    <row r="344" spans="2:10" ht="18" x14ac:dyDescent="0.25">
      <c r="B344" s="1505" t="s">
        <v>924</v>
      </c>
      <c r="C344" s="1506" t="s">
        <v>925</v>
      </c>
      <c r="D344" s="1506">
        <v>0.5</v>
      </c>
      <c r="E344" s="1508"/>
      <c r="F344" s="1508"/>
      <c r="G344" s="1506"/>
      <c r="H344" s="1509"/>
      <c r="I344" s="1509"/>
      <c r="J344" s="1506" t="s">
        <v>1076</v>
      </c>
    </row>
    <row r="345" spans="2:10" ht="18" x14ac:dyDescent="0.25">
      <c r="B345" s="1505" t="s">
        <v>926</v>
      </c>
      <c r="C345" s="1506" t="s">
        <v>927</v>
      </c>
      <c r="D345" s="1506">
        <v>2</v>
      </c>
      <c r="E345" s="1508"/>
      <c r="F345" s="1508"/>
      <c r="G345" s="1506"/>
      <c r="H345" s="1509"/>
      <c r="I345" s="1509"/>
      <c r="J345" s="1506" t="s">
        <v>1077</v>
      </c>
    </row>
    <row r="346" spans="2:10" ht="18" x14ac:dyDescent="0.25">
      <c r="B346" s="1505" t="s">
        <v>928</v>
      </c>
      <c r="C346" s="1506" t="s">
        <v>929</v>
      </c>
      <c r="D346" s="1506">
        <v>2</v>
      </c>
      <c r="E346" s="1508"/>
      <c r="F346" s="1508"/>
      <c r="G346" s="1506"/>
      <c r="H346" s="1509"/>
      <c r="I346" s="1509"/>
      <c r="J346" s="1506" t="s">
        <v>1078</v>
      </c>
    </row>
    <row r="347" spans="2:10" ht="18" x14ac:dyDescent="0.25">
      <c r="B347" s="1505" t="s">
        <v>930</v>
      </c>
      <c r="C347" s="1506" t="s">
        <v>931</v>
      </c>
      <c r="D347" s="1506">
        <v>4.5</v>
      </c>
      <c r="E347" s="1508"/>
      <c r="F347" s="1508"/>
      <c r="G347" s="1506"/>
      <c r="H347" s="1509"/>
      <c r="I347" s="1509"/>
      <c r="J347" s="1506" t="s">
        <v>1079</v>
      </c>
    </row>
    <row r="348" spans="2:10" ht="18" x14ac:dyDescent="0.25">
      <c r="B348" s="1505" t="s">
        <v>932</v>
      </c>
      <c r="C348" s="1506" t="s">
        <v>933</v>
      </c>
      <c r="D348" s="1506">
        <v>4.5</v>
      </c>
      <c r="E348" s="1508"/>
      <c r="F348" s="1508"/>
      <c r="G348" s="1506"/>
      <c r="H348" s="1509"/>
      <c r="I348" s="1509"/>
      <c r="J348" s="1506" t="s">
        <v>1080</v>
      </c>
    </row>
    <row r="350" spans="2:10" ht="15.75" thickBot="1" x14ac:dyDescent="0.3">
      <c r="C350" s="1742" t="s">
        <v>900</v>
      </c>
    </row>
    <row r="351" spans="2:10" ht="15.75" thickBot="1" x14ac:dyDescent="0.3">
      <c r="B351" s="1743" t="s">
        <v>0</v>
      </c>
      <c r="C351" s="1744" t="s">
        <v>1</v>
      </c>
      <c r="D351" s="1745" t="s">
        <v>152</v>
      </c>
      <c r="E351" s="1745" t="s">
        <v>470</v>
      </c>
      <c r="F351" s="1745" t="s">
        <v>471</v>
      </c>
      <c r="G351" s="1745" t="s">
        <v>2</v>
      </c>
      <c r="H351" s="1745" t="s">
        <v>298</v>
      </c>
      <c r="I351" s="1745" t="s">
        <v>116</v>
      </c>
      <c r="J351" s="1746" t="s">
        <v>117</v>
      </c>
    </row>
    <row r="352" spans="2:10" ht="18" x14ac:dyDescent="0.25">
      <c r="B352" s="1505" t="s">
        <v>901</v>
      </c>
      <c r="C352" s="1506" t="s">
        <v>902</v>
      </c>
      <c r="D352" s="1506">
        <v>6.4135999999999997E-5</v>
      </c>
      <c r="E352" s="1508"/>
      <c r="F352" s="1508"/>
      <c r="G352" s="1506" t="s">
        <v>383</v>
      </c>
      <c r="H352" s="1509"/>
      <c r="I352" s="1509"/>
      <c r="J352" s="1506" t="s">
        <v>1271</v>
      </c>
    </row>
    <row r="354" spans="2:10" ht="15.75" thickBot="1" x14ac:dyDescent="0.3">
      <c r="C354" s="1742" t="s">
        <v>900</v>
      </c>
    </row>
    <row r="355" spans="2:10" ht="15.75" thickBot="1" x14ac:dyDescent="0.3">
      <c r="B355" s="1743" t="s">
        <v>0</v>
      </c>
      <c r="C355" s="1744" t="s">
        <v>1</v>
      </c>
      <c r="D355" s="1745" t="s">
        <v>152</v>
      </c>
      <c r="E355" s="1745" t="s">
        <v>470</v>
      </c>
      <c r="F355" s="1745" t="s">
        <v>471</v>
      </c>
      <c r="G355" s="1745" t="s">
        <v>2</v>
      </c>
      <c r="H355" s="1745" t="s">
        <v>298</v>
      </c>
      <c r="I355" s="1745" t="s">
        <v>116</v>
      </c>
      <c r="J355" s="1746" t="s">
        <v>117</v>
      </c>
    </row>
    <row r="356" spans="2:10" ht="18" x14ac:dyDescent="0.25">
      <c r="B356" s="1505" t="s">
        <v>2387</v>
      </c>
      <c r="C356" s="1506" t="s">
        <v>1871</v>
      </c>
      <c r="D356" s="1506">
        <v>0.6</v>
      </c>
      <c r="E356" s="1508" t="s">
        <v>1216</v>
      </c>
      <c r="F356" s="1508" t="s">
        <v>2271</v>
      </c>
      <c r="G356" s="1506" t="s">
        <v>2388</v>
      </c>
      <c r="H356" s="1509"/>
      <c r="I356" s="1509"/>
      <c r="J356" s="1506" t="s">
        <v>2389</v>
      </c>
    </row>
    <row r="358" spans="2:10" ht="15.75" thickBot="1" x14ac:dyDescent="0.3">
      <c r="C358" s="1742" t="s">
        <v>934</v>
      </c>
    </row>
    <row r="359" spans="2:10" ht="15.75" thickBot="1" x14ac:dyDescent="0.3">
      <c r="B359" s="1743" t="s">
        <v>0</v>
      </c>
      <c r="C359" s="1744" t="s">
        <v>1</v>
      </c>
      <c r="D359" s="1745" t="s">
        <v>152</v>
      </c>
      <c r="E359" s="1745" t="s">
        <v>470</v>
      </c>
      <c r="F359" s="1745" t="s">
        <v>471</v>
      </c>
      <c r="G359" s="1745" t="s">
        <v>2</v>
      </c>
      <c r="H359" s="1745" t="s">
        <v>298</v>
      </c>
      <c r="I359" s="1745" t="s">
        <v>116</v>
      </c>
      <c r="J359" s="1746" t="s">
        <v>117</v>
      </c>
    </row>
    <row r="360" spans="2:10" ht="18" outlineLevel="1" x14ac:dyDescent="0.25">
      <c r="B360" s="1505" t="s">
        <v>935</v>
      </c>
      <c r="C360" s="1506" t="s">
        <v>936</v>
      </c>
      <c r="D360" s="1506">
        <v>1000000</v>
      </c>
      <c r="E360" s="1508"/>
      <c r="F360" s="1508"/>
      <c r="G360" s="1506" t="s">
        <v>2020</v>
      </c>
      <c r="H360" s="1509"/>
      <c r="I360" s="1509"/>
      <c r="J360" s="1506"/>
    </row>
    <row r="361" spans="2:10" ht="18" outlineLevel="1" x14ac:dyDescent="0.25">
      <c r="B361" s="1505" t="s">
        <v>1864</v>
      </c>
      <c r="C361" s="1506" t="s">
        <v>1865</v>
      </c>
      <c r="D361" s="1506">
        <v>100</v>
      </c>
      <c r="E361" s="1508"/>
      <c r="F361" s="1508"/>
      <c r="G361" s="1506" t="s">
        <v>2021</v>
      </c>
      <c r="H361" s="1509"/>
      <c r="I361" s="1509"/>
      <c r="J361" s="1506"/>
    </row>
    <row r="362" spans="2:10" ht="18" outlineLevel="1" x14ac:dyDescent="0.25">
      <c r="B362" s="1505" t="s">
        <v>1873</v>
      </c>
      <c r="C362" s="1506" t="s">
        <v>1874</v>
      </c>
      <c r="D362" s="1506">
        <v>100</v>
      </c>
      <c r="E362" s="1508"/>
      <c r="F362" s="1508"/>
      <c r="G362" s="1506" t="s">
        <v>1875</v>
      </c>
      <c r="H362" s="1509"/>
      <c r="I362" s="1509"/>
      <c r="J362" s="1506"/>
    </row>
    <row r="363" spans="2:10" ht="18" outlineLevel="1" x14ac:dyDescent="0.25">
      <c r="B363" s="1505" t="s">
        <v>3979</v>
      </c>
      <c r="C363" s="1506" t="s">
        <v>3980</v>
      </c>
      <c r="D363" s="1506">
        <v>1000</v>
      </c>
      <c r="E363" s="1508"/>
      <c r="F363" s="1508"/>
      <c r="G363" s="1506" t="s">
        <v>3981</v>
      </c>
      <c r="H363" s="1509"/>
      <c r="I363" s="1509"/>
      <c r="J363" s="1506"/>
    </row>
    <row r="364" spans="2:10" ht="18" outlineLevel="1" x14ac:dyDescent="0.25">
      <c r="B364" s="1505" t="s">
        <v>937</v>
      </c>
      <c r="C364" s="1506" t="s">
        <v>1585</v>
      </c>
      <c r="D364" s="1506">
        <v>86400</v>
      </c>
      <c r="E364" s="1508"/>
      <c r="F364" s="1508"/>
      <c r="G364" s="1506" t="s">
        <v>1586</v>
      </c>
      <c r="H364" s="1509"/>
      <c r="I364" s="1509"/>
      <c r="J364" s="1506"/>
    </row>
    <row r="365" spans="2:10" ht="18" outlineLevel="1" x14ac:dyDescent="0.25">
      <c r="B365" s="1505" t="s">
        <v>1587</v>
      </c>
      <c r="C365" s="1506" t="s">
        <v>1588</v>
      </c>
      <c r="D365" s="1506">
        <v>3600</v>
      </c>
      <c r="E365" s="1508"/>
      <c r="F365" s="1508"/>
      <c r="G365" s="1506" t="s">
        <v>1589</v>
      </c>
      <c r="H365" s="1509"/>
      <c r="I365" s="1509"/>
      <c r="J365" s="1506"/>
    </row>
    <row r="366" spans="2:10" ht="18" outlineLevel="1" x14ac:dyDescent="0.25">
      <c r="B366" s="1505" t="s">
        <v>3982</v>
      </c>
      <c r="C366" s="1506" t="s">
        <v>3983</v>
      </c>
      <c r="D366" s="1506">
        <v>60</v>
      </c>
      <c r="E366" s="1508"/>
      <c r="F366" s="1508"/>
      <c r="G366" s="1506" t="s">
        <v>3984</v>
      </c>
      <c r="H366" s="1509"/>
      <c r="I366" s="1509"/>
      <c r="J366" s="1506"/>
    </row>
    <row r="367" spans="2:10" ht="18" outlineLevel="1" x14ac:dyDescent="0.25">
      <c r="B367" s="1505" t="s">
        <v>3985</v>
      </c>
      <c r="C367" s="1506" t="s">
        <v>3986</v>
      </c>
      <c r="D367" s="1506">
        <v>1440</v>
      </c>
      <c r="E367" s="1508"/>
      <c r="F367" s="1508"/>
      <c r="G367" s="1506" t="s">
        <v>3987</v>
      </c>
      <c r="H367" s="1509"/>
      <c r="I367" s="1509"/>
      <c r="J367" s="1506"/>
    </row>
    <row r="368" spans="2:10" ht="18" outlineLevel="1" x14ac:dyDescent="0.25">
      <c r="B368" s="1505" t="s">
        <v>3393</v>
      </c>
      <c r="C368" s="1506" t="s">
        <v>3394</v>
      </c>
      <c r="D368" s="1506">
        <v>60</v>
      </c>
      <c r="E368" s="1508"/>
      <c r="F368" s="1508"/>
      <c r="G368" s="1506" t="s">
        <v>3395</v>
      </c>
      <c r="H368" s="1509"/>
      <c r="I368" s="1509"/>
      <c r="J368" s="1506"/>
    </row>
    <row r="369" spans="2:10" ht="18" outlineLevel="1" x14ac:dyDescent="0.25">
      <c r="B369" s="1505" t="s">
        <v>3396</v>
      </c>
      <c r="C369" s="1506" t="s">
        <v>3397</v>
      </c>
      <c r="D369" s="1506">
        <v>24</v>
      </c>
      <c r="E369" s="1508"/>
      <c r="F369" s="1508"/>
      <c r="G369" s="1506" t="s">
        <v>3398</v>
      </c>
      <c r="H369" s="1509"/>
      <c r="I369" s="1509"/>
      <c r="J369" s="1506"/>
    </row>
    <row r="370" spans="2:10" ht="18" outlineLevel="1" x14ac:dyDescent="0.25">
      <c r="B370" s="1505" t="s">
        <v>2390</v>
      </c>
      <c r="C370" s="1506" t="s">
        <v>2391</v>
      </c>
      <c r="D370" s="1506">
        <v>86400000</v>
      </c>
      <c r="E370" s="1508"/>
      <c r="F370" s="1508"/>
      <c r="G370" s="1506" t="s">
        <v>2392</v>
      </c>
      <c r="H370" s="1509"/>
      <c r="I370" s="1509"/>
      <c r="J370" s="1506"/>
    </row>
    <row r="371" spans="2:10" ht="18" outlineLevel="1" x14ac:dyDescent="0.25">
      <c r="B371" s="1505" t="s">
        <v>1081</v>
      </c>
      <c r="C371" s="1506" t="s">
        <v>1082</v>
      </c>
      <c r="D371" s="1506">
        <v>3600000</v>
      </c>
      <c r="E371" s="1508"/>
      <c r="F371" s="1508"/>
      <c r="G371" s="1506" t="s">
        <v>1083</v>
      </c>
      <c r="H371" s="1509"/>
      <c r="I371" s="1509"/>
      <c r="J371" s="1506"/>
    </row>
    <row r="372" spans="2:10" ht="18" outlineLevel="1" x14ac:dyDescent="0.25">
      <c r="B372" s="1505" t="s">
        <v>3399</v>
      </c>
      <c r="C372" s="1506" t="s">
        <v>3400</v>
      </c>
      <c r="D372" s="1506">
        <v>60000</v>
      </c>
      <c r="E372" s="1508"/>
      <c r="F372" s="1508"/>
      <c r="G372" s="1506" t="s">
        <v>3401</v>
      </c>
      <c r="H372" s="1509"/>
      <c r="I372" s="1509"/>
      <c r="J372" s="1506"/>
    </row>
    <row r="373" spans="2:10" ht="18" outlineLevel="1" x14ac:dyDescent="0.25">
      <c r="B373" s="1505" t="s">
        <v>2393</v>
      </c>
      <c r="C373" s="1506" t="s">
        <v>2394</v>
      </c>
      <c r="D373" s="1506">
        <v>1000</v>
      </c>
      <c r="E373" s="1508"/>
      <c r="F373" s="1508"/>
      <c r="G373" s="1506" t="s">
        <v>2395</v>
      </c>
      <c r="H373" s="1509"/>
      <c r="I373" s="1509"/>
      <c r="J373" s="1506"/>
    </row>
    <row r="374" spans="2:10" ht="18" outlineLevel="1" x14ac:dyDescent="0.25">
      <c r="B374" s="1505" t="s">
        <v>3988</v>
      </c>
      <c r="C374" s="1506" t="s">
        <v>3989</v>
      </c>
      <c r="D374" s="1506">
        <v>7</v>
      </c>
      <c r="E374" s="1508"/>
      <c r="F374" s="1508"/>
      <c r="G374" s="1506" t="s">
        <v>3990</v>
      </c>
      <c r="H374" s="1509"/>
      <c r="I374" s="1509"/>
      <c r="J374" s="1506"/>
    </row>
    <row r="375" spans="2:10" ht="18" outlineLevel="1" x14ac:dyDescent="0.25">
      <c r="B375" s="1505" t="s">
        <v>3991</v>
      </c>
      <c r="C375" s="1506" t="s">
        <v>3992</v>
      </c>
      <c r="D375" s="1506">
        <v>30</v>
      </c>
      <c r="E375" s="1508"/>
      <c r="F375" s="1508"/>
      <c r="G375" s="1506" t="s">
        <v>3993</v>
      </c>
      <c r="H375" s="1509"/>
      <c r="I375" s="1509"/>
      <c r="J375" s="1506"/>
    </row>
    <row r="376" spans="2:10" ht="18" outlineLevel="1" x14ac:dyDescent="0.25">
      <c r="B376" s="1505" t="s">
        <v>3994</v>
      </c>
      <c r="C376" s="1506" t="s">
        <v>3995</v>
      </c>
      <c r="D376" s="1506">
        <v>365</v>
      </c>
      <c r="E376" s="1508"/>
      <c r="F376" s="1508"/>
      <c r="G376" s="1506" t="s">
        <v>3996</v>
      </c>
      <c r="H376" s="1509"/>
      <c r="I376" s="1509"/>
      <c r="J376" s="1506"/>
    </row>
    <row r="377" spans="2:10" ht="18" outlineLevel="1" x14ac:dyDescent="0.25">
      <c r="B377" s="1505" t="s">
        <v>938</v>
      </c>
      <c r="C377" s="1506" t="s">
        <v>939</v>
      </c>
      <c r="D377" s="1506">
        <v>1000</v>
      </c>
      <c r="E377" s="1508"/>
      <c r="F377" s="1508"/>
      <c r="G377" s="1506" t="s">
        <v>1590</v>
      </c>
      <c r="H377" s="1509"/>
      <c r="I377" s="1509"/>
      <c r="J377" s="1506"/>
    </row>
    <row r="378" spans="2:10" ht="18" outlineLevel="1" x14ac:dyDescent="0.25">
      <c r="B378" s="1505" t="s">
        <v>1037</v>
      </c>
      <c r="C378" s="1506" t="s">
        <v>1038</v>
      </c>
      <c r="D378" s="1506">
        <v>1000</v>
      </c>
      <c r="E378" s="1508"/>
      <c r="F378" s="1508"/>
      <c r="G378" s="1506" t="s">
        <v>1591</v>
      </c>
      <c r="H378" s="1509"/>
      <c r="I378" s="1509"/>
      <c r="J378" s="1506"/>
    </row>
    <row r="379" spans="2:10" ht="18" outlineLevel="1" x14ac:dyDescent="0.25">
      <c r="B379" s="1505" t="s">
        <v>3997</v>
      </c>
      <c r="C379" s="1506" t="s">
        <v>3998</v>
      </c>
      <c r="D379" s="1506">
        <v>1000000</v>
      </c>
      <c r="E379" s="1508"/>
      <c r="F379" s="1508"/>
      <c r="G379" s="1506" t="s">
        <v>3999</v>
      </c>
      <c r="H379" s="1509"/>
      <c r="I379" s="1509"/>
      <c r="J379" s="1506"/>
    </row>
    <row r="380" spans="2:10" ht="18" outlineLevel="1" x14ac:dyDescent="0.25">
      <c r="B380" s="1505" t="s">
        <v>940</v>
      </c>
      <c r="C380" s="1506" t="s">
        <v>1592</v>
      </c>
      <c r="D380" s="1506">
        <v>1000</v>
      </c>
      <c r="E380" s="1508"/>
      <c r="F380" s="1508"/>
      <c r="G380" s="1506" t="s">
        <v>1593</v>
      </c>
      <c r="H380" s="1509"/>
      <c r="I380" s="1509"/>
      <c r="J380" s="1506"/>
    </row>
    <row r="381" spans="2:10" ht="18" outlineLevel="1" x14ac:dyDescent="0.25">
      <c r="B381" s="1759" t="s">
        <v>3402</v>
      </c>
      <c r="C381" s="1759" t="s">
        <v>3403</v>
      </c>
      <c r="D381" s="1759">
        <v>1000</v>
      </c>
      <c r="E381" s="1759"/>
      <c r="F381" s="1759"/>
      <c r="G381" s="1759" t="s">
        <v>3404</v>
      </c>
      <c r="H381" s="1759"/>
      <c r="I381" s="1759"/>
      <c r="J381" s="1759"/>
    </row>
    <row r="382" spans="2:10" ht="18" outlineLevel="1" x14ac:dyDescent="0.25">
      <c r="B382" s="1759" t="s">
        <v>4000</v>
      </c>
      <c r="C382" s="1759" t="s">
        <v>3403</v>
      </c>
      <c r="D382" s="1759">
        <v>1000</v>
      </c>
      <c r="E382" s="1759"/>
      <c r="F382" s="1759"/>
      <c r="G382" s="1759" t="s">
        <v>4001</v>
      </c>
      <c r="H382" s="1759"/>
      <c r="I382" s="1759"/>
      <c r="J382" s="1759"/>
    </row>
    <row r="383" spans="2:10" ht="18" outlineLevel="1" x14ac:dyDescent="0.25">
      <c r="B383" s="1505" t="s">
        <v>4002</v>
      </c>
      <c r="C383" s="1506" t="s">
        <v>4003</v>
      </c>
      <c r="D383" s="1506">
        <v>1000000</v>
      </c>
      <c r="E383" s="1508"/>
      <c r="F383" s="1508"/>
      <c r="G383" s="1506" t="s">
        <v>4004</v>
      </c>
      <c r="H383" s="1509"/>
      <c r="I383" s="1509"/>
      <c r="J383" s="1506"/>
    </row>
    <row r="384" spans="2:10" ht="18" outlineLevel="1" x14ac:dyDescent="0.25">
      <c r="B384" s="1505" t="s">
        <v>1039</v>
      </c>
      <c r="C384" s="1506" t="s">
        <v>2022</v>
      </c>
      <c r="D384" s="1506">
        <v>133.32236800000001</v>
      </c>
      <c r="E384" s="1508"/>
      <c r="F384" s="1508"/>
      <c r="G384" s="1506" t="s">
        <v>1594</v>
      </c>
      <c r="H384" s="1509"/>
      <c r="I384" s="1509"/>
      <c r="J384" s="1506"/>
    </row>
    <row r="385" spans="2:10" ht="18" outlineLevel="1" x14ac:dyDescent="0.25">
      <c r="B385" s="1505" t="s">
        <v>1040</v>
      </c>
      <c r="C385" s="1506" t="s">
        <v>2023</v>
      </c>
      <c r="D385" s="1506">
        <v>100000</v>
      </c>
      <c r="E385" s="1508"/>
      <c r="F385" s="1508"/>
      <c r="G385" s="1506" t="s">
        <v>1595</v>
      </c>
      <c r="H385" s="1509"/>
      <c r="I385" s="1509"/>
      <c r="J385" s="1506"/>
    </row>
    <row r="386" spans="2:10" ht="18" outlineLevel="1" x14ac:dyDescent="0.25">
      <c r="B386" s="1505" t="s">
        <v>4005</v>
      </c>
      <c r="C386" s="1506" t="s">
        <v>4006</v>
      </c>
      <c r="D386" s="1506">
        <v>100</v>
      </c>
      <c r="E386" s="1508"/>
      <c r="F386" s="1508"/>
      <c r="G386" s="1506" t="s">
        <v>4007</v>
      </c>
      <c r="H386" s="1509"/>
      <c r="I386" s="1509"/>
      <c r="J386" s="1506"/>
    </row>
    <row r="387" spans="2:10" ht="18" outlineLevel="1" x14ac:dyDescent="0.25">
      <c r="B387" s="1505" t="s">
        <v>4008</v>
      </c>
      <c r="C387" s="1506" t="s">
        <v>4009</v>
      </c>
      <c r="D387" s="1506">
        <v>1000000</v>
      </c>
      <c r="E387" s="1508"/>
      <c r="F387" s="1508"/>
      <c r="G387" s="1506" t="s">
        <v>4010</v>
      </c>
      <c r="H387" s="1509"/>
      <c r="I387" s="1509"/>
      <c r="J387" s="1506"/>
    </row>
    <row r="388" spans="2:10" ht="18" outlineLevel="1" x14ac:dyDescent="0.25">
      <c r="B388" s="1505" t="s">
        <v>4011</v>
      </c>
      <c r="C388" s="1506" t="s">
        <v>4012</v>
      </c>
      <c r="D388" s="1506">
        <v>1000</v>
      </c>
      <c r="E388" s="1508"/>
      <c r="F388" s="1508"/>
      <c r="G388" s="1506" t="s">
        <v>4013</v>
      </c>
      <c r="H388" s="1509"/>
      <c r="I388" s="1509"/>
      <c r="J388" s="1506"/>
    </row>
    <row r="389" spans="2:10" ht="18" outlineLevel="1" x14ac:dyDescent="0.25">
      <c r="B389" s="1505" t="s">
        <v>3405</v>
      </c>
      <c r="C389" s="1506" t="s">
        <v>3406</v>
      </c>
      <c r="D389" s="1506">
        <v>100</v>
      </c>
      <c r="E389" s="1508"/>
      <c r="F389" s="1508"/>
      <c r="G389" s="1506" t="s">
        <v>4014</v>
      </c>
      <c r="H389" s="1509"/>
      <c r="I389" s="1509"/>
      <c r="J389" s="1506"/>
    </row>
    <row r="390" spans="2:10" ht="18" outlineLevel="1" x14ac:dyDescent="0.25">
      <c r="B390" s="1505" t="s">
        <v>1041</v>
      </c>
      <c r="C390" s="1506" t="s">
        <v>2024</v>
      </c>
      <c r="D390" s="1506">
        <v>10000</v>
      </c>
      <c r="E390" s="1508"/>
      <c r="F390" s="1508"/>
      <c r="G390" s="1506" t="s">
        <v>1596</v>
      </c>
      <c r="H390" s="1509"/>
      <c r="I390" s="1509"/>
      <c r="J390" s="1506"/>
    </row>
    <row r="391" spans="2:10" ht="18" outlineLevel="1" x14ac:dyDescent="0.25">
      <c r="B391" s="1505" t="s">
        <v>2025</v>
      </c>
      <c r="C391" s="1506" t="s">
        <v>2026</v>
      </c>
      <c r="D391" s="1506">
        <v>1000000</v>
      </c>
      <c r="E391" s="1508"/>
      <c r="F391" s="1508"/>
      <c r="G391" s="1506" t="s">
        <v>2027</v>
      </c>
      <c r="H391" s="1509"/>
      <c r="I391" s="1509"/>
      <c r="J391" s="1506"/>
    </row>
    <row r="392" spans="2:10" ht="18" outlineLevel="1" x14ac:dyDescent="0.25">
      <c r="B392" s="1505" t="s">
        <v>4015</v>
      </c>
      <c r="C392" s="1506" t="s">
        <v>4016</v>
      </c>
      <c r="D392" s="1506">
        <f>1/3785.411784</f>
        <v>2.6417205235814843E-4</v>
      </c>
      <c r="E392" s="1508"/>
      <c r="F392" s="1508"/>
      <c r="G392" s="1506" t="s">
        <v>4017</v>
      </c>
      <c r="H392" s="1509"/>
      <c r="I392" s="1509"/>
      <c r="J392" s="1506"/>
    </row>
    <row r="393" spans="2:10" ht="18" outlineLevel="1" x14ac:dyDescent="0.25">
      <c r="B393" s="1505" t="s">
        <v>4018</v>
      </c>
      <c r="C393" s="1506" t="s">
        <v>4019</v>
      </c>
      <c r="D393" s="1506">
        <f>1/0.003785411784</f>
        <v>264.17205235814839</v>
      </c>
      <c r="E393" s="1508"/>
      <c r="F393" s="1508"/>
      <c r="G393" s="1506" t="s">
        <v>4020</v>
      </c>
      <c r="H393" s="1509"/>
      <c r="I393" s="1509"/>
      <c r="J393" s="1506"/>
    </row>
    <row r="394" spans="2:10" ht="18" outlineLevel="1" x14ac:dyDescent="0.25">
      <c r="B394" s="1505" t="s">
        <v>4021</v>
      </c>
      <c r="C394" s="1506" t="s">
        <v>4022</v>
      </c>
      <c r="D394" s="1506">
        <v>2.2046226218000002E-3</v>
      </c>
      <c r="E394" s="1508"/>
      <c r="F394" s="1508"/>
      <c r="G394" s="1506" t="s">
        <v>4023</v>
      </c>
      <c r="H394" s="1509"/>
      <c r="I394" s="1509"/>
      <c r="J394" s="1506"/>
    </row>
    <row r="395" spans="2:10" ht="18" outlineLevel="1" x14ac:dyDescent="0.25">
      <c r="B395" s="1505" t="s">
        <v>4024</v>
      </c>
      <c r="C395" s="1506" t="s">
        <v>4025</v>
      </c>
      <c r="D395" s="1508">
        <f>+c_ft_m*c_ft2_m2</f>
        <v>35.314670111696707</v>
      </c>
      <c r="E395" s="1508"/>
      <c r="F395" s="1508"/>
      <c r="G395" s="1506" t="s">
        <v>4026</v>
      </c>
      <c r="H395" s="1509"/>
      <c r="I395" s="1509"/>
      <c r="J395" s="1506"/>
    </row>
    <row r="396" spans="2:10" ht="18" outlineLevel="1" x14ac:dyDescent="0.25">
      <c r="B396" s="1505" t="s">
        <v>4027</v>
      </c>
      <c r="C396" s="1506" t="s">
        <v>4028</v>
      </c>
      <c r="D396" s="1508">
        <f>+c_ft_m^2</f>
        <v>10.7639111056</v>
      </c>
      <c r="E396" s="1508"/>
      <c r="F396" s="1508"/>
      <c r="G396" s="1506" t="s">
        <v>4029</v>
      </c>
      <c r="H396" s="1509"/>
      <c r="I396" s="1509"/>
      <c r="J396" s="1506"/>
    </row>
    <row r="397" spans="2:10" ht="18" outlineLevel="1" x14ac:dyDescent="0.25">
      <c r="B397" s="1505" t="s">
        <v>4030</v>
      </c>
      <c r="C397" s="1506" t="s">
        <v>4031</v>
      </c>
      <c r="D397" s="1506">
        <v>3.28084</v>
      </c>
      <c r="E397" s="1508"/>
      <c r="F397" s="1508"/>
      <c r="G397" s="1506" t="s">
        <v>4032</v>
      </c>
      <c r="H397" s="1509"/>
      <c r="I397" s="1509"/>
      <c r="J397" s="1506"/>
    </row>
    <row r="399" spans="2:10" ht="15.75" thickBot="1" x14ac:dyDescent="0.3">
      <c r="C399" s="1742" t="s">
        <v>956</v>
      </c>
    </row>
    <row r="400" spans="2:10" ht="15.75" thickBot="1" x14ac:dyDescent="0.3">
      <c r="B400" s="1743" t="s">
        <v>0</v>
      </c>
      <c r="C400" s="1744" t="s">
        <v>1</v>
      </c>
      <c r="D400" s="1745" t="s">
        <v>152</v>
      </c>
      <c r="E400" s="1745" t="s">
        <v>470</v>
      </c>
      <c r="F400" s="1745" t="s">
        <v>471</v>
      </c>
      <c r="G400" s="1745" t="s">
        <v>2</v>
      </c>
      <c r="H400" s="1745" t="s">
        <v>298</v>
      </c>
      <c r="I400" s="1745" t="s">
        <v>116</v>
      </c>
      <c r="J400" s="1746" t="s">
        <v>117</v>
      </c>
    </row>
    <row r="401" spans="2:10" ht="18" outlineLevel="1" x14ac:dyDescent="0.25">
      <c r="B401" s="1505" t="s">
        <v>1084</v>
      </c>
      <c r="C401" s="1506" t="s">
        <v>957</v>
      </c>
      <c r="D401" s="1506">
        <v>0</v>
      </c>
      <c r="E401" s="1508"/>
      <c r="F401" s="1508"/>
      <c r="G401" s="1506" t="s">
        <v>3017</v>
      </c>
      <c r="H401" s="1509"/>
      <c r="I401" s="1509"/>
      <c r="J401" s="1506" t="s">
        <v>958</v>
      </c>
    </row>
    <row r="402" spans="2:10" ht="18" outlineLevel="1" x14ac:dyDescent="0.25">
      <c r="B402" s="1505" t="s">
        <v>1085</v>
      </c>
      <c r="C402" s="1506" t="s">
        <v>959</v>
      </c>
      <c r="D402" s="1506">
        <v>-285840</v>
      </c>
      <c r="E402" s="1508"/>
      <c r="F402" s="1508"/>
      <c r="G402" s="1506" t="s">
        <v>3017</v>
      </c>
      <c r="H402" s="1509"/>
      <c r="I402" s="1509"/>
      <c r="J402" s="1506" t="s">
        <v>960</v>
      </c>
    </row>
    <row r="403" spans="2:10" ht="18" outlineLevel="1" x14ac:dyDescent="0.25">
      <c r="B403" s="1505" t="s">
        <v>1086</v>
      </c>
      <c r="C403" s="1506" t="s">
        <v>961</v>
      </c>
      <c r="D403" s="1506">
        <v>-229994</v>
      </c>
      <c r="E403" s="1508"/>
      <c r="F403" s="1508"/>
      <c r="G403" s="1506" t="s">
        <v>3017</v>
      </c>
      <c r="H403" s="1509"/>
      <c r="I403" s="1509"/>
      <c r="J403" s="1506" t="s">
        <v>958</v>
      </c>
    </row>
    <row r="404" spans="2:10" ht="18" outlineLevel="1" x14ac:dyDescent="0.25">
      <c r="B404" s="1505" t="s">
        <v>1087</v>
      </c>
      <c r="C404" s="1506" t="s">
        <v>962</v>
      </c>
      <c r="D404" s="1506">
        <v>-80920</v>
      </c>
      <c r="E404" s="1508"/>
      <c r="F404" s="1508"/>
      <c r="G404" s="1506" t="s">
        <v>3017</v>
      </c>
      <c r="H404" s="1509"/>
      <c r="I404" s="1509"/>
      <c r="J404" s="1506" t="s">
        <v>958</v>
      </c>
    </row>
    <row r="405" spans="2:10" ht="18" outlineLevel="1" x14ac:dyDescent="0.25">
      <c r="B405" s="1505" t="s">
        <v>1088</v>
      </c>
      <c r="C405" s="1506" t="s">
        <v>963</v>
      </c>
      <c r="D405" s="1506">
        <v>-132510</v>
      </c>
      <c r="E405" s="1508"/>
      <c r="F405" s="1508"/>
      <c r="G405" s="1506" t="s">
        <v>3017</v>
      </c>
      <c r="H405" s="1509"/>
      <c r="I405" s="1509"/>
      <c r="J405" s="1506" t="s">
        <v>958</v>
      </c>
    </row>
    <row r="406" spans="2:10" ht="18" outlineLevel="1" x14ac:dyDescent="0.25">
      <c r="B406" s="1505" t="s">
        <v>1089</v>
      </c>
      <c r="C406" s="1506" t="s">
        <v>964</v>
      </c>
      <c r="D406" s="1506">
        <v>-119200</v>
      </c>
      <c r="E406" s="1508"/>
      <c r="F406" s="1508"/>
      <c r="G406" s="1506" t="s">
        <v>3017</v>
      </c>
      <c r="H406" s="1509"/>
      <c r="I406" s="1509"/>
      <c r="J406" s="1506" t="s">
        <v>958</v>
      </c>
    </row>
    <row r="407" spans="2:10" ht="18" outlineLevel="1" x14ac:dyDescent="0.25">
      <c r="B407" s="1505" t="s">
        <v>1090</v>
      </c>
      <c r="C407" s="1506" t="s">
        <v>965</v>
      </c>
      <c r="D407" s="1506">
        <v>-106000</v>
      </c>
      <c r="E407" s="1508"/>
      <c r="F407" s="1508"/>
      <c r="G407" s="1506" t="s">
        <v>3017</v>
      </c>
      <c r="H407" s="1509"/>
      <c r="I407" s="1509"/>
      <c r="J407" s="1506" t="s">
        <v>960</v>
      </c>
    </row>
    <row r="408" spans="2:10" ht="18" outlineLevel="1" x14ac:dyDescent="0.25">
      <c r="B408" s="1505" t="s">
        <v>1091</v>
      </c>
      <c r="C408" s="1506" t="s">
        <v>966</v>
      </c>
      <c r="D408" s="1506">
        <v>-205000</v>
      </c>
      <c r="E408" s="1508"/>
      <c r="F408" s="1508"/>
      <c r="G408" s="1506" t="s">
        <v>3017</v>
      </c>
      <c r="H408" s="1509"/>
      <c r="I408" s="1509"/>
      <c r="J408" s="1506" t="s">
        <v>958</v>
      </c>
    </row>
    <row r="409" spans="2:10" ht="18" outlineLevel="1" x14ac:dyDescent="0.25">
      <c r="B409" s="1505" t="s">
        <v>1092</v>
      </c>
      <c r="C409" s="1506" t="s">
        <v>967</v>
      </c>
      <c r="D409" s="1506">
        <v>-699650</v>
      </c>
      <c r="E409" s="1508"/>
      <c r="F409" s="1508"/>
      <c r="G409" s="1506" t="s">
        <v>3017</v>
      </c>
      <c r="H409" s="1509"/>
      <c r="I409" s="1509"/>
      <c r="J409" s="1506" t="s">
        <v>958</v>
      </c>
    </row>
    <row r="410" spans="2:10" ht="18" outlineLevel="1" x14ac:dyDescent="0.25">
      <c r="B410" s="1505" t="s">
        <v>1093</v>
      </c>
      <c r="C410" s="1506" t="s">
        <v>968</v>
      </c>
      <c r="D410" s="1506">
        <v>-691990</v>
      </c>
      <c r="E410" s="1508"/>
      <c r="F410" s="1508"/>
      <c r="G410" s="1506" t="s">
        <v>3017</v>
      </c>
      <c r="H410" s="1509"/>
      <c r="I410" s="1509"/>
      <c r="J410" s="1506" t="s">
        <v>958</v>
      </c>
    </row>
    <row r="411" spans="2:10" ht="18" outlineLevel="1" x14ac:dyDescent="0.25">
      <c r="B411" s="1505" t="s">
        <v>1094</v>
      </c>
      <c r="C411" s="1506" t="s">
        <v>969</v>
      </c>
      <c r="D411" s="1506">
        <v>-677140</v>
      </c>
      <c r="E411" s="1508"/>
      <c r="F411" s="1508"/>
      <c r="G411" s="1506" t="s">
        <v>3017</v>
      </c>
      <c r="H411" s="1509"/>
      <c r="I411" s="1509"/>
      <c r="J411" s="1506" t="s">
        <v>958</v>
      </c>
    </row>
    <row r="412" spans="2:10" ht="18" outlineLevel="1" x14ac:dyDescent="0.25">
      <c r="B412" s="1505" t="s">
        <v>1095</v>
      </c>
      <c r="C412" s="1506" t="s">
        <v>4033</v>
      </c>
      <c r="D412" s="1506">
        <v>-1299144</v>
      </c>
      <c r="E412" s="1508"/>
      <c r="F412" s="1508"/>
      <c r="G412" s="1506" t="s">
        <v>3017</v>
      </c>
      <c r="H412" s="1509"/>
      <c r="I412" s="1509"/>
      <c r="J412" s="1506" t="s">
        <v>970</v>
      </c>
    </row>
    <row r="413" spans="2:10" ht="18" outlineLevel="1" x14ac:dyDescent="0.25">
      <c r="B413" s="1505" t="s">
        <v>1096</v>
      </c>
      <c r="C413" s="1506" t="s">
        <v>971</v>
      </c>
      <c r="D413" s="1506">
        <v>1296000</v>
      </c>
      <c r="E413" s="1508"/>
      <c r="F413" s="1508"/>
      <c r="G413" s="1506" t="s">
        <v>3017</v>
      </c>
      <c r="H413" s="1509"/>
      <c r="I413" s="1509"/>
      <c r="J413" s="1506" t="s">
        <v>972</v>
      </c>
    </row>
    <row r="414" spans="2:10" ht="18" outlineLevel="1" x14ac:dyDescent="0.25">
      <c r="B414" s="1505" t="s">
        <v>1097</v>
      </c>
      <c r="C414" s="1506" t="s">
        <v>973</v>
      </c>
      <c r="D414" s="1506">
        <v>-1292000</v>
      </c>
      <c r="E414" s="1508"/>
      <c r="F414" s="1508"/>
      <c r="G414" s="1506" t="s">
        <v>3017</v>
      </c>
      <c r="H414" s="1509"/>
      <c r="I414" s="1509"/>
      <c r="J414" s="1506" t="s">
        <v>972</v>
      </c>
    </row>
    <row r="415" spans="2:10" ht="18" outlineLevel="1" x14ac:dyDescent="0.25">
      <c r="B415" s="1505" t="s">
        <v>1098</v>
      </c>
      <c r="C415" s="1506" t="s">
        <v>974</v>
      </c>
      <c r="D415" s="1506">
        <v>-1277400</v>
      </c>
      <c r="E415" s="1508"/>
      <c r="F415" s="1508"/>
      <c r="G415" s="1506" t="s">
        <v>3017</v>
      </c>
      <c r="H415" s="1509"/>
      <c r="I415" s="1509"/>
      <c r="J415" s="1506" t="s">
        <v>958</v>
      </c>
    </row>
    <row r="416" spans="2:10" ht="18" outlineLevel="1" x14ac:dyDescent="0.25">
      <c r="B416" s="1505" t="s">
        <v>1099</v>
      </c>
      <c r="C416" s="1506" t="s">
        <v>975</v>
      </c>
      <c r="D416" s="1506">
        <v>-488453</v>
      </c>
      <c r="E416" s="1508"/>
      <c r="F416" s="1508"/>
      <c r="G416" s="1506" t="s">
        <v>3017</v>
      </c>
      <c r="H416" s="1509"/>
      <c r="I416" s="1509"/>
      <c r="J416" s="1506" t="s">
        <v>960</v>
      </c>
    </row>
    <row r="417" spans="2:10" ht="18" outlineLevel="1" x14ac:dyDescent="0.25">
      <c r="B417" s="1505" t="s">
        <v>1100</v>
      </c>
      <c r="C417" s="1506" t="s">
        <v>976</v>
      </c>
      <c r="D417" s="1506">
        <v>-488871</v>
      </c>
      <c r="E417" s="1508"/>
      <c r="F417" s="1508"/>
      <c r="G417" s="1506" t="s">
        <v>3017</v>
      </c>
      <c r="H417" s="1509"/>
      <c r="I417" s="1509"/>
      <c r="J417" s="1506" t="s">
        <v>960</v>
      </c>
    </row>
    <row r="418" spans="2:10" ht="18" outlineLevel="1" x14ac:dyDescent="0.25">
      <c r="B418" s="1505" t="s">
        <v>1346</v>
      </c>
      <c r="C418" s="1506" t="s">
        <v>1272</v>
      </c>
      <c r="D418" s="1506">
        <v>-39000</v>
      </c>
      <c r="E418" s="1508"/>
      <c r="F418" s="1508"/>
      <c r="G418" s="1506" t="s">
        <v>3017</v>
      </c>
      <c r="H418" s="1509"/>
      <c r="I418" s="1509"/>
      <c r="J418" s="1506" t="s">
        <v>960</v>
      </c>
    </row>
    <row r="419" spans="2:10" ht="18" outlineLevel="1" x14ac:dyDescent="0.25">
      <c r="B419" s="1505" t="s">
        <v>1347</v>
      </c>
      <c r="C419" s="1506" t="s">
        <v>1273</v>
      </c>
      <c r="D419" s="1506">
        <v>-17000</v>
      </c>
      <c r="E419" s="1508"/>
      <c r="F419" s="1508"/>
      <c r="G419" s="1506" t="s">
        <v>3017</v>
      </c>
      <c r="H419" s="1509"/>
      <c r="I419" s="1509"/>
      <c r="J419" s="1506" t="s">
        <v>1274</v>
      </c>
    </row>
    <row r="420" spans="2:10" ht="18" outlineLevel="1" x14ac:dyDescent="0.25">
      <c r="B420" s="1505" t="s">
        <v>1348</v>
      </c>
      <c r="C420" s="1506" t="s">
        <v>1275</v>
      </c>
      <c r="D420" s="1506">
        <v>33000</v>
      </c>
      <c r="E420" s="1508"/>
      <c r="F420" s="1508"/>
      <c r="G420" s="1506" t="s">
        <v>3017</v>
      </c>
      <c r="H420" s="1509"/>
      <c r="I420" s="1509"/>
      <c r="J420" s="1506" t="s">
        <v>960</v>
      </c>
    </row>
    <row r="421" spans="2:10" ht="18" outlineLevel="1" x14ac:dyDescent="0.25">
      <c r="B421" s="1505" t="s">
        <v>1349</v>
      </c>
      <c r="C421" s="1506" t="s">
        <v>1276</v>
      </c>
      <c r="D421" s="1506">
        <v>-909000</v>
      </c>
      <c r="E421" s="1508"/>
      <c r="F421" s="1508"/>
      <c r="G421" s="1506" t="s">
        <v>3017</v>
      </c>
      <c r="H421" s="1509"/>
      <c r="I421" s="1509"/>
      <c r="J421" s="1506" t="s">
        <v>972</v>
      </c>
    </row>
    <row r="422" spans="2:10" ht="18" outlineLevel="1" x14ac:dyDescent="0.25">
      <c r="B422" s="1505" t="s">
        <v>1350</v>
      </c>
      <c r="C422" s="1506" t="s">
        <v>1277</v>
      </c>
      <c r="D422" s="1506">
        <v>-887000</v>
      </c>
      <c r="E422" s="1508"/>
      <c r="F422" s="1508"/>
      <c r="G422" s="1506" t="s">
        <v>3017</v>
      </c>
      <c r="H422" s="1509"/>
      <c r="I422" s="1509"/>
      <c r="J422" s="1506" t="s">
        <v>1278</v>
      </c>
    </row>
    <row r="423" spans="2:10" ht="18" outlineLevel="1" x14ac:dyDescent="0.25">
      <c r="B423" s="1505" t="s">
        <v>1351</v>
      </c>
      <c r="C423" s="1506" t="s">
        <v>1279</v>
      </c>
      <c r="D423" s="1506">
        <v>-909000</v>
      </c>
      <c r="E423" s="1508"/>
      <c r="F423" s="1508"/>
      <c r="G423" s="1506" t="s">
        <v>3017</v>
      </c>
      <c r="H423" s="1509"/>
      <c r="I423" s="1509"/>
      <c r="J423" s="1506" t="s">
        <v>972</v>
      </c>
    </row>
    <row r="424" spans="2:10" ht="18" outlineLevel="1" x14ac:dyDescent="0.25">
      <c r="B424" s="1505" t="s">
        <v>1308</v>
      </c>
      <c r="C424" s="1506" t="s">
        <v>1309</v>
      </c>
      <c r="D424" s="1506">
        <v>-542960</v>
      </c>
      <c r="E424" s="1508"/>
      <c r="F424" s="1508"/>
      <c r="G424" s="1506" t="s">
        <v>3017</v>
      </c>
      <c r="H424" s="1509"/>
      <c r="I424" s="1509"/>
      <c r="J424" s="1506" t="s">
        <v>960</v>
      </c>
    </row>
    <row r="425" spans="2:10" ht="18" outlineLevel="1" x14ac:dyDescent="0.25">
      <c r="B425" s="1505" t="s">
        <v>1310</v>
      </c>
      <c r="C425" s="1506" t="s">
        <v>3407</v>
      </c>
      <c r="D425" s="1506">
        <v>-461960</v>
      </c>
      <c r="E425" s="1508"/>
      <c r="F425" s="1508"/>
      <c r="G425" s="1506" t="s">
        <v>3017</v>
      </c>
      <c r="H425" s="1509"/>
      <c r="I425" s="1509"/>
      <c r="J425" s="1506" t="s">
        <v>960</v>
      </c>
    </row>
    <row r="426" spans="2:10" ht="18" outlineLevel="1" x14ac:dyDescent="0.25">
      <c r="B426" s="1505" t="s">
        <v>1311</v>
      </c>
      <c r="C426" s="1506" t="s">
        <v>1312</v>
      </c>
      <c r="D426" s="1506">
        <v>-239660</v>
      </c>
      <c r="E426" s="1508"/>
      <c r="F426" s="1508"/>
      <c r="G426" s="1506" t="s">
        <v>3017</v>
      </c>
      <c r="H426" s="1509"/>
      <c r="I426" s="1509"/>
      <c r="J426" s="1506" t="s">
        <v>960</v>
      </c>
    </row>
    <row r="428" spans="2:10" ht="15.75" thickBot="1" x14ac:dyDescent="0.3">
      <c r="C428" s="1742" t="s">
        <v>977</v>
      </c>
    </row>
    <row r="429" spans="2:10" ht="15.75" thickBot="1" x14ac:dyDescent="0.3">
      <c r="B429" s="1743" t="s">
        <v>0</v>
      </c>
      <c r="C429" s="1744" t="s">
        <v>1</v>
      </c>
      <c r="D429" s="1745" t="s">
        <v>152</v>
      </c>
      <c r="E429" s="1745" t="s">
        <v>470</v>
      </c>
      <c r="F429" s="1745" t="s">
        <v>471</v>
      </c>
      <c r="G429" s="1745" t="s">
        <v>2</v>
      </c>
      <c r="H429" s="1745" t="s">
        <v>298</v>
      </c>
      <c r="I429" s="1745" t="s">
        <v>116</v>
      </c>
      <c r="J429" s="1746" t="s">
        <v>117</v>
      </c>
    </row>
    <row r="430" spans="2:10" ht="18" x14ac:dyDescent="0.25">
      <c r="B430" s="1505" t="s">
        <v>978</v>
      </c>
      <c r="C430" s="1506" t="s">
        <v>979</v>
      </c>
      <c r="D430" s="1506">
        <v>-286933.08</v>
      </c>
      <c r="E430" s="1508"/>
      <c r="F430" s="1508"/>
      <c r="G430" s="1506" t="s">
        <v>3017</v>
      </c>
      <c r="H430" s="1509"/>
      <c r="I430" s="1509"/>
      <c r="J430" s="1506" t="s">
        <v>980</v>
      </c>
    </row>
    <row r="432" spans="2:10" ht="15.75" thickBot="1" x14ac:dyDescent="0.3">
      <c r="C432" s="1742" t="s">
        <v>2028</v>
      </c>
    </row>
    <row r="433" spans="2:12" ht="15.75" thickBot="1" x14ac:dyDescent="0.3">
      <c r="B433" s="1743" t="s">
        <v>0</v>
      </c>
      <c r="C433" s="1744" t="s">
        <v>1</v>
      </c>
      <c r="D433" s="1745" t="s">
        <v>152</v>
      </c>
      <c r="E433" s="1745" t="s">
        <v>470</v>
      </c>
      <c r="F433" s="1745" t="s">
        <v>471</v>
      </c>
      <c r="G433" s="1745" t="s">
        <v>2</v>
      </c>
      <c r="H433" s="1745" t="s">
        <v>298</v>
      </c>
      <c r="I433" s="1745" t="s">
        <v>116</v>
      </c>
      <c r="J433" s="1746" t="s">
        <v>117</v>
      </c>
      <c r="L433" s="1504" t="s">
        <v>2029</v>
      </c>
    </row>
    <row r="434" spans="2:12" ht="18" outlineLevel="1" x14ac:dyDescent="0.25">
      <c r="B434" s="1505" t="s">
        <v>2030</v>
      </c>
      <c r="C434" s="1506" t="s">
        <v>2031</v>
      </c>
      <c r="D434" s="1506">
        <v>58032.160000000098</v>
      </c>
      <c r="E434" s="1508"/>
      <c r="F434" s="1508"/>
      <c r="G434" s="1506" t="s">
        <v>3017</v>
      </c>
      <c r="H434" s="1509">
        <v>1</v>
      </c>
      <c r="I434" s="1509"/>
      <c r="J434" s="1506" t="s">
        <v>2032</v>
      </c>
      <c r="L434" s="1504">
        <f>(H_OHm+H_H3Op) - 2*H_H2O</f>
        <v>58032.160000000033</v>
      </c>
    </row>
    <row r="435" spans="2:12" ht="18" outlineLevel="1" x14ac:dyDescent="0.25">
      <c r="B435" s="1505" t="s">
        <v>2033</v>
      </c>
      <c r="C435" s="1506" t="s">
        <v>2034</v>
      </c>
      <c r="D435" s="1506">
        <v>5349.0800000000099</v>
      </c>
      <c r="E435" s="1508"/>
      <c r="F435" s="1508"/>
      <c r="G435" s="1506" t="s">
        <v>3017</v>
      </c>
      <c r="H435" s="1509">
        <v>1</v>
      </c>
      <c r="I435" s="1509"/>
      <c r="J435" s="1506" t="s">
        <v>2396</v>
      </c>
      <c r="L435" s="1504">
        <f>(H_NH4p + H_OHm) - (H_NH3 + H_H2O)</f>
        <v>5349.0800000000163</v>
      </c>
    </row>
    <row r="436" spans="2:12" ht="18" outlineLevel="1" x14ac:dyDescent="0.25">
      <c r="B436" s="1505" t="s">
        <v>2397</v>
      </c>
      <c r="C436" s="1506" t="s">
        <v>2398</v>
      </c>
      <c r="D436" s="1506">
        <v>14293.080000000031</v>
      </c>
      <c r="E436" s="1508"/>
      <c r="F436" s="1508"/>
      <c r="G436" s="1506" t="s">
        <v>3017</v>
      </c>
      <c r="H436" s="1509">
        <v>1</v>
      </c>
      <c r="I436" s="1509"/>
      <c r="J436" s="1506" t="s">
        <v>2399</v>
      </c>
      <c r="L436" s="1504">
        <f>(H_H3Op+H_NO2m)-(H_HNO2+H_H2O)</f>
        <v>14293.080000000016</v>
      </c>
    </row>
    <row r="437" spans="2:12" ht="18" outlineLevel="1" x14ac:dyDescent="0.25">
      <c r="B437" s="1505" t="s">
        <v>2035</v>
      </c>
      <c r="C437" s="1506" t="s">
        <v>2036</v>
      </c>
      <c r="D437" s="1506">
        <v>8753.0800000000672</v>
      </c>
      <c r="E437" s="1508"/>
      <c r="F437" s="1508"/>
      <c r="G437" s="1506" t="s">
        <v>3017</v>
      </c>
      <c r="H437" s="1509">
        <v>1</v>
      </c>
      <c r="I437" s="1509"/>
      <c r="J437" s="1506" t="s">
        <v>2037</v>
      </c>
      <c r="L437" s="1504">
        <f>(H_HCO3m + H_H3Op) - (H_H2CO3 + H_H2O)</f>
        <v>8753.0800000000745</v>
      </c>
    </row>
    <row r="438" spans="2:12" ht="18" outlineLevel="1" x14ac:dyDescent="0.25">
      <c r="B438" s="1505" t="s">
        <v>2038</v>
      </c>
      <c r="C438" s="1506" t="s">
        <v>2039</v>
      </c>
      <c r="D438" s="1506">
        <v>15943.080000000009</v>
      </c>
      <c r="E438" s="1508"/>
      <c r="F438" s="1508"/>
      <c r="G438" s="1506" t="s">
        <v>3017</v>
      </c>
      <c r="H438" s="1509">
        <v>1</v>
      </c>
      <c r="I438" s="1509"/>
      <c r="J438" s="1506" t="s">
        <v>2040</v>
      </c>
      <c r="L438" s="1504">
        <f>(H_H3Op + H_CO32m) - (H_HCO3m + H_H2O)</f>
        <v>15943.080000000075</v>
      </c>
    </row>
    <row r="439" spans="2:12" ht="18" outlineLevel="1" x14ac:dyDescent="0.25">
      <c r="B439" s="1505" t="s">
        <v>2041</v>
      </c>
      <c r="C439" s="1506" t="s">
        <v>2042</v>
      </c>
      <c r="D439" s="1506">
        <v>2596237.08</v>
      </c>
      <c r="E439" s="1508"/>
      <c r="F439" s="1508"/>
      <c r="G439" s="1506" t="s">
        <v>3017</v>
      </c>
      <c r="H439" s="1509">
        <v>1</v>
      </c>
      <c r="I439" s="1509"/>
      <c r="J439" s="1506" t="s">
        <v>2043</v>
      </c>
      <c r="L439" s="1504">
        <f>(H_H3Op + H_H2PO4m) - (H_H3PO4 + H_H2O)</f>
        <v>2596237.08</v>
      </c>
    </row>
    <row r="440" spans="2:12" ht="18" outlineLevel="1" x14ac:dyDescent="0.25">
      <c r="B440" s="1505" t="s">
        <v>2044</v>
      </c>
      <c r="C440" s="1506" t="s">
        <v>2045</v>
      </c>
      <c r="D440" s="1506">
        <v>-2586906.92</v>
      </c>
      <c r="E440" s="1508"/>
      <c r="F440" s="1508"/>
      <c r="G440" s="1506" t="s">
        <v>3017</v>
      </c>
      <c r="H440" s="1509">
        <v>1</v>
      </c>
      <c r="I440" s="1509"/>
      <c r="J440" s="1506" t="s">
        <v>2046</v>
      </c>
      <c r="L440" s="1504">
        <f>(H_H3Op + H_HPO42m) - (H_H2PO4m + H_H2O)</f>
        <v>-2586906.92</v>
      </c>
    </row>
    <row r="441" spans="2:12" ht="18" outlineLevel="1" x14ac:dyDescent="0.25">
      <c r="B441" s="1505" t="s">
        <v>2047</v>
      </c>
      <c r="C441" s="1506" t="s">
        <v>2048</v>
      </c>
      <c r="D441" s="1506">
        <v>15693.080000000009</v>
      </c>
      <c r="E441" s="1508"/>
      <c r="F441" s="1508"/>
      <c r="G441" s="1506" t="s">
        <v>3017</v>
      </c>
      <c r="H441" s="1509">
        <v>1</v>
      </c>
      <c r="I441" s="1509"/>
      <c r="J441" s="1506" t="s">
        <v>2049</v>
      </c>
      <c r="L441" s="1504">
        <f>(H_H3Op + H_PO43m) - (H_HPO42m + H_H2O)</f>
        <v>15693.080000000075</v>
      </c>
    </row>
    <row r="442" spans="2:12" ht="18" outlineLevel="1" x14ac:dyDescent="0.25">
      <c r="B442" s="1505" t="s">
        <v>2050</v>
      </c>
      <c r="C442" s="1506" t="s">
        <v>2051</v>
      </c>
      <c r="D442" s="1506">
        <v>675.07999999997992</v>
      </c>
      <c r="E442" s="1508"/>
      <c r="F442" s="1508"/>
      <c r="G442" s="1506" t="s">
        <v>3017</v>
      </c>
      <c r="H442" s="1509">
        <v>1</v>
      </c>
      <c r="I442" s="1509"/>
      <c r="J442" s="1506" t="s">
        <v>2052</v>
      </c>
      <c r="L442" s="1504">
        <f>(H_H3Op + H_Acm) - (H_HAc + H_H2O)</f>
        <v>675.08000000007451</v>
      </c>
    </row>
    <row r="443" spans="2:12" ht="18" outlineLevel="1" x14ac:dyDescent="0.25">
      <c r="B443" s="1760" t="s">
        <v>4034</v>
      </c>
      <c r="C443" s="1760" t="s">
        <v>4035</v>
      </c>
      <c r="D443" s="1760">
        <v>660</v>
      </c>
      <c r="E443" s="1761"/>
      <c r="F443" s="1760"/>
      <c r="G443" s="1762" t="s">
        <v>3017</v>
      </c>
      <c r="H443" s="1763">
        <v>1</v>
      </c>
      <c r="I443" s="1760"/>
      <c r="J443" s="1760" t="s">
        <v>4036</v>
      </c>
    </row>
    <row r="444" spans="2:12" ht="18" outlineLevel="1" x14ac:dyDescent="0.25">
      <c r="B444" s="1760" t="s">
        <v>4037</v>
      </c>
      <c r="C444" s="1760" t="s">
        <v>4038</v>
      </c>
      <c r="D444" s="1760">
        <v>2800</v>
      </c>
      <c r="E444" s="1761"/>
      <c r="F444" s="1760"/>
      <c r="G444" s="1762" t="s">
        <v>3017</v>
      </c>
      <c r="H444" s="1763">
        <v>1</v>
      </c>
      <c r="I444" s="1760"/>
      <c r="J444" s="1760" t="s">
        <v>4036</v>
      </c>
    </row>
    <row r="445" spans="2:12" ht="18" outlineLevel="1" x14ac:dyDescent="0.25">
      <c r="B445" s="1760" t="s">
        <v>4039</v>
      </c>
      <c r="C445" s="1760" t="s">
        <v>4040</v>
      </c>
      <c r="D445" s="1760">
        <v>2887</v>
      </c>
      <c r="E445" s="1761"/>
      <c r="F445" s="1760"/>
      <c r="G445" s="1762" t="s">
        <v>3017</v>
      </c>
      <c r="H445" s="1763">
        <v>1</v>
      </c>
      <c r="I445" s="1760"/>
      <c r="J445" s="1760" t="s">
        <v>4036</v>
      </c>
    </row>
    <row r="446" spans="2:12" ht="18" outlineLevel="1" x14ac:dyDescent="0.25">
      <c r="B446" s="1505" t="s">
        <v>2053</v>
      </c>
      <c r="C446" s="1506" t="s">
        <v>2054</v>
      </c>
      <c r="D446" s="1506">
        <v>23093.080000000042</v>
      </c>
      <c r="E446" s="1508"/>
      <c r="F446" s="1508"/>
      <c r="G446" s="1506" t="s">
        <v>3017</v>
      </c>
      <c r="H446" s="1509">
        <v>1</v>
      </c>
      <c r="I446" s="1509"/>
      <c r="J446" s="1506" t="s">
        <v>2055</v>
      </c>
      <c r="L446" s="1504">
        <f>(H_HSm+H_H3Op)-(H_H2S+H_H2O)</f>
        <v>23093.080000000016</v>
      </c>
    </row>
    <row r="447" spans="2:12" ht="18" outlineLevel="1" x14ac:dyDescent="0.25">
      <c r="B447" s="1505" t="s">
        <v>2056</v>
      </c>
      <c r="C447" s="1506" t="s">
        <v>2057</v>
      </c>
      <c r="D447" s="1506">
        <v>51093.080000000045</v>
      </c>
      <c r="E447" s="1508"/>
      <c r="F447" s="1508"/>
      <c r="G447" s="1506" t="s">
        <v>3017</v>
      </c>
      <c r="H447" s="1509">
        <v>1</v>
      </c>
      <c r="I447" s="1509"/>
      <c r="J447" s="1506" t="s">
        <v>2058</v>
      </c>
      <c r="L447" s="1504">
        <f>(H_H3Op+H_S2m)-(H_HSm+H_H2O)</f>
        <v>51093.080000000016</v>
      </c>
    </row>
    <row r="448" spans="2:12" ht="18" outlineLevel="1" x14ac:dyDescent="0.25">
      <c r="B448" s="1505" t="s">
        <v>2059</v>
      </c>
      <c r="C448" s="1506" t="s">
        <v>2060</v>
      </c>
      <c r="D448" s="1506">
        <v>23093.0800000001</v>
      </c>
      <c r="E448" s="1508"/>
      <c r="F448" s="1508"/>
      <c r="G448" s="1506" t="s">
        <v>3017</v>
      </c>
      <c r="H448" s="1509">
        <v>1</v>
      </c>
      <c r="I448" s="1509"/>
      <c r="J448" s="1506" t="s">
        <v>2061</v>
      </c>
      <c r="L448" s="1504">
        <f>(H_HSO4m+H_H3Op)-(H_H2SO4+H_H2O)</f>
        <v>23093.080000000075</v>
      </c>
    </row>
    <row r="449" spans="2:12" ht="18" outlineLevel="1" x14ac:dyDescent="0.25">
      <c r="B449" s="1505" t="s">
        <v>2062</v>
      </c>
      <c r="C449" s="1506" t="s">
        <v>2063</v>
      </c>
      <c r="D449" s="1506">
        <v>-20906.9199999999</v>
      </c>
      <c r="E449" s="1508"/>
      <c r="F449" s="1508"/>
      <c r="G449" s="1506" t="s">
        <v>3017</v>
      </c>
      <c r="H449" s="1509">
        <v>1</v>
      </c>
      <c r="I449" s="1509"/>
      <c r="J449" s="1506" t="s">
        <v>2064</v>
      </c>
      <c r="L449" s="1504">
        <f>(H_H3Op+H_SO42m)-(H_HSO4m+H_H2O)</f>
        <v>-20906.919999999925</v>
      </c>
    </row>
    <row r="450" spans="2:12" ht="18" outlineLevel="1" x14ac:dyDescent="0.25">
      <c r="B450" s="1505" t="s">
        <v>2065</v>
      </c>
      <c r="C450" s="1506" t="s">
        <v>2066</v>
      </c>
      <c r="D450" s="1506">
        <v>64110</v>
      </c>
      <c r="E450" s="1508"/>
      <c r="F450" s="1508"/>
      <c r="G450" s="1506" t="s">
        <v>3017</v>
      </c>
      <c r="H450" s="1509">
        <v>1</v>
      </c>
      <c r="I450" s="1509"/>
      <c r="J450" s="1506"/>
    </row>
    <row r="451" spans="2:12" ht="18" outlineLevel="1" x14ac:dyDescent="0.25">
      <c r="B451" s="1505" t="s">
        <v>2067</v>
      </c>
      <c r="C451" s="1506" t="s">
        <v>2068</v>
      </c>
      <c r="D451" s="1506">
        <v>16000</v>
      </c>
      <c r="E451" s="1508"/>
      <c r="F451" s="1508"/>
      <c r="G451" s="1506" t="s">
        <v>3017</v>
      </c>
      <c r="H451" s="1509">
        <v>1</v>
      </c>
      <c r="I451" s="1509"/>
      <c r="J451" s="1506"/>
    </row>
    <row r="452" spans="2:12" ht="18" outlineLevel="1" x14ac:dyDescent="0.25">
      <c r="B452" s="1505" t="s">
        <v>2069</v>
      </c>
      <c r="C452" s="1506" t="s">
        <v>2070</v>
      </c>
      <c r="D452" s="1506">
        <v>5400</v>
      </c>
      <c r="E452" s="1508"/>
      <c r="F452" s="1508"/>
      <c r="G452" s="1506" t="s">
        <v>3017</v>
      </c>
      <c r="H452" s="1509">
        <v>1</v>
      </c>
      <c r="I452" s="1509"/>
      <c r="J452" s="1506"/>
    </row>
    <row r="453" spans="2:12" ht="18" outlineLevel="1" x14ac:dyDescent="0.25">
      <c r="B453" s="1505" t="s">
        <v>2071</v>
      </c>
      <c r="C453" s="1506" t="s">
        <v>2072</v>
      </c>
      <c r="D453" s="1506">
        <v>12970.4</v>
      </c>
      <c r="E453" s="1508"/>
      <c r="F453" s="1508"/>
      <c r="G453" s="1506" t="s">
        <v>3017</v>
      </c>
      <c r="H453" s="1509">
        <v>1</v>
      </c>
      <c r="I453" s="1509"/>
      <c r="J453" s="1506"/>
    </row>
    <row r="454" spans="2:12" ht="18" outlineLevel="1" x14ac:dyDescent="0.25">
      <c r="B454" s="1505" t="s">
        <v>2073</v>
      </c>
      <c r="C454" s="1506" t="s">
        <v>2074</v>
      </c>
      <c r="D454" s="1506">
        <v>-3000</v>
      </c>
      <c r="E454" s="1508"/>
      <c r="F454" s="1508"/>
      <c r="G454" s="1506" t="s">
        <v>3017</v>
      </c>
      <c r="H454" s="1509">
        <v>1</v>
      </c>
      <c r="I454" s="1509"/>
      <c r="J454" s="1506"/>
    </row>
    <row r="455" spans="2:12" ht="18" outlineLevel="1" x14ac:dyDescent="0.25">
      <c r="B455" s="1505" t="s">
        <v>2075</v>
      </c>
      <c r="C455" s="1506" t="s">
        <v>2076</v>
      </c>
      <c r="D455" s="1506">
        <v>-6000</v>
      </c>
      <c r="E455" s="1508"/>
      <c r="F455" s="1508"/>
      <c r="G455" s="1506" t="s">
        <v>3017</v>
      </c>
      <c r="H455" s="1509">
        <v>1</v>
      </c>
      <c r="I455" s="1509"/>
      <c r="J455" s="1506"/>
    </row>
    <row r="456" spans="2:12" ht="18" outlineLevel="1" x14ac:dyDescent="0.25">
      <c r="B456" s="1505" t="s">
        <v>2077</v>
      </c>
      <c r="C456" s="1506" t="s">
        <v>2078</v>
      </c>
      <c r="D456" s="1506">
        <v>67810</v>
      </c>
      <c r="E456" s="1508"/>
      <c r="F456" s="1508"/>
      <c r="G456" s="1506" t="s">
        <v>3017</v>
      </c>
      <c r="H456" s="1509">
        <v>1</v>
      </c>
      <c r="I456" s="1509"/>
      <c r="J456" s="1506"/>
    </row>
    <row r="457" spans="2:12" ht="18" outlineLevel="1" x14ac:dyDescent="0.25">
      <c r="B457" s="1505" t="s">
        <v>2079</v>
      </c>
      <c r="C457" s="1506" t="s">
        <v>2080</v>
      </c>
      <c r="D457" s="1506">
        <v>12000</v>
      </c>
      <c r="E457" s="1508"/>
      <c r="F457" s="1508"/>
      <c r="G457" s="1506" t="s">
        <v>3017</v>
      </c>
      <c r="H457" s="1509">
        <v>1</v>
      </c>
      <c r="I457" s="1509"/>
      <c r="J457" s="1506"/>
    </row>
    <row r="458" spans="2:12" ht="18" outlineLevel="1" x14ac:dyDescent="0.25">
      <c r="B458" s="1505" t="s">
        <v>2081</v>
      </c>
      <c r="C458" s="1506" t="s">
        <v>2082</v>
      </c>
      <c r="D458" s="1506">
        <v>-10600</v>
      </c>
      <c r="E458" s="1508"/>
      <c r="F458" s="1508"/>
      <c r="G458" s="1506" t="s">
        <v>3017</v>
      </c>
      <c r="H458" s="1509">
        <v>1</v>
      </c>
      <c r="I458" s="1509"/>
      <c r="J458" s="1506"/>
    </row>
    <row r="459" spans="2:12" ht="18" outlineLevel="1" x14ac:dyDescent="0.25">
      <c r="B459" s="1505" t="s">
        <v>2083</v>
      </c>
      <c r="C459" s="1506" t="s">
        <v>2084</v>
      </c>
      <c r="D459" s="1506">
        <v>-3000</v>
      </c>
      <c r="E459" s="1508"/>
      <c r="F459" s="1508"/>
      <c r="G459" s="1506" t="s">
        <v>3017</v>
      </c>
      <c r="H459" s="1509">
        <v>1</v>
      </c>
      <c r="I459" s="1509"/>
      <c r="J459" s="1506"/>
    </row>
    <row r="460" spans="2:12" ht="18" outlineLevel="1" x14ac:dyDescent="0.25">
      <c r="B460" s="1505" t="s">
        <v>2085</v>
      </c>
      <c r="C460" s="1506" t="s">
        <v>2086</v>
      </c>
      <c r="D460" s="1506">
        <v>12970.4</v>
      </c>
      <c r="E460" s="1508"/>
      <c r="F460" s="1508"/>
      <c r="G460" s="1506" t="s">
        <v>3017</v>
      </c>
      <c r="H460" s="1509">
        <v>1</v>
      </c>
      <c r="I460" s="1509"/>
      <c r="J460" s="1506"/>
    </row>
    <row r="461" spans="2:12" ht="18" outlineLevel="1" x14ac:dyDescent="0.25">
      <c r="B461" s="1505" t="s">
        <v>2087</v>
      </c>
      <c r="C461" s="1506" t="s">
        <v>2088</v>
      </c>
      <c r="D461" s="1506">
        <v>21256.1</v>
      </c>
      <c r="E461" s="1508"/>
      <c r="F461" s="1508"/>
      <c r="G461" s="1506" t="s">
        <v>3017</v>
      </c>
      <c r="H461" s="1509">
        <v>1</v>
      </c>
      <c r="I461" s="1509"/>
      <c r="J461" s="1506"/>
    </row>
    <row r="462" spans="2:12" ht="18" outlineLevel="1" x14ac:dyDescent="0.25">
      <c r="B462" s="1505" t="s">
        <v>2089</v>
      </c>
      <c r="C462" s="1506" t="s">
        <v>2090</v>
      </c>
      <c r="D462" s="1506">
        <v>0</v>
      </c>
      <c r="E462" s="1508"/>
      <c r="F462" s="1508"/>
      <c r="G462" s="1506" t="s">
        <v>3017</v>
      </c>
      <c r="H462" s="1509">
        <v>1</v>
      </c>
      <c r="I462" s="1509"/>
      <c r="J462" s="1506"/>
    </row>
    <row r="464" spans="2:12" ht="15.75" thickBot="1" x14ac:dyDescent="0.3">
      <c r="C464" s="1742" t="s">
        <v>3408</v>
      </c>
    </row>
    <row r="465" spans="2:12" ht="15.75" thickBot="1" x14ac:dyDescent="0.3">
      <c r="B465" s="1743" t="s">
        <v>0</v>
      </c>
      <c r="C465" s="1744" t="s">
        <v>1</v>
      </c>
      <c r="D465" s="1745" t="s">
        <v>152</v>
      </c>
      <c r="E465" s="1745" t="s">
        <v>470</v>
      </c>
      <c r="F465" s="1745" t="s">
        <v>471</v>
      </c>
      <c r="G465" s="1745" t="s">
        <v>2</v>
      </c>
      <c r="H465" s="1745" t="s">
        <v>298</v>
      </c>
      <c r="I465" s="1745" t="s">
        <v>116</v>
      </c>
      <c r="J465" s="1746" t="s">
        <v>117</v>
      </c>
      <c r="L465" s="1504" t="s">
        <v>2029</v>
      </c>
    </row>
    <row r="466" spans="2:12" ht="18" outlineLevel="1" x14ac:dyDescent="0.25">
      <c r="B466" s="1505" t="s">
        <v>3181</v>
      </c>
      <c r="C466" s="1506" t="s">
        <v>3018</v>
      </c>
      <c r="D466" s="1506">
        <v>2.5000000000000001E-5</v>
      </c>
      <c r="E466" s="1508" t="s">
        <v>1216</v>
      </c>
      <c r="F466" s="1508" t="s">
        <v>1253</v>
      </c>
      <c r="G466" s="1506" t="s">
        <v>3182</v>
      </c>
      <c r="H466" s="1509">
        <v>2</v>
      </c>
      <c r="I466" s="1509"/>
      <c r="J466" s="1506" t="s">
        <v>3019</v>
      </c>
    </row>
    <row r="467" spans="2:12" ht="18" outlineLevel="1" x14ac:dyDescent="0.25">
      <c r="B467" s="1505" t="s">
        <v>3183</v>
      </c>
      <c r="C467" s="1506" t="s">
        <v>3018</v>
      </c>
      <c r="D467" s="1506">
        <v>2.5000000000000001E-5</v>
      </c>
      <c r="E467" s="1508" t="s">
        <v>1216</v>
      </c>
      <c r="F467" s="1508" t="s">
        <v>1253</v>
      </c>
      <c r="G467" s="1506" t="s">
        <v>3182</v>
      </c>
      <c r="H467" s="1509">
        <v>2</v>
      </c>
      <c r="I467" s="1509"/>
      <c r="J467" s="1506" t="s">
        <v>3019</v>
      </c>
    </row>
    <row r="468" spans="2:12" ht="18" outlineLevel="1" x14ac:dyDescent="0.25">
      <c r="B468" s="1505" t="s">
        <v>3184</v>
      </c>
      <c r="C468" s="1506" t="s">
        <v>3018</v>
      </c>
      <c r="D468" s="1506">
        <v>2.5000000000000001E-5</v>
      </c>
      <c r="E468" s="1508" t="s">
        <v>1216</v>
      </c>
      <c r="F468" s="1508" t="s">
        <v>1253</v>
      </c>
      <c r="G468" s="1506" t="s">
        <v>3182</v>
      </c>
      <c r="H468" s="1509">
        <v>2</v>
      </c>
      <c r="I468" s="1509"/>
      <c r="J468" s="1506" t="s">
        <v>3019</v>
      </c>
    </row>
    <row r="469" spans="2:12" ht="18" outlineLevel="1" x14ac:dyDescent="0.25">
      <c r="B469" s="1505" t="s">
        <v>3185</v>
      </c>
      <c r="C469" s="1506" t="s">
        <v>3020</v>
      </c>
      <c r="D469" s="1506">
        <v>1.24E-5</v>
      </c>
      <c r="E469" s="1508" t="s">
        <v>1216</v>
      </c>
      <c r="F469" s="1508" t="s">
        <v>1253</v>
      </c>
      <c r="G469" s="1506" t="s">
        <v>3182</v>
      </c>
      <c r="H469" s="1509">
        <v>2</v>
      </c>
      <c r="I469" s="1509"/>
      <c r="J469" s="1506" t="s">
        <v>3019</v>
      </c>
    </row>
    <row r="470" spans="2:12" ht="18" outlineLevel="1" x14ac:dyDescent="0.25">
      <c r="B470" s="1505" t="s">
        <v>3186</v>
      </c>
      <c r="C470" s="1506" t="s">
        <v>3021</v>
      </c>
      <c r="D470" s="1506">
        <v>1.24E-5</v>
      </c>
      <c r="E470" s="1508" t="s">
        <v>1216</v>
      </c>
      <c r="F470" s="1508" t="s">
        <v>1253</v>
      </c>
      <c r="G470" s="1506" t="s">
        <v>3182</v>
      </c>
      <c r="H470" s="1509">
        <v>2</v>
      </c>
      <c r="I470" s="1509"/>
      <c r="J470" s="1506" t="s">
        <v>3019</v>
      </c>
    </row>
    <row r="471" spans="2:12" ht="18" outlineLevel="1" x14ac:dyDescent="0.25">
      <c r="B471" s="1505" t="s">
        <v>3187</v>
      </c>
      <c r="C471" s="1506" t="s">
        <v>3022</v>
      </c>
      <c r="D471" s="1506">
        <v>1.24E-5</v>
      </c>
      <c r="E471" s="1508" t="s">
        <v>1216</v>
      </c>
      <c r="F471" s="1508" t="s">
        <v>1253</v>
      </c>
      <c r="G471" s="1506" t="s">
        <v>3182</v>
      </c>
      <c r="H471" s="1509">
        <v>2</v>
      </c>
      <c r="I471" s="1509"/>
      <c r="J471" s="1506" t="s">
        <v>3019</v>
      </c>
    </row>
    <row r="472" spans="2:12" ht="18" outlineLevel="1" x14ac:dyDescent="0.25">
      <c r="B472" s="1505" t="s">
        <v>3188</v>
      </c>
      <c r="C472" s="1506" t="s">
        <v>3020</v>
      </c>
      <c r="D472" s="1506">
        <v>1.24E-5</v>
      </c>
      <c r="E472" s="1508" t="s">
        <v>1216</v>
      </c>
      <c r="F472" s="1508" t="s">
        <v>1253</v>
      </c>
      <c r="G472" s="1506" t="s">
        <v>3182</v>
      </c>
      <c r="H472" s="1509">
        <v>2</v>
      </c>
      <c r="I472" s="1509"/>
      <c r="J472" s="1506" t="s">
        <v>3019</v>
      </c>
    </row>
    <row r="473" spans="2:12" ht="18" outlineLevel="1" x14ac:dyDescent="0.25">
      <c r="B473" s="1505" t="s">
        <v>4453</v>
      </c>
      <c r="C473" s="1506" t="s">
        <v>4454</v>
      </c>
      <c r="D473" s="1506">
        <v>1.24E-5</v>
      </c>
      <c r="E473" s="1508" t="s">
        <v>1216</v>
      </c>
      <c r="F473" s="1508" t="s">
        <v>1253</v>
      </c>
      <c r="G473" s="1506" t="s">
        <v>3182</v>
      </c>
      <c r="H473" s="1509">
        <v>2</v>
      </c>
      <c r="I473" s="1509"/>
      <c r="J473" s="1506" t="s">
        <v>3019</v>
      </c>
    </row>
    <row r="474" spans="2:12" ht="18" outlineLevel="1" x14ac:dyDescent="0.25">
      <c r="B474" s="1505" t="s">
        <v>3189</v>
      </c>
      <c r="C474" s="1506" t="s">
        <v>3023</v>
      </c>
      <c r="D474" s="1506">
        <v>1.24E-5</v>
      </c>
      <c r="E474" s="1508" t="s">
        <v>1216</v>
      </c>
      <c r="F474" s="1508" t="s">
        <v>1253</v>
      </c>
      <c r="G474" s="1506" t="s">
        <v>3182</v>
      </c>
      <c r="H474" s="1509">
        <v>2</v>
      </c>
      <c r="I474" s="1509"/>
      <c r="J474" s="1506" t="s">
        <v>3019</v>
      </c>
    </row>
    <row r="475" spans="2:12" ht="18" outlineLevel="1" x14ac:dyDescent="0.25">
      <c r="B475" s="1505" t="s">
        <v>3190</v>
      </c>
      <c r="C475" s="1506" t="s">
        <v>3023</v>
      </c>
      <c r="D475" s="1506">
        <v>1.24E-5</v>
      </c>
      <c r="E475" s="1508" t="s">
        <v>1216</v>
      </c>
      <c r="F475" s="1508" t="s">
        <v>1253</v>
      </c>
      <c r="G475" s="1506" t="s">
        <v>3182</v>
      </c>
      <c r="H475" s="1509">
        <v>2</v>
      </c>
      <c r="I475" s="1509"/>
      <c r="J475" s="1506" t="s">
        <v>3019</v>
      </c>
    </row>
    <row r="476" spans="2:12" ht="18" outlineLevel="1" x14ac:dyDescent="0.25">
      <c r="B476" s="1505" t="s">
        <v>3191</v>
      </c>
      <c r="C476" s="1506" t="s">
        <v>3024</v>
      </c>
      <c r="D476" s="1506">
        <v>1.24E-5</v>
      </c>
      <c r="E476" s="1508" t="s">
        <v>1216</v>
      </c>
      <c r="F476" s="1508" t="s">
        <v>1253</v>
      </c>
      <c r="G476" s="1506" t="s">
        <v>3182</v>
      </c>
      <c r="H476" s="1509">
        <v>2</v>
      </c>
      <c r="I476" s="1509"/>
      <c r="J476" s="1506" t="s">
        <v>3019</v>
      </c>
    </row>
    <row r="477" spans="2:12" ht="18" outlineLevel="1" x14ac:dyDescent="0.25">
      <c r="B477" s="1505" t="s">
        <v>3192</v>
      </c>
      <c r="C477" s="1506" t="s">
        <v>3025</v>
      </c>
      <c r="D477" s="1506">
        <v>1.0000000000000001E-5</v>
      </c>
      <c r="E477" s="1508" t="s">
        <v>1216</v>
      </c>
      <c r="F477" s="1508" t="s">
        <v>1253</v>
      </c>
      <c r="G477" s="1506" t="s">
        <v>3182</v>
      </c>
      <c r="H477" s="1509">
        <v>2</v>
      </c>
      <c r="I477" s="1509"/>
      <c r="J477" s="1506"/>
    </row>
    <row r="478" spans="2:12" ht="18" outlineLevel="1" x14ac:dyDescent="0.25">
      <c r="B478" s="1505" t="s">
        <v>3193</v>
      </c>
      <c r="C478" s="1506" t="s">
        <v>3025</v>
      </c>
      <c r="D478" s="1506">
        <v>1.0000000000000001E-5</v>
      </c>
      <c r="E478" s="1508" t="s">
        <v>1216</v>
      </c>
      <c r="F478" s="1508" t="s">
        <v>1253</v>
      </c>
      <c r="G478" s="1506" t="s">
        <v>3182</v>
      </c>
      <c r="H478" s="1509">
        <v>2</v>
      </c>
      <c r="I478" s="1509"/>
      <c r="J478" s="1506"/>
    </row>
    <row r="479" spans="2:12" ht="18" outlineLevel="1" x14ac:dyDescent="0.25">
      <c r="B479" s="1505" t="s">
        <v>3225</v>
      </c>
      <c r="C479" s="1506" t="s">
        <v>3056</v>
      </c>
      <c r="D479" s="1506">
        <v>2.5000000000000002E-6</v>
      </c>
      <c r="E479" s="1508" t="s">
        <v>1216</v>
      </c>
      <c r="F479" s="1508" t="s">
        <v>1253</v>
      </c>
      <c r="G479" s="1506" t="s">
        <v>3182</v>
      </c>
      <c r="H479" s="1509">
        <v>2</v>
      </c>
      <c r="I479" s="1509"/>
      <c r="J479" s="1506" t="s">
        <v>3019</v>
      </c>
    </row>
    <row r="480" spans="2:12" ht="18" outlineLevel="1" x14ac:dyDescent="0.25">
      <c r="B480" s="1505" t="s">
        <v>3226</v>
      </c>
      <c r="C480" s="1506" t="s">
        <v>3057</v>
      </c>
      <c r="D480" s="1506">
        <v>2.5000000000000002E-6</v>
      </c>
      <c r="E480" s="1508" t="s">
        <v>1216</v>
      </c>
      <c r="F480" s="1508" t="s">
        <v>1253</v>
      </c>
      <c r="G480" s="1506" t="s">
        <v>3182</v>
      </c>
      <c r="H480" s="1509">
        <v>2</v>
      </c>
      <c r="I480" s="1509"/>
      <c r="J480" s="1506" t="s">
        <v>3019</v>
      </c>
    </row>
    <row r="481" spans="2:10" ht="18" outlineLevel="1" x14ac:dyDescent="0.25">
      <c r="B481" s="1505" t="s">
        <v>3194</v>
      </c>
      <c r="C481" s="1506" t="s">
        <v>3026</v>
      </c>
      <c r="D481" s="1506">
        <v>2.0000000000000002E-5</v>
      </c>
      <c r="E481" s="1508" t="s">
        <v>1216</v>
      </c>
      <c r="F481" s="1508" t="s">
        <v>1253</v>
      </c>
      <c r="G481" s="1506" t="s">
        <v>3182</v>
      </c>
      <c r="H481" s="1509">
        <v>2</v>
      </c>
      <c r="I481" s="1509"/>
      <c r="J481" s="1506" t="s">
        <v>3027</v>
      </c>
    </row>
    <row r="482" spans="2:10" ht="18" outlineLevel="1" x14ac:dyDescent="0.25">
      <c r="B482" s="1505" t="s">
        <v>3195</v>
      </c>
      <c r="C482" s="1506" t="s">
        <v>3026</v>
      </c>
      <c r="D482" s="1506">
        <v>2.0000000000000002E-5</v>
      </c>
      <c r="E482" s="1508" t="s">
        <v>1216</v>
      </c>
      <c r="F482" s="1508" t="s">
        <v>1253</v>
      </c>
      <c r="G482" s="1506" t="s">
        <v>3182</v>
      </c>
      <c r="H482" s="1509">
        <v>2</v>
      </c>
      <c r="I482" s="1509"/>
      <c r="J482" s="1506" t="s">
        <v>3027</v>
      </c>
    </row>
    <row r="483" spans="2:10" ht="18" outlineLevel="1" x14ac:dyDescent="0.25">
      <c r="B483" s="1505" t="s">
        <v>3196</v>
      </c>
      <c r="C483" s="1506" t="s">
        <v>3026</v>
      </c>
      <c r="D483" s="1506">
        <v>2.0000000000000002E-5</v>
      </c>
      <c r="E483" s="1508" t="s">
        <v>1216</v>
      </c>
      <c r="F483" s="1508" t="s">
        <v>1253</v>
      </c>
      <c r="G483" s="1506" t="s">
        <v>3182</v>
      </c>
      <c r="H483" s="1509">
        <v>2</v>
      </c>
      <c r="I483" s="1509"/>
      <c r="J483" s="1506" t="s">
        <v>3027</v>
      </c>
    </row>
    <row r="484" spans="2:10" ht="18" outlineLevel="1" x14ac:dyDescent="0.25">
      <c r="B484" s="1505" t="s">
        <v>3197</v>
      </c>
      <c r="C484" s="1506" t="s">
        <v>3028</v>
      </c>
      <c r="D484" s="1506">
        <v>2.0000000000000002E-5</v>
      </c>
      <c r="E484" s="1508" t="s">
        <v>1216</v>
      </c>
      <c r="F484" s="1508" t="s">
        <v>2271</v>
      </c>
      <c r="G484" s="1506" t="s">
        <v>3182</v>
      </c>
      <c r="H484" s="1509">
        <v>2</v>
      </c>
      <c r="I484" s="1509"/>
      <c r="J484" s="1506" t="s">
        <v>3029</v>
      </c>
    </row>
    <row r="485" spans="2:10" ht="18" outlineLevel="1" x14ac:dyDescent="0.25">
      <c r="B485" s="1505" t="s">
        <v>3198</v>
      </c>
      <c r="C485" s="1506" t="s">
        <v>3030</v>
      </c>
      <c r="D485" s="1506">
        <v>1.0000000000000001E-5</v>
      </c>
      <c r="E485" s="1508" t="s">
        <v>1216</v>
      </c>
      <c r="F485" s="1508" t="s">
        <v>2271</v>
      </c>
      <c r="G485" s="1506" t="s">
        <v>3182</v>
      </c>
      <c r="H485" s="1509">
        <v>2</v>
      </c>
      <c r="I485" s="1509"/>
      <c r="J485" s="1506" t="s">
        <v>3019</v>
      </c>
    </row>
    <row r="486" spans="2:10" ht="18" outlineLevel="1" x14ac:dyDescent="0.25">
      <c r="B486" s="1505" t="s">
        <v>3199</v>
      </c>
      <c r="C486" s="1506" t="s">
        <v>3031</v>
      </c>
      <c r="D486" s="1506">
        <v>1.24E-5</v>
      </c>
      <c r="E486" s="1508" t="s">
        <v>1216</v>
      </c>
      <c r="F486" s="1508" t="s">
        <v>2271</v>
      </c>
      <c r="G486" s="1506" t="s">
        <v>3182</v>
      </c>
      <c r="H486" s="1509">
        <v>2</v>
      </c>
      <c r="I486" s="1509"/>
      <c r="J486" s="1506" t="s">
        <v>3019</v>
      </c>
    </row>
    <row r="487" spans="2:10" ht="18" outlineLevel="1" x14ac:dyDescent="0.25">
      <c r="B487" s="1505" t="s">
        <v>3200</v>
      </c>
      <c r="C487" s="1506" t="s">
        <v>3032</v>
      </c>
      <c r="D487" s="1506">
        <v>1.9000000000000001E-5</v>
      </c>
      <c r="E487" s="1508" t="s">
        <v>1216</v>
      </c>
      <c r="F487" s="1508" t="s">
        <v>2271</v>
      </c>
      <c r="G487" s="1506" t="s">
        <v>3182</v>
      </c>
      <c r="H487" s="1509">
        <v>2</v>
      </c>
      <c r="I487" s="1509"/>
      <c r="J487" s="1506" t="s">
        <v>3033</v>
      </c>
    </row>
    <row r="488" spans="2:10" ht="18" outlineLevel="1" x14ac:dyDescent="0.25">
      <c r="B488" s="1505" t="s">
        <v>3201</v>
      </c>
      <c r="C488" s="1506" t="s">
        <v>3034</v>
      </c>
      <c r="D488" s="1506">
        <v>1.24E-5</v>
      </c>
      <c r="E488" s="1508" t="s">
        <v>1216</v>
      </c>
      <c r="F488" s="1508" t="s">
        <v>2271</v>
      </c>
      <c r="G488" s="1506" t="s">
        <v>3182</v>
      </c>
      <c r="H488" s="1509">
        <v>2</v>
      </c>
      <c r="I488" s="1509"/>
      <c r="J488" s="1506" t="s">
        <v>3035</v>
      </c>
    </row>
    <row r="489" spans="2:10" ht="18" outlineLevel="1" x14ac:dyDescent="0.25">
      <c r="B489" s="1505" t="s">
        <v>3202</v>
      </c>
      <c r="C489" s="1506" t="s">
        <v>3036</v>
      </c>
      <c r="D489" s="1506">
        <v>1.24E-5</v>
      </c>
      <c r="E489" s="1508" t="s">
        <v>1216</v>
      </c>
      <c r="F489" s="1508" t="s">
        <v>2271</v>
      </c>
      <c r="G489" s="1506" t="s">
        <v>3182</v>
      </c>
      <c r="H489" s="1509">
        <v>2</v>
      </c>
      <c r="I489" s="1509"/>
      <c r="J489" s="1506" t="s">
        <v>3035</v>
      </c>
    </row>
    <row r="490" spans="2:10" ht="18" outlineLevel="1" x14ac:dyDescent="0.25">
      <c r="B490" s="1505" t="s">
        <v>3203</v>
      </c>
      <c r="C490" s="1506" t="s">
        <v>3025</v>
      </c>
      <c r="D490" s="1506">
        <v>1.0000000000000001E-5</v>
      </c>
      <c r="E490" s="1508" t="s">
        <v>1216</v>
      </c>
      <c r="F490" s="1508" t="s">
        <v>2271</v>
      </c>
      <c r="G490" s="1506" t="s">
        <v>3182</v>
      </c>
      <c r="H490" s="1509">
        <v>2</v>
      </c>
      <c r="I490" s="1509"/>
      <c r="J490" s="1506" t="s">
        <v>3019</v>
      </c>
    </row>
    <row r="491" spans="2:10" ht="18" outlineLevel="1" x14ac:dyDescent="0.25">
      <c r="B491" s="1505" t="s">
        <v>4455</v>
      </c>
      <c r="C491" s="1506" t="s">
        <v>3030</v>
      </c>
      <c r="D491" s="1506">
        <v>1.0000000000000001E-5</v>
      </c>
      <c r="E491" s="1508" t="s">
        <v>1216</v>
      </c>
      <c r="F491" s="1508" t="s">
        <v>1253</v>
      </c>
      <c r="G491" s="1506" t="s">
        <v>3182</v>
      </c>
      <c r="H491" s="1509">
        <v>2</v>
      </c>
      <c r="I491" s="1509"/>
      <c r="J491" s="1506"/>
    </row>
    <row r="492" spans="2:10" ht="18" outlineLevel="1" x14ac:dyDescent="0.25">
      <c r="B492" s="1505" t="s">
        <v>4041</v>
      </c>
      <c r="C492" s="1506" t="s">
        <v>4042</v>
      </c>
      <c r="D492" s="1506">
        <v>1.0000000000000001E-5</v>
      </c>
      <c r="E492" s="1508" t="s">
        <v>1216</v>
      </c>
      <c r="F492" s="1508" t="s">
        <v>2271</v>
      </c>
      <c r="G492" s="1506" t="s">
        <v>3182</v>
      </c>
      <c r="H492" s="1509">
        <v>2</v>
      </c>
      <c r="I492" s="1509"/>
      <c r="J492" s="1506"/>
    </row>
    <row r="493" spans="2:10" ht="18" outlineLevel="1" x14ac:dyDescent="0.25">
      <c r="B493" s="1505" t="s">
        <v>3205</v>
      </c>
      <c r="C493" s="1506" t="s">
        <v>3038</v>
      </c>
      <c r="D493" s="1506">
        <v>1.0000000000000001E-5</v>
      </c>
      <c r="E493" s="1508" t="s">
        <v>1216</v>
      </c>
      <c r="F493" s="1508" t="s">
        <v>2271</v>
      </c>
      <c r="G493" s="1506" t="s">
        <v>3182</v>
      </c>
      <c r="H493" s="1509">
        <v>2</v>
      </c>
      <c r="I493" s="1509"/>
      <c r="J493" s="1506"/>
    </row>
    <row r="494" spans="2:10" ht="18" outlineLevel="1" x14ac:dyDescent="0.25">
      <c r="B494" s="1505" t="s">
        <v>3204</v>
      </c>
      <c r="C494" s="1506" t="s">
        <v>3037</v>
      </c>
      <c r="D494" s="1506">
        <v>1.0000000000000001E-5</v>
      </c>
      <c r="E494" s="1508" t="s">
        <v>1216</v>
      </c>
      <c r="F494" s="1508" t="s">
        <v>2271</v>
      </c>
      <c r="G494" s="1506" t="s">
        <v>3182</v>
      </c>
      <c r="H494" s="1509">
        <v>2</v>
      </c>
      <c r="I494" s="1509"/>
      <c r="J494" s="1506"/>
    </row>
    <row r="495" spans="2:10" ht="18" outlineLevel="1" x14ac:dyDescent="0.25">
      <c r="B495" s="1505" t="s">
        <v>4043</v>
      </c>
      <c r="C495" s="1506" t="s">
        <v>3030</v>
      </c>
      <c r="D495" s="1506">
        <v>1.0000000000000001E-5</v>
      </c>
      <c r="E495" s="1508" t="s">
        <v>1216</v>
      </c>
      <c r="F495" s="1508" t="s">
        <v>1253</v>
      </c>
      <c r="G495" s="1506" t="s">
        <v>3182</v>
      </c>
      <c r="H495" s="1509">
        <v>2</v>
      </c>
      <c r="I495" s="1509"/>
      <c r="J495" s="1506"/>
    </row>
    <row r="496" spans="2:10" ht="18" outlineLevel="1" x14ac:dyDescent="0.25">
      <c r="B496" s="1505" t="s">
        <v>4044</v>
      </c>
      <c r="C496" s="1506" t="s">
        <v>4045</v>
      </c>
      <c r="D496" s="1506">
        <v>1.0000000000000001E-5</v>
      </c>
      <c r="E496" s="1508" t="s">
        <v>1216</v>
      </c>
      <c r="F496" s="1508" t="s">
        <v>2271</v>
      </c>
      <c r="G496" s="1506" t="s">
        <v>3182</v>
      </c>
      <c r="H496" s="1509">
        <v>2</v>
      </c>
      <c r="I496" s="1509"/>
      <c r="J496" s="1506"/>
    </row>
    <row r="497" spans="2:10" ht="18" outlineLevel="1" x14ac:dyDescent="0.25">
      <c r="B497" s="1505" t="s">
        <v>3206</v>
      </c>
      <c r="C497" s="1506" t="s">
        <v>3039</v>
      </c>
      <c r="D497" s="1506">
        <v>1.24E-5</v>
      </c>
      <c r="E497" s="1508" t="s">
        <v>1216</v>
      </c>
      <c r="F497" s="1508" t="s">
        <v>1253</v>
      </c>
      <c r="G497" s="1506" t="s">
        <v>3182</v>
      </c>
      <c r="H497" s="1509">
        <v>2</v>
      </c>
      <c r="I497" s="1509"/>
      <c r="J497" s="1506" t="s">
        <v>3035</v>
      </c>
    </row>
    <row r="498" spans="2:10" ht="18" outlineLevel="1" x14ac:dyDescent="0.25">
      <c r="B498" s="1505" t="s">
        <v>3207</v>
      </c>
      <c r="C498" s="1506" t="s">
        <v>3039</v>
      </c>
      <c r="D498" s="1506">
        <v>1.24E-5</v>
      </c>
      <c r="E498" s="1508" t="s">
        <v>1216</v>
      </c>
      <c r="F498" s="1508" t="s">
        <v>1253</v>
      </c>
      <c r="G498" s="1506" t="s">
        <v>3182</v>
      </c>
      <c r="H498" s="1509">
        <v>2</v>
      </c>
      <c r="I498" s="1509"/>
      <c r="J498" s="1506" t="s">
        <v>3035</v>
      </c>
    </row>
    <row r="499" spans="2:10" ht="18" outlineLevel="1" x14ac:dyDescent="0.25">
      <c r="B499" s="1505" t="s">
        <v>3208</v>
      </c>
      <c r="C499" s="1506" t="s">
        <v>3031</v>
      </c>
      <c r="D499" s="1506">
        <v>1.24E-5</v>
      </c>
      <c r="E499" s="1508" t="s">
        <v>1216</v>
      </c>
      <c r="F499" s="1508" t="s">
        <v>1253</v>
      </c>
      <c r="G499" s="1506" t="s">
        <v>3182</v>
      </c>
      <c r="H499" s="1509">
        <v>2</v>
      </c>
      <c r="I499" s="1509"/>
      <c r="J499" s="1506" t="s">
        <v>3019</v>
      </c>
    </row>
    <row r="500" spans="2:10" ht="18" outlineLevel="1" x14ac:dyDescent="0.25">
      <c r="B500" s="1505" t="s">
        <v>3209</v>
      </c>
      <c r="C500" s="1506" t="s">
        <v>3031</v>
      </c>
      <c r="D500" s="1506">
        <v>1.24E-5</v>
      </c>
      <c r="E500" s="1508" t="s">
        <v>1216</v>
      </c>
      <c r="F500" s="1508" t="s">
        <v>1253</v>
      </c>
      <c r="G500" s="1506" t="s">
        <v>3182</v>
      </c>
      <c r="H500" s="1509">
        <v>2</v>
      </c>
      <c r="I500" s="1509"/>
      <c r="J500" s="1506" t="s">
        <v>3019</v>
      </c>
    </row>
    <row r="501" spans="2:10" ht="18" outlineLevel="1" x14ac:dyDescent="0.25">
      <c r="B501" s="1505" t="s">
        <v>3210</v>
      </c>
      <c r="C501" s="1506" t="s">
        <v>3040</v>
      </c>
      <c r="D501" s="1506">
        <v>1.24E-5</v>
      </c>
      <c r="E501" s="1508" t="s">
        <v>1216</v>
      </c>
      <c r="F501" s="1508" t="s">
        <v>1253</v>
      </c>
      <c r="G501" s="1506" t="s">
        <v>3182</v>
      </c>
      <c r="H501" s="1509">
        <v>2</v>
      </c>
      <c r="I501" s="1509"/>
      <c r="J501" s="1506" t="s">
        <v>3035</v>
      </c>
    </row>
    <row r="502" spans="2:10" ht="18" outlineLevel="1" x14ac:dyDescent="0.25">
      <c r="B502" s="1505" t="s">
        <v>3211</v>
      </c>
      <c r="C502" s="1506" t="s">
        <v>3041</v>
      </c>
      <c r="D502" s="1506">
        <v>2.5000000000000001E-5</v>
      </c>
      <c r="E502" s="1508" t="s">
        <v>1216</v>
      </c>
      <c r="F502" s="1508" t="s">
        <v>1253</v>
      </c>
      <c r="G502" s="1506" t="s">
        <v>3182</v>
      </c>
      <c r="H502" s="1509">
        <v>2</v>
      </c>
      <c r="I502" s="1509"/>
      <c r="J502" s="1506" t="s">
        <v>3042</v>
      </c>
    </row>
    <row r="503" spans="2:10" ht="18" outlineLevel="1" x14ac:dyDescent="0.25">
      <c r="B503" s="1505" t="s">
        <v>4046</v>
      </c>
      <c r="C503" s="1506" t="s">
        <v>3041</v>
      </c>
      <c r="D503" s="1506">
        <v>2.5000000000000001E-5</v>
      </c>
      <c r="E503" s="1508" t="s">
        <v>1216</v>
      </c>
      <c r="F503" s="1508" t="s">
        <v>1253</v>
      </c>
      <c r="G503" s="1506" t="s">
        <v>3182</v>
      </c>
      <c r="H503" s="1509">
        <v>2</v>
      </c>
      <c r="I503" s="1509"/>
      <c r="J503" s="1506" t="s">
        <v>3042</v>
      </c>
    </row>
    <row r="504" spans="2:10" ht="18" outlineLevel="1" x14ac:dyDescent="0.25">
      <c r="B504" s="1505" t="s">
        <v>3212</v>
      </c>
      <c r="C504" s="1506" t="s">
        <v>3043</v>
      </c>
      <c r="D504" s="1506">
        <v>2.5000000000000001E-5</v>
      </c>
      <c r="E504" s="1508" t="s">
        <v>1216</v>
      </c>
      <c r="F504" s="1508" t="s">
        <v>1253</v>
      </c>
      <c r="G504" s="1506" t="s">
        <v>3182</v>
      </c>
      <c r="H504" s="1509">
        <v>2</v>
      </c>
      <c r="I504" s="1509"/>
      <c r="J504" s="1506" t="s">
        <v>3019</v>
      </c>
    </row>
    <row r="505" spans="2:10" ht="18" outlineLevel="1" x14ac:dyDescent="0.25">
      <c r="B505" s="1505" t="s">
        <v>3213</v>
      </c>
      <c r="C505" s="1506" t="s">
        <v>3044</v>
      </c>
      <c r="D505" s="1506">
        <v>2.5000000000000001E-5</v>
      </c>
      <c r="E505" s="1508" t="s">
        <v>1216</v>
      </c>
      <c r="F505" s="1508" t="s">
        <v>1253</v>
      </c>
      <c r="G505" s="1506" t="s">
        <v>3182</v>
      </c>
      <c r="H505" s="1509">
        <v>2</v>
      </c>
      <c r="I505" s="1509"/>
      <c r="J505" s="1506" t="s">
        <v>3019</v>
      </c>
    </row>
    <row r="506" spans="2:10" ht="18" outlineLevel="1" x14ac:dyDescent="0.25">
      <c r="B506" s="1505" t="s">
        <v>3214</v>
      </c>
      <c r="C506" s="1506" t="s">
        <v>3045</v>
      </c>
      <c r="D506" s="1506">
        <v>1.0000000000000001E-5</v>
      </c>
      <c r="E506" s="1508" t="s">
        <v>1216</v>
      </c>
      <c r="F506" s="1508" t="s">
        <v>1253</v>
      </c>
      <c r="G506" s="1506" t="s">
        <v>3182</v>
      </c>
      <c r="H506" s="1509">
        <v>2</v>
      </c>
      <c r="I506" s="1509"/>
      <c r="J506" s="1506" t="s">
        <v>3019</v>
      </c>
    </row>
    <row r="507" spans="2:10" ht="18" outlineLevel="1" x14ac:dyDescent="0.25">
      <c r="B507" s="1505" t="s">
        <v>3215</v>
      </c>
      <c r="C507" s="1506" t="s">
        <v>3046</v>
      </c>
      <c r="D507" s="1506">
        <v>1.9000000000000001E-5</v>
      </c>
      <c r="E507" s="1508" t="s">
        <v>1216</v>
      </c>
      <c r="F507" s="1508" t="s">
        <v>1253</v>
      </c>
      <c r="G507" s="1506" t="s">
        <v>3182</v>
      </c>
      <c r="H507" s="1509">
        <v>2</v>
      </c>
      <c r="I507" s="1509"/>
      <c r="J507" s="1506" t="s">
        <v>3019</v>
      </c>
    </row>
    <row r="508" spans="2:10" ht="18" outlineLevel="1" x14ac:dyDescent="0.25">
      <c r="B508" s="1505" t="s">
        <v>3216</v>
      </c>
      <c r="C508" s="1506" t="s">
        <v>3047</v>
      </c>
      <c r="D508" s="1506">
        <v>1.9000000000000001E-5</v>
      </c>
      <c r="E508" s="1508" t="s">
        <v>1216</v>
      </c>
      <c r="F508" s="1508" t="s">
        <v>1253</v>
      </c>
      <c r="G508" s="1506" t="s">
        <v>3182</v>
      </c>
      <c r="H508" s="1509">
        <v>2</v>
      </c>
      <c r="I508" s="1509"/>
      <c r="J508" s="1506" t="s">
        <v>3019</v>
      </c>
    </row>
    <row r="509" spans="2:10" ht="18" outlineLevel="1" x14ac:dyDescent="0.25">
      <c r="B509" s="1505" t="s">
        <v>3217</v>
      </c>
      <c r="C509" s="1506" t="s">
        <v>3048</v>
      </c>
      <c r="D509" s="1506">
        <v>1.9000000000000001E-5</v>
      </c>
      <c r="E509" s="1508" t="s">
        <v>1216</v>
      </c>
      <c r="F509" s="1508" t="s">
        <v>1253</v>
      </c>
      <c r="G509" s="1506" t="s">
        <v>3182</v>
      </c>
      <c r="H509" s="1509">
        <v>2</v>
      </c>
      <c r="I509" s="1509"/>
      <c r="J509" s="1506" t="s">
        <v>3019</v>
      </c>
    </row>
    <row r="510" spans="2:10" ht="18" outlineLevel="1" x14ac:dyDescent="0.25">
      <c r="B510" s="1505" t="s">
        <v>3218</v>
      </c>
      <c r="C510" s="1506" t="s">
        <v>3049</v>
      </c>
      <c r="D510" s="1506">
        <v>1.9000000000000001E-5</v>
      </c>
      <c r="E510" s="1508" t="s">
        <v>1216</v>
      </c>
      <c r="F510" s="1508" t="s">
        <v>1253</v>
      </c>
      <c r="G510" s="1506" t="s">
        <v>3182</v>
      </c>
      <c r="H510" s="1509">
        <v>2</v>
      </c>
      <c r="I510" s="1509"/>
      <c r="J510" s="1506" t="s">
        <v>3019</v>
      </c>
    </row>
    <row r="511" spans="2:10" ht="18" outlineLevel="1" x14ac:dyDescent="0.25">
      <c r="B511" s="1505" t="s">
        <v>3219</v>
      </c>
      <c r="C511" s="1506" t="s">
        <v>3050</v>
      </c>
      <c r="D511" s="1506">
        <v>1.9000000000000001E-5</v>
      </c>
      <c r="E511" s="1508" t="s">
        <v>1216</v>
      </c>
      <c r="F511" s="1508" t="s">
        <v>1253</v>
      </c>
      <c r="G511" s="1506" t="s">
        <v>3182</v>
      </c>
      <c r="H511" s="1509">
        <v>2</v>
      </c>
      <c r="I511" s="1509"/>
      <c r="J511" s="1506" t="s">
        <v>3019</v>
      </c>
    </row>
    <row r="512" spans="2:10" ht="18" outlineLevel="1" x14ac:dyDescent="0.25">
      <c r="B512" s="1505" t="s">
        <v>3220</v>
      </c>
      <c r="C512" s="1506" t="s">
        <v>3051</v>
      </c>
      <c r="D512" s="1506">
        <v>1.9000000000000001E-5</v>
      </c>
      <c r="E512" s="1508" t="s">
        <v>1216</v>
      </c>
      <c r="F512" s="1508" t="s">
        <v>1253</v>
      </c>
      <c r="G512" s="1506" t="s">
        <v>3182</v>
      </c>
      <c r="H512" s="1509">
        <v>2</v>
      </c>
      <c r="I512" s="1509"/>
      <c r="J512" s="1506" t="s">
        <v>3019</v>
      </c>
    </row>
    <row r="513" spans="2:10" ht="18" outlineLevel="1" x14ac:dyDescent="0.25">
      <c r="B513" s="1505" t="s">
        <v>3221</v>
      </c>
      <c r="C513" s="1506" t="s">
        <v>3052</v>
      </c>
      <c r="D513" s="1506">
        <v>1.9000000000000001E-5</v>
      </c>
      <c r="E513" s="1508" t="s">
        <v>1216</v>
      </c>
      <c r="F513" s="1508" t="s">
        <v>1253</v>
      </c>
      <c r="G513" s="1506" t="s">
        <v>3182</v>
      </c>
      <c r="H513" s="1509">
        <v>2</v>
      </c>
      <c r="I513" s="1509"/>
      <c r="J513" s="1506" t="s">
        <v>3019</v>
      </c>
    </row>
    <row r="514" spans="2:10" ht="18" outlineLevel="1" x14ac:dyDescent="0.25">
      <c r="B514" s="1505" t="s">
        <v>3222</v>
      </c>
      <c r="C514" s="1506" t="s">
        <v>3053</v>
      </c>
      <c r="D514" s="1506">
        <v>1.9000000000000001E-5</v>
      </c>
      <c r="E514" s="1508" t="s">
        <v>1216</v>
      </c>
      <c r="F514" s="1508" t="s">
        <v>1253</v>
      </c>
      <c r="G514" s="1506" t="s">
        <v>3182</v>
      </c>
      <c r="H514" s="1509">
        <v>2</v>
      </c>
      <c r="I514" s="1509"/>
      <c r="J514" s="1506" t="s">
        <v>3019</v>
      </c>
    </row>
    <row r="515" spans="2:10" ht="18" outlineLevel="1" x14ac:dyDescent="0.25">
      <c r="B515" s="1505" t="s">
        <v>3223</v>
      </c>
      <c r="C515" s="1506" t="s">
        <v>3054</v>
      </c>
      <c r="D515" s="1506">
        <v>1.0000000000000001E-5</v>
      </c>
      <c r="E515" s="1508" t="s">
        <v>1216</v>
      </c>
      <c r="F515" s="1508" t="s">
        <v>2271</v>
      </c>
      <c r="G515" s="1506" t="s">
        <v>3182</v>
      </c>
      <c r="H515" s="1509"/>
      <c r="I515" s="1509"/>
      <c r="J515" s="1506"/>
    </row>
    <row r="516" spans="2:10" ht="18" outlineLevel="1" x14ac:dyDescent="0.25">
      <c r="B516" s="1505" t="s">
        <v>4047</v>
      </c>
      <c r="C516" s="1506" t="s">
        <v>3054</v>
      </c>
      <c r="D516" s="1506">
        <v>1.0000000000000001E-5</v>
      </c>
      <c r="E516" s="1508" t="s">
        <v>1216</v>
      </c>
      <c r="F516" s="1508" t="s">
        <v>2271</v>
      </c>
      <c r="G516" s="1506" t="s">
        <v>3182</v>
      </c>
      <c r="H516" s="1509"/>
      <c r="I516" s="1509"/>
      <c r="J516" s="1506"/>
    </row>
    <row r="517" spans="2:10" ht="18" outlineLevel="1" x14ac:dyDescent="0.25">
      <c r="B517" s="1505" t="s">
        <v>3224</v>
      </c>
      <c r="C517" s="1506" t="s">
        <v>3055</v>
      </c>
      <c r="D517" s="1506">
        <v>1.9000000000000001E-5</v>
      </c>
      <c r="E517" s="1508" t="s">
        <v>1216</v>
      </c>
      <c r="F517" s="1508" t="s">
        <v>2271</v>
      </c>
      <c r="G517" s="1506" t="s">
        <v>3182</v>
      </c>
      <c r="H517" s="1509">
        <v>2</v>
      </c>
      <c r="I517" s="1509"/>
      <c r="J517" s="1506" t="s">
        <v>3019</v>
      </c>
    </row>
  </sheetData>
  <conditionalFormatting sqref="E227:F227">
    <cfRule type="cellIs" dxfId="87" priority="18" stopIfTrue="1" operator="notEqual">
      <formula>INDIRECT("Dummy_for_Comparison3!"&amp;ADDRESS(ROW(),COLUMN()))</formula>
    </cfRule>
  </conditionalFormatting>
  <conditionalFormatting sqref="E219:F219">
    <cfRule type="cellIs" dxfId="86" priority="22" stopIfTrue="1" operator="notEqual">
      <formula>INDIRECT("Dummy_for_Comparison3!"&amp;ADDRESS(ROW(),COLUMN()))</formula>
    </cfRule>
  </conditionalFormatting>
  <conditionalFormatting sqref="E226:F226">
    <cfRule type="cellIs" dxfId="85" priority="21" stopIfTrue="1" operator="notEqual">
      <formula>INDIRECT("Dummy_for_Comparison3!"&amp;ADDRESS(ROW(),COLUMN()))</formula>
    </cfRule>
  </conditionalFormatting>
  <conditionalFormatting sqref="E251:F251">
    <cfRule type="cellIs" dxfId="84" priority="20" stopIfTrue="1" operator="notEqual">
      <formula>INDIRECT("Dummy_for_Comparison3!"&amp;ADDRESS(ROW(),COLUMN()))</formula>
    </cfRule>
  </conditionalFormatting>
  <conditionalFormatting sqref="E386:F386">
    <cfRule type="cellIs" dxfId="83" priority="19" stopIfTrue="1" operator="notEqual">
      <formula>INDIRECT("Dummy_for_Comparison3!"&amp;ADDRESS(ROW(),COLUMN()))</formula>
    </cfRule>
  </conditionalFormatting>
  <conditionalFormatting sqref="E239:F239">
    <cfRule type="cellIs" dxfId="82" priority="16" stopIfTrue="1" operator="notEqual">
      <formula>INDIRECT("Dummy_for_Comparison3!"&amp;ADDRESS(ROW(),COLUMN()))</formula>
    </cfRule>
  </conditionalFormatting>
  <conditionalFormatting sqref="E263:F263">
    <cfRule type="cellIs" dxfId="81" priority="15" stopIfTrue="1" operator="notEqual">
      <formula>INDIRECT("Dummy_for_Comparison3!"&amp;ADDRESS(ROW(),COLUMN()))</formula>
    </cfRule>
  </conditionalFormatting>
  <conditionalFormatting sqref="E264:F264">
    <cfRule type="cellIs" dxfId="80" priority="14" stopIfTrue="1" operator="notEqual">
      <formula>INDIRECT("Dummy_for_Comparison3!"&amp;ADDRESS(ROW(),COLUMN()))</formula>
    </cfRule>
  </conditionalFormatting>
  <conditionalFormatting sqref="E268:F268">
    <cfRule type="cellIs" dxfId="79" priority="13" stopIfTrue="1" operator="notEqual">
      <formula>INDIRECT("Dummy_for_Comparison3!"&amp;ADDRESS(ROW(),COLUMN()))</formula>
    </cfRule>
  </conditionalFormatting>
  <conditionalFormatting sqref="E30:F30">
    <cfRule type="cellIs" dxfId="78" priority="12" stopIfTrue="1" operator="notEqual">
      <formula>INDIRECT("Dummy_for_Comparison3!"&amp;ADDRESS(ROW(),COLUMN()))</formula>
    </cfRule>
  </conditionalFormatting>
  <conditionalFormatting sqref="E492:F494">
    <cfRule type="cellIs" dxfId="77" priority="11" stopIfTrue="1" operator="notEqual">
      <formula>INDIRECT("Dummy_for_Comparison3!"&amp;ADDRESS(ROW(),COLUMN()))</formula>
    </cfRule>
  </conditionalFormatting>
  <conditionalFormatting sqref="E496:F496">
    <cfRule type="cellIs" dxfId="76" priority="10" stopIfTrue="1" operator="notEqual">
      <formula>INDIRECT("Dummy_for_Comparison3!"&amp;ADDRESS(ROW(),COLUMN()))</formula>
    </cfRule>
  </conditionalFormatting>
  <conditionalFormatting sqref="E217:F217">
    <cfRule type="cellIs" dxfId="75" priority="9" stopIfTrue="1" operator="notEqual">
      <formula>INDIRECT("Dummy_for_Comparison3!"&amp;ADDRESS(ROW(),COLUMN()))</formula>
    </cfRule>
  </conditionalFormatting>
  <conditionalFormatting sqref="E316:F316">
    <cfRule type="cellIs" dxfId="74" priority="8" stopIfTrue="1" operator="notEqual">
      <formula>INDIRECT("Dummy_for_Comparison3!"&amp;ADDRESS(ROW(),COLUMN()))</formula>
    </cfRule>
  </conditionalFormatting>
  <conditionalFormatting sqref="E31:F32">
    <cfRule type="cellIs" dxfId="73" priority="7" stopIfTrue="1" operator="notEqual">
      <formula>INDIRECT("Dummy_for_Comparison3!"&amp;ADDRESS(ROW(),COLUMN()))</formula>
    </cfRule>
  </conditionalFormatting>
  <conditionalFormatting sqref="E367:F367">
    <cfRule type="cellIs" dxfId="72" priority="6" stopIfTrue="1" operator="notEqual">
      <formula>INDIRECT("Dummy_for_Comparison3!"&amp;ADDRESS(ROW(),COLUMN()))</formula>
    </cfRule>
  </conditionalFormatting>
  <conditionalFormatting sqref="E383:F383">
    <cfRule type="cellIs" dxfId="71" priority="5" stopIfTrue="1" operator="notEqual">
      <formula>INDIRECT("Dummy_for_Comparison3!"&amp;ADDRESS(ROW(),COLUMN()))</formula>
    </cfRule>
  </conditionalFormatting>
  <conditionalFormatting sqref="E366:F366">
    <cfRule type="cellIs" dxfId="70" priority="4" stopIfTrue="1" operator="notEqual">
      <formula>INDIRECT("Dummy_for_Comparison3!"&amp;ADDRESS(ROW(),COLUMN()))</formula>
    </cfRule>
  </conditionalFormatting>
  <conditionalFormatting sqref="E443:F445">
    <cfRule type="cellIs" dxfId="69" priority="3" stopIfTrue="1" operator="notEqual">
      <formula>INDIRECT("Dummy_for_Comparison3!"&amp;ADDRESS(ROW(),COLUMN()))</formula>
    </cfRule>
  </conditionalFormatting>
  <conditionalFormatting sqref="B293:J309">
    <cfRule type="cellIs" dxfId="68" priority="2" stopIfTrue="1" operator="notEqual">
      <formula>INDIRECT("Dummy_for_Comparison3!"&amp;ADDRESS(ROW(),COLUMN()))</formula>
    </cfRule>
  </conditionalFormatting>
  <conditionalFormatting sqref="E473:F473">
    <cfRule type="cellIs" dxfId="67" priority="1" stopIfTrue="1" operator="notEqual">
      <formula>INDIRECT("Dummy_for_Comparison3!"&amp;ADDRESS(ROW(),COLUMN()))</formula>
    </cfRule>
  </conditionalFormatting>
  <conditionalFormatting sqref="E218:F218">
    <cfRule type="cellIs" dxfId="66" priority="23" stopIfTrue="1" operator="notEqual">
      <formula>INDIRECT("Dummy_for_Comparison3!"&amp;ADDRESS(ROW(),COLUMN()))</formula>
    </cfRule>
  </conditionalFormatting>
  <conditionalFormatting sqref="E246:F246">
    <cfRule type="cellIs" dxfId="65" priority="17" stopIfTrue="1" operator="notEqual">
      <formula>INDIRECT("Dummy_for_Comparison3!"&amp;ADDRESS(ROW(),COLUMN()))</formula>
    </cfRule>
  </conditionalFormatting>
  <conditionalFormatting sqref="E25:F25">
    <cfRule type="cellIs" dxfId="64" priority="64" stopIfTrue="1" operator="notEqual">
      <formula>INDIRECT("Dummy_for_Comparison3!"&amp;ADDRESS(ROW(),COLUMN()))</formula>
    </cfRule>
  </conditionalFormatting>
  <conditionalFormatting sqref="E37:F37">
    <cfRule type="cellIs" dxfId="63" priority="63" stopIfTrue="1" operator="notEqual">
      <formula>INDIRECT("Dummy_for_Comparison3!"&amp;ADDRESS(ROW(),COLUMN()))</formula>
    </cfRule>
  </conditionalFormatting>
  <conditionalFormatting sqref="E46:F46 E504:F515 E517:F517 E497:F502 E466:F472 E402:F426 E474:F494 E56:F56">
    <cfRule type="cellIs" dxfId="62" priority="62" stopIfTrue="1" operator="notEqual">
      <formula>INDIRECT("Dummy_for_Comparison3!"&amp;ADDRESS(ROW(),COLUMN()))</formula>
    </cfRule>
  </conditionalFormatting>
  <conditionalFormatting sqref="E60:F60">
    <cfRule type="cellIs" dxfId="61" priority="61" stopIfTrue="1" operator="notEqual">
      <formula>INDIRECT("Dummy_for_Comparison3!"&amp;ADDRESS(ROW(),COLUMN()))</formula>
    </cfRule>
  </conditionalFormatting>
  <conditionalFormatting sqref="E74:F74">
    <cfRule type="cellIs" dxfId="60" priority="60" stopIfTrue="1" operator="notEqual">
      <formula>INDIRECT("Dummy_for_Comparison3!"&amp;ADDRESS(ROW(),COLUMN()))</formula>
    </cfRule>
  </conditionalFormatting>
  <conditionalFormatting sqref="E78:F78">
    <cfRule type="cellIs" dxfId="59" priority="59" stopIfTrue="1" operator="notEqual">
      <formula>INDIRECT("Dummy_for_Comparison3!"&amp;ADDRESS(ROW(),COLUMN()))</formula>
    </cfRule>
  </conditionalFormatting>
  <conditionalFormatting sqref="E199:F199">
    <cfRule type="cellIs" dxfId="58" priority="58" stopIfTrue="1" operator="notEqual">
      <formula>INDIRECT("Dummy_for_Comparison3!"&amp;ADDRESS(ROW(),COLUMN()))</formula>
    </cfRule>
  </conditionalFormatting>
  <conditionalFormatting sqref="E212:F212">
    <cfRule type="cellIs" dxfId="57" priority="57" stopIfTrue="1" operator="notEqual">
      <formula>INDIRECT("Dummy_for_Comparison3!"&amp;ADDRESS(ROW(),COLUMN()))</formula>
    </cfRule>
  </conditionalFormatting>
  <conditionalFormatting sqref="E281:F281">
    <cfRule type="cellIs" dxfId="56" priority="56" stopIfTrue="1" operator="notEqual">
      <formula>INDIRECT("Dummy_for_Comparison3!"&amp;ADDRESS(ROW(),COLUMN()))</formula>
    </cfRule>
  </conditionalFormatting>
  <conditionalFormatting sqref="E313:F313">
    <cfRule type="cellIs" dxfId="55" priority="55" stopIfTrue="1" operator="notEqual">
      <formula>INDIRECT("Dummy_for_Comparison3!"&amp;ADDRESS(ROW(),COLUMN()))</formula>
    </cfRule>
  </conditionalFormatting>
  <conditionalFormatting sqref="E324:F324">
    <cfRule type="cellIs" dxfId="54" priority="54" stopIfTrue="1" operator="notEqual">
      <formula>INDIRECT("Dummy_for_Comparison3!"&amp;ADDRESS(ROW(),COLUMN()))</formula>
    </cfRule>
  </conditionalFormatting>
  <conditionalFormatting sqref="E343:F343">
    <cfRule type="cellIs" dxfId="53" priority="53" stopIfTrue="1" operator="notEqual">
      <formula>INDIRECT("Dummy_for_Comparison3!"&amp;ADDRESS(ROW(),COLUMN()))</formula>
    </cfRule>
  </conditionalFormatting>
  <conditionalFormatting sqref="E352:F352">
    <cfRule type="cellIs" dxfId="52" priority="52" stopIfTrue="1" operator="notEqual">
      <formula>INDIRECT("Dummy_for_Comparison3!"&amp;ADDRESS(ROW(),COLUMN()))</formula>
    </cfRule>
  </conditionalFormatting>
  <conditionalFormatting sqref="E356:F356">
    <cfRule type="cellIs" dxfId="51" priority="51" stopIfTrue="1" operator="notEqual">
      <formula>INDIRECT("Dummy_for_Comparison3!"&amp;ADDRESS(ROW(),COLUMN()))</formula>
    </cfRule>
  </conditionalFormatting>
  <conditionalFormatting sqref="E360:F360">
    <cfRule type="cellIs" dxfId="50" priority="50" stopIfTrue="1" operator="notEqual">
      <formula>INDIRECT("Dummy_for_Comparison3!"&amp;ADDRESS(ROW(),COLUMN()))</formula>
    </cfRule>
  </conditionalFormatting>
  <conditionalFormatting sqref="E401:F401">
    <cfRule type="cellIs" dxfId="49" priority="49" stopIfTrue="1" operator="notEqual">
      <formula>INDIRECT("Dummy_for_Comparison3!"&amp;ADDRESS(ROW(),COLUMN()))</formula>
    </cfRule>
  </conditionalFormatting>
  <conditionalFormatting sqref="E430:F430">
    <cfRule type="cellIs" dxfId="48" priority="48" stopIfTrue="1" operator="notEqual">
      <formula>INDIRECT("Dummy_for_Comparison3!"&amp;ADDRESS(ROW(),COLUMN()))</formula>
    </cfRule>
  </conditionalFormatting>
  <conditionalFormatting sqref="E434:F434">
    <cfRule type="cellIs" dxfId="47" priority="47" stopIfTrue="1" operator="notEqual">
      <formula>INDIRECT("Dummy_for_Comparison3!"&amp;ADDRESS(ROW(),COLUMN()))</formula>
    </cfRule>
  </conditionalFormatting>
  <conditionalFormatting sqref="E256:F256">
    <cfRule type="cellIs" dxfId="46" priority="46" stopIfTrue="1" operator="notEqual">
      <formula>INDIRECT("Dummy_for_Comparison3!"&amp;ADDRESS(ROW(),COLUMN()))</formula>
    </cfRule>
  </conditionalFormatting>
  <conditionalFormatting sqref="E5:F5">
    <cfRule type="cellIs" dxfId="45" priority="45" stopIfTrue="1" operator="notEqual">
      <formula>INDIRECT("Dummy_for_Comparison3!"&amp;ADDRESS(ROW(),COLUMN()))</formula>
    </cfRule>
  </conditionalFormatting>
  <conditionalFormatting sqref="E4:F4">
    <cfRule type="cellIs" dxfId="44" priority="44" stopIfTrue="1" operator="notEqual">
      <formula>INDIRECT("Dummy_for_Comparison3!"&amp;ADDRESS(ROW(),COLUMN()))</formula>
    </cfRule>
  </conditionalFormatting>
  <conditionalFormatting sqref="E393:F393">
    <cfRule type="cellIs" dxfId="43" priority="43" stopIfTrue="1" operator="notEqual">
      <formula>INDIRECT("Dummy_for_Comparison3!"&amp;ADDRESS(ROW(),COLUMN()))</formula>
    </cfRule>
  </conditionalFormatting>
  <conditionalFormatting sqref="E392:F392">
    <cfRule type="cellIs" dxfId="42" priority="42" stopIfTrue="1" operator="notEqual">
      <formula>INDIRECT("Dummy_for_Comparison3!"&amp;ADDRESS(ROW(),COLUMN()))</formula>
    </cfRule>
  </conditionalFormatting>
  <conditionalFormatting sqref="E394:F394">
    <cfRule type="cellIs" dxfId="41" priority="41" stopIfTrue="1" operator="notEqual">
      <formula>INDIRECT("Dummy_for_Comparison3!"&amp;ADDRESS(ROW(),COLUMN()))</formula>
    </cfRule>
  </conditionalFormatting>
  <conditionalFormatting sqref="F396">
    <cfRule type="cellIs" dxfId="40" priority="40" stopIfTrue="1" operator="notEqual">
      <formula>INDIRECT("Dummy_for_Comparison3!"&amp;ADDRESS(ROW(),COLUMN()))</formula>
    </cfRule>
  </conditionalFormatting>
  <conditionalFormatting sqref="D396">
    <cfRule type="cellIs" dxfId="39" priority="39" stopIfTrue="1" operator="notEqual">
      <formula>INDIRECT("Dummy_for_Comparison3!"&amp;ADDRESS(ROW(),COLUMN()))</formula>
    </cfRule>
  </conditionalFormatting>
  <conditionalFormatting sqref="E397:F397">
    <cfRule type="cellIs" dxfId="38" priority="38" stopIfTrue="1" operator="notEqual">
      <formula>INDIRECT("Dummy_for_Comparison3!"&amp;ADDRESS(ROW(),COLUMN()))</formula>
    </cfRule>
  </conditionalFormatting>
  <conditionalFormatting sqref="E396">
    <cfRule type="cellIs" dxfId="37" priority="37" stopIfTrue="1" operator="notEqual">
      <formula>INDIRECT("Dummy_for_Comparison3!"&amp;ADDRESS(ROW(),COLUMN()))</formula>
    </cfRule>
  </conditionalFormatting>
  <conditionalFormatting sqref="E388:F388">
    <cfRule type="cellIs" dxfId="36" priority="36" stopIfTrue="1" operator="notEqual">
      <formula>INDIRECT("Dummy_for_Comparison3!"&amp;ADDRESS(ROW(),COLUMN()))</formula>
    </cfRule>
  </conditionalFormatting>
  <conditionalFormatting sqref="E378:F378">
    <cfRule type="cellIs" dxfId="35" priority="35" stopIfTrue="1" operator="notEqual">
      <formula>INDIRECT("Dummy_for_Comparison3!"&amp;ADDRESS(ROW(),COLUMN()))</formula>
    </cfRule>
  </conditionalFormatting>
  <conditionalFormatting sqref="E363:F363">
    <cfRule type="cellIs" dxfId="34" priority="34" stopIfTrue="1" operator="notEqual">
      <formula>INDIRECT("Dummy_for_Comparison3!"&amp;ADDRESS(ROW(),COLUMN()))</formula>
    </cfRule>
  </conditionalFormatting>
  <conditionalFormatting sqref="F395">
    <cfRule type="cellIs" dxfId="33" priority="33" stopIfTrue="1" operator="notEqual">
      <formula>INDIRECT("Dummy_for_Comparison3!"&amp;ADDRESS(ROW(),COLUMN()))</formula>
    </cfRule>
  </conditionalFormatting>
  <conditionalFormatting sqref="D395">
    <cfRule type="cellIs" dxfId="32" priority="32" stopIfTrue="1" operator="notEqual">
      <formula>INDIRECT("Dummy_for_Comparison3!"&amp;ADDRESS(ROW(),COLUMN()))</formula>
    </cfRule>
  </conditionalFormatting>
  <conditionalFormatting sqref="E395">
    <cfRule type="cellIs" dxfId="31" priority="31" stopIfTrue="1" operator="notEqual">
      <formula>INDIRECT("Dummy_for_Comparison3!"&amp;ADDRESS(ROW(),COLUMN()))</formula>
    </cfRule>
  </conditionalFormatting>
  <conditionalFormatting sqref="E257:F257">
    <cfRule type="cellIs" dxfId="30" priority="30" stopIfTrue="1" operator="notEqual">
      <formula>INDIRECT("Dummy_for_Comparison3!"&amp;ADDRESS(ROW(),COLUMN()))</formula>
    </cfRule>
  </conditionalFormatting>
  <conditionalFormatting sqref="E374:F374">
    <cfRule type="cellIs" dxfId="29" priority="29" stopIfTrue="1" operator="notEqual">
      <formula>INDIRECT("Dummy_for_Comparison3!"&amp;ADDRESS(ROW(),COLUMN()))</formula>
    </cfRule>
  </conditionalFormatting>
  <conditionalFormatting sqref="E375:F375">
    <cfRule type="cellIs" dxfId="28" priority="28" stopIfTrue="1" operator="notEqual">
      <formula>INDIRECT("Dummy_for_Comparison3!"&amp;ADDRESS(ROW(),COLUMN()))</formula>
    </cfRule>
  </conditionalFormatting>
  <conditionalFormatting sqref="E376:F376">
    <cfRule type="cellIs" dxfId="27" priority="27" stopIfTrue="1" operator="notEqual">
      <formula>INDIRECT("Dummy_for_Comparison3!"&amp;ADDRESS(ROW(),COLUMN()))</formula>
    </cfRule>
  </conditionalFormatting>
  <conditionalFormatting sqref="E503:F503">
    <cfRule type="cellIs" dxfId="26" priority="26" stopIfTrue="1" operator="notEqual">
      <formula>INDIRECT("Dummy_for_Comparison3!"&amp;ADDRESS(ROW(),COLUMN()))</formula>
    </cfRule>
  </conditionalFormatting>
  <conditionalFormatting sqref="E6:F21 E26:F29 E38:F42 E47:F52 E61:F70 E79:F195 E200:F208 E213:F216 E282:F289 E314:F315 E325:F339 E344:F348 E361:F362 E435:F442 E384:F385 E258:F262 E389:F391 E379:F380 E364:F365 E377:F377 E220:F238 E252:F255 E387:F387 E265:F267 E247:F250 E269:F277 E240:F245 E33:F33 E317:F320 E368:F373 E446:F462">
    <cfRule type="cellIs" dxfId="25" priority="65" stopIfTrue="1" operator="notEqual">
      <formula>INDIRECT("Dummy_for_Comparison3!"&amp;ADDRESS(ROW(),COLUMN()))</formula>
    </cfRule>
  </conditionalFormatting>
  <conditionalFormatting sqref="E495:F495">
    <cfRule type="cellIs" dxfId="24" priority="25" stopIfTrue="1" operator="notEqual">
      <formula>INDIRECT("Dummy_for_Comparison3!"&amp;ADDRESS(ROW(),COLUMN()))</formula>
    </cfRule>
  </conditionalFormatting>
  <conditionalFormatting sqref="E516:F516">
    <cfRule type="cellIs" dxfId="23" priority="24" stopIfTrue="1" operator="notEqual">
      <formula>INDIRECT("Dummy_for_Comparison3!"&amp;ADDRESS(ROW(),COLUMN()))</formula>
    </cfRule>
  </conditionalFormatting>
  <hyperlinks>
    <hyperlink ref="J18" r:id="rId1" xr:uid="{00000000-0004-0000-0B00-000000000000}"/>
    <hyperlink ref="J19" r:id="rId2" xr:uid="{00000000-0004-0000-0B00-000001000000}"/>
    <hyperlink ref="J20" r:id="rId3" xr:uid="{00000000-0004-0000-0B00-000002000000}"/>
    <hyperlink ref="J21" r:id="rId4" xr:uid="{00000000-0004-0000-0B00-000003000000}"/>
    <hyperlink ref="J14" r:id="rId5" xr:uid="{00000000-0004-0000-0B00-000004000000}"/>
    <hyperlink ref="J15" r:id="rId6" xr:uid="{00000000-0004-0000-0B00-000005000000}"/>
    <hyperlink ref="J16" r:id="rId7" xr:uid="{00000000-0004-0000-0B00-000006000000}"/>
    <hyperlink ref="J17" r:id="rId8" xr:uid="{00000000-0004-0000-0B00-000007000000}"/>
    <hyperlink ref="J424" r:id="rId9" xr:uid="{00000000-0004-0000-0B00-000008000000}"/>
    <hyperlink ref="J7" r:id="rId10" xr:uid="{00000000-0004-0000-0B00-000009000000}"/>
  </hyperlinks>
  <pageMargins left="0.7" right="0.7" top="0.75" bottom="0.75" header="0.3" footer="0.3"/>
  <pageSetup orientation="portrait" r:id="rId1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unka8"/>
  <dimension ref="B1:F8"/>
  <sheetViews>
    <sheetView showGridLines="0" workbookViewId="0">
      <selection activeCell="B4" sqref="B4:D8"/>
    </sheetView>
  </sheetViews>
  <sheetFormatPr baseColWidth="10" defaultColWidth="9.140625" defaultRowHeight="15" x14ac:dyDescent="0.25"/>
  <cols>
    <col min="2" max="2" width="24.28515625" customWidth="1"/>
    <col min="3" max="3" width="23.28515625" customWidth="1"/>
    <col min="4" max="4" width="22.140625" customWidth="1"/>
  </cols>
  <sheetData>
    <row r="1" spans="2:6" s="47" customFormat="1" ht="58.5" customHeight="1" thickBot="1" x14ac:dyDescent="0.3"/>
    <row r="2" spans="2:6" ht="15.75" thickBot="1" x14ac:dyDescent="0.3">
      <c r="C2" s="63" t="s">
        <v>133</v>
      </c>
      <c r="D2" s="1"/>
    </row>
    <row r="3" spans="2:6" ht="20.25" customHeight="1" x14ac:dyDescent="0.25">
      <c r="B3" s="54" t="s">
        <v>0</v>
      </c>
      <c r="C3" s="54" t="s">
        <v>1</v>
      </c>
      <c r="D3" s="76" t="s">
        <v>5</v>
      </c>
      <c r="E3" s="76" t="s">
        <v>116</v>
      </c>
      <c r="F3" s="70" t="s">
        <v>2</v>
      </c>
    </row>
    <row r="4" spans="2:6" x14ac:dyDescent="0.25">
      <c r="B4" s="77"/>
      <c r="C4" s="73"/>
      <c r="D4" s="74"/>
      <c r="E4" s="6"/>
      <c r="F4" s="6"/>
    </row>
    <row r="5" spans="2:6" x14ac:dyDescent="0.25">
      <c r="B5" s="77"/>
      <c r="C5" s="73"/>
      <c r="D5" s="73"/>
      <c r="E5" s="6"/>
      <c r="F5" s="6"/>
    </row>
    <row r="6" spans="2:6" x14ac:dyDescent="0.25">
      <c r="B6" s="77"/>
      <c r="C6" s="73"/>
      <c r="D6" s="73"/>
      <c r="E6" s="73"/>
      <c r="F6" s="73"/>
    </row>
    <row r="7" spans="2:6" x14ac:dyDescent="0.25">
      <c r="B7" s="77"/>
      <c r="C7" s="73"/>
      <c r="D7" s="73"/>
      <c r="E7" s="73"/>
      <c r="F7" s="73"/>
    </row>
    <row r="8" spans="2:6" x14ac:dyDescent="0.25">
      <c r="B8" s="77"/>
      <c r="C8" s="73"/>
      <c r="D8" s="73"/>
      <c r="E8" s="73"/>
      <c r="F8" s="73"/>
    </row>
  </sheetData>
  <phoneticPr fontId="31" type="noConversion"/>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10"/>
  <dimension ref="B1:G4"/>
  <sheetViews>
    <sheetView showGridLines="0" zoomScale="110" zoomScaleNormal="110" workbookViewId="0">
      <selection activeCell="C10" sqref="C10"/>
    </sheetView>
  </sheetViews>
  <sheetFormatPr baseColWidth="10" defaultColWidth="9.140625" defaultRowHeight="15" x14ac:dyDescent="0.25"/>
  <cols>
    <col min="1" max="1" width="3.140625" customWidth="1"/>
    <col min="2" max="2" width="10.28515625" customWidth="1"/>
    <col min="3" max="3" width="26.28515625" customWidth="1"/>
    <col min="4" max="4" width="30" customWidth="1"/>
    <col min="5" max="5" width="12.28515625" customWidth="1"/>
    <col min="6" max="6" width="9.7109375" customWidth="1"/>
    <col min="7" max="7" width="20.7109375" customWidth="1"/>
  </cols>
  <sheetData>
    <row r="1" spans="2:7" s="47" customFormat="1" ht="44.25" customHeight="1" thickBot="1" x14ac:dyDescent="0.3"/>
    <row r="2" spans="2:7" ht="16.5" customHeight="1" thickBot="1" x14ac:dyDescent="0.3">
      <c r="B2" s="4"/>
      <c r="C2" s="63"/>
      <c r="D2" s="62"/>
      <c r="E2" s="4"/>
      <c r="F2" s="4"/>
      <c r="G2" s="4"/>
    </row>
    <row r="3" spans="2:7" ht="13.5" customHeight="1" thickBot="1" x14ac:dyDescent="0.3">
      <c r="B3" s="64"/>
      <c r="C3" s="65" t="s">
        <v>1</v>
      </c>
      <c r="D3" s="65" t="s">
        <v>5</v>
      </c>
      <c r="E3" s="67" t="s">
        <v>2</v>
      </c>
      <c r="F3" s="68" t="s">
        <v>116</v>
      </c>
      <c r="G3" s="66" t="s">
        <v>117</v>
      </c>
    </row>
    <row r="4" spans="2:7" ht="20.25" customHeight="1" x14ac:dyDescent="0.25">
      <c r="B4" s="42"/>
      <c r="C4" s="42"/>
      <c r="D4" s="41"/>
      <c r="E4" s="43"/>
      <c r="F4" s="44"/>
      <c r="G4" s="44"/>
    </row>
  </sheetData>
  <phoneticPr fontId="3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2"/>
  <dimension ref="A1:BU18"/>
  <sheetViews>
    <sheetView workbookViewId="0">
      <selection activeCell="B10" sqref="B10:G18"/>
    </sheetView>
  </sheetViews>
  <sheetFormatPr baseColWidth="10" defaultColWidth="9.140625" defaultRowHeight="15" x14ac:dyDescent="0.25"/>
  <cols>
    <col min="1" max="1" width="9.140625" style="10"/>
    <col min="2" max="7" width="16.28515625" style="10" customWidth="1"/>
    <col min="8" max="73" width="9.140625" style="10"/>
  </cols>
  <sheetData>
    <row r="1" spans="2:7" ht="15.75" thickBot="1" x14ac:dyDescent="0.3"/>
    <row r="2" spans="2:7" x14ac:dyDescent="0.25">
      <c r="B2" s="11"/>
      <c r="C2" s="12"/>
      <c r="D2" s="12"/>
      <c r="E2" s="12"/>
      <c r="F2" s="12"/>
      <c r="G2" s="13"/>
    </row>
    <row r="3" spans="2:7" x14ac:dyDescent="0.25">
      <c r="B3" s="2645" t="s">
        <v>109</v>
      </c>
      <c r="C3" s="2646"/>
      <c r="D3" s="2646"/>
      <c r="E3" s="2646"/>
      <c r="F3" s="2646"/>
      <c r="G3" s="2647"/>
    </row>
    <row r="4" spans="2:7" x14ac:dyDescent="0.25">
      <c r="B4" s="2645"/>
      <c r="C4" s="2646"/>
      <c r="D4" s="2646"/>
      <c r="E4" s="2646"/>
      <c r="F4" s="2646"/>
      <c r="G4" s="2647"/>
    </row>
    <row r="5" spans="2:7" x14ac:dyDescent="0.25">
      <c r="B5" s="2645"/>
      <c r="C5" s="2646"/>
      <c r="D5" s="2646"/>
      <c r="E5" s="2646"/>
      <c r="F5" s="2646"/>
      <c r="G5" s="2647"/>
    </row>
    <row r="6" spans="2:7" x14ac:dyDescent="0.25">
      <c r="B6" s="2645"/>
      <c r="C6" s="2646"/>
      <c r="D6" s="2646"/>
      <c r="E6" s="2646"/>
      <c r="F6" s="2646"/>
      <c r="G6" s="2647"/>
    </row>
    <row r="7" spans="2:7" x14ac:dyDescent="0.25">
      <c r="B7" s="2645"/>
      <c r="C7" s="2646"/>
      <c r="D7" s="2646"/>
      <c r="E7" s="2646"/>
      <c r="F7" s="2646"/>
      <c r="G7" s="2647"/>
    </row>
    <row r="8" spans="2:7" ht="15.75" thickBot="1" x14ac:dyDescent="0.3">
      <c r="B8" s="2648"/>
      <c r="C8" s="2649"/>
      <c r="D8" s="2649"/>
      <c r="E8" s="2649"/>
      <c r="F8" s="2649"/>
      <c r="G8" s="2650"/>
    </row>
    <row r="10" spans="2:7" x14ac:dyDescent="0.25">
      <c r="B10" s="2651"/>
      <c r="C10" s="2651"/>
      <c r="D10" s="2651"/>
      <c r="E10" s="2651"/>
      <c r="F10" s="2651"/>
      <c r="G10" s="2651"/>
    </row>
    <row r="11" spans="2:7" x14ac:dyDescent="0.25">
      <c r="B11" s="2651"/>
      <c r="C11" s="2651"/>
      <c r="D11" s="2651"/>
      <c r="E11" s="2651"/>
      <c r="F11" s="2651"/>
      <c r="G11" s="2651"/>
    </row>
    <row r="12" spans="2:7" x14ac:dyDescent="0.25">
      <c r="B12" s="2651"/>
      <c r="C12" s="2651"/>
      <c r="D12" s="2651"/>
      <c r="E12" s="2651"/>
      <c r="F12" s="2651"/>
      <c r="G12" s="2651"/>
    </row>
    <row r="13" spans="2:7" x14ac:dyDescent="0.25">
      <c r="B13" s="2651"/>
      <c r="C13" s="2651"/>
      <c r="D13" s="2651"/>
      <c r="E13" s="2651"/>
      <c r="F13" s="2651"/>
      <c r="G13" s="2651"/>
    </row>
    <row r="14" spans="2:7" x14ac:dyDescent="0.25">
      <c r="B14" s="2651"/>
      <c r="C14" s="2651"/>
      <c r="D14" s="2651"/>
      <c r="E14" s="2651"/>
      <c r="F14" s="2651"/>
      <c r="G14" s="2651"/>
    </row>
    <row r="15" spans="2:7" x14ac:dyDescent="0.25">
      <c r="B15" s="2651"/>
      <c r="C15" s="2651"/>
      <c r="D15" s="2651"/>
      <c r="E15" s="2651"/>
      <c r="F15" s="2651"/>
      <c r="G15" s="2651"/>
    </row>
    <row r="16" spans="2:7" x14ac:dyDescent="0.25">
      <c r="B16" s="2651"/>
      <c r="C16" s="2651"/>
      <c r="D16" s="2651"/>
      <c r="E16" s="2651"/>
      <c r="F16" s="2651"/>
      <c r="G16" s="2651"/>
    </row>
    <row r="17" spans="2:7" x14ac:dyDescent="0.25">
      <c r="B17" s="2651"/>
      <c r="C17" s="2651"/>
      <c r="D17" s="2651"/>
      <c r="E17" s="2651"/>
      <c r="F17" s="2651"/>
      <c r="G17" s="2651"/>
    </row>
    <row r="18" spans="2:7" x14ac:dyDescent="0.25">
      <c r="B18" s="2651"/>
      <c r="C18" s="2651"/>
      <c r="D18" s="2651"/>
      <c r="E18" s="2651"/>
      <c r="F18" s="2651"/>
      <c r="G18" s="2651"/>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1"/>
  <dimension ref="A1:C9"/>
  <sheetViews>
    <sheetView workbookViewId="0">
      <selection activeCell="A10" sqref="A10"/>
    </sheetView>
  </sheetViews>
  <sheetFormatPr baseColWidth="10" defaultColWidth="9.140625" defaultRowHeight="15" x14ac:dyDescent="0.25"/>
  <cols>
    <col min="1" max="1" width="14.140625" bestFit="1" customWidth="1"/>
    <col min="2" max="2" width="4" bestFit="1" customWidth="1"/>
    <col min="3" max="3" width="12.7109375" bestFit="1" customWidth="1"/>
  </cols>
  <sheetData>
    <row r="1" spans="1:3" x14ac:dyDescent="0.25">
      <c r="A1" t="s">
        <v>107</v>
      </c>
      <c r="B1" s="9">
        <v>387</v>
      </c>
    </row>
    <row r="2" spans="1:3" x14ac:dyDescent="0.25">
      <c r="A2" t="s">
        <v>108</v>
      </c>
      <c r="B2" s="9">
        <v>441</v>
      </c>
    </row>
    <row r="3" spans="1:3" x14ac:dyDescent="0.25">
      <c r="A3" t="s">
        <v>110</v>
      </c>
      <c r="B3">
        <v>517</v>
      </c>
    </row>
    <row r="4" spans="1:3" x14ac:dyDescent="0.25">
      <c r="A4" t="s">
        <v>113</v>
      </c>
      <c r="B4">
        <v>444</v>
      </c>
    </row>
    <row r="5" spans="1:3" x14ac:dyDescent="0.25">
      <c r="A5" t="s">
        <v>120</v>
      </c>
      <c r="B5">
        <v>364</v>
      </c>
    </row>
    <row r="6" spans="1:3" x14ac:dyDescent="0.25">
      <c r="A6" t="s">
        <v>126</v>
      </c>
      <c r="B6">
        <v>418</v>
      </c>
    </row>
    <row r="7" spans="1:3" x14ac:dyDescent="0.25">
      <c r="A7" t="s">
        <v>127</v>
      </c>
      <c r="B7">
        <v>510</v>
      </c>
    </row>
    <row r="8" spans="1:3" x14ac:dyDescent="0.25">
      <c r="A8" t="s">
        <v>129</v>
      </c>
      <c r="B8">
        <v>452</v>
      </c>
      <c r="C8" t="s">
        <v>130</v>
      </c>
    </row>
    <row r="9" spans="1:3" x14ac:dyDescent="0.25">
      <c r="A9" t="s">
        <v>131</v>
      </c>
      <c r="B9">
        <v>611</v>
      </c>
      <c r="C9" t="s">
        <v>132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1:H124"/>
  <sheetViews>
    <sheetView showGridLines="0" topLeftCell="C1" workbookViewId="0">
      <selection activeCell="D23" sqref="D23"/>
    </sheetView>
  </sheetViews>
  <sheetFormatPr baseColWidth="10" defaultColWidth="8.7109375" defaultRowHeight="15" x14ac:dyDescent="0.25"/>
  <cols>
    <col min="1" max="1" width="5.7109375" customWidth="1"/>
    <col min="2" max="2" width="51.28515625" customWidth="1"/>
    <col min="3" max="3" width="52" customWidth="1"/>
    <col min="4" max="4" width="75.7109375" style="957" bestFit="1" customWidth="1"/>
    <col min="5" max="5" width="17.7109375" customWidth="1"/>
    <col min="6" max="6" width="9.28515625" customWidth="1"/>
    <col min="7" max="7" width="2.7109375" customWidth="1"/>
    <col min="8" max="8" width="56.7109375" style="14" customWidth="1"/>
  </cols>
  <sheetData>
    <row r="1" spans="1:8" s="940" customFormat="1" x14ac:dyDescent="0.25">
      <c r="D1" s="954"/>
    </row>
    <row r="2" spans="1:8" s="940" customFormat="1" ht="15.75" thickBot="1" x14ac:dyDescent="0.3">
      <c r="C2" s="945" t="s">
        <v>780</v>
      </c>
      <c r="D2" s="954"/>
    </row>
    <row r="3" spans="1:8" s="940" customFormat="1" ht="15.75" thickBot="1" x14ac:dyDescent="0.3">
      <c r="B3" s="946" t="s">
        <v>0</v>
      </c>
      <c r="C3" s="947" t="s">
        <v>1</v>
      </c>
      <c r="D3" s="955" t="s">
        <v>5</v>
      </c>
      <c r="E3" s="948" t="s">
        <v>116</v>
      </c>
      <c r="F3" s="948" t="s">
        <v>2</v>
      </c>
      <c r="H3" s="948" t="s">
        <v>3905</v>
      </c>
    </row>
    <row r="4" spans="1:8" s="940" customFormat="1" x14ac:dyDescent="0.25">
      <c r="B4" s="941" t="s">
        <v>165</v>
      </c>
      <c r="C4" s="942" t="s">
        <v>166</v>
      </c>
      <c r="D4" s="1507" t="s">
        <v>4657</v>
      </c>
      <c r="E4" s="943"/>
      <c r="F4" s="943"/>
      <c r="H4" s="944"/>
    </row>
    <row r="5" spans="1:8" s="940" customFormat="1" x14ac:dyDescent="0.25">
      <c r="B5" s="941" t="s">
        <v>168</v>
      </c>
      <c r="C5" s="942" t="s">
        <v>169</v>
      </c>
      <c r="D5" s="956" t="s">
        <v>170</v>
      </c>
      <c r="E5" s="943"/>
      <c r="F5" s="943"/>
      <c r="H5" s="944"/>
    </row>
    <row r="6" spans="1:8" s="940" customFormat="1" x14ac:dyDescent="0.25">
      <c r="B6" s="941" t="s">
        <v>267</v>
      </c>
      <c r="C6" s="942" t="s">
        <v>268</v>
      </c>
      <c r="D6" s="956" t="s">
        <v>774</v>
      </c>
      <c r="E6" s="943"/>
      <c r="F6" s="943"/>
      <c r="H6" s="944"/>
    </row>
    <row r="7" spans="1:8" s="940" customFormat="1" x14ac:dyDescent="0.25">
      <c r="B7" s="941" t="s">
        <v>269</v>
      </c>
      <c r="C7" s="942" t="s">
        <v>270</v>
      </c>
      <c r="D7" s="956" t="s">
        <v>1375</v>
      </c>
      <c r="E7" s="943"/>
      <c r="F7" s="943"/>
      <c r="H7" s="944"/>
    </row>
    <row r="8" spans="1:8" s="940" customFormat="1" x14ac:dyDescent="0.25">
      <c r="B8" s="941" t="s">
        <v>171</v>
      </c>
      <c r="C8" s="942" t="s">
        <v>172</v>
      </c>
      <c r="D8" s="956" t="s">
        <v>173</v>
      </c>
      <c r="E8" s="943"/>
      <c r="F8" s="943"/>
      <c r="H8" s="944"/>
    </row>
    <row r="9" spans="1:8" s="940" customFormat="1" x14ac:dyDescent="0.25">
      <c r="B9" s="941" t="s">
        <v>4344</v>
      </c>
      <c r="C9" s="942" t="s">
        <v>4345</v>
      </c>
      <c r="D9" s="956" t="s">
        <v>4346</v>
      </c>
      <c r="E9" s="943"/>
      <c r="F9" s="943"/>
      <c r="H9" s="944"/>
    </row>
    <row r="10" spans="1:8" s="1504" customFormat="1" x14ac:dyDescent="0.25">
      <c r="B10" s="1505" t="s">
        <v>4417</v>
      </c>
      <c r="C10" s="1506" t="s">
        <v>4418</v>
      </c>
      <c r="D10" s="1507" t="s">
        <v>4419</v>
      </c>
      <c r="E10" s="1508"/>
      <c r="F10" s="1508"/>
      <c r="H10" s="1509"/>
    </row>
    <row r="11" spans="1:8" s="940" customFormat="1" x14ac:dyDescent="0.25">
      <c r="A11" s="1504"/>
      <c r="B11" s="941" t="s">
        <v>1376</v>
      </c>
      <c r="C11" s="942" t="s">
        <v>175</v>
      </c>
      <c r="D11" s="956" t="s">
        <v>4393</v>
      </c>
      <c r="E11" s="943"/>
      <c r="F11" s="943"/>
      <c r="H11" s="1509"/>
    </row>
    <row r="12" spans="1:8" s="940" customFormat="1" x14ac:dyDescent="0.25">
      <c r="A12" s="1504"/>
      <c r="B12" s="941" t="s">
        <v>1377</v>
      </c>
      <c r="C12" s="942" t="s">
        <v>178</v>
      </c>
      <c r="D12" s="956" t="s">
        <v>4394</v>
      </c>
      <c r="E12" s="943"/>
      <c r="F12" s="943"/>
      <c r="H12" s="1509"/>
    </row>
    <row r="13" spans="1:8" s="940" customFormat="1" x14ac:dyDescent="0.25">
      <c r="A13" s="1504"/>
      <c r="B13" s="941" t="s">
        <v>4347</v>
      </c>
      <c r="C13" s="942" t="s">
        <v>4348</v>
      </c>
      <c r="D13" s="956" t="s">
        <v>1135</v>
      </c>
      <c r="E13" s="943"/>
      <c r="F13" s="943"/>
      <c r="H13" s="944"/>
    </row>
    <row r="14" spans="1:8" s="940" customFormat="1" x14ac:dyDescent="0.25">
      <c r="A14" s="1504"/>
      <c r="B14" s="941" t="s">
        <v>4349</v>
      </c>
      <c r="C14" s="942" t="s">
        <v>4350</v>
      </c>
      <c r="D14" s="956" t="s">
        <v>1136</v>
      </c>
      <c r="E14" s="943"/>
      <c r="F14" s="943"/>
      <c r="H14" s="944"/>
    </row>
    <row r="15" spans="1:8" s="940" customFormat="1" x14ac:dyDescent="0.25">
      <c r="A15" s="1504"/>
      <c r="B15" s="941" t="s">
        <v>1227</v>
      </c>
      <c r="C15" s="942" t="s">
        <v>1137</v>
      </c>
      <c r="D15" s="956" t="s">
        <v>1228</v>
      </c>
      <c r="E15" s="943"/>
      <c r="F15" s="943"/>
      <c r="H15" s="944"/>
    </row>
    <row r="16" spans="1:8" s="940" customFormat="1" x14ac:dyDescent="0.25">
      <c r="B16" s="941" t="s">
        <v>1138</v>
      </c>
      <c r="C16" s="942" t="s">
        <v>1139</v>
      </c>
      <c r="D16" s="956" t="s">
        <v>1140</v>
      </c>
      <c r="E16" s="943"/>
      <c r="F16" s="943"/>
      <c r="H16" s="944"/>
    </row>
    <row r="17" spans="2:8" s="940" customFormat="1" x14ac:dyDescent="0.25">
      <c r="B17" s="941" t="s">
        <v>180</v>
      </c>
      <c r="C17" s="942" t="s">
        <v>181</v>
      </c>
      <c r="D17" s="956" t="s">
        <v>182</v>
      </c>
      <c r="E17" s="943"/>
      <c r="F17" s="943"/>
      <c r="H17" s="944"/>
    </row>
    <row r="18" spans="2:8" s="940" customFormat="1" x14ac:dyDescent="0.25">
      <c r="B18" s="941" t="s">
        <v>183</v>
      </c>
      <c r="C18" s="942" t="s">
        <v>184</v>
      </c>
      <c r="D18" s="956" t="s">
        <v>778</v>
      </c>
      <c r="E18" s="943"/>
      <c r="F18" s="943"/>
      <c r="H18" s="944"/>
    </row>
    <row r="19" spans="2:8" s="940" customFormat="1" x14ac:dyDescent="0.25">
      <c r="B19" s="941" t="s">
        <v>151</v>
      </c>
      <c r="C19" s="942" t="s">
        <v>149</v>
      </c>
      <c r="D19" s="956" t="s">
        <v>150</v>
      </c>
      <c r="E19" s="943"/>
      <c r="F19" s="943"/>
      <c r="H19" s="944"/>
    </row>
    <row r="20" spans="2:8" s="940" customFormat="1" x14ac:dyDescent="0.25">
      <c r="B20" s="941" t="s">
        <v>775</v>
      </c>
      <c r="C20" s="942" t="s">
        <v>776</v>
      </c>
      <c r="D20" s="956" t="s">
        <v>779</v>
      </c>
      <c r="E20" s="943"/>
      <c r="F20" s="943"/>
      <c r="H20" s="944" t="s">
        <v>781</v>
      </c>
    </row>
    <row r="21" spans="2:8" s="940" customFormat="1" x14ac:dyDescent="0.25">
      <c r="B21" s="941" t="s">
        <v>1405</v>
      </c>
      <c r="C21" s="942" t="s">
        <v>1406</v>
      </c>
      <c r="D21" s="956" t="s">
        <v>3906</v>
      </c>
      <c r="E21" s="943"/>
      <c r="F21" s="943"/>
      <c r="H21" s="944"/>
    </row>
    <row r="22" spans="2:8" s="940" customFormat="1" ht="18" x14ac:dyDescent="0.25">
      <c r="B22" s="941" t="s">
        <v>1380</v>
      </c>
      <c r="C22" s="942" t="s">
        <v>1381</v>
      </c>
      <c r="D22" s="956" t="s">
        <v>1382</v>
      </c>
      <c r="E22" s="943"/>
      <c r="F22" s="943"/>
      <c r="H22" s="944"/>
    </row>
    <row r="23" spans="2:8" s="940" customFormat="1" ht="18" x14ac:dyDescent="0.25">
      <c r="B23" s="941" t="s">
        <v>1383</v>
      </c>
      <c r="C23" s="942" t="s">
        <v>1384</v>
      </c>
      <c r="D23" s="956" t="s">
        <v>1385</v>
      </c>
      <c r="E23" s="943"/>
      <c r="F23" s="943"/>
      <c r="H23" s="944"/>
    </row>
    <row r="24" spans="2:8" s="940" customFormat="1" ht="18" x14ac:dyDescent="0.25">
      <c r="B24" s="941" t="s">
        <v>1386</v>
      </c>
      <c r="C24" s="942" t="s">
        <v>777</v>
      </c>
      <c r="D24" s="956" t="s">
        <v>1387</v>
      </c>
      <c r="E24" s="943"/>
      <c r="F24" s="943"/>
      <c r="H24" s="944"/>
    </row>
    <row r="25" spans="2:8" s="940" customFormat="1" ht="18" x14ac:dyDescent="0.25">
      <c r="B25" s="941" t="s">
        <v>1388</v>
      </c>
      <c r="C25" s="942" t="s">
        <v>1389</v>
      </c>
      <c r="D25" s="956" t="s">
        <v>1390</v>
      </c>
      <c r="E25" s="943"/>
      <c r="F25" s="943"/>
      <c r="H25" s="944"/>
    </row>
    <row r="26" spans="2:8" s="940" customFormat="1" ht="18" x14ac:dyDescent="0.25">
      <c r="B26" s="941" t="s">
        <v>1391</v>
      </c>
      <c r="C26" s="942" t="s">
        <v>1392</v>
      </c>
      <c r="D26" s="956" t="s">
        <v>1393</v>
      </c>
      <c r="E26" s="943"/>
      <c r="F26" s="943"/>
      <c r="H26" s="944"/>
    </row>
    <row r="27" spans="2:8" s="940" customFormat="1" ht="18" x14ac:dyDescent="0.25">
      <c r="B27" s="941" t="s">
        <v>1394</v>
      </c>
      <c r="C27" s="942" t="s">
        <v>1395</v>
      </c>
      <c r="D27" s="956" t="s">
        <v>1396</v>
      </c>
      <c r="E27" s="943"/>
      <c r="F27" s="943"/>
      <c r="H27" s="944"/>
    </row>
    <row r="28" spans="2:8" s="940" customFormat="1" ht="18" x14ac:dyDescent="0.25">
      <c r="B28" s="941" t="s">
        <v>1397</v>
      </c>
      <c r="C28" s="942" t="s">
        <v>1398</v>
      </c>
      <c r="D28" s="956" t="s">
        <v>1399</v>
      </c>
      <c r="E28" s="943"/>
      <c r="F28" s="943"/>
      <c r="H28" s="944"/>
    </row>
    <row r="29" spans="2:8" s="940" customFormat="1" ht="18" x14ac:dyDescent="0.25">
      <c r="B29" s="941" t="s">
        <v>3907</v>
      </c>
      <c r="C29" s="942" t="s">
        <v>3908</v>
      </c>
      <c r="D29" s="956" t="s">
        <v>3909</v>
      </c>
      <c r="E29" s="943"/>
      <c r="F29" s="943"/>
      <c r="H29" s="944"/>
    </row>
    <row r="30" spans="2:8" s="940" customFormat="1" ht="18" x14ac:dyDescent="0.25">
      <c r="B30" s="941" t="s">
        <v>3910</v>
      </c>
      <c r="C30" s="942" t="s">
        <v>3911</v>
      </c>
      <c r="D30" s="956" t="s">
        <v>3912</v>
      </c>
      <c r="E30" s="943"/>
      <c r="F30" s="943"/>
      <c r="H30" s="944"/>
    </row>
    <row r="31" spans="2:8" s="940" customFormat="1" x14ac:dyDescent="0.25">
      <c r="D31" s="954"/>
    </row>
    <row r="32" spans="2:8" s="940" customFormat="1" ht="15.75" thickBot="1" x14ac:dyDescent="0.3">
      <c r="C32" s="945" t="s">
        <v>1400</v>
      </c>
      <c r="D32" s="954"/>
    </row>
    <row r="33" spans="2:8" s="940" customFormat="1" ht="15.75" thickBot="1" x14ac:dyDescent="0.3">
      <c r="B33" s="946" t="s">
        <v>0</v>
      </c>
      <c r="C33" s="947" t="s">
        <v>1</v>
      </c>
      <c r="D33" s="955" t="s">
        <v>5</v>
      </c>
      <c r="E33" s="948" t="s">
        <v>116</v>
      </c>
      <c r="F33" s="948" t="s">
        <v>2</v>
      </c>
      <c r="H33" s="948" t="s">
        <v>1401</v>
      </c>
    </row>
    <row r="34" spans="2:8" s="940" customFormat="1" x14ac:dyDescent="0.25">
      <c r="B34" s="941" t="s">
        <v>1402</v>
      </c>
      <c r="C34" s="942" t="s">
        <v>1403</v>
      </c>
      <c r="D34" s="956" t="s">
        <v>1404</v>
      </c>
      <c r="E34" s="943"/>
      <c r="F34" s="943"/>
      <c r="H34" s="944"/>
    </row>
    <row r="35" spans="2:8" s="940" customFormat="1" ht="120" x14ac:dyDescent="0.25">
      <c r="B35" s="941" t="s">
        <v>1378</v>
      </c>
      <c r="C35" s="942" t="s">
        <v>1379</v>
      </c>
      <c r="D35" s="956" t="s">
        <v>3913</v>
      </c>
      <c r="E35" s="943"/>
      <c r="F35" s="943"/>
      <c r="H35" s="944"/>
    </row>
    <row r="36" spans="2:8" s="940" customFormat="1" x14ac:dyDescent="0.25">
      <c r="B36" s="941" t="s">
        <v>1407</v>
      </c>
      <c r="C36" s="942" t="s">
        <v>1408</v>
      </c>
      <c r="D36" s="956" t="s">
        <v>1409</v>
      </c>
      <c r="E36" s="943"/>
      <c r="F36" s="943"/>
      <c r="H36" s="944"/>
    </row>
    <row r="37" spans="2:8" s="940" customFormat="1" x14ac:dyDescent="0.25">
      <c r="B37" s="941" t="s">
        <v>1410</v>
      </c>
      <c r="C37" s="942" t="s">
        <v>1411</v>
      </c>
      <c r="D37" s="956" t="s">
        <v>1412</v>
      </c>
      <c r="E37" s="943"/>
      <c r="F37" s="943"/>
      <c r="H37" s="944"/>
    </row>
    <row r="38" spans="2:8" s="940" customFormat="1" x14ac:dyDescent="0.25">
      <c r="B38" s="941" t="s">
        <v>1413</v>
      </c>
      <c r="C38" s="942" t="s">
        <v>1414</v>
      </c>
      <c r="D38" s="956" t="s">
        <v>1415</v>
      </c>
      <c r="E38" s="943"/>
      <c r="F38" s="943"/>
      <c r="H38" s="944"/>
    </row>
    <row r="39" spans="2:8" s="940" customFormat="1" x14ac:dyDescent="0.25">
      <c r="B39" s="941" t="s">
        <v>1416</v>
      </c>
      <c r="C39" s="942" t="s">
        <v>1417</v>
      </c>
      <c r="D39" s="956" t="s">
        <v>1418</v>
      </c>
      <c r="E39" s="943"/>
      <c r="F39" s="943"/>
      <c r="H39" s="944"/>
    </row>
    <row r="40" spans="2:8" s="940" customFormat="1" x14ac:dyDescent="0.25">
      <c r="B40" s="941" t="s">
        <v>1419</v>
      </c>
      <c r="C40" s="942" t="s">
        <v>1420</v>
      </c>
      <c r="D40" s="956" t="s">
        <v>1421</v>
      </c>
      <c r="E40" s="943"/>
      <c r="F40" s="943"/>
      <c r="H40" s="944"/>
    </row>
    <row r="41" spans="2:8" s="940" customFormat="1" x14ac:dyDescent="0.25">
      <c r="B41" s="941" t="s">
        <v>3914</v>
      </c>
      <c r="C41" s="942" t="s">
        <v>3915</v>
      </c>
      <c r="D41" s="956" t="s">
        <v>3916</v>
      </c>
      <c r="E41" s="943"/>
      <c r="F41" s="943"/>
      <c r="H41" s="944"/>
    </row>
    <row r="42" spans="2:8" s="940" customFormat="1" ht="90" x14ac:dyDescent="0.25">
      <c r="B42" s="941" t="s">
        <v>1422</v>
      </c>
      <c r="C42" s="942" t="s">
        <v>1423</v>
      </c>
      <c r="D42" s="956" t="s">
        <v>3917</v>
      </c>
      <c r="E42" s="943"/>
      <c r="F42" s="943"/>
      <c r="H42" s="944"/>
    </row>
    <row r="43" spans="2:8" s="940" customFormat="1" x14ac:dyDescent="0.25">
      <c r="B43" s="941" t="s">
        <v>1424</v>
      </c>
      <c r="C43" s="942" t="s">
        <v>1425</v>
      </c>
      <c r="D43" s="956" t="s">
        <v>1426</v>
      </c>
      <c r="E43" s="943"/>
      <c r="F43" s="943"/>
      <c r="H43" s="944"/>
    </row>
    <row r="44" spans="2:8" s="940" customFormat="1" x14ac:dyDescent="0.25">
      <c r="B44" s="941" t="s">
        <v>3918</v>
      </c>
      <c r="C44" s="942"/>
      <c r="D44" s="956" t="s">
        <v>1426</v>
      </c>
      <c r="E44" s="943" t="s">
        <v>3919</v>
      </c>
      <c r="F44" s="943"/>
      <c r="H44" s="944"/>
    </row>
    <row r="45" spans="2:8" s="940" customFormat="1" ht="90" x14ac:dyDescent="0.25">
      <c r="B45" s="941" t="s">
        <v>1427</v>
      </c>
      <c r="C45" s="942" t="s">
        <v>1428</v>
      </c>
      <c r="D45" s="956" t="s">
        <v>3920</v>
      </c>
      <c r="E45" s="943"/>
      <c r="F45" s="943"/>
      <c r="H45" s="944"/>
    </row>
    <row r="46" spans="2:8" s="940" customFormat="1" ht="270" x14ac:dyDescent="0.25">
      <c r="B46" s="941" t="s">
        <v>3921</v>
      </c>
      <c r="C46" s="942" t="s">
        <v>3922</v>
      </c>
      <c r="D46" s="956" t="s">
        <v>3923</v>
      </c>
      <c r="E46" s="943"/>
      <c r="F46" s="943"/>
      <c r="H46" s="944"/>
    </row>
    <row r="47" spans="2:8" s="940" customFormat="1" ht="90" x14ac:dyDescent="0.25">
      <c r="B47" s="941" t="s">
        <v>1429</v>
      </c>
      <c r="C47" s="942" t="s">
        <v>1430</v>
      </c>
      <c r="D47" s="956" t="s">
        <v>3924</v>
      </c>
      <c r="E47" s="943"/>
      <c r="F47" s="943"/>
      <c r="H47" s="944"/>
    </row>
    <row r="48" spans="2:8" s="940" customFormat="1" ht="90" x14ac:dyDescent="0.25">
      <c r="B48" s="941" t="s">
        <v>1431</v>
      </c>
      <c r="C48" s="942" t="s">
        <v>1432</v>
      </c>
      <c r="D48" s="956" t="s">
        <v>3925</v>
      </c>
      <c r="E48" s="943"/>
      <c r="F48" s="943"/>
      <c r="H48" s="944"/>
    </row>
    <row r="49" spans="2:8" s="940" customFormat="1" ht="90" x14ac:dyDescent="0.25">
      <c r="B49" s="941" t="s">
        <v>1433</v>
      </c>
      <c r="C49" s="942" t="s">
        <v>1434</v>
      </c>
      <c r="D49" s="956" t="s">
        <v>3926</v>
      </c>
      <c r="E49" s="943"/>
      <c r="F49" s="943"/>
      <c r="H49" s="944"/>
    </row>
    <row r="50" spans="2:8" s="940" customFormat="1" ht="105" x14ac:dyDescent="0.25">
      <c r="B50" s="941" t="s">
        <v>3927</v>
      </c>
      <c r="C50" s="942" t="s">
        <v>3928</v>
      </c>
      <c r="D50" s="956" t="s">
        <v>3929</v>
      </c>
      <c r="E50" s="943"/>
      <c r="F50" s="943"/>
      <c r="H50" s="944"/>
    </row>
    <row r="51" spans="2:8" s="940" customFormat="1" ht="90" x14ac:dyDescent="0.25">
      <c r="B51" s="941" t="s">
        <v>3930</v>
      </c>
      <c r="C51" s="942" t="s">
        <v>3931</v>
      </c>
      <c r="D51" s="956" t="s">
        <v>3932</v>
      </c>
      <c r="E51" s="943"/>
      <c r="F51" s="943"/>
      <c r="H51" s="944"/>
    </row>
    <row r="52" spans="2:8" s="940" customFormat="1" x14ac:dyDescent="0.25">
      <c r="B52" s="941" t="s">
        <v>1435</v>
      </c>
      <c r="C52" s="942" t="s">
        <v>1436</v>
      </c>
      <c r="D52" s="956" t="s">
        <v>1437</v>
      </c>
      <c r="E52" s="943"/>
      <c r="F52" s="943"/>
      <c r="H52" s="944"/>
    </row>
    <row r="53" spans="2:8" s="940" customFormat="1" x14ac:dyDescent="0.25">
      <c r="B53" s="941" t="s">
        <v>1438</v>
      </c>
      <c r="C53" s="942" t="s">
        <v>1439</v>
      </c>
      <c r="D53" s="956" t="s">
        <v>1440</v>
      </c>
      <c r="E53" s="943"/>
      <c r="F53" s="943"/>
      <c r="H53" s="944"/>
    </row>
    <row r="54" spans="2:8" s="940" customFormat="1" x14ac:dyDescent="0.25">
      <c r="B54" s="941" t="s">
        <v>1441</v>
      </c>
      <c r="C54" s="942" t="s">
        <v>1442</v>
      </c>
      <c r="D54" s="956" t="s">
        <v>1443</v>
      </c>
      <c r="E54" s="943"/>
      <c r="F54" s="943"/>
      <c r="H54" s="944"/>
    </row>
    <row r="55" spans="2:8" s="940" customFormat="1" x14ac:dyDescent="0.25">
      <c r="B55" s="941" t="s">
        <v>1444</v>
      </c>
      <c r="C55" s="942" t="s">
        <v>1445</v>
      </c>
      <c r="D55" s="956" t="s">
        <v>1446</v>
      </c>
      <c r="E55" s="943"/>
      <c r="F55" s="943"/>
      <c r="H55" s="944"/>
    </row>
    <row r="56" spans="2:8" s="940" customFormat="1" x14ac:dyDescent="0.25">
      <c r="B56" s="941" t="s">
        <v>1447</v>
      </c>
      <c r="C56" s="942" t="s">
        <v>1448</v>
      </c>
      <c r="D56" s="956" t="s">
        <v>1449</v>
      </c>
      <c r="E56" s="943"/>
      <c r="F56" s="943"/>
      <c r="H56" s="944"/>
    </row>
    <row r="57" spans="2:8" s="940" customFormat="1" x14ac:dyDescent="0.25">
      <c r="B57" s="941" t="s">
        <v>1450</v>
      </c>
      <c r="C57" s="942" t="s">
        <v>1451</v>
      </c>
      <c r="D57" s="956" t="s">
        <v>1452</v>
      </c>
      <c r="E57" s="943"/>
      <c r="F57" s="943"/>
      <c r="H57" s="944"/>
    </row>
    <row r="58" spans="2:8" s="940" customFormat="1" x14ac:dyDescent="0.25">
      <c r="B58" s="941" t="s">
        <v>1453</v>
      </c>
      <c r="C58" s="942" t="s">
        <v>1454</v>
      </c>
      <c r="D58" s="956" t="s">
        <v>1455</v>
      </c>
      <c r="E58" s="943"/>
      <c r="F58" s="943"/>
      <c r="H58" s="944"/>
    </row>
    <row r="59" spans="2:8" s="940" customFormat="1" x14ac:dyDescent="0.25">
      <c r="B59" s="941" t="s">
        <v>1456</v>
      </c>
      <c r="C59" s="942" t="s">
        <v>1457</v>
      </c>
      <c r="D59" s="956" t="s">
        <v>1458</v>
      </c>
      <c r="E59" s="943"/>
      <c r="F59" s="943"/>
      <c r="H59" s="944"/>
    </row>
    <row r="60" spans="2:8" s="940" customFormat="1" x14ac:dyDescent="0.25">
      <c r="B60" s="941" t="s">
        <v>1459</v>
      </c>
      <c r="C60" s="942" t="s">
        <v>1460</v>
      </c>
      <c r="D60" s="956" t="s">
        <v>1461</v>
      </c>
      <c r="E60" s="943"/>
      <c r="F60" s="943"/>
      <c r="H60" s="944"/>
    </row>
    <row r="61" spans="2:8" s="940" customFormat="1" x14ac:dyDescent="0.25">
      <c r="B61" s="941" t="s">
        <v>1462</v>
      </c>
      <c r="C61" s="942" t="s">
        <v>1463</v>
      </c>
      <c r="D61" s="956" t="s">
        <v>1464</v>
      </c>
      <c r="E61" s="943"/>
      <c r="F61" s="943"/>
      <c r="H61" s="944"/>
    </row>
    <row r="62" spans="2:8" s="940" customFormat="1" x14ac:dyDescent="0.25">
      <c r="D62" s="954"/>
    </row>
    <row r="63" spans="2:8" s="940" customFormat="1" ht="15.75" thickBot="1" x14ac:dyDescent="0.3">
      <c r="C63" s="945"/>
      <c r="D63" s="954"/>
    </row>
    <row r="64" spans="2:8" s="940" customFormat="1" ht="15.75" thickBot="1" x14ac:dyDescent="0.3">
      <c r="B64" s="946"/>
      <c r="C64" s="947" t="s">
        <v>1465</v>
      </c>
      <c r="D64" s="955"/>
      <c r="E64" s="948"/>
      <c r="F64" s="948"/>
      <c r="H64" s="948"/>
    </row>
    <row r="65" spans="2:8" s="940" customFormat="1" x14ac:dyDescent="0.25">
      <c r="B65" s="941" t="s">
        <v>0</v>
      </c>
      <c r="C65" s="942" t="s">
        <v>1</v>
      </c>
      <c r="D65" s="956" t="s">
        <v>5</v>
      </c>
      <c r="E65" s="943" t="s">
        <v>116</v>
      </c>
      <c r="F65" s="943" t="s">
        <v>2</v>
      </c>
      <c r="H65" s="944" t="s">
        <v>1466</v>
      </c>
    </row>
    <row r="66" spans="2:8" s="940" customFormat="1" x14ac:dyDescent="0.25">
      <c r="B66" s="941" t="s">
        <v>1467</v>
      </c>
      <c r="C66" s="942" t="s">
        <v>374</v>
      </c>
      <c r="D66" s="956" t="s">
        <v>1468</v>
      </c>
      <c r="E66" s="943"/>
      <c r="F66" s="943"/>
      <c r="H66" s="944"/>
    </row>
    <row r="67" spans="2:8" s="940" customFormat="1" x14ac:dyDescent="0.25">
      <c r="B67" s="941" t="s">
        <v>190</v>
      </c>
      <c r="C67" s="942" t="s">
        <v>375</v>
      </c>
      <c r="D67" s="956" t="s">
        <v>192</v>
      </c>
      <c r="E67" s="943"/>
      <c r="F67" s="943"/>
      <c r="H67" s="944"/>
    </row>
    <row r="68" spans="2:8" s="940" customFormat="1" x14ac:dyDescent="0.25">
      <c r="B68" s="941" t="s">
        <v>1469</v>
      </c>
      <c r="C68" s="942" t="s">
        <v>375</v>
      </c>
      <c r="D68" s="956" t="s">
        <v>1470</v>
      </c>
      <c r="E68" s="943"/>
      <c r="F68" s="943"/>
      <c r="H68" s="944"/>
    </row>
    <row r="69" spans="2:8" s="940" customFormat="1" x14ac:dyDescent="0.25">
      <c r="B69" s="941" t="s">
        <v>1471</v>
      </c>
      <c r="C69" s="942" t="s">
        <v>375</v>
      </c>
      <c r="D69" s="956" t="s">
        <v>1472</v>
      </c>
      <c r="E69" s="943"/>
      <c r="F69" s="943"/>
      <c r="H69" s="944"/>
    </row>
    <row r="70" spans="2:8" s="940" customFormat="1" x14ac:dyDescent="0.25">
      <c r="B70" s="941" t="s">
        <v>1473</v>
      </c>
      <c r="C70" s="942" t="s">
        <v>375</v>
      </c>
      <c r="D70" s="956" t="s">
        <v>1474</v>
      </c>
      <c r="E70" s="943"/>
      <c r="F70" s="943"/>
      <c r="H70" s="944"/>
    </row>
    <row r="71" spans="2:8" s="940" customFormat="1" x14ac:dyDescent="0.25">
      <c r="B71" s="941" t="s">
        <v>1475</v>
      </c>
      <c r="C71" s="942" t="s">
        <v>375</v>
      </c>
      <c r="D71" s="956" t="s">
        <v>1476</v>
      </c>
      <c r="E71" s="943"/>
      <c r="F71" s="943"/>
      <c r="H71" s="944"/>
    </row>
    <row r="72" spans="2:8" s="940" customFormat="1" x14ac:dyDescent="0.25">
      <c r="B72" s="941" t="s">
        <v>1477</v>
      </c>
      <c r="C72" s="942" t="s">
        <v>375</v>
      </c>
      <c r="D72" s="956" t="s">
        <v>1478</v>
      </c>
      <c r="E72" s="943"/>
      <c r="F72" s="943"/>
      <c r="H72" s="944"/>
    </row>
    <row r="73" spans="2:8" s="940" customFormat="1" x14ac:dyDescent="0.25">
      <c r="B73" s="941" t="s">
        <v>1479</v>
      </c>
      <c r="C73" s="942" t="s">
        <v>375</v>
      </c>
      <c r="D73" s="956" t="s">
        <v>1480</v>
      </c>
      <c r="E73" s="943"/>
      <c r="F73" s="943"/>
      <c r="H73" s="944"/>
    </row>
    <row r="74" spans="2:8" s="940" customFormat="1" x14ac:dyDescent="0.25">
      <c r="B74" s="941" t="s">
        <v>1481</v>
      </c>
      <c r="C74" s="942" t="s">
        <v>375</v>
      </c>
      <c r="D74" s="956" t="s">
        <v>1482</v>
      </c>
      <c r="E74" s="943"/>
      <c r="F74" s="943"/>
      <c r="H74" s="944"/>
    </row>
    <row r="75" spans="2:8" s="940" customFormat="1" x14ac:dyDescent="0.25">
      <c r="B75" s="941" t="s">
        <v>1483</v>
      </c>
      <c r="C75" s="942" t="s">
        <v>375</v>
      </c>
      <c r="D75" s="956" t="s">
        <v>1484</v>
      </c>
      <c r="E75" s="943"/>
      <c r="F75" s="943"/>
      <c r="H75" s="944"/>
    </row>
    <row r="76" spans="2:8" s="940" customFormat="1" x14ac:dyDescent="0.25">
      <c r="B76" s="941" t="s">
        <v>1485</v>
      </c>
      <c r="C76" s="942" t="s">
        <v>375</v>
      </c>
      <c r="D76" s="956" t="s">
        <v>1486</v>
      </c>
      <c r="E76" s="943"/>
      <c r="F76" s="943"/>
      <c r="H76" s="944"/>
    </row>
    <row r="77" spans="2:8" s="940" customFormat="1" x14ac:dyDescent="0.25">
      <c r="B77" s="941" t="s">
        <v>1487</v>
      </c>
      <c r="C77" s="942" t="s">
        <v>375</v>
      </c>
      <c r="D77" s="956" t="s">
        <v>1488</v>
      </c>
      <c r="E77" s="943"/>
      <c r="F77" s="943"/>
      <c r="H77" s="944"/>
    </row>
    <row r="78" spans="2:8" s="940" customFormat="1" x14ac:dyDescent="0.25">
      <c r="B78" s="941" t="s">
        <v>1489</v>
      </c>
      <c r="C78" s="942" t="s">
        <v>375</v>
      </c>
      <c r="D78" s="956" t="s">
        <v>1490</v>
      </c>
      <c r="E78" s="943"/>
      <c r="F78" s="943"/>
      <c r="H78" s="944"/>
    </row>
    <row r="79" spans="2:8" s="940" customFormat="1" x14ac:dyDescent="0.25">
      <c r="B79" s="941" t="s">
        <v>1491</v>
      </c>
      <c r="C79" s="942" t="s">
        <v>375</v>
      </c>
      <c r="D79" s="956" t="s">
        <v>1492</v>
      </c>
      <c r="E79" s="943"/>
      <c r="F79" s="943"/>
      <c r="H79" s="944"/>
    </row>
    <row r="80" spans="2:8" s="940" customFormat="1" x14ac:dyDescent="0.25">
      <c r="B80" s="941" t="s">
        <v>1493</v>
      </c>
      <c r="C80" s="942" t="s">
        <v>375</v>
      </c>
      <c r="D80" s="956" t="s">
        <v>1494</v>
      </c>
      <c r="E80" s="943"/>
      <c r="F80" s="943"/>
      <c r="H80" s="944"/>
    </row>
    <row r="81" spans="2:8" s="940" customFormat="1" x14ac:dyDescent="0.25">
      <c r="B81" s="941" t="s">
        <v>1495</v>
      </c>
      <c r="C81" s="942" t="s">
        <v>375</v>
      </c>
      <c r="D81" s="956" t="s">
        <v>1496</v>
      </c>
      <c r="E81" s="943"/>
      <c r="F81" s="943"/>
      <c r="H81" s="944"/>
    </row>
    <row r="82" spans="2:8" s="940" customFormat="1" x14ac:dyDescent="0.25">
      <c r="B82" s="941" t="s">
        <v>1497</v>
      </c>
      <c r="C82" s="942" t="s">
        <v>375</v>
      </c>
      <c r="D82" s="956" t="s">
        <v>1498</v>
      </c>
      <c r="E82" s="943"/>
      <c r="F82" s="943"/>
      <c r="H82" s="944"/>
    </row>
    <row r="83" spans="2:8" s="940" customFormat="1" x14ac:dyDescent="0.25">
      <c r="B83" s="941" t="s">
        <v>1499</v>
      </c>
      <c r="C83" s="942" t="s">
        <v>375</v>
      </c>
      <c r="D83" s="956" t="s">
        <v>1500</v>
      </c>
      <c r="E83" s="943"/>
      <c r="F83" s="943"/>
      <c r="H83" s="944"/>
    </row>
    <row r="84" spans="2:8" s="940" customFormat="1" x14ac:dyDescent="0.25">
      <c r="B84" s="941" t="s">
        <v>1501</v>
      </c>
      <c r="C84" s="942" t="s">
        <v>375</v>
      </c>
      <c r="D84" s="956" t="s">
        <v>1502</v>
      </c>
      <c r="E84" s="943"/>
      <c r="F84" s="943"/>
      <c r="H84" s="944"/>
    </row>
    <row r="85" spans="2:8" s="940" customFormat="1" x14ac:dyDescent="0.25">
      <c r="B85" s="941" t="s">
        <v>1503</v>
      </c>
      <c r="C85" s="942" t="s">
        <v>375</v>
      </c>
      <c r="D85" s="956" t="s">
        <v>1504</v>
      </c>
      <c r="E85" s="943"/>
      <c r="F85" s="943"/>
      <c r="H85" s="944"/>
    </row>
    <row r="86" spans="2:8" s="940" customFormat="1" x14ac:dyDescent="0.25">
      <c r="B86" s="941" t="s">
        <v>193</v>
      </c>
      <c r="C86" s="942" t="s">
        <v>1505</v>
      </c>
      <c r="D86" s="956" t="s">
        <v>195</v>
      </c>
      <c r="E86" s="943"/>
      <c r="F86" s="943"/>
      <c r="H86" s="944"/>
    </row>
    <row r="87" spans="2:8" s="940" customFormat="1" x14ac:dyDescent="0.25">
      <c r="B87" s="941" t="s">
        <v>196</v>
      </c>
      <c r="C87" s="942" t="s">
        <v>1506</v>
      </c>
      <c r="D87" s="956" t="s">
        <v>198</v>
      </c>
      <c r="E87" s="943"/>
      <c r="F87" s="943"/>
      <c r="H87" s="944"/>
    </row>
    <row r="88" spans="2:8" s="940" customFormat="1" x14ac:dyDescent="0.25">
      <c r="B88" s="941" t="s">
        <v>199</v>
      </c>
      <c r="C88" s="942" t="s">
        <v>1507</v>
      </c>
      <c r="D88" s="956" t="s">
        <v>201</v>
      </c>
      <c r="E88" s="943"/>
      <c r="F88" s="943"/>
      <c r="H88" s="944"/>
    </row>
    <row r="89" spans="2:8" s="940" customFormat="1" x14ac:dyDescent="0.25">
      <c r="B89" s="941" t="s">
        <v>202</v>
      </c>
      <c r="C89" s="942" t="s">
        <v>203</v>
      </c>
      <c r="D89" s="956" t="s">
        <v>204</v>
      </c>
      <c r="E89" s="943"/>
      <c r="F89" s="943"/>
      <c r="H89" s="944" t="s">
        <v>781</v>
      </c>
    </row>
    <row r="90" spans="2:8" s="940" customFormat="1" x14ac:dyDescent="0.25">
      <c r="B90" s="941" t="s">
        <v>1508</v>
      </c>
      <c r="C90" s="942" t="s">
        <v>1509</v>
      </c>
      <c r="D90" s="956" t="s">
        <v>1510</v>
      </c>
      <c r="E90" s="943"/>
      <c r="F90" s="943"/>
      <c r="H90" s="944"/>
    </row>
    <row r="91" spans="2:8" s="940" customFormat="1" x14ac:dyDescent="0.25">
      <c r="B91" s="941" t="s">
        <v>205</v>
      </c>
      <c r="C91" s="942" t="s">
        <v>206</v>
      </c>
      <c r="D91" s="956" t="s">
        <v>207</v>
      </c>
      <c r="E91" s="943"/>
      <c r="F91" s="943"/>
      <c r="H91" s="944"/>
    </row>
    <row r="92" spans="2:8" s="940" customFormat="1" x14ac:dyDescent="0.25">
      <c r="B92" s="941" t="s">
        <v>1511</v>
      </c>
      <c r="C92" s="942" t="s">
        <v>1512</v>
      </c>
      <c r="D92" s="956" t="s">
        <v>1513</v>
      </c>
      <c r="E92" s="943"/>
      <c r="F92" s="943"/>
      <c r="H92" s="944"/>
    </row>
    <row r="93" spans="2:8" s="940" customFormat="1" x14ac:dyDescent="0.25">
      <c r="B93" s="941" t="s">
        <v>1514</v>
      </c>
      <c r="C93" s="942" t="s">
        <v>1515</v>
      </c>
      <c r="D93" s="956" t="s">
        <v>1516</v>
      </c>
      <c r="E93" s="943"/>
      <c r="F93" s="943"/>
      <c r="H93" s="944"/>
    </row>
    <row r="94" spans="2:8" s="940" customFormat="1" x14ac:dyDescent="0.25">
      <c r="B94" s="941" t="s">
        <v>1517</v>
      </c>
      <c r="C94" s="942" t="s">
        <v>1518</v>
      </c>
      <c r="D94" s="956" t="s">
        <v>1519</v>
      </c>
      <c r="E94" s="943"/>
      <c r="F94" s="943"/>
      <c r="H94" s="944"/>
    </row>
    <row r="95" spans="2:8" s="940" customFormat="1" x14ac:dyDescent="0.25">
      <c r="D95" s="954"/>
    </row>
    <row r="96" spans="2:8" s="940" customFormat="1" ht="15.75" thickBot="1" x14ac:dyDescent="0.3">
      <c r="C96" s="945" t="s">
        <v>1520</v>
      </c>
      <c r="D96" s="954" t="s">
        <v>1521</v>
      </c>
      <c r="H96" s="940" t="s">
        <v>1522</v>
      </c>
    </row>
    <row r="97" spans="2:8" s="940" customFormat="1" ht="15.75" thickBot="1" x14ac:dyDescent="0.3">
      <c r="B97" s="946" t="s">
        <v>0</v>
      </c>
      <c r="C97" s="947" t="s">
        <v>1</v>
      </c>
      <c r="D97" s="955" t="s">
        <v>5</v>
      </c>
      <c r="E97" s="948" t="s">
        <v>1523</v>
      </c>
      <c r="F97" s="948"/>
      <c r="H97" s="948"/>
    </row>
    <row r="98" spans="2:8" s="940" customFormat="1" x14ac:dyDescent="0.25">
      <c r="B98" s="941" t="s">
        <v>1524</v>
      </c>
      <c r="C98" s="942" t="s">
        <v>1525</v>
      </c>
      <c r="D98" s="956" t="s">
        <v>1524</v>
      </c>
      <c r="E98" s="943"/>
      <c r="F98" s="943"/>
      <c r="H98" s="944"/>
    </row>
    <row r="99" spans="2:8" s="940" customFormat="1" x14ac:dyDescent="0.25">
      <c r="B99" s="941" t="s">
        <v>1526</v>
      </c>
      <c r="C99" s="942" t="s">
        <v>1527</v>
      </c>
      <c r="D99" s="956" t="s">
        <v>1526</v>
      </c>
      <c r="E99" s="943"/>
      <c r="F99" s="943"/>
      <c r="H99" s="944"/>
    </row>
    <row r="100" spans="2:8" s="940" customFormat="1" x14ac:dyDescent="0.25">
      <c r="B100" s="941" t="s">
        <v>1528</v>
      </c>
      <c r="C100" s="942" t="s">
        <v>1529</v>
      </c>
      <c r="D100" s="956" t="s">
        <v>1528</v>
      </c>
      <c r="E100" s="943"/>
      <c r="F100" s="943"/>
      <c r="H100" s="944"/>
    </row>
    <row r="101" spans="2:8" s="940" customFormat="1" x14ac:dyDescent="0.25">
      <c r="B101" s="941" t="s">
        <v>1530</v>
      </c>
      <c r="C101" s="942" t="s">
        <v>1531</v>
      </c>
      <c r="D101" s="956" t="s">
        <v>1530</v>
      </c>
      <c r="E101" s="943"/>
      <c r="F101" s="943"/>
      <c r="H101" s="944"/>
    </row>
    <row r="102" spans="2:8" s="940" customFormat="1" x14ac:dyDescent="0.25">
      <c r="B102" s="941" t="s">
        <v>1532</v>
      </c>
      <c r="C102" s="942" t="s">
        <v>1533</v>
      </c>
      <c r="D102" s="956" t="s">
        <v>1532</v>
      </c>
      <c r="E102" s="943"/>
      <c r="F102" s="943"/>
      <c r="H102" s="944"/>
    </row>
    <row r="103" spans="2:8" s="940" customFormat="1" x14ac:dyDescent="0.25">
      <c r="B103" s="941" t="s">
        <v>1534</v>
      </c>
      <c r="C103" s="942" t="s">
        <v>1535</v>
      </c>
      <c r="D103" s="956" t="s">
        <v>1534</v>
      </c>
      <c r="E103" s="943"/>
      <c r="F103" s="943"/>
      <c r="H103" s="944"/>
    </row>
    <row r="104" spans="2:8" s="940" customFormat="1" x14ac:dyDescent="0.25">
      <c r="B104" s="941" t="s">
        <v>1536</v>
      </c>
      <c r="C104" s="942" t="s">
        <v>1537</v>
      </c>
      <c r="D104" s="956" t="s">
        <v>1536</v>
      </c>
      <c r="E104" s="943"/>
      <c r="F104" s="943"/>
      <c r="H104" s="944"/>
    </row>
    <row r="105" spans="2:8" s="940" customFormat="1" x14ac:dyDescent="0.25">
      <c r="B105" s="941" t="s">
        <v>1538</v>
      </c>
      <c r="C105" s="942" t="s">
        <v>1539</v>
      </c>
      <c r="D105" s="956" t="s">
        <v>1538</v>
      </c>
      <c r="E105" s="943"/>
      <c r="F105" s="943"/>
      <c r="H105" s="944"/>
    </row>
    <row r="106" spans="2:8" s="940" customFormat="1" x14ac:dyDescent="0.25">
      <c r="B106" s="941" t="s">
        <v>1540</v>
      </c>
      <c r="C106" s="942" t="s">
        <v>1541</v>
      </c>
      <c r="D106" s="956" t="s">
        <v>1540</v>
      </c>
      <c r="E106" s="943"/>
      <c r="F106" s="943"/>
      <c r="H106" s="944"/>
    </row>
    <row r="107" spans="2:8" s="940" customFormat="1" x14ac:dyDescent="0.25">
      <c r="B107" s="941" t="s">
        <v>1542</v>
      </c>
      <c r="C107" s="942" t="s">
        <v>1543</v>
      </c>
      <c r="D107" s="956" t="s">
        <v>1542</v>
      </c>
      <c r="E107" s="943"/>
      <c r="F107" s="943"/>
      <c r="H107" s="944"/>
    </row>
    <row r="108" spans="2:8" s="940" customFormat="1" x14ac:dyDescent="0.25">
      <c r="B108" s="941" t="s">
        <v>1544</v>
      </c>
      <c r="C108" s="942" t="s">
        <v>1545</v>
      </c>
      <c r="D108" s="956" t="s">
        <v>1544</v>
      </c>
      <c r="E108" s="943" t="s">
        <v>1546</v>
      </c>
      <c r="F108" s="943"/>
      <c r="H108" s="944"/>
    </row>
    <row r="109" spans="2:8" s="940" customFormat="1" x14ac:dyDescent="0.25">
      <c r="B109" s="941" t="s">
        <v>1547</v>
      </c>
      <c r="C109" s="942" t="s">
        <v>1548</v>
      </c>
      <c r="D109" s="956" t="s">
        <v>1547</v>
      </c>
      <c r="E109" s="943"/>
      <c r="F109" s="943"/>
      <c r="H109" s="944"/>
    </row>
    <row r="110" spans="2:8" s="940" customFormat="1" x14ac:dyDescent="0.25">
      <c r="B110" s="941" t="s">
        <v>1549</v>
      </c>
      <c r="C110" s="942" t="s">
        <v>1550</v>
      </c>
      <c r="D110" s="956" t="s">
        <v>1549</v>
      </c>
      <c r="E110" s="943"/>
      <c r="F110" s="943"/>
      <c r="H110" s="944"/>
    </row>
    <row r="111" spans="2:8" s="940" customFormat="1" x14ac:dyDescent="0.25">
      <c r="B111" s="941" t="s">
        <v>1551</v>
      </c>
      <c r="C111" s="942" t="s">
        <v>1552</v>
      </c>
      <c r="D111" s="956" t="s">
        <v>1551</v>
      </c>
      <c r="E111" s="943"/>
      <c r="F111" s="943"/>
      <c r="H111" s="944"/>
    </row>
    <row r="112" spans="2:8" s="940" customFormat="1" x14ac:dyDescent="0.25">
      <c r="B112" s="941" t="s">
        <v>1553</v>
      </c>
      <c r="C112" s="942" t="s">
        <v>1554</v>
      </c>
      <c r="D112" s="956" t="s">
        <v>1553</v>
      </c>
      <c r="E112" s="943"/>
      <c r="F112" s="943"/>
      <c r="H112" s="944"/>
    </row>
    <row r="113" spans="2:8" s="940" customFormat="1" x14ac:dyDescent="0.25">
      <c r="B113" s="941" t="s">
        <v>1555</v>
      </c>
      <c r="C113" s="942" t="s">
        <v>1556</v>
      </c>
      <c r="D113" s="956" t="s">
        <v>1555</v>
      </c>
      <c r="E113" s="943"/>
      <c r="F113" s="943"/>
      <c r="H113" s="944"/>
    </row>
    <row r="114" spans="2:8" s="940" customFormat="1" x14ac:dyDescent="0.25">
      <c r="B114" s="941" t="s">
        <v>1557</v>
      </c>
      <c r="C114" s="942" t="s">
        <v>1558</v>
      </c>
      <c r="D114" s="956" t="s">
        <v>1557</v>
      </c>
      <c r="E114" s="943"/>
      <c r="F114" s="943"/>
      <c r="H114" s="944"/>
    </row>
    <row r="115" spans="2:8" s="940" customFormat="1" x14ac:dyDescent="0.25">
      <c r="B115" s="941" t="s">
        <v>1559</v>
      </c>
      <c r="C115" s="942" t="s">
        <v>1560</v>
      </c>
      <c r="D115" s="956" t="s">
        <v>1559</v>
      </c>
      <c r="E115" s="943"/>
      <c r="F115" s="943"/>
      <c r="H115" s="944"/>
    </row>
    <row r="116" spans="2:8" s="940" customFormat="1" x14ac:dyDescent="0.25">
      <c r="B116" s="941" t="s">
        <v>1561</v>
      </c>
      <c r="C116" s="942" t="s">
        <v>1562</v>
      </c>
      <c r="D116" s="956" t="s">
        <v>1561</v>
      </c>
      <c r="E116" s="943"/>
      <c r="F116" s="943"/>
      <c r="H116" s="944"/>
    </row>
    <row r="117" spans="2:8" s="940" customFormat="1" x14ac:dyDescent="0.25">
      <c r="B117" s="941" t="s">
        <v>1563</v>
      </c>
      <c r="C117" s="942" t="s">
        <v>1564</v>
      </c>
      <c r="D117" s="956" t="s">
        <v>1563</v>
      </c>
      <c r="E117" s="943"/>
      <c r="F117" s="943"/>
      <c r="H117" s="944"/>
    </row>
    <row r="118" spans="2:8" s="940" customFormat="1" x14ac:dyDescent="0.25">
      <c r="B118" s="941" t="s">
        <v>1565</v>
      </c>
      <c r="C118" s="942" t="s">
        <v>1505</v>
      </c>
      <c r="D118" s="956" t="s">
        <v>1565</v>
      </c>
      <c r="E118" s="943" t="s">
        <v>1566</v>
      </c>
      <c r="F118" s="943"/>
      <c r="H118" s="944"/>
    </row>
    <row r="119" spans="2:8" s="940" customFormat="1" x14ac:dyDescent="0.25">
      <c r="B119" s="941" t="s">
        <v>197</v>
      </c>
      <c r="C119" s="942" t="s">
        <v>1567</v>
      </c>
      <c r="D119" s="956" t="s">
        <v>197</v>
      </c>
      <c r="E119" s="943"/>
      <c r="F119" s="943"/>
      <c r="H119" s="944"/>
    </row>
    <row r="120" spans="2:8" s="940" customFormat="1" x14ac:dyDescent="0.25">
      <c r="B120" s="941" t="s">
        <v>1568</v>
      </c>
      <c r="C120" s="942" t="s">
        <v>1569</v>
      </c>
      <c r="D120" s="956" t="s">
        <v>1568</v>
      </c>
      <c r="E120" s="943"/>
      <c r="F120" s="943"/>
      <c r="H120" s="944"/>
    </row>
    <row r="121" spans="2:8" s="940" customFormat="1" x14ac:dyDescent="0.25">
      <c r="B121" s="941" t="s">
        <v>1570</v>
      </c>
      <c r="C121" s="942" t="s">
        <v>1571</v>
      </c>
      <c r="D121" s="956" t="s">
        <v>1570</v>
      </c>
      <c r="E121" s="943"/>
      <c r="F121" s="943"/>
      <c r="H121" s="944"/>
    </row>
    <row r="122" spans="2:8" s="940" customFormat="1" x14ac:dyDescent="0.25">
      <c r="B122" s="941" t="s">
        <v>1572</v>
      </c>
      <c r="C122" s="942" t="s">
        <v>1573</v>
      </c>
      <c r="D122" s="956" t="s">
        <v>1572</v>
      </c>
      <c r="E122" s="943"/>
      <c r="F122" s="943"/>
      <c r="H122" s="944"/>
    </row>
    <row r="123" spans="2:8" s="940" customFormat="1" x14ac:dyDescent="0.25">
      <c r="B123" s="941" t="s">
        <v>1574</v>
      </c>
      <c r="C123" s="942" t="s">
        <v>1575</v>
      </c>
      <c r="D123" s="956" t="s">
        <v>1574</v>
      </c>
      <c r="E123" s="943"/>
      <c r="F123" s="943"/>
      <c r="H123" s="944"/>
    </row>
    <row r="124" spans="2:8" s="940" customFormat="1" x14ac:dyDescent="0.25">
      <c r="B124" s="941" t="s">
        <v>1576</v>
      </c>
      <c r="C124" s="942" t="s">
        <v>1577</v>
      </c>
      <c r="D124" s="956" t="s">
        <v>1576</v>
      </c>
      <c r="E124" s="943"/>
      <c r="F124" s="943"/>
      <c r="H124" s="944"/>
    </row>
  </sheetData>
  <conditionalFormatting sqref="E6:F8 E22:F30 E34:F61 E15:F20">
    <cfRule type="cellIs" dxfId="22" priority="10" stopIfTrue="1" operator="notEqual">
      <formula>INDIRECT("Dummy_for_Comparison3!"&amp;ADDRESS(ROW(),COLUMN()))</formula>
    </cfRule>
  </conditionalFormatting>
  <conditionalFormatting sqref="E5:F5">
    <cfRule type="cellIs" dxfId="21" priority="9" stopIfTrue="1" operator="notEqual">
      <formula>INDIRECT("Dummy_for_Comparison3!"&amp;ADDRESS(ROW(),COLUMN()))</formula>
    </cfRule>
  </conditionalFormatting>
  <conditionalFormatting sqref="E4:F4">
    <cfRule type="cellIs" dxfId="20" priority="8" stopIfTrue="1" operator="notEqual">
      <formula>INDIRECT("Dummy_for_Comparison3!"&amp;ADDRESS(ROW(),COLUMN()))</formula>
    </cfRule>
  </conditionalFormatting>
  <conditionalFormatting sqref="E66:F94 E99:F124">
    <cfRule type="cellIs" dxfId="19" priority="7" stopIfTrue="1" operator="notEqual">
      <formula>INDIRECT("Dummy_for_Comparison3!"&amp;ADDRESS(ROW(),COLUMN()))</formula>
    </cfRule>
  </conditionalFormatting>
  <conditionalFormatting sqref="E65:F65">
    <cfRule type="cellIs" dxfId="18" priority="6" stopIfTrue="1" operator="notEqual">
      <formula>INDIRECT("Dummy_for_Comparison3!"&amp;ADDRESS(ROW(),COLUMN()))</formula>
    </cfRule>
  </conditionalFormatting>
  <conditionalFormatting sqref="E98:F98">
    <cfRule type="cellIs" dxfId="17" priority="5" stopIfTrue="1" operator="notEqual">
      <formula>INDIRECT("Dummy_for_Comparison3!"&amp;ADDRESS(ROW(),COLUMN()))</formula>
    </cfRule>
  </conditionalFormatting>
  <conditionalFormatting sqref="E21:F21">
    <cfRule type="cellIs" dxfId="16" priority="4" stopIfTrue="1" operator="notEqual">
      <formula>INDIRECT("Dummy_for_Comparison3!"&amp;ADDRESS(ROW(),COLUMN()))</formula>
    </cfRule>
  </conditionalFormatting>
  <conditionalFormatting sqref="E11:F14">
    <cfRule type="cellIs" dxfId="15" priority="3" stopIfTrue="1" operator="notEqual">
      <formula>INDIRECT("Dummy_for_Comparison3!"&amp;ADDRESS(ROW(),COLUMN()))</formula>
    </cfRule>
  </conditionalFormatting>
  <conditionalFormatting sqref="E9:F9">
    <cfRule type="cellIs" dxfId="14" priority="2" stopIfTrue="1" operator="notEqual">
      <formula>INDIRECT("Dummy_for_Comparison3!"&amp;ADDRESS(ROW(),COLUMN()))</formula>
    </cfRule>
  </conditionalFormatting>
  <conditionalFormatting sqref="E10:F10">
    <cfRule type="cellIs" dxfId="13" priority="1" stopIfTrue="1" operator="notEqual">
      <formula>INDIRECT("Dummy_for_Comparison3!"&amp;ADDRESS(ROW(),COLUMN()))</formula>
    </cfRule>
  </conditionalFormatting>
  <hyperlinks>
    <hyperlink ref="B98" r:id="rId1" display="http://www.cplusplus.com/reference/cmath/cos/" xr:uid="{00000000-0004-0000-1000-000000000000}"/>
    <hyperlink ref="B99" r:id="rId2" display="http://www.cplusplus.com/reference/cmath/sin/" xr:uid="{00000000-0004-0000-1000-000001000000}"/>
    <hyperlink ref="B100" r:id="rId3" display="http://www.cplusplus.com/reference/cmath/tan/" xr:uid="{00000000-0004-0000-1000-000002000000}"/>
    <hyperlink ref="B101" r:id="rId4" display="http://www.cplusplus.com/reference/cmath/acos/" xr:uid="{00000000-0004-0000-1000-000003000000}"/>
    <hyperlink ref="B102" r:id="rId5" display="http://www.cplusplus.com/reference/cmath/asin/" xr:uid="{00000000-0004-0000-1000-000004000000}"/>
    <hyperlink ref="B103" r:id="rId6" display="http://www.cplusplus.com/reference/cmath/atan/" xr:uid="{00000000-0004-0000-1000-000005000000}"/>
    <hyperlink ref="B104" r:id="rId7" display="http://www.cplusplus.com/reference/cmath/atan2/" xr:uid="{00000000-0004-0000-1000-000006000000}"/>
    <hyperlink ref="B105" r:id="rId8" display="http://www.cplusplus.com/reference/cmath/cosh/" xr:uid="{00000000-0004-0000-1000-000007000000}"/>
    <hyperlink ref="B106" r:id="rId9" display="http://www.cplusplus.com/reference/cmath/sinh/" xr:uid="{00000000-0004-0000-1000-000008000000}"/>
    <hyperlink ref="B107" r:id="rId10" display="http://www.cplusplus.com/reference/cmath/tanh/" xr:uid="{00000000-0004-0000-1000-000009000000}"/>
    <hyperlink ref="B108" r:id="rId11" display="http://www.cplusplus.com/reference/cmath/exp/" xr:uid="{00000000-0004-0000-1000-00000A000000}"/>
    <hyperlink ref="B109" r:id="rId12" display="http://www.cplusplus.com/reference/cmath/ldexp/" xr:uid="{00000000-0004-0000-1000-00000B000000}"/>
    <hyperlink ref="B110" r:id="rId13" display="http://www.cplusplus.com/reference/cmath/log/" xr:uid="{00000000-0004-0000-1000-00000C000000}"/>
    <hyperlink ref="B111" r:id="rId14" display="http://www.cplusplus.com/reference/cmath/log10/" xr:uid="{00000000-0004-0000-1000-00000D000000}"/>
    <hyperlink ref="B112" r:id="rId15" display="http://www.cplusplus.com/reference/cmath/sqrt/" xr:uid="{00000000-0004-0000-1000-00000E000000}"/>
    <hyperlink ref="B113" r:id="rId16" display="http://www.cplusplus.com/reference/cmath/ceil/" xr:uid="{00000000-0004-0000-1000-00000F000000}"/>
    <hyperlink ref="B114" r:id="rId17" display="http://www.cplusplus.com/reference/cmath/fabs/" xr:uid="{00000000-0004-0000-1000-000010000000}"/>
    <hyperlink ref="B115" r:id="rId18" display="http://www.cplusplus.com/reference/cmath/floor/" xr:uid="{00000000-0004-0000-1000-000011000000}"/>
    <hyperlink ref="B117" r:id="rId19" display="http://www.cplusplus.com/reference/cmath/fmod/" xr:uid="{00000000-0004-0000-1000-000012000000}"/>
    <hyperlink ref="D98" r:id="rId20" display="http://www.cplusplus.com/reference/cmath/cos/" xr:uid="{00000000-0004-0000-1000-000013000000}"/>
    <hyperlink ref="D99" r:id="rId21" display="http://www.cplusplus.com/reference/cmath/sin/" xr:uid="{00000000-0004-0000-1000-000014000000}"/>
    <hyperlink ref="D100" r:id="rId22" display="http://www.cplusplus.com/reference/cmath/tan/" xr:uid="{00000000-0004-0000-1000-000015000000}"/>
    <hyperlink ref="D101" r:id="rId23" display="http://www.cplusplus.com/reference/cmath/acos/" xr:uid="{00000000-0004-0000-1000-000016000000}"/>
    <hyperlink ref="D102" r:id="rId24" display="http://www.cplusplus.com/reference/cmath/asin/" xr:uid="{00000000-0004-0000-1000-000017000000}"/>
    <hyperlink ref="D103" r:id="rId25" display="http://www.cplusplus.com/reference/cmath/atan/" xr:uid="{00000000-0004-0000-1000-000018000000}"/>
    <hyperlink ref="D104" r:id="rId26" display="http://www.cplusplus.com/reference/cmath/atan2/" xr:uid="{00000000-0004-0000-1000-000019000000}"/>
    <hyperlink ref="D105" r:id="rId27" display="http://www.cplusplus.com/reference/cmath/cosh/" xr:uid="{00000000-0004-0000-1000-00001A000000}"/>
    <hyperlink ref="D106" r:id="rId28" display="http://www.cplusplus.com/reference/cmath/sinh/" xr:uid="{00000000-0004-0000-1000-00001B000000}"/>
    <hyperlink ref="D107" r:id="rId29" display="http://www.cplusplus.com/reference/cmath/tanh/" xr:uid="{00000000-0004-0000-1000-00001C000000}"/>
    <hyperlink ref="D108" r:id="rId30" display="http://www.cplusplus.com/reference/cmath/exp/" xr:uid="{00000000-0004-0000-1000-00001D000000}"/>
    <hyperlink ref="D109" r:id="rId31" display="http://www.cplusplus.com/reference/cmath/ldexp/" xr:uid="{00000000-0004-0000-1000-00001E000000}"/>
    <hyperlink ref="D110" r:id="rId32" display="http://www.cplusplus.com/reference/cmath/log/" xr:uid="{00000000-0004-0000-1000-00001F000000}"/>
    <hyperlink ref="D111" r:id="rId33" display="http://www.cplusplus.com/reference/cmath/log10/" xr:uid="{00000000-0004-0000-1000-000020000000}"/>
    <hyperlink ref="D112" r:id="rId34" display="http://www.cplusplus.com/reference/cmath/sqrt/" xr:uid="{00000000-0004-0000-1000-000021000000}"/>
    <hyperlink ref="D113" r:id="rId35" display="http://www.cplusplus.com/reference/cmath/ceil/" xr:uid="{00000000-0004-0000-1000-000022000000}"/>
    <hyperlink ref="D114" r:id="rId36" display="http://www.cplusplus.com/reference/cmath/fabs/" xr:uid="{00000000-0004-0000-1000-000023000000}"/>
    <hyperlink ref="D115" r:id="rId37" display="http://www.cplusplus.com/reference/cmath/floor/" xr:uid="{00000000-0004-0000-1000-000024000000}"/>
    <hyperlink ref="D117" r:id="rId38" display="http://www.cplusplus.com/reference/cmath/fmod/" xr:uid="{00000000-0004-0000-1000-000025000000}"/>
  </hyperlinks>
  <pageMargins left="0.7" right="0.7" top="0.75" bottom="0.75" header="0.3" footer="0.3"/>
  <pageSetup paperSize="9" orientation="portrait" r:id="rId3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
  <dimension ref="A1:L90"/>
  <sheetViews>
    <sheetView workbookViewId="0">
      <selection activeCell="B3" sqref="B3:D90"/>
    </sheetView>
  </sheetViews>
  <sheetFormatPr baseColWidth="10" defaultColWidth="9.140625" defaultRowHeight="15" x14ac:dyDescent="0.25"/>
  <cols>
    <col min="1" max="1" width="4.7109375" customWidth="1"/>
    <col min="2" max="2" width="19.28515625" style="4" bestFit="1" customWidth="1"/>
    <col min="3" max="3" width="51.28515625" style="4" bestFit="1" customWidth="1"/>
    <col min="4" max="4" width="11.7109375" style="3" customWidth="1"/>
    <col min="5" max="5" width="9.140625" style="3"/>
    <col min="6" max="6" width="17.7109375" style="3" customWidth="1"/>
    <col min="7" max="8" width="9.140625" style="3"/>
    <col min="9" max="9" width="12.7109375" style="3" bestFit="1" customWidth="1"/>
    <col min="10" max="10" width="21.7109375" customWidth="1"/>
  </cols>
  <sheetData>
    <row r="1" spans="2:11" ht="15.75" thickBot="1" x14ac:dyDescent="0.3"/>
    <row r="2" spans="2:11" s="1748" customFormat="1" ht="15.75" thickBot="1" x14ac:dyDescent="0.3">
      <c r="B2" s="104"/>
      <c r="C2" s="2059" t="s">
        <v>4658</v>
      </c>
      <c r="D2" s="104"/>
      <c r="E2" s="104"/>
      <c r="F2" s="104"/>
      <c r="G2" s="104"/>
      <c r="H2" s="104"/>
      <c r="I2" s="104"/>
      <c r="J2" s="103"/>
    </row>
    <row r="3" spans="2:11" s="1748" customFormat="1" ht="15.75" thickBot="1" x14ac:dyDescent="0.3">
      <c r="B3" s="2060" t="s">
        <v>0</v>
      </c>
      <c r="C3" s="2061" t="s">
        <v>1</v>
      </c>
      <c r="D3" s="2061" t="s">
        <v>152</v>
      </c>
      <c r="E3" s="2061" t="s">
        <v>470</v>
      </c>
      <c r="F3" s="2061" t="s">
        <v>471</v>
      </c>
      <c r="G3" s="2061" t="s">
        <v>2</v>
      </c>
      <c r="H3" s="2061" t="s">
        <v>298</v>
      </c>
      <c r="I3" s="2061" t="s">
        <v>116</v>
      </c>
      <c r="J3" s="2062" t="s">
        <v>117</v>
      </c>
    </row>
    <row r="4" spans="2:11" s="1748" customFormat="1" ht="18.75" thickBot="1" x14ac:dyDescent="0.3">
      <c r="B4" s="758" t="s">
        <v>4659</v>
      </c>
      <c r="C4" s="744" t="s">
        <v>4660</v>
      </c>
      <c r="D4" s="759">
        <v>1.0000000000000001E-30</v>
      </c>
      <c r="E4" s="759">
        <v>0</v>
      </c>
      <c r="F4" s="759">
        <v>1</v>
      </c>
      <c r="G4" s="760"/>
      <c r="H4" s="760"/>
      <c r="I4" s="759"/>
      <c r="J4" s="761"/>
      <c r="K4" s="1748" t="s">
        <v>4661</v>
      </c>
    </row>
    <row r="5" spans="2:11" ht="15.75" thickBot="1" x14ac:dyDescent="0.3">
      <c r="B5"/>
      <c r="C5"/>
      <c r="D5"/>
      <c r="E5"/>
      <c r="F5"/>
      <c r="G5"/>
      <c r="H5"/>
      <c r="I5"/>
    </row>
    <row r="6" spans="2:11" s="103" customFormat="1" ht="15.75" thickBot="1" x14ac:dyDescent="0.3">
      <c r="B6" s="104"/>
      <c r="C6" s="2059" t="s">
        <v>1192</v>
      </c>
      <c r="D6" s="104" t="s">
        <v>299</v>
      </c>
      <c r="E6" s="104"/>
      <c r="F6" s="104"/>
      <c r="G6" s="104"/>
      <c r="H6" s="104"/>
      <c r="I6" s="104"/>
    </row>
    <row r="7" spans="2:11" s="103" customFormat="1" ht="15.75" thickBot="1" x14ac:dyDescent="0.3">
      <c r="B7" s="2060" t="s">
        <v>0</v>
      </c>
      <c r="C7" s="2061" t="s">
        <v>1</v>
      </c>
      <c r="D7" s="2061" t="s">
        <v>839</v>
      </c>
      <c r="E7" s="2061" t="s">
        <v>470</v>
      </c>
      <c r="F7" s="2061" t="s">
        <v>471</v>
      </c>
      <c r="G7" s="2061" t="s">
        <v>2</v>
      </c>
      <c r="H7" s="2061" t="s">
        <v>298</v>
      </c>
      <c r="I7" s="2061" t="s">
        <v>116</v>
      </c>
      <c r="J7" s="2062" t="s">
        <v>117</v>
      </c>
    </row>
    <row r="8" spans="2:11" s="103" customFormat="1" ht="18.75" thickBot="1" x14ac:dyDescent="0.3">
      <c r="B8" s="758" t="s">
        <v>3409</v>
      </c>
      <c r="C8" s="744" t="s">
        <v>2564</v>
      </c>
      <c r="D8" s="759">
        <v>0.1</v>
      </c>
      <c r="E8" s="759">
        <v>0</v>
      </c>
      <c r="F8" s="759">
        <v>1</v>
      </c>
      <c r="G8" s="760" t="s">
        <v>1989</v>
      </c>
      <c r="H8" s="760">
        <v>2</v>
      </c>
      <c r="I8" s="759"/>
      <c r="J8" s="761"/>
    </row>
    <row r="9" spans="2:11" ht="15.75" thickBot="1" x14ac:dyDescent="0.3">
      <c r="B9"/>
      <c r="C9"/>
      <c r="D9"/>
      <c r="E9"/>
      <c r="F9"/>
      <c r="G9"/>
      <c r="H9"/>
      <c r="I9"/>
    </row>
    <row r="10" spans="2:11" ht="15.75" thickBot="1" x14ac:dyDescent="0.3">
      <c r="B10" s="152"/>
      <c r="C10" s="2063" t="s">
        <v>3228</v>
      </c>
      <c r="D10" s="152"/>
      <c r="E10" s="152"/>
      <c r="F10" s="152"/>
      <c r="G10" s="152"/>
      <c r="H10" s="152"/>
      <c r="I10" s="152"/>
    </row>
    <row r="11" spans="2:11" ht="15.75" thickBot="1" x14ac:dyDescent="0.3">
      <c r="B11" s="2064" t="s">
        <v>0</v>
      </c>
      <c r="C11" s="2065" t="s">
        <v>1</v>
      </c>
      <c r="D11" s="2065" t="s">
        <v>152</v>
      </c>
      <c r="E11" s="2066" t="s">
        <v>470</v>
      </c>
      <c r="F11" s="2066" t="s">
        <v>471</v>
      </c>
      <c r="G11" s="2065" t="s">
        <v>2</v>
      </c>
      <c r="H11" s="2065" t="s">
        <v>298</v>
      </c>
      <c r="I11" s="2067" t="s">
        <v>116</v>
      </c>
    </row>
    <row r="12" spans="2:11" ht="18" x14ac:dyDescent="0.35">
      <c r="B12" s="2068" t="s">
        <v>4493</v>
      </c>
      <c r="C12" s="2069" t="s">
        <v>4494</v>
      </c>
      <c r="D12" s="2070">
        <v>4.8</v>
      </c>
      <c r="E12" s="2069"/>
      <c r="F12" s="2069"/>
      <c r="G12" s="2069" t="s">
        <v>4495</v>
      </c>
      <c r="H12" s="2069"/>
      <c r="I12" s="2071"/>
    </row>
    <row r="13" spans="2:11" ht="18.75" x14ac:dyDescent="0.35">
      <c r="B13" s="153" t="s">
        <v>3229</v>
      </c>
      <c r="C13" s="99" t="s">
        <v>3230</v>
      </c>
      <c r="D13" s="154">
        <v>76.402000000000001</v>
      </c>
      <c r="E13" s="99"/>
      <c r="F13" s="99"/>
      <c r="G13" s="99" t="s">
        <v>3231</v>
      </c>
      <c r="H13" s="99"/>
      <c r="I13" s="87"/>
    </row>
    <row r="14" spans="2:11" ht="18.75" x14ac:dyDescent="0.35">
      <c r="B14" s="153" t="s">
        <v>3232</v>
      </c>
      <c r="C14" s="99" t="s">
        <v>3233</v>
      </c>
      <c r="D14" s="154">
        <v>100</v>
      </c>
      <c r="E14" s="99"/>
      <c r="F14" s="99"/>
      <c r="G14" s="99" t="s">
        <v>3231</v>
      </c>
      <c r="H14" s="99"/>
      <c r="I14" s="87"/>
    </row>
    <row r="15" spans="2:11" ht="18.75" x14ac:dyDescent="0.35">
      <c r="B15" s="153" t="s">
        <v>3234</v>
      </c>
      <c r="C15" s="99" t="s">
        <v>3235</v>
      </c>
      <c r="D15" s="154">
        <v>88.852000000000004</v>
      </c>
      <c r="E15" s="99"/>
      <c r="F15" s="99"/>
      <c r="G15" s="99" t="s">
        <v>3231</v>
      </c>
      <c r="H15" s="99"/>
      <c r="I15" s="87"/>
    </row>
    <row r="16" spans="2:11" ht="18.75" x14ac:dyDescent="0.35">
      <c r="B16" s="153" t="s">
        <v>3236</v>
      </c>
      <c r="C16" s="99" t="s">
        <v>3237</v>
      </c>
      <c r="D16" s="154">
        <v>84.435000000000002</v>
      </c>
      <c r="E16" s="99"/>
      <c r="F16" s="99"/>
      <c r="G16" s="99" t="s">
        <v>3231</v>
      </c>
      <c r="H16" s="99"/>
      <c r="I16" s="87"/>
    </row>
    <row r="17" spans="1:9" ht="18.75" x14ac:dyDescent="0.35">
      <c r="B17" s="153" t="s">
        <v>3238</v>
      </c>
      <c r="C17" s="99" t="s">
        <v>3239</v>
      </c>
      <c r="D17" s="154">
        <v>146.73500000000001</v>
      </c>
      <c r="E17" s="99"/>
      <c r="F17" s="99"/>
      <c r="G17" s="99" t="s">
        <v>3231</v>
      </c>
      <c r="H17" s="99"/>
      <c r="I17" s="87"/>
    </row>
    <row r="18" spans="1:9" ht="18.75" x14ac:dyDescent="0.35">
      <c r="B18" s="153" t="s">
        <v>3240</v>
      </c>
      <c r="C18" s="99" t="s">
        <v>3241</v>
      </c>
      <c r="D18" s="154">
        <v>0</v>
      </c>
      <c r="E18" s="99"/>
      <c r="F18" s="99"/>
      <c r="G18" s="99" t="s">
        <v>3231</v>
      </c>
      <c r="H18" s="99"/>
      <c r="I18" s="87"/>
    </row>
    <row r="19" spans="1:9" ht="18.75" x14ac:dyDescent="0.35">
      <c r="B19" s="153" t="s">
        <v>3242</v>
      </c>
      <c r="C19" s="99" t="s">
        <v>3243</v>
      </c>
      <c r="D19" s="154">
        <v>90.980999999999995</v>
      </c>
      <c r="E19" s="99"/>
      <c r="F19" s="99"/>
      <c r="G19" s="99" t="s">
        <v>3231</v>
      </c>
      <c r="H19" s="99"/>
      <c r="I19" s="87"/>
    </row>
    <row r="20" spans="1:9" s="130" customFormat="1" ht="18" x14ac:dyDescent="0.35">
      <c r="B20" s="2072" t="s">
        <v>3244</v>
      </c>
      <c r="C20" s="2073" t="s">
        <v>3245</v>
      </c>
      <c r="D20" s="2074">
        <v>3748.91</v>
      </c>
      <c r="E20" s="2074"/>
      <c r="F20" s="2073"/>
      <c r="G20" s="2075" t="s">
        <v>834</v>
      </c>
      <c r="H20" s="2073"/>
      <c r="I20" s="2076" t="s">
        <v>1177</v>
      </c>
    </row>
    <row r="21" spans="1:9" s="130" customFormat="1" ht="18.75" x14ac:dyDescent="0.35">
      <c r="B21" s="2072" t="s">
        <v>3246</v>
      </c>
      <c r="C21" s="2073" t="s">
        <v>3247</v>
      </c>
      <c r="D21" s="2074">
        <v>10</v>
      </c>
      <c r="E21" s="2074"/>
      <c r="F21" s="2073"/>
      <c r="G21" s="2073" t="s">
        <v>834</v>
      </c>
      <c r="H21" s="2073"/>
      <c r="I21" s="2076" t="s">
        <v>1167</v>
      </c>
    </row>
    <row r="22" spans="1:9" s="130" customFormat="1" ht="18.75" x14ac:dyDescent="0.35">
      <c r="B22" s="2072" t="s">
        <v>3248</v>
      </c>
      <c r="C22" s="2073" t="s">
        <v>3249</v>
      </c>
      <c r="D22" s="2074">
        <v>40</v>
      </c>
      <c r="E22" s="2074"/>
      <c r="F22" s="2073"/>
      <c r="G22" s="2073" t="s">
        <v>834</v>
      </c>
      <c r="H22" s="2073"/>
      <c r="I22" s="2076" t="s">
        <v>1168</v>
      </c>
    </row>
    <row r="23" spans="1:9" s="130" customFormat="1" ht="18.75" x14ac:dyDescent="0.35">
      <c r="B23" s="2072" t="s">
        <v>3250</v>
      </c>
      <c r="C23" s="2073" t="s">
        <v>3251</v>
      </c>
      <c r="D23" s="2074">
        <v>0</v>
      </c>
      <c r="E23" s="2074"/>
      <c r="F23" s="2073"/>
      <c r="G23" s="2073" t="s">
        <v>834</v>
      </c>
      <c r="H23" s="2073"/>
      <c r="I23" s="2076" t="s">
        <v>1169</v>
      </c>
    </row>
    <row r="24" spans="1:9" s="130" customFormat="1" ht="18.75" x14ac:dyDescent="0.35">
      <c r="B24" s="2072" t="s">
        <v>3252</v>
      </c>
      <c r="C24" s="2073" t="s">
        <v>3253</v>
      </c>
      <c r="D24" s="2074">
        <v>0</v>
      </c>
      <c r="E24" s="2074"/>
      <c r="F24" s="2073"/>
      <c r="G24" s="2073" t="s">
        <v>834</v>
      </c>
      <c r="H24" s="2073"/>
      <c r="I24" s="2076" t="s">
        <v>1170</v>
      </c>
    </row>
    <row r="25" spans="1:9" s="130" customFormat="1" ht="18" x14ac:dyDescent="0.25">
      <c r="B25" s="2077" t="s">
        <v>3254</v>
      </c>
      <c r="C25" s="2075" t="s">
        <v>3255</v>
      </c>
      <c r="D25" s="2078">
        <v>0</v>
      </c>
      <c r="E25" s="2078"/>
      <c r="F25" s="2078"/>
      <c r="G25" s="2075" t="s">
        <v>834</v>
      </c>
      <c r="H25" s="2078"/>
      <c r="I25" s="2079" t="s">
        <v>1178</v>
      </c>
    </row>
    <row r="26" spans="1:9" s="130" customFormat="1" ht="19.5" thickBot="1" x14ac:dyDescent="0.4">
      <c r="A26"/>
      <c r="B26" s="2080" t="s">
        <v>3256</v>
      </c>
      <c r="C26" s="2081" t="s">
        <v>3257</v>
      </c>
      <c r="D26" s="2082">
        <v>15</v>
      </c>
      <c r="E26" s="2082"/>
      <c r="F26" s="2081"/>
      <c r="G26" s="2081" t="s">
        <v>834</v>
      </c>
      <c r="H26" s="2081"/>
      <c r="I26" s="2083" t="s">
        <v>1171</v>
      </c>
    </row>
    <row r="27" spans="1:9" ht="15.75" thickBot="1" x14ac:dyDescent="0.3">
      <c r="B27"/>
      <c r="C27"/>
      <c r="D27"/>
      <c r="E27"/>
      <c r="F27"/>
      <c r="G27"/>
      <c r="H27"/>
      <c r="I27"/>
    </row>
    <row r="28" spans="1:9" ht="15.75" thickBot="1" x14ac:dyDescent="0.3">
      <c r="B28" s="152"/>
      <c r="C28" s="2063" t="s">
        <v>3258</v>
      </c>
      <c r="D28" s="152"/>
      <c r="E28" s="152"/>
      <c r="F28" s="152"/>
      <c r="G28" s="152"/>
      <c r="H28" s="152"/>
      <c r="I28" s="152"/>
    </row>
    <row r="29" spans="1:9" ht="15.75" thickBot="1" x14ac:dyDescent="0.3">
      <c r="B29" s="2064" t="s">
        <v>0</v>
      </c>
      <c r="C29" s="2065" t="s">
        <v>1</v>
      </c>
      <c r="D29" s="2065" t="s">
        <v>152</v>
      </c>
      <c r="E29" s="2066" t="s">
        <v>470</v>
      </c>
      <c r="F29" s="2066" t="s">
        <v>471</v>
      </c>
      <c r="G29" s="2065" t="s">
        <v>2</v>
      </c>
      <c r="H29" s="2065" t="s">
        <v>298</v>
      </c>
      <c r="I29" s="2067" t="s">
        <v>116</v>
      </c>
    </row>
    <row r="30" spans="1:9" ht="18.75" x14ac:dyDescent="0.35">
      <c r="B30" s="2068" t="s">
        <v>3259</v>
      </c>
      <c r="C30" s="2069" t="s">
        <v>3260</v>
      </c>
      <c r="D30" s="2070">
        <v>2.2919999999999998</v>
      </c>
      <c r="E30" s="2069"/>
      <c r="F30" s="2069"/>
      <c r="G30" s="2069" t="s">
        <v>3231</v>
      </c>
      <c r="H30" s="2069"/>
      <c r="I30" s="2071"/>
    </row>
    <row r="31" spans="1:9" ht="18.75" x14ac:dyDescent="0.35">
      <c r="B31" s="153" t="s">
        <v>3261</v>
      </c>
      <c r="C31" s="99" t="s">
        <v>3262</v>
      </c>
      <c r="D31" s="154">
        <v>3</v>
      </c>
      <c r="E31" s="99"/>
      <c r="F31" s="99"/>
      <c r="G31" s="99" t="s">
        <v>3231</v>
      </c>
      <c r="H31" s="99"/>
      <c r="I31" s="87"/>
    </row>
    <row r="32" spans="1:9" ht="18.75" x14ac:dyDescent="0.35">
      <c r="B32" s="153" t="s">
        <v>3263</v>
      </c>
      <c r="C32" s="99" t="s">
        <v>3264</v>
      </c>
      <c r="D32" s="154">
        <v>2.6659999999999999</v>
      </c>
      <c r="E32" s="99"/>
      <c r="F32" s="99"/>
      <c r="G32" s="99" t="s">
        <v>3231</v>
      </c>
      <c r="H32" s="99"/>
      <c r="I32" s="87"/>
    </row>
    <row r="33" spans="1:9" ht="18.75" x14ac:dyDescent="0.35">
      <c r="B33" s="153" t="s">
        <v>3265</v>
      </c>
      <c r="C33" s="99" t="s">
        <v>3266</v>
      </c>
      <c r="D33" s="154">
        <v>2.5329999999999999</v>
      </c>
      <c r="E33" s="99"/>
      <c r="F33" s="99"/>
      <c r="G33" s="99" t="s">
        <v>3231</v>
      </c>
      <c r="H33" s="99"/>
      <c r="I33" s="87"/>
    </row>
    <row r="34" spans="1:9" ht="18.75" x14ac:dyDescent="0.35">
      <c r="B34" s="153" t="s">
        <v>3267</v>
      </c>
      <c r="C34" s="99" t="s">
        <v>3268</v>
      </c>
      <c r="D34" s="154">
        <v>4.4020000000000001</v>
      </c>
      <c r="E34" s="99"/>
      <c r="F34" s="99"/>
      <c r="G34" s="99" t="s">
        <v>3231</v>
      </c>
      <c r="H34" s="99"/>
      <c r="I34" s="87"/>
    </row>
    <row r="35" spans="1:9" ht="18.75" x14ac:dyDescent="0.35">
      <c r="B35" s="153" t="s">
        <v>3269</v>
      </c>
      <c r="C35" s="99" t="s">
        <v>3270</v>
      </c>
      <c r="D35" s="154">
        <v>0</v>
      </c>
      <c r="E35" s="99"/>
      <c r="F35" s="99"/>
      <c r="G35" s="99" t="s">
        <v>3231</v>
      </c>
      <c r="H35" s="99"/>
      <c r="I35" s="87"/>
    </row>
    <row r="36" spans="1:9" ht="18.75" x14ac:dyDescent="0.35">
      <c r="B36" s="153" t="s">
        <v>3271</v>
      </c>
      <c r="C36" s="99" t="s">
        <v>3272</v>
      </c>
      <c r="D36" s="154">
        <v>2.73</v>
      </c>
      <c r="E36" s="99"/>
      <c r="F36" s="99"/>
      <c r="G36" s="99" t="s">
        <v>3231</v>
      </c>
      <c r="H36" s="99"/>
      <c r="I36" s="87"/>
    </row>
    <row r="37" spans="1:9" s="130" customFormat="1" ht="18" x14ac:dyDescent="0.35">
      <c r="B37" s="2072" t="s">
        <v>3273</v>
      </c>
      <c r="C37" s="2073" t="s">
        <v>3274</v>
      </c>
      <c r="D37" s="2074">
        <v>3748.91</v>
      </c>
      <c r="E37" s="2074"/>
      <c r="F37" s="2073"/>
      <c r="G37" s="2075" t="s">
        <v>834</v>
      </c>
      <c r="H37" s="2073"/>
      <c r="I37" s="2076" t="s">
        <v>3275</v>
      </c>
    </row>
    <row r="38" spans="1:9" s="130" customFormat="1" ht="18.75" x14ac:dyDescent="0.35">
      <c r="B38" s="2072" t="s">
        <v>3276</v>
      </c>
      <c r="C38" s="2073" t="s">
        <v>3277</v>
      </c>
      <c r="D38" s="2074">
        <v>10</v>
      </c>
      <c r="E38" s="2074"/>
      <c r="F38" s="2073"/>
      <c r="G38" s="2073" t="s">
        <v>834</v>
      </c>
      <c r="H38" s="2073"/>
      <c r="I38" s="2076" t="s">
        <v>3278</v>
      </c>
    </row>
    <row r="39" spans="1:9" s="130" customFormat="1" ht="18.75" x14ac:dyDescent="0.35">
      <c r="B39" s="2072" t="s">
        <v>3279</v>
      </c>
      <c r="C39" s="2073" t="s">
        <v>3280</v>
      </c>
      <c r="D39" s="2074">
        <v>40</v>
      </c>
      <c r="E39" s="2074"/>
      <c r="F39" s="2073"/>
      <c r="G39" s="2073" t="s">
        <v>834</v>
      </c>
      <c r="H39" s="2073"/>
      <c r="I39" s="2076" t="s">
        <v>3281</v>
      </c>
    </row>
    <row r="40" spans="1:9" s="130" customFormat="1" ht="18.75" x14ac:dyDescent="0.35">
      <c r="B40" s="2072" t="s">
        <v>3282</v>
      </c>
      <c r="C40" s="2073" t="s">
        <v>3283</v>
      </c>
      <c r="D40" s="2074">
        <v>0</v>
      </c>
      <c r="E40" s="2074"/>
      <c r="F40" s="2073"/>
      <c r="G40" s="2073" t="s">
        <v>834</v>
      </c>
      <c r="H40" s="2073"/>
      <c r="I40" s="2076" t="s">
        <v>3284</v>
      </c>
    </row>
    <row r="41" spans="1:9" s="130" customFormat="1" ht="18.75" x14ac:dyDescent="0.35">
      <c r="B41" s="2072" t="s">
        <v>3285</v>
      </c>
      <c r="C41" s="2073" t="s">
        <v>3286</v>
      </c>
      <c r="D41" s="2074">
        <v>0</v>
      </c>
      <c r="E41" s="2074"/>
      <c r="F41" s="2073"/>
      <c r="G41" s="2073" t="s">
        <v>834</v>
      </c>
      <c r="H41" s="2073"/>
      <c r="I41" s="2076" t="s">
        <v>3287</v>
      </c>
    </row>
    <row r="42" spans="1:9" s="130" customFormat="1" ht="18" x14ac:dyDescent="0.25">
      <c r="B42" s="2077" t="s">
        <v>3288</v>
      </c>
      <c r="C42" s="2075" t="s">
        <v>3289</v>
      </c>
      <c r="D42" s="2078">
        <v>0</v>
      </c>
      <c r="E42" s="2078"/>
      <c r="F42" s="2078"/>
      <c r="G42" s="2075" t="s">
        <v>834</v>
      </c>
      <c r="H42" s="2078"/>
      <c r="I42" s="2079" t="s">
        <v>3290</v>
      </c>
    </row>
    <row r="43" spans="1:9" s="130" customFormat="1" ht="19.5" thickBot="1" x14ac:dyDescent="0.4">
      <c r="A43" s="116"/>
      <c r="B43" s="2080" t="s">
        <v>3291</v>
      </c>
      <c r="C43" s="2081" t="s">
        <v>3292</v>
      </c>
      <c r="D43" s="2082">
        <v>15</v>
      </c>
      <c r="E43" s="2082"/>
      <c r="F43" s="2081"/>
      <c r="G43" s="2081" t="s">
        <v>834</v>
      </c>
      <c r="H43" s="2081"/>
      <c r="I43" s="2083" t="s">
        <v>3293</v>
      </c>
    </row>
    <row r="44" spans="1:9" ht="15.75" thickBot="1" x14ac:dyDescent="0.3">
      <c r="B44"/>
      <c r="C44"/>
      <c r="D44"/>
      <c r="E44"/>
      <c r="F44"/>
      <c r="G44"/>
      <c r="H44"/>
      <c r="I44"/>
    </row>
    <row r="45" spans="1:9" ht="15.75" thickBot="1" x14ac:dyDescent="0.3">
      <c r="B45" s="152"/>
      <c r="C45" s="2063" t="s">
        <v>3258</v>
      </c>
      <c r="D45" s="152"/>
      <c r="E45" s="152"/>
      <c r="F45" s="152"/>
      <c r="G45" s="152"/>
      <c r="H45" s="152"/>
      <c r="I45" s="152"/>
    </row>
    <row r="46" spans="1:9" ht="15.75" thickBot="1" x14ac:dyDescent="0.3">
      <c r="B46" s="2064" t="s">
        <v>0</v>
      </c>
      <c r="C46" s="2065" t="s">
        <v>1</v>
      </c>
      <c r="D46" s="2065" t="s">
        <v>152</v>
      </c>
      <c r="E46" s="2066" t="s">
        <v>470</v>
      </c>
      <c r="F46" s="2066" t="s">
        <v>471</v>
      </c>
      <c r="G46" s="2065" t="s">
        <v>2</v>
      </c>
      <c r="H46" s="2065" t="s">
        <v>298</v>
      </c>
      <c r="I46" s="2067" t="s">
        <v>116</v>
      </c>
    </row>
    <row r="47" spans="1:9" ht="17.25" x14ac:dyDescent="0.25">
      <c r="B47" s="2068" t="s">
        <v>5113</v>
      </c>
      <c r="C47" s="2069" t="s">
        <v>5136</v>
      </c>
      <c r="D47" s="2070">
        <v>1</v>
      </c>
      <c r="E47" s="2069"/>
      <c r="F47" s="2069"/>
      <c r="G47" s="942" t="s">
        <v>5134</v>
      </c>
      <c r="H47" s="2069">
        <v>0</v>
      </c>
      <c r="I47" s="2071"/>
    </row>
    <row r="48" spans="1:9" ht="17.25" x14ac:dyDescent="0.25">
      <c r="B48" s="153" t="s">
        <v>5114</v>
      </c>
      <c r="C48" s="99" t="s">
        <v>5137</v>
      </c>
      <c r="D48" s="154">
        <v>2</v>
      </c>
      <c r="E48" s="99"/>
      <c r="F48" s="99"/>
      <c r="G48" s="942" t="s">
        <v>5134</v>
      </c>
      <c r="H48" s="99">
        <v>0</v>
      </c>
      <c r="I48" s="87"/>
    </row>
    <row r="49" spans="2:12" ht="18" thickBot="1" x14ac:dyDescent="0.3">
      <c r="B49" s="2080" t="s">
        <v>5115</v>
      </c>
      <c r="C49" s="2081" t="s">
        <v>5135</v>
      </c>
      <c r="D49" s="2082">
        <v>1</v>
      </c>
      <c r="E49" s="2082"/>
      <c r="F49" s="2081"/>
      <c r="G49" s="2081" t="s">
        <v>5134</v>
      </c>
      <c r="H49" s="2081">
        <v>0</v>
      </c>
      <c r="I49" s="2083"/>
    </row>
    <row r="50" spans="2:12" ht="15.75" thickBot="1" x14ac:dyDescent="0.3">
      <c r="B50"/>
      <c r="C50"/>
      <c r="D50"/>
      <c r="E50"/>
      <c r="F50"/>
      <c r="G50"/>
      <c r="H50"/>
      <c r="I50"/>
    </row>
    <row r="51" spans="2:12" ht="15.75" thickBot="1" x14ac:dyDescent="0.3">
      <c r="B51" s="152"/>
      <c r="C51" s="2063" t="s">
        <v>785</v>
      </c>
      <c r="D51" s="152"/>
      <c r="E51" s="152"/>
      <c r="F51" s="152"/>
      <c r="G51" s="152"/>
      <c r="H51" s="152"/>
      <c r="I51" s="152"/>
    </row>
    <row r="52" spans="2:12" ht="15.75" thickBot="1" x14ac:dyDescent="0.3">
      <c r="B52" s="2064" t="s">
        <v>0</v>
      </c>
      <c r="C52" s="2065" t="s">
        <v>1</v>
      </c>
      <c r="D52" s="2065" t="s">
        <v>152</v>
      </c>
      <c r="E52" s="2066" t="s">
        <v>470</v>
      </c>
      <c r="F52" s="2066" t="s">
        <v>471</v>
      </c>
      <c r="G52" s="2065" t="s">
        <v>2</v>
      </c>
      <c r="H52" s="2065" t="s">
        <v>298</v>
      </c>
      <c r="I52" s="2067" t="s">
        <v>116</v>
      </c>
    </row>
    <row r="53" spans="2:12" s="103" customFormat="1" ht="30" x14ac:dyDescent="0.25">
      <c r="B53" s="2084" t="s">
        <v>3330</v>
      </c>
      <c r="C53" s="2085" t="s">
        <v>3332</v>
      </c>
      <c r="D53" s="2086">
        <v>0</v>
      </c>
      <c r="E53" s="1953">
        <v>0</v>
      </c>
      <c r="F53" s="1953" t="s">
        <v>1253</v>
      </c>
      <c r="G53" s="1811" t="s">
        <v>2004</v>
      </c>
      <c r="H53" s="1953">
        <v>1</v>
      </c>
      <c r="I53" s="1888" t="s">
        <v>3333</v>
      </c>
      <c r="J53" s="1967" t="s">
        <v>3334</v>
      </c>
    </row>
    <row r="54" spans="2:12" s="103" customFormat="1" ht="30" x14ac:dyDescent="0.25">
      <c r="B54" s="2084" t="s">
        <v>3331</v>
      </c>
      <c r="C54" s="2085" t="s">
        <v>3335</v>
      </c>
      <c r="D54" s="2086">
        <v>0</v>
      </c>
      <c r="E54" s="1953">
        <v>0</v>
      </c>
      <c r="F54" s="1953" t="s">
        <v>1253</v>
      </c>
      <c r="G54" s="1811" t="s">
        <v>2004</v>
      </c>
      <c r="H54" s="1953">
        <v>1</v>
      </c>
      <c r="I54" s="1888" t="s">
        <v>3336</v>
      </c>
      <c r="J54" s="1967" t="s">
        <v>3334</v>
      </c>
    </row>
    <row r="55" spans="2:12" ht="18.75" x14ac:dyDescent="0.35">
      <c r="B55" s="2087" t="s">
        <v>802</v>
      </c>
      <c r="C55" s="2088" t="s">
        <v>801</v>
      </c>
      <c r="D55" s="2089">
        <v>7.0000000000000001E-3</v>
      </c>
      <c r="E55" s="2088"/>
      <c r="F55" s="2088"/>
      <c r="G55" s="2073" t="s">
        <v>1879</v>
      </c>
      <c r="H55" s="2088"/>
      <c r="I55" s="2090"/>
    </row>
    <row r="56" spans="2:12" s="116" customFormat="1" ht="18" x14ac:dyDescent="0.25">
      <c r="B56" s="2091" t="s">
        <v>2428</v>
      </c>
      <c r="C56" s="2092" t="s">
        <v>2429</v>
      </c>
      <c r="D56" s="1858">
        <v>35</v>
      </c>
      <c r="E56" s="1858"/>
      <c r="F56" s="1858"/>
      <c r="G56" s="1888" t="s">
        <v>1045</v>
      </c>
      <c r="H56" s="1857"/>
      <c r="I56" s="1859"/>
      <c r="J56" s="137"/>
      <c r="K56" s="137"/>
      <c r="L56" s="137"/>
    </row>
    <row r="57" spans="2:12" s="116" customFormat="1" ht="18.75" thickBot="1" x14ac:dyDescent="0.3">
      <c r="B57" s="2093" t="s">
        <v>2430</v>
      </c>
      <c r="C57" s="2094" t="s">
        <v>2431</v>
      </c>
      <c r="D57" s="2095">
        <v>150</v>
      </c>
      <c r="E57" s="2095"/>
      <c r="F57" s="2095"/>
      <c r="G57" s="2096" t="s">
        <v>1047</v>
      </c>
      <c r="H57" s="2097"/>
      <c r="I57" s="2098"/>
      <c r="J57" s="137"/>
      <c r="K57" s="137"/>
      <c r="L57" s="137"/>
    </row>
    <row r="58" spans="2:12" s="160" customFormat="1" ht="15.75" thickBot="1" x14ac:dyDescent="0.3">
      <c r="B58" s="135"/>
      <c r="C58" s="155"/>
      <c r="D58" s="156"/>
      <c r="E58" s="157"/>
      <c r="F58" s="158"/>
      <c r="G58" s="156"/>
      <c r="H58" s="156"/>
      <c r="I58" s="159"/>
    </row>
    <row r="59" spans="2:12" s="160" customFormat="1" ht="15.75" thickBot="1" x14ac:dyDescent="0.3">
      <c r="B59" s="135"/>
      <c r="C59" s="2063" t="s">
        <v>1172</v>
      </c>
      <c r="D59" s="156"/>
      <c r="E59" s="157"/>
      <c r="F59" s="158"/>
      <c r="G59" s="156"/>
      <c r="H59" s="156"/>
      <c r="I59" s="159"/>
    </row>
    <row r="60" spans="2:12" s="160" customFormat="1" ht="15.75" thickBot="1" x14ac:dyDescent="0.3">
      <c r="B60" s="2064" t="s">
        <v>0</v>
      </c>
      <c r="C60" s="2065" t="s">
        <v>1</v>
      </c>
      <c r="D60" s="2065" t="s">
        <v>152</v>
      </c>
      <c r="E60" s="2066" t="s">
        <v>470</v>
      </c>
      <c r="F60" s="2066" t="s">
        <v>471</v>
      </c>
      <c r="G60" s="2065" t="s">
        <v>2</v>
      </c>
      <c r="H60" s="2065" t="s">
        <v>298</v>
      </c>
      <c r="I60" s="2067" t="s">
        <v>116</v>
      </c>
    </row>
    <row r="61" spans="2:12" s="160" customFormat="1" ht="15.75" thickBot="1" x14ac:dyDescent="0.3">
      <c r="B61" s="2099" t="s">
        <v>791</v>
      </c>
      <c r="C61" s="2100" t="s">
        <v>786</v>
      </c>
      <c r="D61" s="2101" t="b">
        <v>0</v>
      </c>
      <c r="E61" s="2100"/>
      <c r="F61" s="2100"/>
      <c r="G61" s="2100"/>
      <c r="H61" s="2100"/>
      <c r="I61" s="2102" t="s">
        <v>787</v>
      </c>
    </row>
    <row r="62" spans="2:12" s="160" customFormat="1" ht="15.75" thickBot="1" x14ac:dyDescent="0.3"/>
    <row r="63" spans="2:12" s="160" customFormat="1" ht="15.75" thickBot="1" x14ac:dyDescent="0.3">
      <c r="B63" s="2103" t="s">
        <v>1173</v>
      </c>
      <c r="C63" s="2063" t="s">
        <v>1174</v>
      </c>
      <c r="D63" s="152"/>
      <c r="E63" s="152"/>
      <c r="F63" s="152"/>
      <c r="G63" s="152"/>
      <c r="H63" s="152"/>
      <c r="I63" s="152"/>
    </row>
    <row r="64" spans="2:12" s="160" customFormat="1" ht="15.75" thickBot="1" x14ac:dyDescent="0.3">
      <c r="B64" s="2064" t="s">
        <v>0</v>
      </c>
      <c r="C64" s="2065" t="s">
        <v>1</v>
      </c>
      <c r="D64" s="2065" t="s">
        <v>152</v>
      </c>
      <c r="E64" s="2066" t="s">
        <v>470</v>
      </c>
      <c r="F64" s="2066" t="s">
        <v>471</v>
      </c>
      <c r="G64" s="2065" t="s">
        <v>2</v>
      </c>
      <c r="H64" s="2065" t="s">
        <v>298</v>
      </c>
      <c r="I64" s="2067" t="s">
        <v>116</v>
      </c>
    </row>
    <row r="65" spans="2:9" s="160" customFormat="1" x14ac:dyDescent="0.25">
      <c r="B65" s="2104" t="s">
        <v>1175</v>
      </c>
      <c r="C65" s="2105"/>
      <c r="D65" s="2105" t="b">
        <v>0</v>
      </c>
      <c r="E65" s="2105"/>
      <c r="F65" s="2105"/>
      <c r="G65" s="2105"/>
      <c r="H65" s="2105"/>
      <c r="I65" s="2106" t="s">
        <v>1176</v>
      </c>
    </row>
    <row r="66" spans="2:9" s="160" customFormat="1" x14ac:dyDescent="0.25">
      <c r="B66" s="1764" t="s">
        <v>1254</v>
      </c>
      <c r="C66" s="2107"/>
      <c r="D66" s="2107" t="b">
        <v>0</v>
      </c>
      <c r="E66" s="2107"/>
      <c r="F66" s="2107"/>
      <c r="G66" s="2107"/>
      <c r="H66" s="2107"/>
      <c r="I66" s="1765" t="s">
        <v>1176</v>
      </c>
    </row>
    <row r="67" spans="2:9" s="160" customFormat="1" x14ac:dyDescent="0.25">
      <c r="B67" s="1764" t="s">
        <v>11</v>
      </c>
      <c r="C67" s="2107"/>
      <c r="D67" s="2107" t="b">
        <v>1</v>
      </c>
      <c r="E67" s="2107"/>
      <c r="F67" s="2107"/>
      <c r="G67" s="2107"/>
      <c r="H67" s="2107"/>
      <c r="I67" s="1765" t="s">
        <v>1176</v>
      </c>
    </row>
    <row r="68" spans="2:9" s="160" customFormat="1" x14ac:dyDescent="0.25">
      <c r="B68" s="1764" t="s">
        <v>15</v>
      </c>
      <c r="C68" s="2107"/>
      <c r="D68" s="2107" t="b">
        <v>0</v>
      </c>
      <c r="E68" s="2107"/>
      <c r="F68" s="2107"/>
      <c r="G68" s="2107"/>
      <c r="H68" s="2107"/>
      <c r="I68" s="1765" t="s">
        <v>1176</v>
      </c>
    </row>
    <row r="69" spans="2:9" s="160" customFormat="1" x14ac:dyDescent="0.25">
      <c r="B69" s="1764" t="s">
        <v>4456</v>
      </c>
      <c r="C69" s="2107"/>
      <c r="D69" s="2107" t="b">
        <v>0</v>
      </c>
      <c r="E69" s="2107"/>
      <c r="F69" s="2107"/>
      <c r="G69" s="2107"/>
      <c r="H69" s="2107"/>
      <c r="I69" s="1765" t="s">
        <v>1176</v>
      </c>
    </row>
    <row r="70" spans="2:9" x14ac:dyDescent="0.25">
      <c r="B70" s="1764" t="s">
        <v>2101</v>
      </c>
      <c r="C70" s="2107"/>
      <c r="D70" s="2107" t="b">
        <v>1</v>
      </c>
      <c r="E70" s="2107"/>
      <c r="F70" s="2107"/>
      <c r="G70" s="2107"/>
      <c r="H70" s="2107"/>
      <c r="I70" s="1765" t="s">
        <v>1176</v>
      </c>
    </row>
    <row r="71" spans="2:9" x14ac:dyDescent="0.25">
      <c r="B71" s="1764" t="s">
        <v>329</v>
      </c>
      <c r="C71" s="2107"/>
      <c r="D71" s="2107" t="b">
        <v>1</v>
      </c>
      <c r="E71" s="2107"/>
      <c r="F71" s="2107"/>
      <c r="G71" s="2107"/>
      <c r="H71" s="2107"/>
      <c r="I71" s="1765" t="s">
        <v>1176</v>
      </c>
    </row>
    <row r="72" spans="2:9" x14ac:dyDescent="0.25">
      <c r="B72" s="1764" t="s">
        <v>1209</v>
      </c>
      <c r="C72" s="2088"/>
      <c r="D72" s="2107" t="b">
        <v>0</v>
      </c>
      <c r="E72" s="2088"/>
      <c r="F72" s="2088"/>
      <c r="G72" s="2088"/>
      <c r="H72" s="2088"/>
      <c r="I72" s="1765" t="s">
        <v>1176</v>
      </c>
    </row>
    <row r="73" spans="2:9" x14ac:dyDescent="0.25">
      <c r="B73" s="1764" t="s">
        <v>1602</v>
      </c>
      <c r="C73" s="2088"/>
      <c r="D73" s="2107" t="b">
        <v>0</v>
      </c>
      <c r="E73" s="2088"/>
      <c r="F73" s="2088"/>
      <c r="G73" s="2088"/>
      <c r="H73" s="2088"/>
      <c r="I73" s="1765" t="s">
        <v>1176</v>
      </c>
    </row>
    <row r="74" spans="2:9" x14ac:dyDescent="0.25">
      <c r="B74" s="1764" t="s">
        <v>1613</v>
      </c>
      <c r="C74" s="2107"/>
      <c r="D74" s="2107" t="b">
        <v>1</v>
      </c>
      <c r="E74" s="2107"/>
      <c r="F74" s="2107"/>
      <c r="G74" s="2107"/>
      <c r="H74" s="2107"/>
      <c r="I74" s="1765" t="s">
        <v>1176</v>
      </c>
    </row>
    <row r="75" spans="2:9" x14ac:dyDescent="0.25">
      <c r="B75" s="1764" t="s">
        <v>4457</v>
      </c>
      <c r="C75" s="2107"/>
      <c r="D75" s="2107" t="b">
        <v>1</v>
      </c>
      <c r="E75" s="2107"/>
      <c r="F75" s="2107"/>
      <c r="G75" s="2107"/>
      <c r="H75" s="2107"/>
      <c r="I75" s="1765" t="s">
        <v>1176</v>
      </c>
    </row>
    <row r="76" spans="2:9" x14ac:dyDescent="0.25">
      <c r="B76" s="1764" t="s">
        <v>4458</v>
      </c>
      <c r="C76" s="2107"/>
      <c r="D76" s="2107" t="b">
        <v>0</v>
      </c>
      <c r="E76" s="2107"/>
      <c r="F76" s="2107"/>
      <c r="G76" s="2107"/>
      <c r="H76" s="2107"/>
      <c r="I76" s="1765" t="s">
        <v>1176</v>
      </c>
    </row>
    <row r="77" spans="2:9" x14ac:dyDescent="0.25">
      <c r="B77" s="1764" t="s">
        <v>4459</v>
      </c>
      <c r="C77" s="2107"/>
      <c r="D77" s="2107" t="b">
        <v>0</v>
      </c>
      <c r="E77" s="2107"/>
      <c r="F77" s="2107"/>
      <c r="G77" s="2107"/>
      <c r="H77" s="2107"/>
      <c r="I77" s="1765" t="s">
        <v>1176</v>
      </c>
    </row>
    <row r="78" spans="2:9" x14ac:dyDescent="0.25">
      <c r="B78" s="1764" t="s">
        <v>4460</v>
      </c>
      <c r="C78" s="2107"/>
      <c r="D78" s="2107" t="b">
        <v>0</v>
      </c>
      <c r="E78" s="2107"/>
      <c r="F78" s="2107"/>
      <c r="G78" s="2107"/>
      <c r="H78" s="2107"/>
      <c r="I78" s="1765" t="s">
        <v>1176</v>
      </c>
    </row>
    <row r="79" spans="2:9" x14ac:dyDescent="0.25">
      <c r="B79" s="1764" t="s">
        <v>4461</v>
      </c>
      <c r="C79" s="2107"/>
      <c r="D79" s="2107" t="b">
        <v>0</v>
      </c>
      <c r="E79" s="2107"/>
      <c r="F79" s="2107"/>
      <c r="G79" s="2107"/>
      <c r="H79" s="2107"/>
      <c r="I79" s="1765" t="s">
        <v>1176</v>
      </c>
    </row>
    <row r="80" spans="2:9" x14ac:dyDescent="0.25">
      <c r="B80" s="1764" t="s">
        <v>4067</v>
      </c>
      <c r="C80" s="2107"/>
      <c r="D80" s="2107" t="b">
        <v>0</v>
      </c>
      <c r="E80" s="2107"/>
      <c r="F80" s="2107"/>
      <c r="G80" s="2107"/>
      <c r="H80" s="2107"/>
      <c r="I80" s="1765" t="s">
        <v>1176</v>
      </c>
    </row>
    <row r="81" spans="1:10" x14ac:dyDescent="0.25">
      <c r="B81" s="1764" t="s">
        <v>4462</v>
      </c>
      <c r="C81" s="2107"/>
      <c r="D81" s="2107" t="b">
        <v>0</v>
      </c>
      <c r="E81" s="2107"/>
      <c r="F81" s="2107"/>
      <c r="G81" s="2107"/>
      <c r="H81" s="2107"/>
      <c r="I81" s="1765" t="s">
        <v>1176</v>
      </c>
    </row>
    <row r="82" spans="1:10" x14ac:dyDescent="0.25">
      <c r="B82" s="1764" t="s">
        <v>4068</v>
      </c>
      <c r="C82" s="2107"/>
      <c r="D82" s="2107" t="b">
        <v>0</v>
      </c>
      <c r="E82" s="2107"/>
      <c r="F82" s="2107"/>
      <c r="G82" s="2107"/>
      <c r="H82" s="2107"/>
      <c r="I82" s="1765" t="s">
        <v>1176</v>
      </c>
    </row>
    <row r="83" spans="1:10" ht="15.75" thickBot="1" x14ac:dyDescent="0.3">
      <c r="B83" s="1766" t="s">
        <v>4070</v>
      </c>
      <c r="C83" s="1767"/>
      <c r="D83" s="1767" t="b">
        <v>0</v>
      </c>
      <c r="E83" s="1767"/>
      <c r="F83" s="1767"/>
      <c r="G83" s="1767"/>
      <c r="H83" s="1767"/>
      <c r="I83" s="1768" t="s">
        <v>1176</v>
      </c>
    </row>
    <row r="85" spans="1:10" s="3" customFormat="1" x14ac:dyDescent="0.25">
      <c r="B85" s="4"/>
      <c r="C85" s="4"/>
    </row>
    <row r="86" spans="1:10" s="2111" customFormat="1" ht="15.75" thickBot="1" x14ac:dyDescent="0.3">
      <c r="B86" s="2108"/>
      <c r="C86" s="2109" t="s">
        <v>4662</v>
      </c>
      <c r="D86" s="2108"/>
      <c r="E86" s="2110"/>
      <c r="F86" s="2110"/>
      <c r="G86" s="2110"/>
      <c r="H86" s="2110"/>
    </row>
    <row r="87" spans="1:10" s="2111" customFormat="1" ht="15.75" thickBot="1" x14ac:dyDescent="0.3">
      <c r="B87" s="2112" t="s">
        <v>0</v>
      </c>
      <c r="C87" s="2113" t="s">
        <v>1</v>
      </c>
      <c r="D87" s="2109" t="s">
        <v>839</v>
      </c>
      <c r="E87" s="2109" t="s">
        <v>470</v>
      </c>
      <c r="F87" s="2109" t="s">
        <v>471</v>
      </c>
      <c r="G87" s="2109" t="s">
        <v>2</v>
      </c>
      <c r="H87" s="2109" t="s">
        <v>298</v>
      </c>
      <c r="I87" s="2109" t="s">
        <v>116</v>
      </c>
      <c r="J87" s="2109" t="s">
        <v>117</v>
      </c>
    </row>
    <row r="88" spans="1:10" s="2114" customFormat="1" ht="18" x14ac:dyDescent="0.25">
      <c r="B88" s="956" t="s">
        <v>4710</v>
      </c>
      <c r="C88" s="956" t="s">
        <v>4663</v>
      </c>
      <c r="D88" s="956">
        <v>200</v>
      </c>
      <c r="E88" s="956">
        <v>0</v>
      </c>
      <c r="F88" s="956" t="s">
        <v>3065</v>
      </c>
      <c r="G88" s="956" t="s">
        <v>4664</v>
      </c>
      <c r="H88" s="956">
        <v>0</v>
      </c>
      <c r="I88" s="942"/>
      <c r="J88" s="956"/>
    </row>
    <row r="89" spans="1:10" s="2117" customFormat="1" ht="18" x14ac:dyDescent="0.25">
      <c r="A89" s="2115"/>
      <c r="B89" s="942" t="s">
        <v>4711</v>
      </c>
      <c r="C89" s="942" t="s">
        <v>4665</v>
      </c>
      <c r="D89" s="2116">
        <v>120</v>
      </c>
      <c r="E89" s="956">
        <v>0</v>
      </c>
      <c r="F89" s="956" t="s">
        <v>3065</v>
      </c>
      <c r="G89" s="942" t="s">
        <v>4664</v>
      </c>
      <c r="H89" s="4"/>
    </row>
    <row r="90" spans="1:10" s="2117" customFormat="1" ht="18" x14ac:dyDescent="0.25">
      <c r="A90" s="2115"/>
      <c r="B90" s="942" t="s">
        <v>4712</v>
      </c>
      <c r="C90" s="942" t="s">
        <v>4666</v>
      </c>
      <c r="D90" s="2116">
        <v>1000</v>
      </c>
      <c r="E90" s="956">
        <v>0</v>
      </c>
      <c r="F90" s="956" t="s">
        <v>3065</v>
      </c>
      <c r="G90" s="942" t="s">
        <v>4667</v>
      </c>
      <c r="H90" s="4"/>
    </row>
  </sheetData>
  <conditionalFormatting sqref="A85:XFD87 A88 C88:XFD88">
    <cfRule type="cellIs" dxfId="12" priority="13" stopIfTrue="1" operator="notEqual">
      <formula>INDIRECT("Dummy_for_Comparison3!"&amp;ADDRESS(ROW(),COLUMN()))</formula>
    </cfRule>
  </conditionalFormatting>
  <conditionalFormatting sqref="G87 G86:K86">
    <cfRule type="cellIs" dxfId="11" priority="12" stopIfTrue="1" operator="notEqual">
      <formula>INDIRECT("Dummy_for_Comparison3!"&amp;ADDRESS(ROW(),COLUMN()))</formula>
    </cfRule>
  </conditionalFormatting>
  <conditionalFormatting sqref="K88:XFD88 A88 C88:F88">
    <cfRule type="cellIs" dxfId="10" priority="11" stopIfTrue="1" operator="notEqual">
      <formula>INDIRECT("Dummy_for_Comparison3!"&amp;ADDRESS(ROW(),COLUMN()))</formula>
    </cfRule>
  </conditionalFormatting>
  <conditionalFormatting sqref="G88:H88 J88">
    <cfRule type="cellIs" dxfId="9" priority="10" stopIfTrue="1" operator="notEqual">
      <formula>INDIRECT("Dummy_for_Comparison3!"&amp;ADDRESS(ROW(),COLUMN()))</formula>
    </cfRule>
  </conditionalFormatting>
  <conditionalFormatting sqref="H87:J87">
    <cfRule type="cellIs" dxfId="8" priority="9" stopIfTrue="1" operator="notEqual">
      <formula>INDIRECT("Dummy_for_Comparison3!"&amp;ADDRESS(ROW(),COLUMN()))</formula>
    </cfRule>
  </conditionalFormatting>
  <conditionalFormatting sqref="I89:XFD90 A89:A90 G89:G90 C89:D90">
    <cfRule type="cellIs" dxfId="7" priority="8" stopIfTrue="1" operator="notEqual">
      <formula>INDIRECT("Dummy_for_Comparison5!"&amp;ADDRESS(ROW(),COLUMN()))</formula>
    </cfRule>
  </conditionalFormatting>
  <conditionalFormatting sqref="E89:F89">
    <cfRule type="cellIs" dxfId="6" priority="7" stopIfTrue="1" operator="notEqual">
      <formula>INDIRECT("Dummy_for_Comparison3!"&amp;ADDRESS(ROW(),COLUMN()))</formula>
    </cfRule>
  </conditionalFormatting>
  <conditionalFormatting sqref="E89:F89">
    <cfRule type="cellIs" dxfId="5" priority="6" stopIfTrue="1" operator="notEqual">
      <formula>INDIRECT("Dummy_for_Comparison3!"&amp;ADDRESS(ROW(),COLUMN()))</formula>
    </cfRule>
  </conditionalFormatting>
  <conditionalFormatting sqref="E90:F90">
    <cfRule type="cellIs" dxfId="4" priority="5" stopIfTrue="1" operator="notEqual">
      <formula>INDIRECT("Dummy_for_Comparison3!"&amp;ADDRESS(ROW(),COLUMN()))</formula>
    </cfRule>
  </conditionalFormatting>
  <conditionalFormatting sqref="E90:F90">
    <cfRule type="cellIs" dxfId="3" priority="4" stopIfTrue="1" operator="notEqual">
      <formula>INDIRECT("Dummy_for_Comparison3!"&amp;ADDRESS(ROW(),COLUMN()))</formula>
    </cfRule>
  </conditionalFormatting>
  <conditionalFormatting sqref="B88">
    <cfRule type="cellIs" dxfId="2" priority="3" stopIfTrue="1" operator="notEqual">
      <formula>INDIRECT("Dummy_for_Comparison3!"&amp;ADDRESS(ROW(),COLUMN()))</formula>
    </cfRule>
  </conditionalFormatting>
  <conditionalFormatting sqref="B88">
    <cfRule type="cellIs" dxfId="1" priority="2" stopIfTrue="1" operator="notEqual">
      <formula>INDIRECT("Dummy_for_Comparison3!"&amp;ADDRESS(ROW(),COLUMN()))</formula>
    </cfRule>
  </conditionalFormatting>
  <conditionalFormatting sqref="B89:B90">
    <cfRule type="cellIs" dxfId="0" priority="1" stopIfTrue="1" operator="notEqual">
      <formula>INDIRECT("Dummy_for_Comparison5!"&amp;ADDRESS(ROW(),COLUMN()))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16</vt:i4>
      </vt:variant>
      <vt:variant>
        <vt:lpstr>Plages nommées</vt:lpstr>
      </vt:variant>
      <vt:variant>
        <vt:i4>10509</vt:i4>
      </vt:variant>
    </vt:vector>
  </HeadingPairs>
  <TitlesOfParts>
    <vt:vector size="10525" baseType="lpstr">
      <vt:lpstr>Help</vt:lpstr>
      <vt:lpstr>Parameters</vt:lpstr>
      <vt:lpstr>PU parameters</vt:lpstr>
      <vt:lpstr>Model</vt:lpstr>
      <vt:lpstr>pH</vt:lpstr>
      <vt:lpstr>Species</vt:lpstr>
      <vt:lpstr>Tableau</vt:lpstr>
      <vt:lpstr>Components</vt:lpstr>
      <vt:lpstr>Algebraic model</vt:lpstr>
      <vt:lpstr>Expert knowledge</vt:lpstr>
      <vt:lpstr>Calculated variables</vt:lpstr>
      <vt:lpstr>systemcode_constants</vt:lpstr>
      <vt:lpstr>Functions</vt:lpstr>
      <vt:lpstr>Code</vt:lpstr>
      <vt:lpstr>systemcode_functions</vt:lpstr>
      <vt:lpstr>other parameters</vt:lpstr>
      <vt:lpstr>µ_ALGAE</vt:lpstr>
      <vt:lpstr>µ_ALGAE_T</vt:lpstr>
      <vt:lpstr>µ_AMETO</vt:lpstr>
      <vt:lpstr>µ_AMETO_T</vt:lpstr>
      <vt:lpstr>µ_AMX</vt:lpstr>
      <vt:lpstr>µ_AMX_T</vt:lpstr>
      <vt:lpstr>µ_AOB</vt:lpstr>
      <vt:lpstr>µ_AOB_T</vt:lpstr>
      <vt:lpstr>µ_CASTO</vt:lpstr>
      <vt:lpstr>µ_CASTO_T</vt:lpstr>
      <vt:lpstr>µ_FERM_OHO</vt:lpstr>
      <vt:lpstr>µ_FERM_OHO_T</vt:lpstr>
      <vt:lpstr>µ_FERM_PAO</vt:lpstr>
      <vt:lpstr>µ_FERM_PAO_T</vt:lpstr>
      <vt:lpstr>µ_HMETO</vt:lpstr>
      <vt:lpstr>µ_HMETO_T</vt:lpstr>
      <vt:lpstr>µ_MEOLO</vt:lpstr>
      <vt:lpstr>µ_MEOLO_T</vt:lpstr>
      <vt:lpstr>µ_NOB</vt:lpstr>
      <vt:lpstr>µ_NOB_T</vt:lpstr>
      <vt:lpstr>µ_OHO</vt:lpstr>
      <vt:lpstr>µ_OHO_T</vt:lpstr>
      <vt:lpstr>µ_PAO_lim</vt:lpstr>
      <vt:lpstr>µ_PAO_lim_T</vt:lpstr>
      <vt:lpstr>A_AR</vt:lpstr>
      <vt:lpstr>A_Davies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A_MCs</vt:lpstr>
      <vt:lpstr>A_MCu</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A_SFHAO_H</vt:lpstr>
      <vt:lpstr>A_SFHAO_L</vt:lpstr>
      <vt:lpstr>A_SFHFO_H</vt:lpstr>
      <vt:lpstr>A_SFHFO_L</vt:lpstr>
      <vt:lpstr>A_UR</vt:lpstr>
      <vt:lpstr>actferm_PAO_ORP</vt:lpstr>
      <vt:lpstr>actGAO</vt:lpstr>
      <vt:lpstr>actPAO</vt:lpstr>
      <vt:lpstr>actsto_GAO_ORP</vt:lpstr>
      <vt:lpstr>actsto_PAO_ORP</vt:lpstr>
      <vt:lpstr>b_ALGAE</vt:lpstr>
      <vt:lpstr>b_ALGAE_T</vt:lpstr>
      <vt:lpstr>b_AMETO</vt:lpstr>
      <vt:lpstr>b_AMETO_T</vt:lpstr>
      <vt:lpstr>b_AMX</vt:lpstr>
      <vt:lpstr>b_AMX_T</vt:lpstr>
      <vt:lpstr>b_AOB</vt:lpstr>
      <vt:lpstr>b_AOB_T</vt:lpstr>
      <vt:lpstr>b_CASTO</vt:lpstr>
      <vt:lpstr>b_CASTO_T</vt:lpstr>
      <vt:lpstr>B_ellinhpH</vt:lpstr>
      <vt:lpstr>B_ellinhpH_AMETO</vt:lpstr>
      <vt:lpstr>B_ellinhpH_AOB</vt:lpstr>
      <vt:lpstr>B_ellinhpH_FLOC_HAO</vt:lpstr>
      <vt:lpstr>B_ellinhpH_FLOC_HFO</vt:lpstr>
      <vt:lpstr>B_ellinhpH_HMETO</vt:lpstr>
      <vt:lpstr>B_ellinhpH_NOB</vt:lpstr>
      <vt:lpstr>B_H2O</vt:lpstr>
      <vt:lpstr>b_HMETO</vt:lpstr>
      <vt:lpstr>b_HMETO_T</vt:lpstr>
      <vt:lpstr>b_MEOLO</vt:lpstr>
      <vt:lpstr>b_MEOLO_T</vt:lpstr>
      <vt:lpstr>b_NOB</vt:lpstr>
      <vt:lpstr>b_NOB_T</vt:lpstr>
      <vt:lpstr>b_OHO</vt:lpstr>
      <vt:lpstr>b_OHO_T</vt:lpstr>
      <vt:lpstr>b_PP_ana</vt:lpstr>
      <vt:lpstr>b_PP_ana_T</vt:lpstr>
      <vt:lpstr>b_STC</vt:lpstr>
      <vt:lpstr>b_STC_T</vt:lpstr>
      <vt:lpstr>C_B</vt:lpstr>
      <vt:lpstr>c_cm_m</vt:lpstr>
      <vt:lpstr>c_cm2_m2</vt:lpstr>
      <vt:lpstr>c_cm3_m3</vt:lpstr>
      <vt:lpstr>c_d_mon</vt:lpstr>
      <vt:lpstr>c_d_w</vt:lpstr>
      <vt:lpstr>c_d_y</vt:lpstr>
      <vt:lpstr>c_ft_m</vt:lpstr>
      <vt:lpstr>c_ft2_m2</vt:lpstr>
      <vt:lpstr>c_ft3_m3</vt:lpstr>
      <vt:lpstr>c_g_kg</vt:lpstr>
      <vt:lpstr>c_G_m3</vt:lpstr>
      <vt:lpstr>c_g_ton</vt:lpstr>
      <vt:lpstr>c_h_d</vt:lpstr>
      <vt:lpstr>C_H2O</vt:lpstr>
      <vt:lpstr>c_hargebalance</vt:lpstr>
      <vt:lpstr>c_hargebalanceerror</vt:lpstr>
      <vt:lpstr>c_kJ_MJ</vt:lpstr>
      <vt:lpstr>c_L_m3</vt:lpstr>
      <vt:lpstr>c_lbs_g</vt:lpstr>
      <vt:lpstr>c_mg_g</vt:lpstr>
      <vt:lpstr>c_MG_m3</vt:lpstr>
      <vt:lpstr>c_micron_m</vt:lpstr>
      <vt:lpstr>c_min_d</vt:lpstr>
      <vt:lpstr>c_min_h</vt:lpstr>
      <vt:lpstr>c_mm_m</vt:lpstr>
      <vt:lpstr>c_mmol_mol</vt:lpstr>
      <vt:lpstr>c_ms_d</vt:lpstr>
      <vt:lpstr>c_ms_h</vt:lpstr>
      <vt:lpstr>c_ms_min</vt:lpstr>
      <vt:lpstr>c_ms_s</vt:lpstr>
      <vt:lpstr>c_oeffdamp_ALPHA</vt:lpstr>
      <vt:lpstr>c_oefflead_TSS_α_mech</vt:lpstr>
      <vt:lpstr>c_oefflin_TSS_α_mech</vt:lpstr>
      <vt:lpstr>c_onstTSS_α_mech</vt:lpstr>
      <vt:lpstr>c_orrh_diff_α</vt:lpstr>
      <vt:lpstr>c_orrTSS_α</vt:lpstr>
      <vt:lpstr>C_OUR</vt:lpstr>
      <vt:lpstr>c_p_water</vt:lpstr>
      <vt:lpstr>c_Pa_bar</vt:lpstr>
      <vt:lpstr>c_Pa_Hgmm</vt:lpstr>
      <vt:lpstr>c_Pa_mbar</vt:lpstr>
      <vt:lpstr>c_Pa_MPa</vt:lpstr>
      <vt:lpstr>c_percent_fraction</vt:lpstr>
      <vt:lpstr>c_percent_Vconc</vt:lpstr>
      <vt:lpstr>c_ppm_Vconc</vt:lpstr>
      <vt:lpstr>c_s_d</vt:lpstr>
      <vt:lpstr>c_s_h</vt:lpstr>
      <vt:lpstr>c_s_min</vt:lpstr>
      <vt:lpstr>C_U</vt:lpstr>
      <vt:lpstr>c_W_kW</vt:lpstr>
      <vt:lpstr>conc_Acm_I</vt:lpstr>
      <vt:lpstr>conc_Acm_Ieq</vt:lpstr>
      <vt:lpstr>conc_ANm_I</vt:lpstr>
      <vt:lpstr>conc_Ca2p_I</vt:lpstr>
      <vt:lpstr>conc_CATp_I</vt:lpstr>
      <vt:lpstr>conc_CO32m_I</vt:lpstr>
      <vt:lpstr>conc_Fe2p_I</vt:lpstr>
      <vt:lpstr>conc_H2CO3_I</vt:lpstr>
      <vt:lpstr>conc_H2PO4m_I</vt:lpstr>
      <vt:lpstr>conc_H2PO4m_Ieq</vt:lpstr>
      <vt:lpstr>conc_H3PO4_I</vt:lpstr>
      <vt:lpstr>conc_HAc_I</vt:lpstr>
      <vt:lpstr>conc_HCO3m_I</vt:lpstr>
      <vt:lpstr>conc_HNO2_I</vt:lpstr>
      <vt:lpstr>conc_Hp_I</vt:lpstr>
      <vt:lpstr>conc_Hp_Ieq</vt:lpstr>
      <vt:lpstr>conc_HPO42m_I</vt:lpstr>
      <vt:lpstr>conc_HPO42m_Ieq</vt:lpstr>
      <vt:lpstr>conc_Kp_I</vt:lpstr>
      <vt:lpstr>conc_Mg2p_I</vt:lpstr>
      <vt:lpstr>conc_NH3_I</vt:lpstr>
      <vt:lpstr>conc_NH4p_I</vt:lpstr>
      <vt:lpstr>conc_NO2m_I</vt:lpstr>
      <vt:lpstr>conc_NO2m_Ieq</vt:lpstr>
      <vt:lpstr>conc_NO3m_I</vt:lpstr>
      <vt:lpstr>conc_OHm_I</vt:lpstr>
      <vt:lpstr>conc_PO43m_I</vt:lpstr>
      <vt:lpstr>d_ampALPHA</vt:lpstr>
      <vt:lpstr>D_CB</vt:lpstr>
      <vt:lpstr>D_CU</vt:lpstr>
      <vt:lpstr>D_eltaHbio</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d_Hdiss_But</vt:lpstr>
      <vt:lpstr>d_Hdiss_CO2_1</vt:lpstr>
      <vt:lpstr>d_Hdiss_CO2_2</vt:lpstr>
      <vt:lpstr>d_Hdiss_H2O</vt:lpstr>
      <vt:lpstr>d_Hdiss_NO2</vt:lpstr>
      <vt:lpstr>d_Hdiss_PO4_1</vt:lpstr>
      <vt:lpstr>d_Hdiss_PO4_2</vt:lpstr>
      <vt:lpstr>d_Hdiss_PO4_3</vt:lpstr>
      <vt:lpstr>d_Hdiss_Prop</vt:lpstr>
      <vt:lpstr>d_Hdiss_S_1</vt:lpstr>
      <vt:lpstr>d_Hdiss_S_2</vt:lpstr>
      <vt:lpstr>d_Hdiss_SO4_1</vt:lpstr>
      <vt:lpstr>d_Hdiss_SO4_2</vt:lpstr>
      <vt:lpstr>d_Hdiss_Val</vt:lpstr>
      <vt:lpstr>d_Hdiss_VFA</vt:lpstr>
      <vt:lpstr>d_Hion_amm</vt:lpstr>
      <vt:lpstr>d_HMgCO3</vt:lpstr>
      <vt:lpstr>d_HMgH2PO4p</vt:lpstr>
      <vt:lpstr>d_HMgHCO3p</vt:lpstr>
      <vt:lpstr>d_HMgHPO4</vt:lpstr>
      <vt:lpstr>d_HMgOHp</vt:lpstr>
      <vt:lpstr>d_HMgPO4m</vt:lpstr>
      <vt:lpstr>d_HNaHPO4m</vt:lpstr>
      <vt:lpstr>D_isplay_µALGAE_T</vt:lpstr>
      <vt:lpstr>D_isplay_µAOB_T</vt:lpstr>
      <vt:lpstr>D_isplay_BellinhpH_AOB</vt:lpstr>
      <vt:lpstr>D_isplay_LightSwitch</vt:lpstr>
      <vt:lpstr>D_isplay_LogsatpHCO2_AOB</vt:lpstr>
      <vt:lpstr>D_isplay_MinhpHHNO2_AOB</vt:lpstr>
      <vt:lpstr>D_isplay_MinhpHNH3_NITO</vt:lpstr>
      <vt:lpstr>D_isplay_MinhSNHx_KiNHx_ALGAE</vt:lpstr>
      <vt:lpstr>D_isplay_MsatSALK_KALK</vt:lpstr>
      <vt:lpstr>D_isplay_MsatSAN_KAN</vt:lpstr>
      <vt:lpstr>D_isplay_MsatSCa_KCa</vt:lpstr>
      <vt:lpstr>D_isplay_MsatSCAT_KCAT</vt:lpstr>
      <vt:lpstr>D_isplay_MsatSCO2_KCO2_ALGAE</vt:lpstr>
      <vt:lpstr>D_isplay_MsatSMg_KMg</vt:lpstr>
      <vt:lpstr>D_isplay_MsatSNHx_KNHx_ALGAE</vt:lpstr>
      <vt:lpstr>D_isplay_MsatSNHx_KNHx_AOB</vt:lpstr>
      <vt:lpstr>D_isplay_MsatSNOx_KNOx_ALGAE</vt:lpstr>
      <vt:lpstr>D_isplay_MsatSO2_KO2_AOB</vt:lpstr>
      <vt:lpstr>D_isplay_MsatSPO4_KPO4_BIO</vt:lpstr>
      <vt:lpstr>D_isplay_MsatSSO4_KSO4_BIO</vt:lpstr>
      <vt:lpstr>D_isplay_XALGAE</vt:lpstr>
      <vt:lpstr>D_isplay_XAOB</vt:lpstr>
      <vt:lpstr>D_NBS</vt:lpstr>
      <vt:lpstr>D_NH3</vt:lpstr>
      <vt:lpstr>D_NO3</vt:lpstr>
      <vt:lpstr>D_NUS</vt:lpstr>
      <vt:lpstr>D_PO4</vt:lpstr>
      <vt:lpstr>D_SA</vt:lpstr>
      <vt:lpstr>D_SALK</vt:lpstr>
      <vt:lpstr>D_SALPHA</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D_SHCO</vt:lpstr>
      <vt:lpstr>D_SI</vt:lpstr>
      <vt:lpstr>D_SK</vt:lpstr>
      <vt:lpstr>D_SMEOL</vt:lpstr>
      <vt:lpstr>D_SMg</vt:lpstr>
      <vt:lpstr>D_SMM_index</vt:lpstr>
      <vt:lpstr>D_SN_B</vt:lpstr>
      <vt:lpstr>D_SN2</vt:lpstr>
      <vt:lpstr>D_SN2O</vt:lpstr>
      <vt:lpstr>D_SND</vt:lpstr>
      <vt:lpstr>D_SNH</vt:lpstr>
      <vt:lpstr>D_SNH2OH</vt:lpstr>
      <vt:lpstr>D_SNH4</vt:lpstr>
      <vt:lpstr>D_SNHx</vt:lpstr>
      <vt:lpstr>D_SNO</vt:lpstr>
      <vt:lpstr>D_SNO2</vt:lpstr>
      <vt:lpstr>D_SNO3</vt:lpstr>
      <vt:lpstr>D_SNOx</vt:lpstr>
      <vt:lpstr>D_SO</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E_EQNH2OH</vt:lpstr>
      <vt:lpstr>E_EQNH2OH_NO</vt:lpstr>
      <vt:lpstr>E_EQNO</vt:lpstr>
      <vt:lpstr>E_EQNO_NO2</vt:lpstr>
      <vt:lpstr>E_EQNO2</vt:lpstr>
      <vt:lpstr>E_EQNO2_NO3</vt:lpstr>
      <vt:lpstr>E_EQNO3</vt:lpstr>
      <vt:lpstr>E_EQS</vt:lpstr>
      <vt:lpstr>e_rrorNHx_NOx</vt:lpstr>
      <vt:lpstr>F__</vt:lpstr>
      <vt:lpstr>f_Ar_air</vt:lpstr>
      <vt:lpstr>f_bw_floc</vt:lpstr>
      <vt:lpstr>f_C_BOD5_BODult</vt:lpstr>
      <vt:lpstr>f_CO2_air</vt:lpstr>
      <vt:lpstr>f_di</vt:lpstr>
      <vt:lpstr>f_di_IS_an</vt:lpstr>
      <vt:lpstr>f_di_IS_cat</vt:lpstr>
      <vt:lpstr>f_di_ISlim</vt:lpstr>
      <vt:lpstr>f_E</vt:lpstr>
      <vt:lpstr>f_H2O_HAO_TSS</vt:lpstr>
      <vt:lpstr>f_H2O_HAO_VSS</vt:lpstr>
      <vt:lpstr>f_H2O_HFO_TSS</vt:lpstr>
      <vt:lpstr>f_H2O_HFO_VSS</vt:lpstr>
      <vt:lpstr>f_kL_GCH4</vt:lpstr>
      <vt:lpstr>f_kL_GCO2</vt:lpstr>
      <vt:lpstr>f_kL_GH2</vt:lpstr>
      <vt:lpstr>f_kL_GN2</vt:lpstr>
      <vt:lpstr>f_kL_GNH3</vt:lpstr>
      <vt:lpstr>f_KS</vt:lpstr>
      <vt:lpstr>f_KS_biofilm</vt:lpstr>
      <vt:lpstr>f_mono</vt:lpstr>
      <vt:lpstr>f_mono_IS_an</vt:lpstr>
      <vt:lpstr>f_mono_IS_cat</vt:lpstr>
      <vt:lpstr>f_mono_ISlim</vt:lpstr>
      <vt:lpstr>f_N2_air</vt:lpstr>
      <vt:lpstr>f_Na</vt:lpstr>
      <vt:lpstr>f_O2_air</vt:lpstr>
      <vt:lpstr>f_O2_max_ALPHA</vt:lpstr>
      <vt:lpstr>f_P_VFA</vt:lpstr>
      <vt:lpstr>f_S_BOD5_BODult</vt:lpstr>
      <vt:lpstr>f_TOC_1</vt:lpstr>
      <vt:lpstr>f_TOC_2</vt:lpstr>
      <vt:lpstr>f_tri</vt:lpstr>
      <vt:lpstr>f_tri_IS_an</vt:lpstr>
      <vt:lpstr>f_tri_IS_cat</vt:lpstr>
      <vt:lpstr>f_tri_ISlim</vt:lpstr>
      <vt:lpstr>f_VFA_DM</vt:lpstr>
      <vt:lpstr>f_X_BOD5_BODult</vt:lpstr>
      <vt:lpstr>G_CH4</vt:lpstr>
      <vt:lpstr>G_CH4_atm</vt:lpstr>
      <vt:lpstr>G_CO2</vt:lpstr>
      <vt:lpstr>G_CO2_atm</vt:lpstr>
      <vt:lpstr>g_grav</vt:lpstr>
      <vt:lpstr>G_H2</vt:lpstr>
      <vt:lpstr>G_H2_atm</vt:lpstr>
      <vt:lpstr>G_N2</vt:lpstr>
      <vt:lpstr>G_N2_atm</vt:lpstr>
      <vt:lpstr>G_NH3</vt:lpstr>
      <vt:lpstr>G_NH3_atm</vt:lpstr>
      <vt:lpstr>G_O2</vt:lpstr>
      <vt:lpstr>G_O2_atm</vt:lpstr>
      <vt:lpstr>H_Acm</vt:lpstr>
      <vt:lpstr>H_Ca2p</vt:lpstr>
      <vt:lpstr>H_CO32m</vt:lpstr>
      <vt:lpstr>h_diff</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H_OHm</vt:lpstr>
      <vt:lpstr>H_PO43m</vt:lpstr>
      <vt:lpstr>H_S2m</vt:lpstr>
      <vt:lpstr>H_satSVFA_AMETO</vt:lpstr>
      <vt:lpstr>H_SO42m</vt:lpstr>
      <vt:lpstr>H_STP</vt:lpstr>
      <vt:lpstr>i_Ca_INORG</vt:lpstr>
      <vt:lpstr>i_Ca_PP</vt:lpstr>
      <vt:lpstr>i_CIT_ALGAE</vt:lpstr>
      <vt:lpstr>i_CIT_BIO</vt:lpstr>
      <vt:lpstr>i_CIT_CH4</vt:lpstr>
      <vt:lpstr>i_CIT_MEOL</vt:lpstr>
      <vt:lpstr>i_CIT_PHA</vt:lpstr>
      <vt:lpstr>i_CIT_SB</vt:lpstr>
      <vt:lpstr>i_CIT_STC</vt:lpstr>
      <vt:lpstr>i_CIT_VFA</vt:lpstr>
      <vt:lpstr>i_CIT_XBe</vt:lpstr>
      <vt:lpstr>i_CV_BIO</vt:lpstr>
      <vt:lpstr>i_CV_CB</vt:lpstr>
      <vt:lpstr>i_CV_CU</vt:lpstr>
      <vt:lpstr>i_CV_PHA</vt:lpstr>
      <vt:lpstr>i_CV_SB</vt:lpstr>
      <vt:lpstr>i_CV_SU</vt:lpstr>
      <vt:lpstr>i_CV_VFA</vt:lpstr>
      <vt:lpstr>i_CV_XB</vt:lpstr>
      <vt:lpstr>i_CV_XBe</vt:lpstr>
      <vt:lpstr>i_CV_XE</vt:lpstr>
      <vt:lpstr>i_CV_XU</vt:lpstr>
      <vt:lpstr>i_INORG</vt:lpstr>
      <vt:lpstr>i_iw_BIO</vt:lpstr>
      <vt:lpstr>i_K_PP</vt:lpstr>
      <vt:lpstr>i_Mg_INORG</vt:lpstr>
      <vt:lpstr>i_Mg_PP</vt:lpstr>
      <vt:lpstr>i_N_ALGAE</vt:lpstr>
      <vt:lpstr>i_N_BIO</vt:lpstr>
      <vt:lpstr>i_N_CB</vt:lpstr>
      <vt:lpstr>i_N_CU</vt:lpstr>
      <vt:lpstr>i_N_SU</vt:lpstr>
      <vt:lpstr>i_N_XE</vt:lpstr>
      <vt:lpstr>i_N_XSTR</vt:lpstr>
      <vt:lpstr>i_P_ALGAE</vt:lpstr>
      <vt:lpstr>i_P_BIO</vt:lpstr>
      <vt:lpstr>i_P_CB</vt:lpstr>
      <vt:lpstr>i_P_CU</vt:lpstr>
      <vt:lpstr>i_P_SU</vt:lpstr>
      <vt:lpstr>i_P_XACP</vt:lpstr>
      <vt:lpstr>i_P_XBSH</vt:lpstr>
      <vt:lpstr>i_P_XSTR</vt:lpstr>
      <vt:lpstr>i_P_XVivi</vt:lpstr>
      <vt:lpstr>I_S</vt:lpstr>
      <vt:lpstr>I_Scalc</vt:lpstr>
      <vt:lpstr>I_Serror</vt:lpstr>
      <vt:lpstr>I_Sinput_AS</vt:lpstr>
      <vt:lpstr>I_Sinput_DIG</vt:lpstr>
      <vt:lpstr>I_Sinput_sidestream</vt:lpstr>
      <vt:lpstr>I_Slim</vt:lpstr>
      <vt:lpstr>i_TSS_PP</vt:lpstr>
      <vt:lpstr>i_vw_BIO</vt:lpstr>
      <vt:lpstr>i_vw_CB</vt:lpstr>
      <vt:lpstr>i_vw_CU</vt:lpstr>
      <vt:lpstr>i_vw_EPS</vt:lpstr>
      <vt:lpstr>i_vw_PHA</vt:lpstr>
      <vt:lpstr>i_vw_XB</vt:lpstr>
      <vt:lpstr>i_vw_XBe</vt:lpstr>
      <vt:lpstr>i_vw_XE</vt:lpstr>
      <vt:lpstr>i_vw_XU</vt:lpstr>
      <vt:lpstr>i_wh_BIO</vt:lpstr>
      <vt:lpstr>i_wh_EPS</vt:lpstr>
      <vt:lpstr>i_wh_PHA</vt:lpstr>
      <vt:lpstr>i_wh_XB</vt:lpstr>
      <vt:lpstr>i_wh_XBe</vt:lpstr>
      <vt:lpstr>i_wh_XE</vt:lpstr>
      <vt:lpstr>i_wh_XU</vt:lpstr>
      <vt:lpstr>J_photosynt_solar</vt:lpstr>
      <vt:lpstr>J_photosynt_solar_opt</vt:lpstr>
      <vt:lpstr>K_Ac</vt:lpstr>
      <vt:lpstr>K_Ac_param</vt:lpstr>
      <vt:lpstr>K_Ac_T</vt:lpstr>
      <vt:lpstr>K_ACP_DISS</vt:lpstr>
      <vt:lpstr>K_AN</vt:lpstr>
      <vt:lpstr>K_AN_AS</vt:lpstr>
      <vt:lpstr>K_BSH_DISS</vt:lpstr>
      <vt:lpstr>K_But_param</vt:lpstr>
      <vt:lpstr>K_C1</vt:lpstr>
      <vt:lpstr>K_C1_param</vt:lpstr>
      <vt:lpstr>K_C1_T</vt:lpstr>
      <vt:lpstr>K_C2</vt:lpstr>
      <vt:lpstr>K_C2_param</vt:lpstr>
      <vt:lpstr>K_C2_T</vt:lpstr>
      <vt:lpstr>K_Ca_BIO</vt:lpstr>
      <vt:lpstr>K_Ca_BIO_AS</vt:lpstr>
      <vt:lpstr>K_Ca_PAO</vt:lpstr>
      <vt:lpstr>K_Ca_PAO_AS</vt:lpstr>
      <vt:lpstr>K_CaCO3_DISS</vt:lpstr>
      <vt:lpstr>K_CAT</vt:lpstr>
      <vt:lpstr>K_CAT_AS</vt:lpstr>
      <vt:lpstr>K_CB_FLOC</vt:lpstr>
      <vt:lpstr>K_CB_FLOC_HAO</vt:lpstr>
      <vt:lpstr>K_CB_FLOC_HFO</vt:lpstr>
      <vt:lpstr>K_CO2_ALGAE</vt:lpstr>
      <vt:lpstr>K_CO2_AMX_pH</vt:lpstr>
      <vt:lpstr>K_CO2_AMX_pH_AS</vt:lpstr>
      <vt:lpstr>K_CO2_AOB_pH</vt:lpstr>
      <vt:lpstr>K_CO2_AOB_pH_AS</vt:lpstr>
      <vt:lpstr>K_CO2_AOB_pH_sidestream</vt:lpstr>
      <vt:lpstr>K_CO2_BIO</vt:lpstr>
      <vt:lpstr>K_CO2_BIO_AS</vt:lpstr>
      <vt:lpstr>K_CO2_NOB_pH</vt:lpstr>
      <vt:lpstr>K_CO2_NOB_pH_AS</vt:lpstr>
      <vt:lpstr>K_CU_FLOC</vt:lpstr>
      <vt:lpstr>K_CU_FLOC_HAO</vt:lpstr>
      <vt:lpstr>K_CU_FLOC_HFO</vt:lpstr>
      <vt:lpstr>K_H2_HMETO</vt:lpstr>
      <vt:lpstr>K_H2_HMETO_AS</vt:lpstr>
      <vt:lpstr>K_H2S_param</vt:lpstr>
      <vt:lpstr>K_HYD</vt:lpstr>
      <vt:lpstr>K_HYD_AS</vt:lpstr>
      <vt:lpstr>K_iHNO2_AMX_pH</vt:lpstr>
      <vt:lpstr>K_iHNO2_AMX_pH_AS</vt:lpstr>
      <vt:lpstr>K_iHNO2_AOB_pH</vt:lpstr>
      <vt:lpstr>K_iHNO2_AOB_pH_AS</vt:lpstr>
      <vt:lpstr>K_iNH3_AMETO_pH</vt:lpstr>
      <vt:lpstr>K_iNH3_AMETO_pH_AS</vt:lpstr>
      <vt:lpstr>K_iNH3_NOB_pH</vt:lpstr>
      <vt:lpstr>K_iNH3_NOB_pH_AS</vt:lpstr>
      <vt:lpstr>K_iNHx_ALGAE</vt:lpstr>
      <vt:lpstr>K_iNHx_ASSIM</vt:lpstr>
      <vt:lpstr>K_iNHx_ASSIM_AS</vt:lpstr>
      <vt:lpstr>K_iO2_AMETO</vt:lpstr>
      <vt:lpstr>K_iO2_AMETO_AS</vt:lpstr>
      <vt:lpstr>K_iO2_AMX</vt:lpstr>
      <vt:lpstr>K_iO2_AMX_AS</vt:lpstr>
      <vt:lpstr>K_iO2_HMETO</vt:lpstr>
      <vt:lpstr>K_iO2_HMETO_AS</vt:lpstr>
      <vt:lpstr>K_iO2_MEOLO</vt:lpstr>
      <vt:lpstr>K_iO2_MEOLO_AS</vt:lpstr>
      <vt:lpstr>K_iP_HAO_DESORP</vt:lpstr>
      <vt:lpstr>K_iP_HAO_DISS</vt:lpstr>
      <vt:lpstr>K_iP_HFO_DESORP</vt:lpstr>
      <vt:lpstr>K_iP_HFO_DISS</vt:lpstr>
      <vt:lpstr>K_iPHA_GAO_max</vt:lpstr>
      <vt:lpstr>K_iPHA_PAO_max</vt:lpstr>
      <vt:lpstr>K_iPO4_lim</vt:lpstr>
      <vt:lpstr>K_iPO4_lim_AS</vt:lpstr>
      <vt:lpstr>K_iPP_PAO_max</vt:lpstr>
      <vt:lpstr>K_iVFA_AMETO</vt:lpstr>
      <vt:lpstr>K_iVFA_AMETO_AS</vt:lpstr>
      <vt:lpstr>K_K_PAO</vt:lpstr>
      <vt:lpstr>K_K_PAO_AS</vt:lpstr>
      <vt:lpstr>k_L_GCH4_bub</vt:lpstr>
      <vt:lpstr>k_L_GCH4_sur</vt:lpstr>
      <vt:lpstr>k_L_GCO2_bub</vt:lpstr>
      <vt:lpstr>k_L_GCO2_sur</vt:lpstr>
      <vt:lpstr>k_L_GH2_bub</vt:lpstr>
      <vt:lpstr>k_L_GH2_sur</vt:lpstr>
      <vt:lpstr>k_L_GN2_bub</vt:lpstr>
      <vt:lpstr>k_L_GN2_sur</vt:lpstr>
      <vt:lpstr>k_L_GNH3_bub</vt:lpstr>
      <vt:lpstr>k_L_GNH3_sur</vt:lpstr>
      <vt:lpstr>k_L_GO2_bub</vt:lpstr>
      <vt:lpstr>k_L_GO2_PondSurface</vt:lpstr>
      <vt:lpstr>k_L_GO2_sur</vt:lpstr>
      <vt:lpstr>k_LaGCH4_bub</vt:lpstr>
      <vt:lpstr>k_LaGCH4_sur</vt:lpstr>
      <vt:lpstr>k_LaGCO2_bub</vt:lpstr>
      <vt:lpstr>k_LaGCO2_sur</vt:lpstr>
      <vt:lpstr>k_LaGH2_bub</vt:lpstr>
      <vt:lpstr>k_LaGH2_sur</vt:lpstr>
      <vt:lpstr>k_LaGH2S_bub</vt:lpstr>
      <vt:lpstr>k_LaGH2S_sur</vt:lpstr>
      <vt:lpstr>k_LaGN2_bub</vt:lpstr>
      <vt:lpstr>k_LaGN2_sur</vt:lpstr>
      <vt:lpstr>k_LaGNH3_bub</vt:lpstr>
      <vt:lpstr>k_LaGNH3_sur</vt:lpstr>
      <vt:lpstr>k_LaGO2_bub</vt:lpstr>
      <vt:lpstr>k_LaGO2_sur</vt:lpstr>
      <vt:lpstr>K_MEOL</vt:lpstr>
      <vt:lpstr>K_MEOL_AS</vt:lpstr>
      <vt:lpstr>K_MEOL_OHO</vt:lpstr>
      <vt:lpstr>K_MEOL_OHO_AS</vt:lpstr>
      <vt:lpstr>K_MEOL_SNO2</vt:lpstr>
      <vt:lpstr>K_MEOL_SNO2_AS</vt:lpstr>
      <vt:lpstr>K_Mg_BIO</vt:lpstr>
      <vt:lpstr>K_Mg_BIO_AS</vt:lpstr>
      <vt:lpstr>K_Mg_PAO</vt:lpstr>
      <vt:lpstr>K_Mg_PAO_AS</vt:lpstr>
      <vt:lpstr>K_NH3</vt:lpstr>
      <vt:lpstr>K_NH3_param</vt:lpstr>
      <vt:lpstr>K_NH3_T</vt:lpstr>
      <vt:lpstr>K_NHx_ALGAE</vt:lpstr>
      <vt:lpstr>K_NHx_AMX</vt:lpstr>
      <vt:lpstr>K_NHx_AMX_AS</vt:lpstr>
      <vt:lpstr>K_NHx_AOB</vt:lpstr>
      <vt:lpstr>K_NHx_AOB_AS</vt:lpstr>
      <vt:lpstr>K_NHx_BIO</vt:lpstr>
      <vt:lpstr>K_NHx_BIO_AS</vt:lpstr>
      <vt:lpstr>K_NO2</vt:lpstr>
      <vt:lpstr>K_NO2_AMX</vt:lpstr>
      <vt:lpstr>K_NO2_AMX_AS</vt:lpstr>
      <vt:lpstr>K_NO2_ASSIM</vt:lpstr>
      <vt:lpstr>K_NO2_ASSIM_AS</vt:lpstr>
      <vt:lpstr>K_NO2_CASTO</vt:lpstr>
      <vt:lpstr>K_NO2_CASTO_AS</vt:lpstr>
      <vt:lpstr>K_NO2_MEOLO</vt:lpstr>
      <vt:lpstr>K_NO2_MEOLO_AS</vt:lpstr>
      <vt:lpstr>K_NO2_NOB</vt:lpstr>
      <vt:lpstr>K_NO2_NOB_AS</vt:lpstr>
      <vt:lpstr>K_NO2_OHO</vt:lpstr>
      <vt:lpstr>K_NO2_OHO_AS</vt:lpstr>
      <vt:lpstr>K_NO2_param</vt:lpstr>
      <vt:lpstr>K_NO2_T</vt:lpstr>
      <vt:lpstr>K_NO3_ASSIM</vt:lpstr>
      <vt:lpstr>K_NO3_ASSIM_AS</vt:lpstr>
      <vt:lpstr>K_NO3_CASTO</vt:lpstr>
      <vt:lpstr>K_NO3_CASTO_AS</vt:lpstr>
      <vt:lpstr>K_NO3_MEOLO</vt:lpstr>
      <vt:lpstr>K_NO3_MEOLO_AS</vt:lpstr>
      <vt:lpstr>K_NO3_OHO</vt:lpstr>
      <vt:lpstr>K_NO3_OHO_AS</vt:lpstr>
      <vt:lpstr>K_NOx_ALGAE</vt:lpstr>
      <vt:lpstr>K_NOx_AMETO</vt:lpstr>
      <vt:lpstr>K_NOx_AMETO_AS</vt:lpstr>
      <vt:lpstr>K_NOx_AMX</vt:lpstr>
      <vt:lpstr>K_NOx_AMX_AS</vt:lpstr>
      <vt:lpstr>K_NOx_AOB</vt:lpstr>
      <vt:lpstr>K_NOx_AOB_AS</vt:lpstr>
      <vt:lpstr>K_NOx_HMETO</vt:lpstr>
      <vt:lpstr>K_NOx_HMETO_AS</vt:lpstr>
      <vt:lpstr>K_NOx_NOB</vt:lpstr>
      <vt:lpstr>K_NOx_NOB_AS</vt:lpstr>
      <vt:lpstr>K_O2_ALGAE</vt:lpstr>
      <vt:lpstr>K_O2_ALPHA</vt:lpstr>
      <vt:lpstr>K_O2_AOB</vt:lpstr>
      <vt:lpstr>K_O2_AOB_AS</vt:lpstr>
      <vt:lpstr>K_O2_AOB_sidestream</vt:lpstr>
      <vt:lpstr>K_O2_CASTO</vt:lpstr>
      <vt:lpstr>K_O2_CASTO_AS</vt:lpstr>
      <vt:lpstr>K_O2_NOB</vt:lpstr>
      <vt:lpstr>K_O2_NOB_AS</vt:lpstr>
      <vt:lpstr>K_O2_NOB_sidestream</vt:lpstr>
      <vt:lpstr>K_O2_OHO</vt:lpstr>
      <vt:lpstr>K_O2_OHO_AS</vt:lpstr>
      <vt:lpstr>K_OC_PFOA_EQ</vt:lpstr>
      <vt:lpstr>K_OC_PFOS_EQ</vt:lpstr>
      <vt:lpstr>K_ORP_ana</vt:lpstr>
      <vt:lpstr>K_ORP_SNOx</vt:lpstr>
      <vt:lpstr>K_ORP_SO2</vt:lpstr>
      <vt:lpstr>k_ORPswitch</vt:lpstr>
      <vt:lpstr>K_P_HAO_BIND</vt:lpstr>
      <vt:lpstr>K_P_HFO_BIND</vt:lpstr>
      <vt:lpstr>K_P1</vt:lpstr>
      <vt:lpstr>K_P1_param</vt:lpstr>
      <vt:lpstr>K_P1_T</vt:lpstr>
      <vt:lpstr>K_P2</vt:lpstr>
      <vt:lpstr>K_P2_param</vt:lpstr>
      <vt:lpstr>K_P2_T</vt:lpstr>
      <vt:lpstr>K_P3</vt:lpstr>
      <vt:lpstr>K_P3_param</vt:lpstr>
      <vt:lpstr>K_P3_T</vt:lpstr>
      <vt:lpstr>K_PHA</vt:lpstr>
      <vt:lpstr>K_PHA_cle</vt:lpstr>
      <vt:lpstr>K_PHA_GAO</vt:lpstr>
      <vt:lpstr>K_PO4_BIO</vt:lpstr>
      <vt:lpstr>K_PO4_BIO_AS</vt:lpstr>
      <vt:lpstr>K_PO4_PAO</vt:lpstr>
      <vt:lpstr>K_PO4_PAO_AS</vt:lpstr>
      <vt:lpstr>K_PP</vt:lpstr>
      <vt:lpstr>K_PP_lim</vt:lpstr>
      <vt:lpstr>K_Prop_param</vt:lpstr>
      <vt:lpstr>K_S1_param</vt:lpstr>
      <vt:lpstr>K_S2_param</vt:lpstr>
      <vt:lpstr>K_SB</vt:lpstr>
      <vt:lpstr>K_SB_ana</vt:lpstr>
      <vt:lpstr>K_SB_ana_AS</vt:lpstr>
      <vt:lpstr>K_SB_ana_DIG</vt:lpstr>
      <vt:lpstr>K_SB_AS</vt:lpstr>
      <vt:lpstr>K_SO41_param</vt:lpstr>
      <vt:lpstr>K_SO42_param</vt:lpstr>
      <vt:lpstr>K_sp_ACP</vt:lpstr>
      <vt:lpstr>K_sp_ACP_param</vt:lpstr>
      <vt:lpstr>K_sp_BSH</vt:lpstr>
      <vt:lpstr>K_sp_BSH_param</vt:lpstr>
      <vt:lpstr>K_sp_CaCO3</vt:lpstr>
      <vt:lpstr>K_sp_CaCO3_param</vt:lpstr>
      <vt:lpstr>K_sp_FeS_param</vt:lpstr>
      <vt:lpstr>K_sp_HDP_param</vt:lpstr>
      <vt:lpstr>K_sp_MKP_param</vt:lpstr>
      <vt:lpstr>K_sp_STR</vt:lpstr>
      <vt:lpstr>K_sp_STR_param</vt:lpstr>
      <vt:lpstr>K_sp_Vivi</vt:lpstr>
      <vt:lpstr>K_sp_Vivi_param</vt:lpstr>
      <vt:lpstr>K_STC</vt:lpstr>
      <vt:lpstr>K_STR_DISS</vt:lpstr>
      <vt:lpstr>k_transfer_GCO2_bub</vt:lpstr>
      <vt:lpstr>k_transfer_GCO2_sur</vt:lpstr>
      <vt:lpstr>k_transfer_GNH3_bub</vt:lpstr>
      <vt:lpstr>k_transfer_GNH3_sur</vt:lpstr>
      <vt:lpstr>K_Val_param</vt:lpstr>
      <vt:lpstr>K_VFA</vt:lpstr>
      <vt:lpstr>K_VFA_AMETO</vt:lpstr>
      <vt:lpstr>K_VFA_AMETO_AS</vt:lpstr>
      <vt:lpstr>K_VFA_AS</vt:lpstr>
      <vt:lpstr>K_VFA_CASTO</vt:lpstr>
      <vt:lpstr>K_VFA_CASTO_AS</vt:lpstr>
      <vt:lpstr>K_VFA_FERM</vt:lpstr>
      <vt:lpstr>K_VFA_FERM_AS</vt:lpstr>
      <vt:lpstr>K_VFA_OHO_SNO2</vt:lpstr>
      <vt:lpstr>K_VFA_OHO_SNO2_AS</vt:lpstr>
      <vt:lpstr>K_Vivi_DISS</vt:lpstr>
      <vt:lpstr>K_W</vt:lpstr>
      <vt:lpstr>K_W_param</vt:lpstr>
      <vt:lpstr>K_W_T</vt:lpstr>
      <vt:lpstr>K_XB_HYD</vt:lpstr>
      <vt:lpstr>K_XBe_HYD</vt:lpstr>
      <vt:lpstr>K_XEana_HYD</vt:lpstr>
      <vt:lpstr>K_XTSS_lightextinction</vt:lpstr>
      <vt:lpstr>K_XU</vt:lpstr>
      <vt:lpstr>L_ightSwitch</vt:lpstr>
      <vt:lpstr>L_oginhORP_HFO</vt:lpstr>
      <vt:lpstr>L_oginhORP_PAO</vt:lpstr>
      <vt:lpstr>L_oginhpHNH3_AMETO</vt:lpstr>
      <vt:lpstr>L_oginhSMEOL_KMEOL_SNO2</vt:lpstr>
      <vt:lpstr>L_oginhSNO3_KNO3_MEOLO</vt:lpstr>
      <vt:lpstr>L_oginhSNO3_KNO3_OHO</vt:lpstr>
      <vt:lpstr>L_oginhSPO4_KiP_HAO_DISS</vt:lpstr>
      <vt:lpstr>L_oginhSPO4_KiP_HFO_DISS</vt:lpstr>
      <vt:lpstr>L_oginhSVFA_KVFA_FERM</vt:lpstr>
      <vt:lpstr>L_oginhSVFA_KVFA_OHO_SNO2</vt:lpstr>
      <vt:lpstr>L_oginhXHET_HYD_lim</vt:lpstr>
      <vt:lpstr>L_oginhXPHA_XGAO_max</vt:lpstr>
      <vt:lpstr>L_oginhXPHA_XPAO_max</vt:lpstr>
      <vt:lpstr>L_oginhXPP_XPAO_max</vt:lpstr>
      <vt:lpstr>L_ograngeCO2_AMX_pH_AS</vt:lpstr>
      <vt:lpstr>L_ograngeCO2_AOB_pH_AS</vt:lpstr>
      <vt:lpstr>L_ograngeCO2_AOB_pH_sidestream</vt:lpstr>
      <vt:lpstr>L_ograngeCO2_NOB_pH_AS</vt:lpstr>
      <vt:lpstr>L_ograngeKMEOL_SNO2</vt:lpstr>
      <vt:lpstr>L_ograngeKSNO3</vt:lpstr>
      <vt:lpstr>L_ograngeKVFA_SNO2</vt:lpstr>
      <vt:lpstr>L_ograngeNH3_AMETO</vt:lpstr>
      <vt:lpstr>L_ograngeP_HAO_DISS</vt:lpstr>
      <vt:lpstr>L_ograngeP_HFO_DISS</vt:lpstr>
      <vt:lpstr>L_ograngePHA_GAO_inh</vt:lpstr>
      <vt:lpstr>L_ograngePHA_PAO_inh</vt:lpstr>
      <vt:lpstr>L_ograngePO4_PAO_AS_sat</vt:lpstr>
      <vt:lpstr>L_ograngePP_PAO_AS_sat</vt:lpstr>
      <vt:lpstr>L_ograngePP_PAO_inh</vt:lpstr>
      <vt:lpstr>L_ograngeSNO3</vt:lpstr>
      <vt:lpstr>L_ograngeVFA_FERM_AS</vt:lpstr>
      <vt:lpstr>L_ograngeXHET_HYD_lim</vt:lpstr>
      <vt:lpstr>L_ogsatORP_GAO_Half_15</vt:lpstr>
      <vt:lpstr>L_ogsatORP_GAO_Half_25</vt:lpstr>
      <vt:lpstr>L_ogsatORP_GAO_Half_T</vt:lpstr>
      <vt:lpstr>L_ogsatORP_GAO_Slope</vt:lpstr>
      <vt:lpstr>L_ogsatORP_GAO_T</vt:lpstr>
      <vt:lpstr>L_ogsatORP_HFO_Half</vt:lpstr>
      <vt:lpstr>L_ogsatORP_HFO_Slope</vt:lpstr>
      <vt:lpstr>L_ogsatORP_PAO_Half</vt:lpstr>
      <vt:lpstr>L_ogsatORP_PAO_Slope</vt:lpstr>
      <vt:lpstr>L_ogsatpHCO2_AMX</vt:lpstr>
      <vt:lpstr>L_ogsatpHCO2_AOB</vt:lpstr>
      <vt:lpstr>L_ogsatpHCO2_NOB</vt:lpstr>
      <vt:lpstr>L_ogsatSMEOL_KMEOL_SNO2</vt:lpstr>
      <vt:lpstr>L_ogsatSNO3_KNO3_MEOLO</vt:lpstr>
      <vt:lpstr>L_ogsatSNO3_KNO3_OHO</vt:lpstr>
      <vt:lpstr>L_ogsatSPO4_KPO4_PAO</vt:lpstr>
      <vt:lpstr>L_ogsatSVFA_KVFA_FERM</vt:lpstr>
      <vt:lpstr>L_ogsatSVFA_KVFA_OHO_SNO2</vt:lpstr>
      <vt:lpstr>L_ogsatXHET_HYD_lim</vt:lpstr>
      <vt:lpstr>L_ogsatXPP_KPO4_PAO</vt:lpstr>
      <vt:lpstr>L_ogslopeCO2_AMX_pH</vt:lpstr>
      <vt:lpstr>L_ogslopeCO2_AOB_pH</vt:lpstr>
      <vt:lpstr>L_ogslopeCO2_NOB_pH</vt:lpstr>
      <vt:lpstr>L_ogslopeKMEOL_SNO2</vt:lpstr>
      <vt:lpstr>L_ogslopeKSNO3</vt:lpstr>
      <vt:lpstr>L_ogslopeKSNO3_MEOLO</vt:lpstr>
      <vt:lpstr>L_ogslopeKVFA_SNO2</vt:lpstr>
      <vt:lpstr>L_ogslopeNH3_AMETO_pH</vt:lpstr>
      <vt:lpstr>L_ogslopeP_HAO_DISS</vt:lpstr>
      <vt:lpstr>L_ogslopeP_HFO_DISS</vt:lpstr>
      <vt:lpstr>L_ogslopePHA_GAO_inh</vt:lpstr>
      <vt:lpstr>L_ogslopePHA_PAO_inh</vt:lpstr>
      <vt:lpstr>L_ogslopePO4_PAO_sat</vt:lpstr>
      <vt:lpstr>L_ogslopePP_PAO_inh</vt:lpstr>
      <vt:lpstr>L_ogslopePP_PAO_sat</vt:lpstr>
      <vt:lpstr>L_ogslopeSNO3</vt:lpstr>
      <vt:lpstr>L_ogslopeVFA_FERM</vt:lpstr>
      <vt:lpstr>L_ogslopeXHET_HYD_lim</vt:lpstr>
      <vt:lpstr>M_inhpHHNO2_AMX</vt:lpstr>
      <vt:lpstr>M_inhpHHNO2_AOB</vt:lpstr>
      <vt:lpstr>M_inhpHNH3_NOB</vt:lpstr>
      <vt:lpstr>M_inhSNHx_KiNHx_ALGAE</vt:lpstr>
      <vt:lpstr>M_inhSNHx_KiNHx_ASSIM</vt:lpstr>
      <vt:lpstr>M_inhSNO2_KNO2_ASSIM</vt:lpstr>
      <vt:lpstr>M_inhSNO2_KNO2_CASTO</vt:lpstr>
      <vt:lpstr>M_inhSNO2_KNO2_MEOLO</vt:lpstr>
      <vt:lpstr>M_inhSNO2_KNO2_OHO</vt:lpstr>
      <vt:lpstr>M_inhSNO3_KNO3_CASTO</vt:lpstr>
      <vt:lpstr>M_inhSNO3_KNO3_MEOLO</vt:lpstr>
      <vt:lpstr>M_inhSNO3_KNO3_OHO</vt:lpstr>
      <vt:lpstr>M_inhSNOx_KNO3_AMETO</vt:lpstr>
      <vt:lpstr>M_inhSNOx_KNO3_HMETO</vt:lpstr>
      <vt:lpstr>M_inhSNOx_KNOx_AMX</vt:lpstr>
      <vt:lpstr>M_inhSNOx_KNOx_AOB</vt:lpstr>
      <vt:lpstr>M_inhSNOx_KNOx_NOB</vt:lpstr>
      <vt:lpstr>M_inhSO2_KiO2_AMETO</vt:lpstr>
      <vt:lpstr>M_inhSO2_KiO2_AMX</vt:lpstr>
      <vt:lpstr>M_inhSO2_KiO2_HMETO</vt:lpstr>
      <vt:lpstr>M_inhSO2_KiO2_MEOLO</vt:lpstr>
      <vt:lpstr>M_inhSO2_KO2_ALGAE</vt:lpstr>
      <vt:lpstr>M_inhSO2_KO2_AOB</vt:lpstr>
      <vt:lpstr>M_inhSO2_KO2_CASTO</vt:lpstr>
      <vt:lpstr>M_inhSO2_KO2_NOB</vt:lpstr>
      <vt:lpstr>M_inhSO2_KO2_OHO</vt:lpstr>
      <vt:lpstr>M_inhSPO4_KiP_HAO_DESORP</vt:lpstr>
      <vt:lpstr>M_inhSPO4_KiP_HFO_DESORP</vt:lpstr>
      <vt:lpstr>M_inhSPO4_KiPO4_lim</vt:lpstr>
      <vt:lpstr>M_inhSVFA_KVFA</vt:lpstr>
      <vt:lpstr>M_MACP</vt:lpstr>
      <vt:lpstr>M_Mair</vt:lpstr>
      <vt:lpstr>M_MAl2SO43</vt:lpstr>
      <vt:lpstr>M_MAlCl3</vt:lpstr>
      <vt:lpstr>M_MAlOH3</vt:lpstr>
      <vt:lpstr>M_MAlPO4</vt:lpstr>
      <vt:lpstr>M_MBSH</vt:lpstr>
      <vt:lpstr>M_MCaCl2</vt:lpstr>
      <vt:lpstr>M_MCaCO3</vt:lpstr>
      <vt:lpstr>M_MCaH2PO4</vt:lpstr>
      <vt:lpstr>M_MCaHCO3</vt:lpstr>
      <vt:lpstr>M_MCaHPO4</vt:lpstr>
      <vt:lpstr>M_MCaOH</vt:lpstr>
      <vt:lpstr>M_MCaOH2</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M_MFe2SO43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M_MH3PO4</vt:lpstr>
      <vt:lpstr>M_MHAP</vt:lpstr>
      <vt:lpstr>M_MHCl</vt:lpstr>
      <vt:lpstr>M_MHCO3</vt:lpstr>
      <vt:lpstr>M_MHDP</vt:lpstr>
      <vt:lpstr>M_MHNO3</vt:lpstr>
      <vt:lpstr>M_MHSO4</vt:lpstr>
      <vt:lpstr>M_MKNO2</vt:lpstr>
      <vt:lpstr>M_MKNO3</vt:lpstr>
      <vt:lpstr>M_MMgCO3</vt:lpstr>
      <vt:lpstr>M_MMgH2PO4</vt:lpstr>
      <vt:lpstr>M_MMgHCO3</vt:lpstr>
      <vt:lpstr>M_MMgHPO4</vt:lpstr>
      <vt:lpstr>M_MMgOH</vt:lpstr>
      <vt:lpstr>M_MMgOH2</vt:lpstr>
      <vt:lpstr>M_MMgPO4</vt:lpstr>
      <vt:lpstr>M_MMKP</vt:lpstr>
      <vt:lpstr>M_MMMC</vt:lpstr>
      <vt:lpstr>M_MN2</vt:lpstr>
      <vt:lpstr>M_MN2O</vt:lpstr>
      <vt:lpstr>M_MNa2CO3</vt:lpstr>
      <vt:lpstr>M_MNaCl</vt:lpstr>
      <vt:lpstr>M_MNaHCO3</vt:lpstr>
      <vt:lpstr>M_MNaHPO4</vt:lpstr>
      <vt:lpstr>M_MNaOH</vt:lpstr>
      <vt:lpstr>M_MNH3</vt:lpstr>
      <vt:lpstr>M_MNH4</vt:lpstr>
      <vt:lpstr>M_MNH4HCO3</vt:lpstr>
      <vt:lpstr>M_MNO</vt:lpstr>
      <vt:lpstr>M_MNO2</vt:lpstr>
      <vt:lpstr>M_MNO3</vt:lpstr>
      <vt:lpstr>M_MO2</vt:lpstr>
      <vt:lpstr>M_MPO4</vt:lpstr>
      <vt:lpstr>M_MSiO2</vt:lpstr>
      <vt:lpstr>M_MSO4</vt:lpstr>
      <vt:lpstr>M_MSTR</vt:lpstr>
      <vt:lpstr>M_MVivi</vt:lpstr>
      <vt:lpstr>M_RinhXPHA_XGAO_KPHA</vt:lpstr>
      <vt:lpstr>M_RinhXPHA_XPAO_KPHA_cle</vt:lpstr>
      <vt:lpstr>M_RinhXPP_XPAO_KPP</vt:lpstr>
      <vt:lpstr>M_RinhXSTC_XCASTO_KSTC</vt:lpstr>
      <vt:lpstr>M_RsatXB_XHET_KHYD</vt:lpstr>
      <vt:lpstr>M_RsatXBe_XHET_KHYD</vt:lpstr>
      <vt:lpstr>M_RsatXEana_XHET_KHYD</vt:lpstr>
      <vt:lpstr>M_RsatXPHA_XGAO_KPHA</vt:lpstr>
      <vt:lpstr>M_RsatXPHA_XPAO_KPHA</vt:lpstr>
      <vt:lpstr>M_RsatXPP_XPAO_KPP</vt:lpstr>
      <vt:lpstr>M_RsatXSTC_XCASTO_KSTC</vt:lpstr>
      <vt:lpstr>M_satCB_KCB_FLOC</vt:lpstr>
      <vt:lpstr>M_satCB_KCB_FLOC_HAO</vt:lpstr>
      <vt:lpstr>M_satCB_KCB_FLOC_HFO</vt:lpstr>
      <vt:lpstr>M_satCU_KCU_FLOC</vt:lpstr>
      <vt:lpstr>M_satCU_KCU_FLOC_HAO</vt:lpstr>
      <vt:lpstr>M_satCU_KCU_FLOC_HFO</vt:lpstr>
      <vt:lpstr>M_satSAN_KAN</vt:lpstr>
      <vt:lpstr>M_satSB_KSB</vt:lpstr>
      <vt:lpstr>M_satSB_KSB_ana</vt:lpstr>
      <vt:lpstr>M_satSCa_KCa</vt:lpstr>
      <vt:lpstr>M_satSCa_KCa_PAO</vt:lpstr>
      <vt:lpstr>M_satSCAT_KCAT</vt:lpstr>
      <vt:lpstr>M_satSCO2_KCO2_ALGAE</vt:lpstr>
      <vt:lpstr>M_satSCO2_KCO2_BIO</vt:lpstr>
      <vt:lpstr>M_satSH2_KH2_HMETO</vt:lpstr>
      <vt:lpstr>M_satSK_KK_PAO</vt:lpstr>
      <vt:lpstr>M_satSMEOL_KMEOL</vt:lpstr>
      <vt:lpstr>M_satSMEOL_KMEOL_OHO</vt:lpstr>
      <vt:lpstr>M_satSMg_KMg</vt:lpstr>
      <vt:lpstr>M_satSMg_KMg_PAO</vt:lpstr>
      <vt:lpstr>M_satSNHx_KNHx_ALGAE</vt:lpstr>
      <vt:lpstr>M_satSNHx_KNHx_AMX</vt:lpstr>
      <vt:lpstr>M_satSNHx_KNHx_AOB</vt:lpstr>
      <vt:lpstr>M_satSNHx_KNHx_BIO</vt:lpstr>
      <vt:lpstr>M_satSNO2_KNO2_AMX</vt:lpstr>
      <vt:lpstr>M_satSNO2_KNO2_ASSIM</vt:lpstr>
      <vt:lpstr>M_satSNO2_KNO2_CASTO</vt:lpstr>
      <vt:lpstr>M_satSNO2_KNO2_MEOLO</vt:lpstr>
      <vt:lpstr>M_satSNO2_KNO2_NOB</vt:lpstr>
      <vt:lpstr>M_satSNO2_KNO2_OHO</vt:lpstr>
      <vt:lpstr>M_satSNO3_KNO3_ASSIM</vt:lpstr>
      <vt:lpstr>M_satSNO3_KNO3_CASTO</vt:lpstr>
      <vt:lpstr>M_satSNO3_KNO3_MEOLO</vt:lpstr>
      <vt:lpstr>M_satSNO3_KNO3_OHO</vt:lpstr>
      <vt:lpstr>M_satSNOx_KNO3_AMETO</vt:lpstr>
      <vt:lpstr>M_satSNOx_KNO3_HMETO</vt:lpstr>
      <vt:lpstr>M_satSNOx_KNOx_ALGAE</vt:lpstr>
      <vt:lpstr>M_satSNOx_KNOx_AMX</vt:lpstr>
      <vt:lpstr>M_satSNOx_KNOx_AOB</vt:lpstr>
      <vt:lpstr>M_satSNOx_KNOx_NOB</vt:lpstr>
      <vt:lpstr>M_satSO2_KiO2_AMETO</vt:lpstr>
      <vt:lpstr>M_satSO2_KiO2_AMX</vt:lpstr>
      <vt:lpstr>M_satSO2_KiO2_HMETO</vt:lpstr>
      <vt:lpstr>M_satSO2_KiO2_MEOLO</vt:lpstr>
      <vt:lpstr>M_satSO2_KO2_ALGAE</vt:lpstr>
      <vt:lpstr>M_satSO2_KO2_AOB</vt:lpstr>
      <vt:lpstr>M_satSO2_KO2_CASTO</vt:lpstr>
      <vt:lpstr>M_satSO2_KO2_NOB</vt:lpstr>
      <vt:lpstr>M_satSO2_KO2_OHO</vt:lpstr>
      <vt:lpstr>M_satSPO4_KP_HAO_BIND</vt:lpstr>
      <vt:lpstr>M_satSPO4_KP_HFO_BIND</vt:lpstr>
      <vt:lpstr>M_satSPO4_KPO4_BIO</vt:lpstr>
      <vt:lpstr>M_satSPO4_KPO4_PAO</vt:lpstr>
      <vt:lpstr>M_satSVFA_KVFA</vt:lpstr>
      <vt:lpstr>M_satSVFA_KVFA_CASTO</vt:lpstr>
      <vt:lpstr>M_satXACP_KACP_DISS</vt:lpstr>
      <vt:lpstr>M_satXB_KXB_HYD</vt:lpstr>
      <vt:lpstr>M_satXBe_KXBe_HYD</vt:lpstr>
      <vt:lpstr>M_satXBSH_KBSH_DISS</vt:lpstr>
      <vt:lpstr>M_satXCaCO3_KCaCO3_DISS</vt:lpstr>
      <vt:lpstr>M_satXEana_KXEana_HYD</vt:lpstr>
      <vt:lpstr>M_satXPP_KPP_lim</vt:lpstr>
      <vt:lpstr>M_satXSTR_KSTR_DISS</vt:lpstr>
      <vt:lpstr>M_satXU_KXU</vt:lpstr>
      <vt:lpstr>M_satXVivi_KVivi_DISS</vt:lpstr>
      <vt:lpstr>m_tox_aer</vt:lpstr>
      <vt:lpstr>m_tox_ana</vt:lpstr>
      <vt:lpstr>m_tox_ana_max</vt:lpstr>
      <vt:lpstr>m_tox_anox</vt:lpstr>
      <vt:lpstr>N_2UR</vt:lpstr>
      <vt:lpstr>N_3UR</vt:lpstr>
      <vt:lpstr>N_OUR</vt:lpstr>
      <vt:lpstr>N_URAMX</vt:lpstr>
      <vt:lpstr>o_ffsetORPswitch</vt:lpstr>
      <vt:lpstr>O_RP</vt:lpstr>
      <vt:lpstr>O_RPana</vt:lpstr>
      <vt:lpstr>O_RPbase</vt:lpstr>
      <vt:lpstr>O_RPmax_SNOx</vt:lpstr>
      <vt:lpstr>O_RPmax_SO2</vt:lpstr>
      <vt:lpstr>O_RPNOx</vt:lpstr>
      <vt:lpstr>O_RPO2</vt:lpstr>
      <vt:lpstr>O_UR</vt:lpstr>
      <vt:lpstr>p_H</vt:lpstr>
      <vt:lpstr>p_Hfield</vt:lpstr>
      <vt:lpstr>p_Hhigh</vt:lpstr>
      <vt:lpstr>p_Hhigh_AMETO</vt:lpstr>
      <vt:lpstr>p_Hhigh_AOB</vt:lpstr>
      <vt:lpstr>p_Hhigh_FLOC_HAO</vt:lpstr>
      <vt:lpstr>p_Hhigh_FLOC_HFO</vt:lpstr>
      <vt:lpstr>p_Hhigh_HMETO</vt:lpstr>
      <vt:lpstr>p_Hhigh_NOB</vt:lpstr>
      <vt:lpstr>p_Hlow</vt:lpstr>
      <vt:lpstr>p_Hlow_AMETO</vt:lpstr>
      <vt:lpstr>p_Hlow_AOB</vt:lpstr>
      <vt:lpstr>p_Hlow_FLOC_HAO</vt:lpstr>
      <vt:lpstr>p_Hlow_FLOC_HFO</vt:lpstr>
      <vt:lpstr>p_Hlow_HMETO</vt:lpstr>
      <vt:lpstr>p_Hlow_NOB</vt:lpstr>
      <vt:lpstr>p_i</vt:lpstr>
      <vt:lpstr>p_NTP</vt:lpstr>
      <vt:lpstr>p_owdamp_ALPHA</vt:lpstr>
      <vt:lpstr>P_recipDrivingForceACP</vt:lpstr>
      <vt:lpstr>P_recipDrivingForceBSH</vt:lpstr>
      <vt:lpstr>P_recipDrivingForceCaCO3</vt:lpstr>
      <vt:lpstr>P_recipDrivingForceSTR</vt:lpstr>
      <vt:lpstr>P_recipDrivingForceVivi</vt:lpstr>
      <vt:lpstr>P_RR</vt:lpstr>
      <vt:lpstr>p_STP</vt:lpstr>
      <vt:lpstr>P_UR</vt:lpstr>
      <vt:lpstr>P_URBIO</vt:lpstr>
      <vt:lpstr>P_URBIOP</vt:lpstr>
      <vt:lpstr>P_URCHEM</vt:lpstr>
      <vt:lpstr>q_ACP</vt:lpstr>
      <vt:lpstr>q_ACP_DISS</vt:lpstr>
      <vt:lpstr>q_ACP_PREC</vt:lpstr>
      <vt:lpstr>q_ALPHA</vt:lpstr>
      <vt:lpstr>q_ALPHA_O2</vt:lpstr>
      <vt:lpstr>q_AMMON</vt:lpstr>
      <vt:lpstr>q_AMMON_T</vt:lpstr>
      <vt:lpstr>q_ASSIM</vt:lpstr>
      <vt:lpstr>q_ASSIM_T</vt:lpstr>
      <vt:lpstr>q_BSH</vt:lpstr>
      <vt:lpstr>q_BSH_DISS</vt:lpstr>
      <vt:lpstr>q_BSH_PREC</vt:lpstr>
      <vt:lpstr>q_CaCO3</vt:lpstr>
      <vt:lpstr>q_CaCO3_DISS</vt:lpstr>
      <vt:lpstr>q_CaCO3_PREC</vt:lpstr>
      <vt:lpstr>q_Fe2_OX</vt:lpstr>
      <vt:lpstr>q_Fe2_OX_T</vt:lpstr>
      <vt:lpstr>q_FLOC</vt:lpstr>
      <vt:lpstr>q_FLOC_HAO</vt:lpstr>
      <vt:lpstr>q_FLOC_HAO_T</vt:lpstr>
      <vt:lpstr>q_FLOC_HFO</vt:lpstr>
      <vt:lpstr>q_FLOC_HFO_T</vt:lpstr>
      <vt:lpstr>q_FLOC_T</vt:lpstr>
      <vt:lpstr>q_GAO_PHA</vt:lpstr>
      <vt:lpstr>q_GAO_PHA_T</vt:lpstr>
      <vt:lpstr>q_HAO_DISS</vt:lpstr>
      <vt:lpstr>q_HAOH_AGING</vt:lpstr>
      <vt:lpstr>q_HAOH_DESORP</vt:lpstr>
      <vt:lpstr>q_HAOL_AGING</vt:lpstr>
      <vt:lpstr>q_HAOL_DESORP</vt:lpstr>
      <vt:lpstr>q_HFO_DISS</vt:lpstr>
      <vt:lpstr>q_HFO_RED</vt:lpstr>
      <vt:lpstr>q_HFO_RED_T</vt:lpstr>
      <vt:lpstr>q_HFOH_AGING</vt:lpstr>
      <vt:lpstr>q_HFOH_DESORP</vt:lpstr>
      <vt:lpstr>q_HFOL_AGING</vt:lpstr>
      <vt:lpstr>q_HFOL_DESORP</vt:lpstr>
      <vt:lpstr>q_HYD_XB</vt:lpstr>
      <vt:lpstr>q_HYD_XB_T</vt:lpstr>
      <vt:lpstr>q_HYD_XBe</vt:lpstr>
      <vt:lpstr>q_HYD_XBe_T</vt:lpstr>
      <vt:lpstr>q_MEOL</vt:lpstr>
      <vt:lpstr>q_P_HAO_BIND</vt:lpstr>
      <vt:lpstr>q_P_HAO_COPREC</vt:lpstr>
      <vt:lpstr>q_P_HFO_BIND</vt:lpstr>
      <vt:lpstr>q_P_HFO_COPREC</vt:lpstr>
      <vt:lpstr>q_PAO_PHA</vt:lpstr>
      <vt:lpstr>q_PAO_PHA_T</vt:lpstr>
      <vt:lpstr>q_PAO_PP</vt:lpstr>
      <vt:lpstr>q_PAO_PP_T</vt:lpstr>
      <vt:lpstr>q_PFOA_SORP</vt:lpstr>
      <vt:lpstr>q_PFOS_SORP</vt:lpstr>
      <vt:lpstr>q_SPB</vt:lpstr>
      <vt:lpstr>q_SPB_T</vt:lpstr>
      <vt:lpstr>q_STR</vt:lpstr>
      <vt:lpstr>q_STR_DISS</vt:lpstr>
      <vt:lpstr>q_STR_PREC</vt:lpstr>
      <vt:lpstr>q_Vivi</vt:lpstr>
      <vt:lpstr>q_Vivi_DISS</vt:lpstr>
      <vt:lpstr>q_Vivi_PREC</vt:lpstr>
      <vt:lpstr>q_XE</vt:lpstr>
      <vt:lpstr>q_XE_T</vt:lpstr>
      <vt:lpstr>q_XU</vt:lpstr>
      <vt:lpstr>q_XU_T</vt:lpstr>
      <vt:lpstr>R__</vt:lpstr>
      <vt:lpstr>r_1</vt:lpstr>
      <vt:lpstr>r_10</vt:lpstr>
      <vt:lpstr>r_100</vt:lpstr>
      <vt:lpstr>r_101</vt:lpstr>
      <vt:lpstr>r_102</vt:lpstr>
      <vt:lpstr>r_103</vt:lpstr>
      <vt:lpstr>r_104</vt:lpstr>
      <vt:lpstr>r_105</vt:lpstr>
      <vt:lpstr>r_11</vt:lpstr>
      <vt:lpstr>r_12</vt:lpstr>
      <vt:lpstr>r_13</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r_35</vt:lpstr>
      <vt:lpstr>r_36</vt:lpstr>
      <vt:lpstr>r_37</vt:lpstr>
      <vt:lpstr>r_38</vt:lpstr>
      <vt:lpstr>r_39</vt:lpstr>
      <vt:lpstr>r_4</vt:lpstr>
      <vt:lpstr>r_40</vt:lpstr>
      <vt:lpstr>r_41</vt:lpstr>
      <vt:lpstr>r_42</vt:lpstr>
      <vt:lpstr>r_43</vt:lpstr>
      <vt:lpstr>r_44</vt:lpstr>
      <vt:lpstr>r_45</vt:lpstr>
      <vt:lpstr>r_46</vt:lpstr>
      <vt:lpstr>r_47</vt:lpstr>
      <vt:lpstr>r_48</vt:lpstr>
      <vt:lpstr>r_49</vt:lpstr>
      <vt:lpstr>r_5</vt:lpstr>
      <vt:lpstr>r_50</vt:lpstr>
      <vt:lpstr>r_51</vt:lpstr>
      <vt:lpstr>r_52</vt:lpstr>
      <vt:lpstr>r_53</vt:lpstr>
      <vt:lpstr>r_54</vt:lpstr>
      <vt:lpstr>r_55</vt:lpstr>
      <vt:lpstr>r_56</vt:lpstr>
      <vt:lpstr>r_57</vt:lpstr>
      <vt:lpstr>r_58</vt:lpstr>
      <vt:lpstr>r_59</vt:lpstr>
      <vt:lpstr>r_6</vt:lpstr>
      <vt:lpstr>r_60</vt:lpstr>
      <vt:lpstr>r_61</vt:lpstr>
      <vt:lpstr>r_62</vt:lpstr>
      <vt:lpstr>r_63</vt:lpstr>
      <vt:lpstr>r_64</vt:lpstr>
      <vt:lpstr>r_65</vt:lpstr>
      <vt:lpstr>r_66</vt:lpstr>
      <vt:lpstr>r_67</vt:lpstr>
      <vt:lpstr>r_68</vt:lpstr>
      <vt:lpstr>r_69</vt:lpstr>
      <vt:lpstr>r_7</vt:lpstr>
      <vt:lpstr>r_70</vt:lpstr>
      <vt:lpstr>r_71</vt:lpstr>
      <vt:lpstr>r_72</vt:lpstr>
      <vt:lpstr>r_73</vt:lpstr>
      <vt:lpstr>r_74</vt:lpstr>
      <vt:lpstr>r_75</vt:lpstr>
      <vt:lpstr>r_76</vt:lpstr>
      <vt:lpstr>r_77</vt:lpstr>
      <vt:lpstr>r_78</vt:lpstr>
      <vt:lpstr>r_79</vt:lpstr>
      <vt:lpstr>r_8</vt:lpstr>
      <vt:lpstr>r_80</vt:lpstr>
      <vt:lpstr>r_81</vt:lpstr>
      <vt:lpstr>r_82</vt:lpstr>
      <vt:lpstr>r_83</vt:lpstr>
      <vt:lpstr>r_84</vt:lpstr>
      <vt:lpstr>r_85</vt:lpstr>
      <vt:lpstr>r_86</vt:lpstr>
      <vt:lpstr>r_87</vt:lpstr>
      <vt:lpstr>r_88</vt:lpstr>
      <vt:lpstr>r_89</vt:lpstr>
      <vt:lpstr>r_9</vt:lpstr>
      <vt:lpstr>r_90</vt:lpstr>
      <vt:lpstr>r_91</vt:lpstr>
      <vt:lpstr>r_92</vt:lpstr>
      <vt:lpstr>r_93</vt:lpstr>
      <vt:lpstr>r_94</vt:lpstr>
      <vt:lpstr>r_95</vt:lpstr>
      <vt:lpstr>r_96</vt:lpstr>
      <vt:lpstr>r_97</vt:lpstr>
      <vt:lpstr>r_98</vt:lpstr>
      <vt:lpstr>r_99</vt:lpstr>
      <vt:lpstr>R_air</vt:lpstr>
      <vt:lpstr>r_ate_DiffAer_ox_transf</vt:lpstr>
      <vt:lpstr>r_ate_Hbio</vt:lpstr>
      <vt:lpstr>r_ate_SCO2_ALGAE</vt:lpstr>
      <vt:lpstr>r_ate_SCO2_Hydrolysis</vt:lpstr>
      <vt:lpstr>r_ate_SCO2_NITOs</vt:lpstr>
      <vt:lpstr>r_ate_SCO2_OHOs</vt:lpstr>
      <vt:lpstr>r_ate_SCO2_Precipitation</vt:lpstr>
      <vt:lpstr>r_ate_SCO2_stripping</vt:lpstr>
      <vt:lpstr>r_ate_SNHx_ALGAE</vt:lpstr>
      <vt:lpstr>r_ate_SNHx_Hydrolysis</vt:lpstr>
      <vt:lpstr>r_ate_SNHx_NITOs</vt:lpstr>
      <vt:lpstr>r_ate_SNHx_OHOs</vt:lpstr>
      <vt:lpstr>r_ate_SNHx_stripping</vt:lpstr>
      <vt:lpstr>r_ate_SNOx_ALGAE</vt:lpstr>
      <vt:lpstr>r_ate_SNOx_NITOs</vt:lpstr>
      <vt:lpstr>r_ate_SNOx_OHOs</vt:lpstr>
      <vt:lpstr>r_ate_SO2_aerator</vt:lpstr>
      <vt:lpstr>r_ate_SO2_ALGAE_resp</vt:lpstr>
      <vt:lpstr>r_ate_SO2_C_oxidation</vt:lpstr>
      <vt:lpstr>r_ate_SO2_Fe_oxidation</vt:lpstr>
      <vt:lpstr>r_ate_SO2_nitrif</vt:lpstr>
      <vt:lpstr>r_ate_SO2_photosynt</vt:lpstr>
      <vt:lpstr>r_ate_SO2_sur</vt:lpstr>
      <vt:lpstr>r_ate_SPO4_ALGAE</vt:lpstr>
      <vt:lpstr>r_ate_SPO4_Hydrolysis</vt:lpstr>
      <vt:lpstr>r_ate_SPO4_NITOs</vt:lpstr>
      <vt:lpstr>r_ate_SPO4_OHOs</vt:lpstr>
      <vt:lpstr>r_ate_SPO4_Precipitation</vt:lpstr>
      <vt:lpstr>r_ate_SurfAer_ox_transf</vt:lpstr>
      <vt:lpstr>r_ate_TCOD_autotrophs</vt:lpstr>
      <vt:lpstr>r_ate_TCOD_oxydation_NO3</vt:lpstr>
      <vt:lpstr>r_ate_TCOD_oxydation_O2</vt:lpstr>
      <vt:lpstr>r_ate_TCOD_photosynt</vt:lpstr>
      <vt:lpstr>r_ate_TCOD_stripping</vt:lpstr>
      <vt:lpstr>r_ate_TN_denit</vt:lpstr>
      <vt:lpstr>r_ateFLOC_CB_polymer</vt:lpstr>
      <vt:lpstr>r_ateFLOC_CU_polymer</vt:lpstr>
      <vt:lpstr>r_atioAAR_rbCODDR</vt:lpstr>
      <vt:lpstr>r_atioVSS_TSS</vt:lpstr>
      <vt:lpstr>r_bCODDR</vt:lpstr>
      <vt:lpstr>S_ALK</vt:lpstr>
      <vt:lpstr>S_ALK_calc</vt:lpstr>
      <vt:lpstr>S_ALK_input</vt:lpstr>
      <vt:lpstr>S_ALPHA</vt:lpstr>
      <vt:lpstr>S_ALPHA_sat</vt:lpstr>
      <vt:lpstr>S_AN</vt:lpstr>
      <vt:lpstr>S_AN_ini</vt:lpstr>
      <vt:lpstr>S_B</vt:lpstr>
      <vt:lpstr>S_BOD_5</vt:lpstr>
      <vt:lpstr>S_BOD_ult</vt:lpstr>
      <vt:lpstr>S_Ca</vt:lpstr>
      <vt:lpstr>S_CAT</vt:lpstr>
      <vt:lpstr>S_CAT_ini</vt:lpstr>
      <vt:lpstr>S_CCOD</vt:lpstr>
      <vt:lpstr>S_CH4</vt:lpstr>
      <vt:lpstr>S_CO2</vt:lpstr>
      <vt:lpstr>S_COD</vt:lpstr>
      <vt:lpstr>S_Fe2</vt:lpstr>
      <vt:lpstr>S_GCH4_bub_sat</vt:lpstr>
      <vt:lpstr>S_GCH4_sur_sat</vt:lpstr>
      <vt:lpstr>S_GCO2_bub_sat</vt:lpstr>
      <vt:lpstr>S_GCO2_sur_sat</vt:lpstr>
      <vt:lpstr>S_GH2_bub_sat</vt:lpstr>
      <vt:lpstr>S_GH2_sur_sat</vt:lpstr>
      <vt:lpstr>S_GH2S_bub_sat</vt:lpstr>
      <vt:lpstr>S_GH2S_sur_sat</vt:lpstr>
      <vt:lpstr>S_GN2_bub_sat</vt:lpstr>
      <vt:lpstr>S_GN2_sur_sat</vt:lpstr>
      <vt:lpstr>S_GNH3_bub_sat</vt:lpstr>
      <vt:lpstr>S_GNH3_sur_sat</vt:lpstr>
      <vt:lpstr>S_GO2_bub_sat</vt:lpstr>
      <vt:lpstr>S_GO2_sur_sat</vt:lpstr>
      <vt:lpstr>S_H</vt:lpstr>
      <vt:lpstr>S_H2</vt:lpstr>
      <vt:lpstr>S_K</vt:lpstr>
      <vt:lpstr>S_KN</vt:lpstr>
      <vt:lpstr>s_lh_diff_α</vt:lpstr>
      <vt:lpstr>S_lopeIS_corr</vt:lpstr>
      <vt:lpstr>s_lORP_GAO_Half_T</vt:lpstr>
      <vt:lpstr>s_lTSS_α_coarse</vt:lpstr>
      <vt:lpstr>s_lTSS_α_def</vt:lpstr>
      <vt:lpstr>S_MEOL</vt:lpstr>
      <vt:lpstr>S_Mg</vt:lpstr>
      <vt:lpstr>S_N_B</vt:lpstr>
      <vt:lpstr>S_N2</vt:lpstr>
      <vt:lpstr>S_NHx</vt:lpstr>
      <vt:lpstr>S_NO2</vt:lpstr>
      <vt:lpstr>S_NO3</vt:lpstr>
      <vt:lpstr>S_NOx</vt:lpstr>
      <vt:lpstr>S_O2</vt:lpstr>
      <vt:lpstr>S_ORPswitch</vt:lpstr>
      <vt:lpstr>S_OTRaerator</vt:lpstr>
      <vt:lpstr>S_OTRsur</vt:lpstr>
      <vt:lpstr>S_OTRsur_min</vt:lpstr>
      <vt:lpstr>S_P</vt:lpstr>
      <vt:lpstr>S_P_B</vt:lpstr>
      <vt:lpstr>S_PFOA</vt:lpstr>
      <vt:lpstr>S_PFOS</vt:lpstr>
      <vt:lpstr>S_PO4</vt:lpstr>
      <vt:lpstr>S_rbCOD</vt:lpstr>
      <vt:lpstr>S_U</vt:lpstr>
      <vt:lpstr>S_U_N</vt:lpstr>
      <vt:lpstr>S_umo__MSatMin</vt:lpstr>
      <vt:lpstr>S_umo__pHEffects</vt:lpstr>
      <vt:lpstr>S_VFA</vt:lpstr>
      <vt:lpstr>T__</vt:lpstr>
      <vt:lpstr>T_Al</vt:lpstr>
      <vt:lpstr>T_base</vt:lpstr>
      <vt:lpstr>T_BOD_5</vt:lpstr>
      <vt:lpstr>T_BOD_ult</vt:lpstr>
      <vt:lpstr>T_Ca</vt:lpstr>
      <vt:lpstr>T_COD</vt:lpstr>
      <vt:lpstr>T_COD_Th</vt:lpstr>
      <vt:lpstr>T_Fe</vt:lpstr>
      <vt:lpstr>T_IN</vt:lpstr>
      <vt:lpstr>T_K</vt:lpstr>
      <vt:lpstr>T_KN</vt:lpstr>
      <vt:lpstr>T_KN_B</vt:lpstr>
      <vt:lpstr>T_Mg</vt:lpstr>
      <vt:lpstr>T_N</vt:lpstr>
      <vt:lpstr>T_NTP_K</vt:lpstr>
      <vt:lpstr>T_OC</vt:lpstr>
      <vt:lpstr>T_P</vt:lpstr>
      <vt:lpstr>T_PFOA</vt:lpstr>
      <vt:lpstr>T_PFOS</vt:lpstr>
      <vt:lpstr>T_st_K</vt:lpstr>
      <vt:lpstr>T_STP_K</vt:lpstr>
      <vt:lpstr>v_1_CB</vt:lpstr>
      <vt:lpstr>v_1_CU</vt:lpstr>
      <vt:lpstr>v_1_GCH4</vt:lpstr>
      <vt:lpstr>v_1_GCH4_atm</vt:lpstr>
      <vt:lpstr>v_1_GCO2</vt:lpstr>
      <vt:lpstr>v_1_GCO2_atm</vt:lpstr>
      <vt:lpstr>v_1_GH2</vt:lpstr>
      <vt:lpstr>v_1_GH2_atm</vt:lpstr>
      <vt:lpstr>v_1_GN2</vt:lpstr>
      <vt:lpstr>v_1_GN2_atm</vt:lpstr>
      <vt:lpstr>v_1_GNH3</vt:lpstr>
      <vt:lpstr>v_1_GNH3_atm</vt:lpstr>
      <vt:lpstr>v_1_GO2</vt:lpstr>
      <vt:lpstr>v_1_GO2_atm</vt:lpstr>
      <vt:lpstr>v_1_SALPHA</vt:lpstr>
      <vt:lpstr>v_1_SAN</vt:lpstr>
      <vt:lpstr>v_1_SB</vt:lpstr>
      <vt:lpstr>v_1_SCa</vt:lpstr>
      <vt:lpstr>v_1_SCAT</vt:lpstr>
      <vt:lpstr>v_1_SCH4</vt:lpstr>
      <vt:lpstr>v_1_SCO2</vt:lpstr>
      <vt:lpstr>v_1_SFe2</vt:lpstr>
      <vt:lpstr>v_1_SH</vt:lpstr>
      <vt:lpstr>v_1_SH2</vt:lpstr>
      <vt:lpstr>v_1_SK</vt:lpstr>
      <vt:lpstr>v_1_SMEOL</vt:lpstr>
      <vt:lpstr>v_1_SMg</vt:lpstr>
      <vt:lpstr>v_1_SN_B</vt:lpstr>
      <vt:lpstr>v_1_SN2</vt:lpstr>
      <vt:lpstr>v_1_SNHx</vt:lpstr>
      <vt:lpstr>v_1_SNO2</vt:lpstr>
      <vt:lpstr>v_1_SNO3</vt:lpstr>
      <vt:lpstr>v_1_SO2</vt:lpstr>
      <vt:lpstr>v_1_SORPswitch</vt:lpstr>
      <vt:lpstr>v_1_SP_B</vt:lpstr>
      <vt:lpstr>v_1_SPFOA</vt:lpstr>
      <vt:lpstr>v_1_SPFOS</vt:lpstr>
      <vt:lpstr>v_1_SPO4</vt:lpstr>
      <vt:lpstr>v_1_SU</vt:lpstr>
      <vt:lpstr>v_1_SVFA</vt:lpstr>
      <vt:lpstr>v_1_XACP</vt:lpstr>
      <vt:lpstr>v_1_XALGAE</vt:lpstr>
      <vt:lpstr>v_1_XAMETO</vt:lpstr>
      <vt:lpstr>v_1_XAMX</vt:lpstr>
      <vt:lpstr>v_1_XAOB</vt:lpstr>
      <vt:lpstr>v_1_XB</vt:lpstr>
      <vt:lpstr>v_1_XB_e</vt:lpstr>
      <vt:lpstr>v_1_XBSH</vt:lpstr>
      <vt:lpstr>v_1_XCaCO3</vt:lpstr>
      <vt:lpstr>v_1_XCASTO</vt:lpstr>
      <vt:lpstr>v_1_XE</vt:lpstr>
      <vt:lpstr>v_1_XE_ana</vt:lpstr>
      <vt:lpstr>v_1_XHAO_H</vt:lpstr>
      <vt:lpstr>v_1_XHAO_H_P</vt:lpstr>
      <vt:lpstr>v_1_XHAO_H_P_old</vt:lpstr>
      <vt:lpstr>v_1_XHAO_L</vt:lpstr>
      <vt:lpstr>v_1_XHAO_L_P</vt:lpstr>
      <vt:lpstr>v_1_XHAO_L_P_old</vt:lpstr>
      <vt:lpstr>v_1_XHAO_old</vt:lpstr>
      <vt:lpstr>v_1_XHFO_H</vt:lpstr>
      <vt:lpstr>v_1_XHFO_H_P</vt:lpstr>
      <vt:lpstr>v_1_XHFO_H_P_old</vt:lpstr>
      <vt:lpstr>v_1_XHFO_L</vt:lpstr>
      <vt:lpstr>v_1_XHFO_L_P</vt:lpstr>
      <vt:lpstr>v_1_XHFO_L_P_old</vt:lpstr>
      <vt:lpstr>v_1_XHFO_old</vt:lpstr>
      <vt:lpstr>v_1_XHMETO</vt:lpstr>
      <vt:lpstr>v_1_XINORG</vt:lpstr>
      <vt:lpstr>v_1_XMEOLO</vt:lpstr>
      <vt:lpstr>v_1_XN_B</vt:lpstr>
      <vt:lpstr>v_1_XN_Be</vt:lpstr>
      <vt:lpstr>v_1_XN_U</vt:lpstr>
      <vt:lpstr>v_1_XNOB</vt:lpstr>
      <vt:lpstr>v_1_XOHO</vt:lpstr>
      <vt:lpstr>v_1_XP_B</vt:lpstr>
      <vt:lpstr>v_1_XP_Be</vt:lpstr>
      <vt:lpstr>v_1_XP_U</vt:lpstr>
      <vt:lpstr>v_1_XPFOA</vt:lpstr>
      <vt:lpstr>v_1_XPFOS</vt:lpstr>
      <vt:lpstr>v_1_XPHA_GAO</vt:lpstr>
      <vt:lpstr>v_1_XPHA_PAO</vt:lpstr>
      <vt:lpstr>v_1_XPP</vt:lpstr>
      <vt:lpstr>v_1_XSTR</vt:lpstr>
      <vt:lpstr>v_1_XU</vt:lpstr>
      <vt:lpstr>v_1_XVivi</vt:lpstr>
      <vt:lpstr>v_10_CB</vt:lpstr>
      <vt:lpstr>v_10_CU</vt:lpstr>
      <vt:lpstr>v_10_GCH4</vt:lpstr>
      <vt:lpstr>v_10_GCH4_atm</vt:lpstr>
      <vt:lpstr>v_10_GCO2</vt:lpstr>
      <vt:lpstr>v_10_GCO2_atm</vt:lpstr>
      <vt:lpstr>v_10_GH2</vt:lpstr>
      <vt:lpstr>v_10_GH2_atm</vt:lpstr>
      <vt:lpstr>v_10_GN2</vt:lpstr>
      <vt:lpstr>v_10_GN2_atm</vt:lpstr>
      <vt:lpstr>v_10_GNH3</vt:lpstr>
      <vt:lpstr>v_10_GNH3_atm</vt:lpstr>
      <vt:lpstr>v_10_GO2</vt:lpstr>
      <vt:lpstr>v_10_GO2_atm</vt:lpstr>
      <vt:lpstr>v_10_SALPHA</vt:lpstr>
      <vt:lpstr>v_10_SAN</vt:lpstr>
      <vt:lpstr>v_10_SB</vt:lpstr>
      <vt:lpstr>v_10_SCa</vt:lpstr>
      <vt:lpstr>v_10_SCAT</vt:lpstr>
      <vt:lpstr>v_10_SCH4</vt:lpstr>
      <vt:lpstr>v_10_SCO2</vt:lpstr>
      <vt:lpstr>v_10_SFe2</vt:lpstr>
      <vt:lpstr>v_10_SH</vt:lpstr>
      <vt:lpstr>v_10_SH2</vt:lpstr>
      <vt:lpstr>v_10_SK</vt:lpstr>
      <vt:lpstr>v_10_SMEOL</vt:lpstr>
      <vt:lpstr>v_10_SMg</vt:lpstr>
      <vt:lpstr>v_10_SN_B</vt:lpstr>
      <vt:lpstr>v_10_SN2</vt:lpstr>
      <vt:lpstr>v_10_SNHx</vt:lpstr>
      <vt:lpstr>v_10_SNO2</vt:lpstr>
      <vt:lpstr>v_10_SNO3</vt:lpstr>
      <vt:lpstr>v_10_SO2</vt:lpstr>
      <vt:lpstr>v_10_SORPswitch</vt:lpstr>
      <vt:lpstr>v_10_SP_B</vt:lpstr>
      <vt:lpstr>v_10_SPFOA</vt:lpstr>
      <vt:lpstr>v_10_SPFOS</vt:lpstr>
      <vt:lpstr>v_10_SPO4</vt:lpstr>
      <vt:lpstr>v_10_SU</vt:lpstr>
      <vt:lpstr>v_10_SVFA</vt:lpstr>
      <vt:lpstr>v_10_XACP</vt:lpstr>
      <vt:lpstr>v_10_XALGAE</vt:lpstr>
      <vt:lpstr>v_10_XAMETO</vt:lpstr>
      <vt:lpstr>v_10_XAMX</vt:lpstr>
      <vt:lpstr>v_10_XAOB</vt:lpstr>
      <vt:lpstr>v_10_XB</vt:lpstr>
      <vt:lpstr>v_10_XB_e</vt:lpstr>
      <vt:lpstr>v_10_XBSH</vt:lpstr>
      <vt:lpstr>v_10_XCaCO3</vt:lpstr>
      <vt:lpstr>v_10_XCASTO</vt:lpstr>
      <vt:lpstr>v_10_XE</vt:lpstr>
      <vt:lpstr>v_10_XE_ana</vt:lpstr>
      <vt:lpstr>v_10_XHAO_H</vt:lpstr>
      <vt:lpstr>v_10_XHAO_H_P</vt:lpstr>
      <vt:lpstr>v_10_XHAO_H_P_old</vt:lpstr>
      <vt:lpstr>v_10_XHAO_L</vt:lpstr>
      <vt:lpstr>v_10_XHAO_L_P</vt:lpstr>
      <vt:lpstr>v_10_XHAO_L_P_old</vt:lpstr>
      <vt:lpstr>v_10_XHAO_old</vt:lpstr>
      <vt:lpstr>v_10_XHFO_H</vt:lpstr>
      <vt:lpstr>v_10_XHFO_H_P</vt:lpstr>
      <vt:lpstr>v_10_XHFO_H_P_old</vt:lpstr>
      <vt:lpstr>v_10_XHFO_L</vt:lpstr>
      <vt:lpstr>v_10_XHFO_L_P</vt:lpstr>
      <vt:lpstr>v_10_XHFO_L_P_old</vt:lpstr>
      <vt:lpstr>v_10_XHFO_old</vt:lpstr>
      <vt:lpstr>v_10_XHMETO</vt:lpstr>
      <vt:lpstr>v_10_XINORG</vt:lpstr>
      <vt:lpstr>v_10_XMEOLO</vt:lpstr>
      <vt:lpstr>v_10_XN_B</vt:lpstr>
      <vt:lpstr>v_10_XN_Be</vt:lpstr>
      <vt:lpstr>v_10_XN_U</vt:lpstr>
      <vt:lpstr>v_10_XNOB</vt:lpstr>
      <vt:lpstr>v_10_XOHO</vt:lpstr>
      <vt:lpstr>v_10_XP_B</vt:lpstr>
      <vt:lpstr>v_10_XP_Be</vt:lpstr>
      <vt:lpstr>v_10_XP_U</vt:lpstr>
      <vt:lpstr>v_10_XPFOA</vt:lpstr>
      <vt:lpstr>v_10_XPFOS</vt:lpstr>
      <vt:lpstr>v_10_XPHA_GAO</vt:lpstr>
      <vt:lpstr>v_10_XPHA_PAO</vt:lpstr>
      <vt:lpstr>v_10_XPP</vt:lpstr>
      <vt:lpstr>v_10_XSTR</vt:lpstr>
      <vt:lpstr>v_10_XU</vt:lpstr>
      <vt:lpstr>v_10_XVivi</vt:lpstr>
      <vt:lpstr>v_100_CB</vt:lpstr>
      <vt:lpstr>v_100_CU</vt:lpstr>
      <vt:lpstr>v_100_GCH4</vt:lpstr>
      <vt:lpstr>v_100_GCH4_atm</vt:lpstr>
      <vt:lpstr>v_100_GCO2</vt:lpstr>
      <vt:lpstr>v_100_GCO2_atm</vt:lpstr>
      <vt:lpstr>v_100_GH2</vt:lpstr>
      <vt:lpstr>v_100_GH2_atm</vt:lpstr>
      <vt:lpstr>v_100_GN2</vt:lpstr>
      <vt:lpstr>v_100_GN2_atm</vt:lpstr>
      <vt:lpstr>v_100_GNH3</vt:lpstr>
      <vt:lpstr>v_100_GNH3_atm</vt:lpstr>
      <vt:lpstr>v_100_GO2</vt:lpstr>
      <vt:lpstr>v_100_GO2_atm</vt:lpstr>
      <vt:lpstr>v_100_SALPHA</vt:lpstr>
      <vt:lpstr>v_100_SAN</vt:lpstr>
      <vt:lpstr>v_100_SB</vt:lpstr>
      <vt:lpstr>v_100_SCa</vt:lpstr>
      <vt:lpstr>v_100_SCAT</vt:lpstr>
      <vt:lpstr>v_100_SCH4</vt:lpstr>
      <vt:lpstr>v_100_SCO2</vt:lpstr>
      <vt:lpstr>v_100_SFe2</vt:lpstr>
      <vt:lpstr>v_100_SH</vt:lpstr>
      <vt:lpstr>v_100_SH2</vt:lpstr>
      <vt:lpstr>v_100_SK</vt:lpstr>
      <vt:lpstr>v_100_SMEOL</vt:lpstr>
      <vt:lpstr>v_100_SMg</vt:lpstr>
      <vt:lpstr>v_100_SN_B</vt:lpstr>
      <vt:lpstr>v_100_SN2</vt:lpstr>
      <vt:lpstr>v_100_SNHx</vt:lpstr>
      <vt:lpstr>v_100_SNO2</vt:lpstr>
      <vt:lpstr>v_100_SNO3</vt:lpstr>
      <vt:lpstr>v_100_SO2</vt:lpstr>
      <vt:lpstr>v_100_SORPswitch</vt:lpstr>
      <vt:lpstr>v_100_SP_B</vt:lpstr>
      <vt:lpstr>v_100_SPFOA</vt:lpstr>
      <vt:lpstr>v_100_SPFOS</vt:lpstr>
      <vt:lpstr>v_100_SPO4</vt:lpstr>
      <vt:lpstr>v_100_SU</vt:lpstr>
      <vt:lpstr>v_100_SVFA</vt:lpstr>
      <vt:lpstr>v_100_XACP</vt:lpstr>
      <vt:lpstr>v_100_XALGAE</vt:lpstr>
      <vt:lpstr>v_100_XAMETO</vt:lpstr>
      <vt:lpstr>v_100_XAMX</vt:lpstr>
      <vt:lpstr>v_100_XAOB</vt:lpstr>
      <vt:lpstr>v_100_XB</vt:lpstr>
      <vt:lpstr>v_100_XB_e</vt:lpstr>
      <vt:lpstr>v_100_XBSH</vt:lpstr>
      <vt:lpstr>v_100_XCaCO3</vt:lpstr>
      <vt:lpstr>v_100_XCASTO</vt:lpstr>
      <vt:lpstr>v_100_XE</vt:lpstr>
      <vt:lpstr>v_100_XE_ana</vt:lpstr>
      <vt:lpstr>v_100_XHAO_H</vt:lpstr>
      <vt:lpstr>v_100_XHAO_H_P</vt:lpstr>
      <vt:lpstr>v_100_XHAO_H_P_old</vt:lpstr>
      <vt:lpstr>v_100_XHAO_L</vt:lpstr>
      <vt:lpstr>v_100_XHAO_L_P</vt:lpstr>
      <vt:lpstr>v_100_XHAO_L_P_old</vt:lpstr>
      <vt:lpstr>v_100_XHAO_old</vt:lpstr>
      <vt:lpstr>v_100_XHFO_H</vt:lpstr>
      <vt:lpstr>v_100_XHFO_H_P</vt:lpstr>
      <vt:lpstr>v_100_XHFO_H_P_old</vt:lpstr>
      <vt:lpstr>v_100_XHFO_L</vt:lpstr>
      <vt:lpstr>v_100_XHFO_L_P</vt:lpstr>
      <vt:lpstr>v_100_XHFO_L_P_old</vt:lpstr>
      <vt:lpstr>v_100_XHFO_old</vt:lpstr>
      <vt:lpstr>v_100_XHMETO</vt:lpstr>
      <vt:lpstr>v_100_XINORG</vt:lpstr>
      <vt:lpstr>v_100_XMEOLO</vt:lpstr>
      <vt:lpstr>v_100_XN_B</vt:lpstr>
      <vt:lpstr>v_100_XN_Be</vt:lpstr>
      <vt:lpstr>v_100_XN_U</vt:lpstr>
      <vt:lpstr>v_100_XNOB</vt:lpstr>
      <vt:lpstr>v_100_XOHO</vt:lpstr>
      <vt:lpstr>v_100_XP_B</vt:lpstr>
      <vt:lpstr>v_100_XP_Be</vt:lpstr>
      <vt:lpstr>v_100_XP_U</vt:lpstr>
      <vt:lpstr>v_100_XPFOA</vt:lpstr>
      <vt:lpstr>v_100_XPFOS</vt:lpstr>
      <vt:lpstr>v_100_XPHA_GAO</vt:lpstr>
      <vt:lpstr>v_100_XPHA_PAO</vt:lpstr>
      <vt:lpstr>v_100_XPP</vt:lpstr>
      <vt:lpstr>v_100_XSTR</vt:lpstr>
      <vt:lpstr>v_100_XU</vt:lpstr>
      <vt:lpstr>v_100_XVivi</vt:lpstr>
      <vt:lpstr>v_101_CB</vt:lpstr>
      <vt:lpstr>v_101_CU</vt:lpstr>
      <vt:lpstr>v_101_GCH4</vt:lpstr>
      <vt:lpstr>v_101_GCH4_atm</vt:lpstr>
      <vt:lpstr>v_101_GCO2</vt:lpstr>
      <vt:lpstr>v_101_GCO2_atm</vt:lpstr>
      <vt:lpstr>v_101_GH2</vt:lpstr>
      <vt:lpstr>v_101_GH2_atm</vt:lpstr>
      <vt:lpstr>v_101_GN2</vt:lpstr>
      <vt:lpstr>v_101_GN2_atm</vt:lpstr>
      <vt:lpstr>v_101_GNH3</vt:lpstr>
      <vt:lpstr>v_101_GNH3_atm</vt:lpstr>
      <vt:lpstr>v_101_GO2</vt:lpstr>
      <vt:lpstr>v_101_GO2_atm</vt:lpstr>
      <vt:lpstr>v_101_SALPHA</vt:lpstr>
      <vt:lpstr>v_101_SAN</vt:lpstr>
      <vt:lpstr>v_101_SB</vt:lpstr>
      <vt:lpstr>v_101_SCa</vt:lpstr>
      <vt:lpstr>v_101_SCAT</vt:lpstr>
      <vt:lpstr>v_101_SCH4</vt:lpstr>
      <vt:lpstr>v_101_SCO2</vt:lpstr>
      <vt:lpstr>v_101_SFe2</vt:lpstr>
      <vt:lpstr>v_101_SH</vt:lpstr>
      <vt:lpstr>v_101_SH2</vt:lpstr>
      <vt:lpstr>v_101_SK</vt:lpstr>
      <vt:lpstr>v_101_SMEOL</vt:lpstr>
      <vt:lpstr>v_101_SMg</vt:lpstr>
      <vt:lpstr>v_101_SN_B</vt:lpstr>
      <vt:lpstr>v_101_SN2</vt:lpstr>
      <vt:lpstr>v_101_SNHx</vt:lpstr>
      <vt:lpstr>v_101_SNO2</vt:lpstr>
      <vt:lpstr>v_101_SNO3</vt:lpstr>
      <vt:lpstr>v_101_SO2</vt:lpstr>
      <vt:lpstr>v_101_SORPswitch</vt:lpstr>
      <vt:lpstr>v_101_SP_B</vt:lpstr>
      <vt:lpstr>v_101_SPFOA</vt:lpstr>
      <vt:lpstr>v_101_SPFOS</vt:lpstr>
      <vt:lpstr>v_101_SPO4</vt:lpstr>
      <vt:lpstr>v_101_SU</vt:lpstr>
      <vt:lpstr>v_101_SVFA</vt:lpstr>
      <vt:lpstr>v_101_XACP</vt:lpstr>
      <vt:lpstr>v_101_XALGAE</vt:lpstr>
      <vt:lpstr>v_101_XAMETO</vt:lpstr>
      <vt:lpstr>v_101_XAMX</vt:lpstr>
      <vt:lpstr>v_101_XAOB</vt:lpstr>
      <vt:lpstr>v_101_XB</vt:lpstr>
      <vt:lpstr>v_101_XB_e</vt:lpstr>
      <vt:lpstr>v_101_XBSH</vt:lpstr>
      <vt:lpstr>v_101_XCaCO3</vt:lpstr>
      <vt:lpstr>v_101_XCASTO</vt:lpstr>
      <vt:lpstr>v_101_XE</vt:lpstr>
      <vt:lpstr>v_101_XE_ana</vt:lpstr>
      <vt:lpstr>v_101_XHAO_H</vt:lpstr>
      <vt:lpstr>v_101_XHAO_H_P</vt:lpstr>
      <vt:lpstr>v_101_XHAO_H_P_old</vt:lpstr>
      <vt:lpstr>v_101_XHAO_L</vt:lpstr>
      <vt:lpstr>v_101_XHAO_L_P</vt:lpstr>
      <vt:lpstr>v_101_XHAO_L_P_old</vt:lpstr>
      <vt:lpstr>v_101_XHAO_old</vt:lpstr>
      <vt:lpstr>v_101_XHFO_H</vt:lpstr>
      <vt:lpstr>v_101_XHFO_H_P</vt:lpstr>
      <vt:lpstr>v_101_XHFO_H_P_old</vt:lpstr>
      <vt:lpstr>v_101_XHFO_L</vt:lpstr>
      <vt:lpstr>v_101_XHFO_L_P</vt:lpstr>
      <vt:lpstr>v_101_XHFO_L_P_old</vt:lpstr>
      <vt:lpstr>v_101_XHFO_old</vt:lpstr>
      <vt:lpstr>v_101_XHMETO</vt:lpstr>
      <vt:lpstr>v_101_XINORG</vt:lpstr>
      <vt:lpstr>v_101_XMEOLO</vt:lpstr>
      <vt:lpstr>v_101_XN_B</vt:lpstr>
      <vt:lpstr>v_101_XN_Be</vt:lpstr>
      <vt:lpstr>v_101_XN_U</vt:lpstr>
      <vt:lpstr>v_101_XNOB</vt:lpstr>
      <vt:lpstr>v_101_XOHO</vt:lpstr>
      <vt:lpstr>v_101_XP_B</vt:lpstr>
      <vt:lpstr>v_101_XP_Be</vt:lpstr>
      <vt:lpstr>v_101_XP_U</vt:lpstr>
      <vt:lpstr>v_101_XPFOA</vt:lpstr>
      <vt:lpstr>v_101_XPFOS</vt:lpstr>
      <vt:lpstr>v_101_XPHA_GAO</vt:lpstr>
      <vt:lpstr>v_101_XPHA_PAO</vt:lpstr>
      <vt:lpstr>v_101_XPP</vt:lpstr>
      <vt:lpstr>v_101_XSTR</vt:lpstr>
      <vt:lpstr>v_101_XU</vt:lpstr>
      <vt:lpstr>v_101_XVivi</vt:lpstr>
      <vt:lpstr>v_102_CB</vt:lpstr>
      <vt:lpstr>v_102_CU</vt:lpstr>
      <vt:lpstr>v_102_GCH4</vt:lpstr>
      <vt:lpstr>v_102_GCH4_atm</vt:lpstr>
      <vt:lpstr>v_102_GCO2</vt:lpstr>
      <vt:lpstr>v_102_GCO2_atm</vt:lpstr>
      <vt:lpstr>v_102_GH2</vt:lpstr>
      <vt:lpstr>v_102_GH2_atm</vt:lpstr>
      <vt:lpstr>v_102_GN2</vt:lpstr>
      <vt:lpstr>v_102_GN2_atm</vt:lpstr>
      <vt:lpstr>v_102_GNH3</vt:lpstr>
      <vt:lpstr>v_102_GNH3_atm</vt:lpstr>
      <vt:lpstr>v_102_GO2</vt:lpstr>
      <vt:lpstr>v_102_GO2_atm</vt:lpstr>
      <vt:lpstr>v_102_SALPHA</vt:lpstr>
      <vt:lpstr>v_102_SAN</vt:lpstr>
      <vt:lpstr>v_102_SB</vt:lpstr>
      <vt:lpstr>v_102_SCa</vt:lpstr>
      <vt:lpstr>v_102_SCAT</vt:lpstr>
      <vt:lpstr>v_102_SCH4</vt:lpstr>
      <vt:lpstr>v_102_SCO2</vt:lpstr>
      <vt:lpstr>v_102_SFe2</vt:lpstr>
      <vt:lpstr>v_102_SH</vt:lpstr>
      <vt:lpstr>v_102_SH2</vt:lpstr>
      <vt:lpstr>v_102_SK</vt:lpstr>
      <vt:lpstr>v_102_SMEOL</vt:lpstr>
      <vt:lpstr>v_102_SMg</vt:lpstr>
      <vt:lpstr>v_102_SN_B</vt:lpstr>
      <vt:lpstr>v_102_SN2</vt:lpstr>
      <vt:lpstr>v_102_SNHx</vt:lpstr>
      <vt:lpstr>v_102_SNO2</vt:lpstr>
      <vt:lpstr>v_102_SNO3</vt:lpstr>
      <vt:lpstr>v_102_SO2</vt:lpstr>
      <vt:lpstr>v_102_SORPswitch</vt:lpstr>
      <vt:lpstr>v_102_SP_B</vt:lpstr>
      <vt:lpstr>v_102_SPFOA</vt:lpstr>
      <vt:lpstr>v_102_SPFOS</vt:lpstr>
      <vt:lpstr>v_102_SPO4</vt:lpstr>
      <vt:lpstr>v_102_SU</vt:lpstr>
      <vt:lpstr>v_102_SVFA</vt:lpstr>
      <vt:lpstr>v_102_XACP</vt:lpstr>
      <vt:lpstr>v_102_XALGAE</vt:lpstr>
      <vt:lpstr>v_102_XAMETO</vt:lpstr>
      <vt:lpstr>v_102_XAMX</vt:lpstr>
      <vt:lpstr>v_102_XAOB</vt:lpstr>
      <vt:lpstr>v_102_XB</vt:lpstr>
      <vt:lpstr>v_102_XB_e</vt:lpstr>
      <vt:lpstr>v_102_XBSH</vt:lpstr>
      <vt:lpstr>v_102_XCaCO3</vt:lpstr>
      <vt:lpstr>v_102_XCASTO</vt:lpstr>
      <vt:lpstr>v_102_XE</vt:lpstr>
      <vt:lpstr>v_102_XE_ana</vt:lpstr>
      <vt:lpstr>v_102_XHAO_H</vt:lpstr>
      <vt:lpstr>v_102_XHAO_H_P</vt:lpstr>
      <vt:lpstr>v_102_XHAO_H_P_old</vt:lpstr>
      <vt:lpstr>v_102_XHAO_L</vt:lpstr>
      <vt:lpstr>v_102_XHAO_L_P</vt:lpstr>
      <vt:lpstr>v_102_XHAO_L_P_old</vt:lpstr>
      <vt:lpstr>v_102_XHAO_old</vt:lpstr>
      <vt:lpstr>v_102_XHFO_H</vt:lpstr>
      <vt:lpstr>v_102_XHFO_H_P</vt:lpstr>
      <vt:lpstr>v_102_XHFO_H_P_old</vt:lpstr>
      <vt:lpstr>v_102_XHFO_L</vt:lpstr>
      <vt:lpstr>v_102_XHFO_L_P</vt:lpstr>
      <vt:lpstr>v_102_XHFO_L_P_old</vt:lpstr>
      <vt:lpstr>v_102_XHFO_old</vt:lpstr>
      <vt:lpstr>v_102_XHMETO</vt:lpstr>
      <vt:lpstr>v_102_XINORG</vt:lpstr>
      <vt:lpstr>v_102_XMEOLO</vt:lpstr>
      <vt:lpstr>v_102_XN_B</vt:lpstr>
      <vt:lpstr>v_102_XN_Be</vt:lpstr>
      <vt:lpstr>v_102_XN_U</vt:lpstr>
      <vt:lpstr>v_102_XNOB</vt:lpstr>
      <vt:lpstr>v_102_XOHO</vt:lpstr>
      <vt:lpstr>v_102_XP_B</vt:lpstr>
      <vt:lpstr>v_102_XP_Be</vt:lpstr>
      <vt:lpstr>v_102_XP_U</vt:lpstr>
      <vt:lpstr>v_102_XPFOA</vt:lpstr>
      <vt:lpstr>v_102_XPFOS</vt:lpstr>
      <vt:lpstr>v_102_XPHA_GAO</vt:lpstr>
      <vt:lpstr>v_102_XPHA_PAO</vt:lpstr>
      <vt:lpstr>v_102_XPP</vt:lpstr>
      <vt:lpstr>v_102_XSTR</vt:lpstr>
      <vt:lpstr>v_102_XU</vt:lpstr>
      <vt:lpstr>v_102_XVivi</vt:lpstr>
      <vt:lpstr>v_103_CB</vt:lpstr>
      <vt:lpstr>v_103_CU</vt:lpstr>
      <vt:lpstr>v_103_GCH4</vt:lpstr>
      <vt:lpstr>v_103_GCH4_atm</vt:lpstr>
      <vt:lpstr>v_103_GCO2</vt:lpstr>
      <vt:lpstr>v_103_GCO2_atm</vt:lpstr>
      <vt:lpstr>v_103_GH2</vt:lpstr>
      <vt:lpstr>v_103_GH2_atm</vt:lpstr>
      <vt:lpstr>v_103_GN2</vt:lpstr>
      <vt:lpstr>v_103_GN2_atm</vt:lpstr>
      <vt:lpstr>v_103_GNH3</vt:lpstr>
      <vt:lpstr>v_103_GNH3_atm</vt:lpstr>
      <vt:lpstr>v_103_GO2</vt:lpstr>
      <vt:lpstr>v_103_GO2_atm</vt:lpstr>
      <vt:lpstr>v_103_SALPHA</vt:lpstr>
      <vt:lpstr>v_103_SAN</vt:lpstr>
      <vt:lpstr>v_103_SB</vt:lpstr>
      <vt:lpstr>v_103_SCa</vt:lpstr>
      <vt:lpstr>v_103_SCAT</vt:lpstr>
      <vt:lpstr>v_103_SCH4</vt:lpstr>
      <vt:lpstr>v_103_SCO2</vt:lpstr>
      <vt:lpstr>v_103_SFe2</vt:lpstr>
      <vt:lpstr>v_103_SH</vt:lpstr>
      <vt:lpstr>v_103_SH2</vt:lpstr>
      <vt:lpstr>v_103_SK</vt:lpstr>
      <vt:lpstr>v_103_SMEOL</vt:lpstr>
      <vt:lpstr>v_103_SMg</vt:lpstr>
      <vt:lpstr>v_103_SN_B</vt:lpstr>
      <vt:lpstr>v_103_SN2</vt:lpstr>
      <vt:lpstr>v_103_SNHx</vt:lpstr>
      <vt:lpstr>v_103_SNO2</vt:lpstr>
      <vt:lpstr>v_103_SNO3</vt:lpstr>
      <vt:lpstr>v_103_SO2</vt:lpstr>
      <vt:lpstr>v_103_SORPswitch</vt:lpstr>
      <vt:lpstr>v_103_SP_B</vt:lpstr>
      <vt:lpstr>v_103_SPFOA</vt:lpstr>
      <vt:lpstr>v_103_SPFOS</vt:lpstr>
      <vt:lpstr>v_103_SPO4</vt:lpstr>
      <vt:lpstr>v_103_SU</vt:lpstr>
      <vt:lpstr>v_103_SVFA</vt:lpstr>
      <vt:lpstr>v_103_XACP</vt:lpstr>
      <vt:lpstr>v_103_XALGAE</vt:lpstr>
      <vt:lpstr>v_103_XAMETO</vt:lpstr>
      <vt:lpstr>v_103_XAMX</vt:lpstr>
      <vt:lpstr>v_103_XAOB</vt:lpstr>
      <vt:lpstr>v_103_XB</vt:lpstr>
      <vt:lpstr>v_103_XB_e</vt:lpstr>
      <vt:lpstr>v_103_XBSH</vt:lpstr>
      <vt:lpstr>v_103_XCaCO3</vt:lpstr>
      <vt:lpstr>v_103_XCASTO</vt:lpstr>
      <vt:lpstr>v_103_XE</vt:lpstr>
      <vt:lpstr>v_103_XE_ana</vt:lpstr>
      <vt:lpstr>v_103_XHAO_H</vt:lpstr>
      <vt:lpstr>v_103_XHAO_H_P</vt:lpstr>
      <vt:lpstr>v_103_XHAO_H_P_old</vt:lpstr>
      <vt:lpstr>v_103_XHAO_L</vt:lpstr>
      <vt:lpstr>v_103_XHAO_L_P</vt:lpstr>
      <vt:lpstr>v_103_XHAO_L_P_old</vt:lpstr>
      <vt:lpstr>v_103_XHAO_old</vt:lpstr>
      <vt:lpstr>v_103_XHFO_H</vt:lpstr>
      <vt:lpstr>v_103_XHFO_H_P</vt:lpstr>
      <vt:lpstr>v_103_XHFO_H_P_old</vt:lpstr>
      <vt:lpstr>v_103_XHFO_L</vt:lpstr>
      <vt:lpstr>v_103_XHFO_L_P</vt:lpstr>
      <vt:lpstr>v_103_XHFO_L_P_old</vt:lpstr>
      <vt:lpstr>v_103_XHFO_old</vt:lpstr>
      <vt:lpstr>v_103_XHMETO</vt:lpstr>
      <vt:lpstr>v_103_XINORG</vt:lpstr>
      <vt:lpstr>v_103_XMEOLO</vt:lpstr>
      <vt:lpstr>v_103_XN_B</vt:lpstr>
      <vt:lpstr>v_103_XN_Be</vt:lpstr>
      <vt:lpstr>v_103_XN_U</vt:lpstr>
      <vt:lpstr>v_103_XNOB</vt:lpstr>
      <vt:lpstr>v_103_XOHO</vt:lpstr>
      <vt:lpstr>v_103_XP_B</vt:lpstr>
      <vt:lpstr>v_103_XP_Be</vt:lpstr>
      <vt:lpstr>v_103_XP_U</vt:lpstr>
      <vt:lpstr>v_103_XPFOA</vt:lpstr>
      <vt:lpstr>v_103_XPFOS</vt:lpstr>
      <vt:lpstr>v_103_XPHA_GAO</vt:lpstr>
      <vt:lpstr>v_103_XPHA_PAO</vt:lpstr>
      <vt:lpstr>v_103_XPP</vt:lpstr>
      <vt:lpstr>v_103_XSTR</vt:lpstr>
      <vt:lpstr>v_103_XU</vt:lpstr>
      <vt:lpstr>v_103_XVivi</vt:lpstr>
      <vt:lpstr>v_104_CB</vt:lpstr>
      <vt:lpstr>v_104_CU</vt:lpstr>
      <vt:lpstr>v_104_GCH4</vt:lpstr>
      <vt:lpstr>v_104_GCH4_atm</vt:lpstr>
      <vt:lpstr>v_104_GCO2</vt:lpstr>
      <vt:lpstr>v_104_GCO2_atm</vt:lpstr>
      <vt:lpstr>v_104_GH2</vt:lpstr>
      <vt:lpstr>v_104_GH2_atm</vt:lpstr>
      <vt:lpstr>v_104_GN2</vt:lpstr>
      <vt:lpstr>v_104_GN2_atm</vt:lpstr>
      <vt:lpstr>v_104_GNH3</vt:lpstr>
      <vt:lpstr>v_104_GNH3_atm</vt:lpstr>
      <vt:lpstr>v_104_GO2</vt:lpstr>
      <vt:lpstr>v_104_GO2_atm</vt:lpstr>
      <vt:lpstr>v_104_SALPHA</vt:lpstr>
      <vt:lpstr>v_104_SAN</vt:lpstr>
      <vt:lpstr>v_104_SB</vt:lpstr>
      <vt:lpstr>v_104_SCa</vt:lpstr>
      <vt:lpstr>v_104_SCAT</vt:lpstr>
      <vt:lpstr>v_104_SCH4</vt:lpstr>
      <vt:lpstr>v_104_SCO2</vt:lpstr>
      <vt:lpstr>v_104_SFe2</vt:lpstr>
      <vt:lpstr>v_104_SH</vt:lpstr>
      <vt:lpstr>v_104_SH2</vt:lpstr>
      <vt:lpstr>v_104_SK</vt:lpstr>
      <vt:lpstr>v_104_SMEOL</vt:lpstr>
      <vt:lpstr>v_104_SMg</vt:lpstr>
      <vt:lpstr>v_104_SN_B</vt:lpstr>
      <vt:lpstr>v_104_SN2</vt:lpstr>
      <vt:lpstr>v_104_SNHx</vt:lpstr>
      <vt:lpstr>v_104_SNO2</vt:lpstr>
      <vt:lpstr>v_104_SNO3</vt:lpstr>
      <vt:lpstr>v_104_SO2</vt:lpstr>
      <vt:lpstr>v_104_SORPswitch</vt:lpstr>
      <vt:lpstr>v_104_SP_B</vt:lpstr>
      <vt:lpstr>v_104_SPFOA</vt:lpstr>
      <vt:lpstr>v_104_SPFOS</vt:lpstr>
      <vt:lpstr>v_104_SPO4</vt:lpstr>
      <vt:lpstr>v_104_SU</vt:lpstr>
      <vt:lpstr>v_104_SVFA</vt:lpstr>
      <vt:lpstr>v_104_XACP</vt:lpstr>
      <vt:lpstr>v_104_XALGAE</vt:lpstr>
      <vt:lpstr>v_104_XAMETO</vt:lpstr>
      <vt:lpstr>v_104_XAMX</vt:lpstr>
      <vt:lpstr>v_104_XAOB</vt:lpstr>
      <vt:lpstr>v_104_XB</vt:lpstr>
      <vt:lpstr>v_104_XB_e</vt:lpstr>
      <vt:lpstr>v_104_XBSH</vt:lpstr>
      <vt:lpstr>v_104_XCaCO3</vt:lpstr>
      <vt:lpstr>v_104_XCASTO</vt:lpstr>
      <vt:lpstr>v_104_XE</vt:lpstr>
      <vt:lpstr>v_104_XE_ana</vt:lpstr>
      <vt:lpstr>v_104_XHAO_H</vt:lpstr>
      <vt:lpstr>v_104_XHAO_H_P</vt:lpstr>
      <vt:lpstr>v_104_XHAO_H_P_old</vt:lpstr>
      <vt:lpstr>v_104_XHAO_L</vt:lpstr>
      <vt:lpstr>v_104_XHAO_L_P</vt:lpstr>
      <vt:lpstr>v_104_XHAO_L_P_old</vt:lpstr>
      <vt:lpstr>v_104_XHAO_old</vt:lpstr>
      <vt:lpstr>v_104_XHFO_H</vt:lpstr>
      <vt:lpstr>v_104_XHFO_H_P</vt:lpstr>
      <vt:lpstr>v_104_XHFO_H_P_old</vt:lpstr>
      <vt:lpstr>v_104_XHFO_L</vt:lpstr>
      <vt:lpstr>v_104_XHFO_L_P</vt:lpstr>
      <vt:lpstr>v_104_XHFO_L_P_old</vt:lpstr>
      <vt:lpstr>v_104_XHFO_old</vt:lpstr>
      <vt:lpstr>v_104_XHMETO</vt:lpstr>
      <vt:lpstr>v_104_XINORG</vt:lpstr>
      <vt:lpstr>v_104_XMEOLO</vt:lpstr>
      <vt:lpstr>v_104_XN_B</vt:lpstr>
      <vt:lpstr>v_104_XN_Be</vt:lpstr>
      <vt:lpstr>v_104_XN_U</vt:lpstr>
      <vt:lpstr>v_104_XNOB</vt:lpstr>
      <vt:lpstr>v_104_XOHO</vt:lpstr>
      <vt:lpstr>v_104_XP_B</vt:lpstr>
      <vt:lpstr>v_104_XP_Be</vt:lpstr>
      <vt:lpstr>v_104_XP_U</vt:lpstr>
      <vt:lpstr>v_104_XPFOA</vt:lpstr>
      <vt:lpstr>v_104_XPFOS</vt:lpstr>
      <vt:lpstr>v_104_XPHA_GAO</vt:lpstr>
      <vt:lpstr>v_104_XPHA_PAO</vt:lpstr>
      <vt:lpstr>v_104_XPP</vt:lpstr>
      <vt:lpstr>v_104_XSTR</vt:lpstr>
      <vt:lpstr>v_104_XU</vt:lpstr>
      <vt:lpstr>v_104_XVivi</vt:lpstr>
      <vt:lpstr>v_105_CB</vt:lpstr>
      <vt:lpstr>v_105_CU</vt:lpstr>
      <vt:lpstr>v_105_GCH4</vt:lpstr>
      <vt:lpstr>v_105_GCH4_atm</vt:lpstr>
      <vt:lpstr>v_105_GCO2</vt:lpstr>
      <vt:lpstr>v_105_GCO2_atm</vt:lpstr>
      <vt:lpstr>v_105_GH2</vt:lpstr>
      <vt:lpstr>v_105_GH2_atm</vt:lpstr>
      <vt:lpstr>v_105_GN2</vt:lpstr>
      <vt:lpstr>v_105_GN2_atm</vt:lpstr>
      <vt:lpstr>v_105_GNH3</vt:lpstr>
      <vt:lpstr>v_105_GNH3_atm</vt:lpstr>
      <vt:lpstr>v_105_GO2</vt:lpstr>
      <vt:lpstr>v_105_GO2_atm</vt:lpstr>
      <vt:lpstr>v_105_SALPHA</vt:lpstr>
      <vt:lpstr>v_105_SAN</vt:lpstr>
      <vt:lpstr>v_105_SB</vt:lpstr>
      <vt:lpstr>v_105_SCa</vt:lpstr>
      <vt:lpstr>v_105_SCAT</vt:lpstr>
      <vt:lpstr>v_105_SCH4</vt:lpstr>
      <vt:lpstr>v_105_SCO2</vt:lpstr>
      <vt:lpstr>v_105_SFe2</vt:lpstr>
      <vt:lpstr>v_105_SH</vt:lpstr>
      <vt:lpstr>v_105_SH2</vt:lpstr>
      <vt:lpstr>v_105_SK</vt:lpstr>
      <vt:lpstr>v_105_SMEOL</vt:lpstr>
      <vt:lpstr>v_105_SMg</vt:lpstr>
      <vt:lpstr>v_105_SN_B</vt:lpstr>
      <vt:lpstr>v_105_SN2</vt:lpstr>
      <vt:lpstr>v_105_SNHx</vt:lpstr>
      <vt:lpstr>v_105_SNO2</vt:lpstr>
      <vt:lpstr>v_105_SNO3</vt:lpstr>
      <vt:lpstr>v_105_SO2</vt:lpstr>
      <vt:lpstr>v_105_SORPswitch</vt:lpstr>
      <vt:lpstr>v_105_SP_B</vt:lpstr>
      <vt:lpstr>v_105_SPFOA</vt:lpstr>
      <vt:lpstr>v_105_SPFOS</vt:lpstr>
      <vt:lpstr>v_105_SPO4</vt:lpstr>
      <vt:lpstr>v_105_SU</vt:lpstr>
      <vt:lpstr>v_105_SVFA</vt:lpstr>
      <vt:lpstr>v_105_XACP</vt:lpstr>
      <vt:lpstr>v_105_XALGAE</vt:lpstr>
      <vt:lpstr>v_105_XAMETO</vt:lpstr>
      <vt:lpstr>v_105_XAMX</vt:lpstr>
      <vt:lpstr>v_105_XAOB</vt:lpstr>
      <vt:lpstr>v_105_XB</vt:lpstr>
      <vt:lpstr>v_105_XB_e</vt:lpstr>
      <vt:lpstr>v_105_XBSH</vt:lpstr>
      <vt:lpstr>v_105_XCaCO3</vt:lpstr>
      <vt:lpstr>v_105_XCASTO</vt:lpstr>
      <vt:lpstr>v_105_XE</vt:lpstr>
      <vt:lpstr>v_105_XE_ana</vt:lpstr>
      <vt:lpstr>v_105_XHAO_H</vt:lpstr>
      <vt:lpstr>v_105_XHAO_H_P</vt:lpstr>
      <vt:lpstr>v_105_XHAO_H_P_old</vt:lpstr>
      <vt:lpstr>v_105_XHAO_L</vt:lpstr>
      <vt:lpstr>v_105_XHAO_L_P</vt:lpstr>
      <vt:lpstr>v_105_XHAO_L_P_old</vt:lpstr>
      <vt:lpstr>v_105_XHAO_old</vt:lpstr>
      <vt:lpstr>v_105_XHFO_H</vt:lpstr>
      <vt:lpstr>v_105_XHFO_H_P</vt:lpstr>
      <vt:lpstr>v_105_XHFO_H_P_old</vt:lpstr>
      <vt:lpstr>v_105_XHFO_L</vt:lpstr>
      <vt:lpstr>v_105_XHFO_L_P</vt:lpstr>
      <vt:lpstr>v_105_XHFO_L_P_old</vt:lpstr>
      <vt:lpstr>v_105_XHFO_old</vt:lpstr>
      <vt:lpstr>v_105_XHMETO</vt:lpstr>
      <vt:lpstr>v_105_XINORG</vt:lpstr>
      <vt:lpstr>v_105_XMEOLO</vt:lpstr>
      <vt:lpstr>v_105_XN_B</vt:lpstr>
      <vt:lpstr>v_105_XN_Be</vt:lpstr>
      <vt:lpstr>v_105_XN_U</vt:lpstr>
      <vt:lpstr>v_105_XNOB</vt:lpstr>
      <vt:lpstr>v_105_XOHO</vt:lpstr>
      <vt:lpstr>v_105_XP_B</vt:lpstr>
      <vt:lpstr>v_105_XP_Be</vt:lpstr>
      <vt:lpstr>v_105_XP_U</vt:lpstr>
      <vt:lpstr>v_105_XPFOA</vt:lpstr>
      <vt:lpstr>v_105_XPFOS</vt:lpstr>
      <vt:lpstr>v_105_XPHA_GAO</vt:lpstr>
      <vt:lpstr>v_105_XPHA_PAO</vt:lpstr>
      <vt:lpstr>v_105_XPP</vt:lpstr>
      <vt:lpstr>v_105_XSTR</vt:lpstr>
      <vt:lpstr>v_105_XU</vt:lpstr>
      <vt:lpstr>v_105_XVivi</vt:lpstr>
      <vt:lpstr>v_11_CB</vt:lpstr>
      <vt:lpstr>v_11_CU</vt:lpstr>
      <vt:lpstr>v_11_GCH4</vt:lpstr>
      <vt:lpstr>v_11_GCH4_atm</vt:lpstr>
      <vt:lpstr>v_11_GCO2</vt:lpstr>
      <vt:lpstr>v_11_GCO2_atm</vt:lpstr>
      <vt:lpstr>v_11_GH2</vt:lpstr>
      <vt:lpstr>v_11_GH2_atm</vt:lpstr>
      <vt:lpstr>v_11_GN2</vt:lpstr>
      <vt:lpstr>v_11_GN2_atm</vt:lpstr>
      <vt:lpstr>v_11_GNH3</vt:lpstr>
      <vt:lpstr>v_11_GNH3_atm</vt:lpstr>
      <vt:lpstr>v_11_GO2</vt:lpstr>
      <vt:lpstr>v_11_GO2_atm</vt:lpstr>
      <vt:lpstr>v_11_SALPHA</vt:lpstr>
      <vt:lpstr>v_11_SAN</vt:lpstr>
      <vt:lpstr>v_11_SB</vt:lpstr>
      <vt:lpstr>v_11_SCa</vt:lpstr>
      <vt:lpstr>v_11_SCAT</vt:lpstr>
      <vt:lpstr>v_11_SCH4</vt:lpstr>
      <vt:lpstr>v_11_SCO2</vt:lpstr>
      <vt:lpstr>v_11_SFe2</vt:lpstr>
      <vt:lpstr>v_11_SH</vt:lpstr>
      <vt:lpstr>v_11_SH2</vt:lpstr>
      <vt:lpstr>v_11_SK</vt:lpstr>
      <vt:lpstr>v_11_SMEOL</vt:lpstr>
      <vt:lpstr>v_11_SMg</vt:lpstr>
      <vt:lpstr>v_11_SN_B</vt:lpstr>
      <vt:lpstr>v_11_SN2</vt:lpstr>
      <vt:lpstr>v_11_SNHx</vt:lpstr>
      <vt:lpstr>v_11_SNO2</vt:lpstr>
      <vt:lpstr>v_11_SNO3</vt:lpstr>
      <vt:lpstr>v_11_SO2</vt:lpstr>
      <vt:lpstr>v_11_SORPswitch</vt:lpstr>
      <vt:lpstr>v_11_SP_B</vt:lpstr>
      <vt:lpstr>v_11_SPFOA</vt:lpstr>
      <vt:lpstr>v_11_SPFOS</vt:lpstr>
      <vt:lpstr>v_11_SPO4</vt:lpstr>
      <vt:lpstr>v_11_SU</vt:lpstr>
      <vt:lpstr>v_11_SVFA</vt:lpstr>
      <vt:lpstr>v_11_XACP</vt:lpstr>
      <vt:lpstr>v_11_XALGAE</vt:lpstr>
      <vt:lpstr>v_11_XAMETO</vt:lpstr>
      <vt:lpstr>v_11_XAMX</vt:lpstr>
      <vt:lpstr>v_11_XAOB</vt:lpstr>
      <vt:lpstr>v_11_XB</vt:lpstr>
      <vt:lpstr>v_11_XB_e</vt:lpstr>
      <vt:lpstr>v_11_XBSH</vt:lpstr>
      <vt:lpstr>v_11_XCaCO3</vt:lpstr>
      <vt:lpstr>v_11_XCASTO</vt:lpstr>
      <vt:lpstr>v_11_XE</vt:lpstr>
      <vt:lpstr>v_11_XE_ana</vt:lpstr>
      <vt:lpstr>v_11_XHAO_H</vt:lpstr>
      <vt:lpstr>v_11_XHAO_H_P</vt:lpstr>
      <vt:lpstr>v_11_XHAO_H_P_old</vt:lpstr>
      <vt:lpstr>v_11_XHAO_L</vt:lpstr>
      <vt:lpstr>v_11_XHAO_L_P</vt:lpstr>
      <vt:lpstr>v_11_XHAO_L_P_old</vt:lpstr>
      <vt:lpstr>v_11_XHAO_old</vt:lpstr>
      <vt:lpstr>v_11_XHFO_H</vt:lpstr>
      <vt:lpstr>v_11_XHFO_H_P</vt:lpstr>
      <vt:lpstr>v_11_XHFO_H_P_old</vt:lpstr>
      <vt:lpstr>v_11_XHFO_L</vt:lpstr>
      <vt:lpstr>v_11_XHFO_L_P</vt:lpstr>
      <vt:lpstr>v_11_XHFO_L_P_old</vt:lpstr>
      <vt:lpstr>v_11_XHFO_old</vt:lpstr>
      <vt:lpstr>v_11_XHMETO</vt:lpstr>
      <vt:lpstr>v_11_XINORG</vt:lpstr>
      <vt:lpstr>v_11_XMEOLO</vt:lpstr>
      <vt:lpstr>v_11_XN_B</vt:lpstr>
      <vt:lpstr>v_11_XN_Be</vt:lpstr>
      <vt:lpstr>v_11_XN_U</vt:lpstr>
      <vt:lpstr>v_11_XNOB</vt:lpstr>
      <vt:lpstr>v_11_XOHO</vt:lpstr>
      <vt:lpstr>v_11_XP_B</vt:lpstr>
      <vt:lpstr>v_11_XP_Be</vt:lpstr>
      <vt:lpstr>v_11_XP_U</vt:lpstr>
      <vt:lpstr>v_11_XPFOA</vt:lpstr>
      <vt:lpstr>v_11_XPFOS</vt:lpstr>
      <vt:lpstr>v_11_XPHA_GAO</vt:lpstr>
      <vt:lpstr>v_11_XPHA_PAO</vt:lpstr>
      <vt:lpstr>v_11_XPP</vt:lpstr>
      <vt:lpstr>v_11_XSTR</vt:lpstr>
      <vt:lpstr>v_11_XU</vt:lpstr>
      <vt:lpstr>v_11_XVivi</vt:lpstr>
      <vt:lpstr>v_12_CB</vt:lpstr>
      <vt:lpstr>v_12_CU</vt:lpstr>
      <vt:lpstr>v_12_GCH4</vt:lpstr>
      <vt:lpstr>v_12_GCH4_atm</vt:lpstr>
      <vt:lpstr>v_12_GCO2</vt:lpstr>
      <vt:lpstr>v_12_GCO2_atm</vt:lpstr>
      <vt:lpstr>v_12_GH2</vt:lpstr>
      <vt:lpstr>v_12_GH2_atm</vt:lpstr>
      <vt:lpstr>v_12_GN2</vt:lpstr>
      <vt:lpstr>v_12_GN2_atm</vt:lpstr>
      <vt:lpstr>v_12_GNH3</vt:lpstr>
      <vt:lpstr>v_12_GNH3_atm</vt:lpstr>
      <vt:lpstr>v_12_GO2</vt:lpstr>
      <vt:lpstr>v_12_GO2_atm</vt:lpstr>
      <vt:lpstr>v_12_SALPHA</vt:lpstr>
      <vt:lpstr>v_12_SAN</vt:lpstr>
      <vt:lpstr>v_12_SB</vt:lpstr>
      <vt:lpstr>v_12_SCa</vt:lpstr>
      <vt:lpstr>v_12_SCAT</vt:lpstr>
      <vt:lpstr>v_12_SCH4</vt:lpstr>
      <vt:lpstr>v_12_SCO2</vt:lpstr>
      <vt:lpstr>v_12_SFe2</vt:lpstr>
      <vt:lpstr>v_12_SH</vt:lpstr>
      <vt:lpstr>v_12_SH2</vt:lpstr>
      <vt:lpstr>v_12_SK</vt:lpstr>
      <vt:lpstr>v_12_SMEOL</vt:lpstr>
      <vt:lpstr>v_12_SMg</vt:lpstr>
      <vt:lpstr>v_12_SN_B</vt:lpstr>
      <vt:lpstr>v_12_SN2</vt:lpstr>
      <vt:lpstr>v_12_SNHx</vt:lpstr>
      <vt:lpstr>v_12_SNO2</vt:lpstr>
      <vt:lpstr>v_12_SNO3</vt:lpstr>
      <vt:lpstr>v_12_SO2</vt:lpstr>
      <vt:lpstr>v_12_SORPswitch</vt:lpstr>
      <vt:lpstr>v_12_SP_B</vt:lpstr>
      <vt:lpstr>v_12_SPFOA</vt:lpstr>
      <vt:lpstr>v_12_SPFOS</vt:lpstr>
      <vt:lpstr>v_12_SPO4</vt:lpstr>
      <vt:lpstr>v_12_SU</vt:lpstr>
      <vt:lpstr>v_12_SVFA</vt:lpstr>
      <vt:lpstr>v_12_XACP</vt:lpstr>
      <vt:lpstr>v_12_XALGAE</vt:lpstr>
      <vt:lpstr>v_12_XAMETO</vt:lpstr>
      <vt:lpstr>v_12_XAMX</vt:lpstr>
      <vt:lpstr>v_12_XAOB</vt:lpstr>
      <vt:lpstr>v_12_XB</vt:lpstr>
      <vt:lpstr>v_12_XB_e</vt:lpstr>
      <vt:lpstr>v_12_XBSH</vt:lpstr>
      <vt:lpstr>v_12_XCaCO3</vt:lpstr>
      <vt:lpstr>v_12_XCASTO</vt:lpstr>
      <vt:lpstr>v_12_XE</vt:lpstr>
      <vt:lpstr>v_12_XE_ana</vt:lpstr>
      <vt:lpstr>v_12_XHAO_H</vt:lpstr>
      <vt:lpstr>v_12_XHAO_H_P</vt:lpstr>
      <vt:lpstr>v_12_XHAO_H_P_old</vt:lpstr>
      <vt:lpstr>v_12_XHAO_L</vt:lpstr>
      <vt:lpstr>v_12_XHAO_L_P</vt:lpstr>
      <vt:lpstr>v_12_XHAO_L_P_old</vt:lpstr>
      <vt:lpstr>v_12_XHAO_old</vt:lpstr>
      <vt:lpstr>v_12_XHFO_H</vt:lpstr>
      <vt:lpstr>v_12_XHFO_H_P</vt:lpstr>
      <vt:lpstr>v_12_XHFO_H_P_old</vt:lpstr>
      <vt:lpstr>v_12_XHFO_L</vt:lpstr>
      <vt:lpstr>v_12_XHFO_L_P</vt:lpstr>
      <vt:lpstr>v_12_XHFO_L_P_old</vt:lpstr>
      <vt:lpstr>v_12_XHFO_old</vt:lpstr>
      <vt:lpstr>v_12_XHMETO</vt:lpstr>
      <vt:lpstr>v_12_XINORG</vt:lpstr>
      <vt:lpstr>v_12_XMEOLO</vt:lpstr>
      <vt:lpstr>v_12_XN_B</vt:lpstr>
      <vt:lpstr>v_12_XN_Be</vt:lpstr>
      <vt:lpstr>v_12_XN_U</vt:lpstr>
      <vt:lpstr>v_12_XNOB</vt:lpstr>
      <vt:lpstr>v_12_XOHO</vt:lpstr>
      <vt:lpstr>v_12_XP_B</vt:lpstr>
      <vt:lpstr>v_12_XP_Be</vt:lpstr>
      <vt:lpstr>v_12_XP_U</vt:lpstr>
      <vt:lpstr>v_12_XPFOA</vt:lpstr>
      <vt:lpstr>v_12_XPFOS</vt:lpstr>
      <vt:lpstr>v_12_XPHA_GAO</vt:lpstr>
      <vt:lpstr>v_12_XPHA_PAO</vt:lpstr>
      <vt:lpstr>v_12_XPP</vt:lpstr>
      <vt:lpstr>v_12_XSTR</vt:lpstr>
      <vt:lpstr>v_12_XU</vt:lpstr>
      <vt:lpstr>v_12_XVivi</vt:lpstr>
      <vt:lpstr>v_13_CB</vt:lpstr>
      <vt:lpstr>v_13_CU</vt:lpstr>
      <vt:lpstr>v_13_GCH4</vt:lpstr>
      <vt:lpstr>v_13_GCH4_atm</vt:lpstr>
      <vt:lpstr>v_13_GCO2</vt:lpstr>
      <vt:lpstr>v_13_GCO2_atm</vt:lpstr>
      <vt:lpstr>v_13_GH2</vt:lpstr>
      <vt:lpstr>v_13_GH2_atm</vt:lpstr>
      <vt:lpstr>v_13_GN2</vt:lpstr>
      <vt:lpstr>v_13_GN2_atm</vt:lpstr>
      <vt:lpstr>v_13_GNH3</vt:lpstr>
      <vt:lpstr>v_13_GNH3_atm</vt:lpstr>
      <vt:lpstr>v_13_GO2</vt:lpstr>
      <vt:lpstr>v_13_GO2_atm</vt:lpstr>
      <vt:lpstr>v_13_SALPHA</vt:lpstr>
      <vt:lpstr>v_13_SAN</vt:lpstr>
      <vt:lpstr>v_13_SB</vt:lpstr>
      <vt:lpstr>v_13_SCa</vt:lpstr>
      <vt:lpstr>v_13_SCAT</vt:lpstr>
      <vt:lpstr>v_13_SCH4</vt:lpstr>
      <vt:lpstr>v_13_SCO2</vt:lpstr>
      <vt:lpstr>v_13_SFe2</vt:lpstr>
      <vt:lpstr>v_13_SH</vt:lpstr>
      <vt:lpstr>v_13_SH2</vt:lpstr>
      <vt:lpstr>v_13_SK</vt:lpstr>
      <vt:lpstr>v_13_SMEOL</vt:lpstr>
      <vt:lpstr>v_13_SMg</vt:lpstr>
      <vt:lpstr>v_13_SN_B</vt:lpstr>
      <vt:lpstr>v_13_SN2</vt:lpstr>
      <vt:lpstr>v_13_SNHx</vt:lpstr>
      <vt:lpstr>v_13_SNO2</vt:lpstr>
      <vt:lpstr>v_13_SNO3</vt:lpstr>
      <vt:lpstr>v_13_SO2</vt:lpstr>
      <vt:lpstr>v_13_SORPswitch</vt:lpstr>
      <vt:lpstr>v_13_SP_B</vt:lpstr>
      <vt:lpstr>v_13_SPFOA</vt:lpstr>
      <vt:lpstr>v_13_SPFOS</vt:lpstr>
      <vt:lpstr>v_13_SPO4</vt:lpstr>
      <vt:lpstr>v_13_SU</vt:lpstr>
      <vt:lpstr>v_13_SVFA</vt:lpstr>
      <vt:lpstr>v_13_XACP</vt:lpstr>
      <vt:lpstr>v_13_XALGAE</vt:lpstr>
      <vt:lpstr>v_13_XAMETO</vt:lpstr>
      <vt:lpstr>v_13_XAMX</vt:lpstr>
      <vt:lpstr>v_13_XAOB</vt:lpstr>
      <vt:lpstr>v_13_XB</vt:lpstr>
      <vt:lpstr>v_13_XB_e</vt:lpstr>
      <vt:lpstr>v_13_XBSH</vt:lpstr>
      <vt:lpstr>v_13_XCaCO3</vt:lpstr>
      <vt:lpstr>v_13_XCASTO</vt:lpstr>
      <vt:lpstr>v_13_XE</vt:lpstr>
      <vt:lpstr>v_13_XE_ana</vt:lpstr>
      <vt:lpstr>v_13_XHAO_H</vt:lpstr>
      <vt:lpstr>v_13_XHAO_H_P</vt:lpstr>
      <vt:lpstr>v_13_XHAO_H_P_old</vt:lpstr>
      <vt:lpstr>v_13_XHAO_L</vt:lpstr>
      <vt:lpstr>v_13_XHAO_L_P</vt:lpstr>
      <vt:lpstr>v_13_XHAO_L_P_old</vt:lpstr>
      <vt:lpstr>v_13_XHAO_old</vt:lpstr>
      <vt:lpstr>v_13_XHFO_H</vt:lpstr>
      <vt:lpstr>v_13_XHFO_H_P</vt:lpstr>
      <vt:lpstr>v_13_XHFO_H_P_old</vt:lpstr>
      <vt:lpstr>v_13_XHFO_L</vt:lpstr>
      <vt:lpstr>v_13_XHFO_L_P</vt:lpstr>
      <vt:lpstr>v_13_XHFO_L_P_old</vt:lpstr>
      <vt:lpstr>v_13_XHFO_old</vt:lpstr>
      <vt:lpstr>v_13_XHMETO</vt:lpstr>
      <vt:lpstr>v_13_XINORG</vt:lpstr>
      <vt:lpstr>v_13_XMEOLO</vt:lpstr>
      <vt:lpstr>v_13_XN_B</vt:lpstr>
      <vt:lpstr>v_13_XN_Be</vt:lpstr>
      <vt:lpstr>v_13_XN_U</vt:lpstr>
      <vt:lpstr>v_13_XNOB</vt:lpstr>
      <vt:lpstr>v_13_XOHO</vt:lpstr>
      <vt:lpstr>v_13_XP_B</vt:lpstr>
      <vt:lpstr>v_13_XP_Be</vt:lpstr>
      <vt:lpstr>v_13_XP_U</vt:lpstr>
      <vt:lpstr>v_13_XPFOA</vt:lpstr>
      <vt:lpstr>v_13_XPFOS</vt:lpstr>
      <vt:lpstr>v_13_XPHA_GAO</vt:lpstr>
      <vt:lpstr>v_13_XPHA_PAO</vt:lpstr>
      <vt:lpstr>v_13_XPP</vt:lpstr>
      <vt:lpstr>v_13_XSTR</vt:lpstr>
      <vt:lpstr>v_13_XU</vt:lpstr>
      <vt:lpstr>v_13_XVivi</vt:lpstr>
      <vt:lpstr>v_14_CB</vt:lpstr>
      <vt:lpstr>v_14_CU</vt:lpstr>
      <vt:lpstr>v_14_GCH4</vt:lpstr>
      <vt:lpstr>v_14_GCH4_atm</vt:lpstr>
      <vt:lpstr>v_14_GCO2</vt:lpstr>
      <vt:lpstr>v_14_GCO2_atm</vt:lpstr>
      <vt:lpstr>v_14_GH2</vt:lpstr>
      <vt:lpstr>v_14_GH2_atm</vt:lpstr>
      <vt:lpstr>v_14_GN2</vt:lpstr>
      <vt:lpstr>v_14_GN2_atm</vt:lpstr>
      <vt:lpstr>v_14_GNH3</vt:lpstr>
      <vt:lpstr>v_14_GNH3_atm</vt:lpstr>
      <vt:lpstr>v_14_GO2</vt:lpstr>
      <vt:lpstr>v_14_GO2_atm</vt:lpstr>
      <vt:lpstr>v_14_SALPHA</vt:lpstr>
      <vt:lpstr>v_14_SAN</vt:lpstr>
      <vt:lpstr>v_14_SB</vt:lpstr>
      <vt:lpstr>v_14_SCa</vt:lpstr>
      <vt:lpstr>v_14_SCAT</vt:lpstr>
      <vt:lpstr>v_14_SCH4</vt:lpstr>
      <vt:lpstr>v_14_SCO2</vt:lpstr>
      <vt:lpstr>v_14_SFe2</vt:lpstr>
      <vt:lpstr>v_14_SH</vt:lpstr>
      <vt:lpstr>v_14_SH2</vt:lpstr>
      <vt:lpstr>v_14_SK</vt:lpstr>
      <vt:lpstr>v_14_SMEOL</vt:lpstr>
      <vt:lpstr>v_14_SMg</vt:lpstr>
      <vt:lpstr>v_14_SN_B</vt:lpstr>
      <vt:lpstr>v_14_SN2</vt:lpstr>
      <vt:lpstr>v_14_SNHx</vt:lpstr>
      <vt:lpstr>v_14_SNO2</vt:lpstr>
      <vt:lpstr>v_14_SNO3</vt:lpstr>
      <vt:lpstr>v_14_SO2</vt:lpstr>
      <vt:lpstr>v_14_SORPswitch</vt:lpstr>
      <vt:lpstr>v_14_SP_B</vt:lpstr>
      <vt:lpstr>v_14_SPFOA</vt:lpstr>
      <vt:lpstr>v_14_SPFOS</vt:lpstr>
      <vt:lpstr>v_14_SPO4</vt:lpstr>
      <vt:lpstr>v_14_SU</vt:lpstr>
      <vt:lpstr>v_14_SVFA</vt:lpstr>
      <vt:lpstr>v_14_XACP</vt:lpstr>
      <vt:lpstr>v_14_XALGAE</vt:lpstr>
      <vt:lpstr>v_14_XAMETO</vt:lpstr>
      <vt:lpstr>v_14_XAMX</vt:lpstr>
      <vt:lpstr>v_14_XAOB</vt:lpstr>
      <vt:lpstr>v_14_XB</vt:lpstr>
      <vt:lpstr>v_14_XB_e</vt:lpstr>
      <vt:lpstr>v_14_XBSH</vt:lpstr>
      <vt:lpstr>v_14_XCaCO3</vt:lpstr>
      <vt:lpstr>v_14_XCASTO</vt:lpstr>
      <vt:lpstr>v_14_XE</vt:lpstr>
      <vt:lpstr>v_14_XE_ana</vt:lpstr>
      <vt:lpstr>v_14_XHAO_H</vt:lpstr>
      <vt:lpstr>v_14_XHAO_H_P</vt:lpstr>
      <vt:lpstr>v_14_XHAO_H_P_old</vt:lpstr>
      <vt:lpstr>v_14_XHAO_L</vt:lpstr>
      <vt:lpstr>v_14_XHAO_L_P</vt:lpstr>
      <vt:lpstr>v_14_XHAO_L_P_old</vt:lpstr>
      <vt:lpstr>v_14_XHAO_old</vt:lpstr>
      <vt:lpstr>v_14_XHFO_H</vt:lpstr>
      <vt:lpstr>v_14_XHFO_H_P</vt:lpstr>
      <vt:lpstr>v_14_XHFO_H_P_old</vt:lpstr>
      <vt:lpstr>v_14_XHFO_L</vt:lpstr>
      <vt:lpstr>v_14_XHFO_L_P</vt:lpstr>
      <vt:lpstr>v_14_XHFO_L_P_old</vt:lpstr>
      <vt:lpstr>v_14_XHFO_old</vt:lpstr>
      <vt:lpstr>v_14_XHMETO</vt:lpstr>
      <vt:lpstr>v_14_XINORG</vt:lpstr>
      <vt:lpstr>v_14_XMEOLO</vt:lpstr>
      <vt:lpstr>v_14_XN_B</vt:lpstr>
      <vt:lpstr>v_14_XN_Be</vt:lpstr>
      <vt:lpstr>v_14_XN_U</vt:lpstr>
      <vt:lpstr>v_14_XNOB</vt:lpstr>
      <vt:lpstr>v_14_XOHO</vt:lpstr>
      <vt:lpstr>v_14_XP_B</vt:lpstr>
      <vt:lpstr>v_14_XP_Be</vt:lpstr>
      <vt:lpstr>v_14_XP_U</vt:lpstr>
      <vt:lpstr>v_14_XPFOA</vt:lpstr>
      <vt:lpstr>v_14_XPFOS</vt:lpstr>
      <vt:lpstr>v_14_XPHA_GAO</vt:lpstr>
      <vt:lpstr>v_14_XPHA_PAO</vt:lpstr>
      <vt:lpstr>v_14_XPP</vt:lpstr>
      <vt:lpstr>v_14_XSTR</vt:lpstr>
      <vt:lpstr>v_14_XU</vt:lpstr>
      <vt:lpstr>v_14_XVivi</vt:lpstr>
      <vt:lpstr>v_15_CB</vt:lpstr>
      <vt:lpstr>v_15_CU</vt:lpstr>
      <vt:lpstr>v_15_GCH4</vt:lpstr>
      <vt:lpstr>v_15_GCH4_atm</vt:lpstr>
      <vt:lpstr>v_15_GCO2</vt:lpstr>
      <vt:lpstr>v_15_GCO2_atm</vt:lpstr>
      <vt:lpstr>v_15_GH2</vt:lpstr>
      <vt:lpstr>v_15_GH2_atm</vt:lpstr>
      <vt:lpstr>v_15_GN2</vt:lpstr>
      <vt:lpstr>v_15_GN2_atm</vt:lpstr>
      <vt:lpstr>v_15_GNH3</vt:lpstr>
      <vt:lpstr>v_15_GNH3_atm</vt:lpstr>
      <vt:lpstr>v_15_GO2</vt:lpstr>
      <vt:lpstr>v_15_GO2_atm</vt:lpstr>
      <vt:lpstr>v_15_SALPHA</vt:lpstr>
      <vt:lpstr>v_15_SAN</vt:lpstr>
      <vt:lpstr>v_15_SB</vt:lpstr>
      <vt:lpstr>v_15_SCa</vt:lpstr>
      <vt:lpstr>v_15_SCAT</vt:lpstr>
      <vt:lpstr>v_15_SCH4</vt:lpstr>
      <vt:lpstr>v_15_SCO2</vt:lpstr>
      <vt:lpstr>v_15_SFe2</vt:lpstr>
      <vt:lpstr>v_15_SH</vt:lpstr>
      <vt:lpstr>v_15_SH2</vt:lpstr>
      <vt:lpstr>v_15_SK</vt:lpstr>
      <vt:lpstr>v_15_SMEOL</vt:lpstr>
      <vt:lpstr>v_15_SMg</vt:lpstr>
      <vt:lpstr>v_15_SN_B</vt:lpstr>
      <vt:lpstr>v_15_SN2</vt:lpstr>
      <vt:lpstr>v_15_SNHx</vt:lpstr>
      <vt:lpstr>v_15_SNO2</vt:lpstr>
      <vt:lpstr>v_15_SNO3</vt:lpstr>
      <vt:lpstr>v_15_SO2</vt:lpstr>
      <vt:lpstr>v_15_SORPswitch</vt:lpstr>
      <vt:lpstr>v_15_SP_B</vt:lpstr>
      <vt:lpstr>v_15_SPFOA</vt:lpstr>
      <vt:lpstr>v_15_SPFOS</vt:lpstr>
      <vt:lpstr>v_15_SPO4</vt:lpstr>
      <vt:lpstr>v_15_SU</vt:lpstr>
      <vt:lpstr>v_15_SVFA</vt:lpstr>
      <vt:lpstr>v_15_XACP</vt:lpstr>
      <vt:lpstr>v_15_XALGAE</vt:lpstr>
      <vt:lpstr>v_15_XAMETO</vt:lpstr>
      <vt:lpstr>v_15_XAMX</vt:lpstr>
      <vt:lpstr>v_15_XAOB</vt:lpstr>
      <vt:lpstr>v_15_XB</vt:lpstr>
      <vt:lpstr>v_15_XB_e</vt:lpstr>
      <vt:lpstr>v_15_XBSH</vt:lpstr>
      <vt:lpstr>v_15_XCaCO3</vt:lpstr>
      <vt:lpstr>v_15_XCASTO</vt:lpstr>
      <vt:lpstr>v_15_XE</vt:lpstr>
      <vt:lpstr>v_15_XE_ana</vt:lpstr>
      <vt:lpstr>v_15_XHAO_H</vt:lpstr>
      <vt:lpstr>v_15_XHAO_H_P</vt:lpstr>
      <vt:lpstr>v_15_XHAO_H_P_old</vt:lpstr>
      <vt:lpstr>v_15_XHAO_L</vt:lpstr>
      <vt:lpstr>v_15_XHAO_L_P</vt:lpstr>
      <vt:lpstr>v_15_XHAO_L_P_old</vt:lpstr>
      <vt:lpstr>v_15_XHAO_old</vt:lpstr>
      <vt:lpstr>v_15_XHFO_H</vt:lpstr>
      <vt:lpstr>v_15_XHFO_H_P</vt:lpstr>
      <vt:lpstr>v_15_XHFO_H_P_old</vt:lpstr>
      <vt:lpstr>v_15_XHFO_L</vt:lpstr>
      <vt:lpstr>v_15_XHFO_L_P</vt:lpstr>
      <vt:lpstr>v_15_XHFO_L_P_old</vt:lpstr>
      <vt:lpstr>v_15_XHFO_old</vt:lpstr>
      <vt:lpstr>v_15_XHMETO</vt:lpstr>
      <vt:lpstr>v_15_XINORG</vt:lpstr>
      <vt:lpstr>v_15_XMEOLO</vt:lpstr>
      <vt:lpstr>v_15_XN_B</vt:lpstr>
      <vt:lpstr>v_15_XN_Be</vt:lpstr>
      <vt:lpstr>v_15_XN_U</vt:lpstr>
      <vt:lpstr>v_15_XNOB</vt:lpstr>
      <vt:lpstr>v_15_XOHO</vt:lpstr>
      <vt:lpstr>v_15_XP_B</vt:lpstr>
      <vt:lpstr>v_15_XP_Be</vt:lpstr>
      <vt:lpstr>v_15_XP_U</vt:lpstr>
      <vt:lpstr>v_15_XPFOA</vt:lpstr>
      <vt:lpstr>v_15_XPFOS</vt:lpstr>
      <vt:lpstr>v_15_XPHA_GAO</vt:lpstr>
      <vt:lpstr>v_15_XPHA_PAO</vt:lpstr>
      <vt:lpstr>v_15_XPP</vt:lpstr>
      <vt:lpstr>v_15_XSTR</vt:lpstr>
      <vt:lpstr>v_15_XU</vt:lpstr>
      <vt:lpstr>v_15_XVivi</vt:lpstr>
      <vt:lpstr>v_16_CB</vt:lpstr>
      <vt:lpstr>v_16_CU</vt:lpstr>
      <vt:lpstr>v_16_GCH4</vt:lpstr>
      <vt:lpstr>v_16_GCH4_atm</vt:lpstr>
      <vt:lpstr>v_16_GCO2</vt:lpstr>
      <vt:lpstr>v_16_GCO2_atm</vt:lpstr>
      <vt:lpstr>v_16_GH2</vt:lpstr>
      <vt:lpstr>v_16_GH2_atm</vt:lpstr>
      <vt:lpstr>v_16_GN2</vt:lpstr>
      <vt:lpstr>v_16_GN2_atm</vt:lpstr>
      <vt:lpstr>v_16_GNH3</vt:lpstr>
      <vt:lpstr>v_16_GNH3_atm</vt:lpstr>
      <vt:lpstr>v_16_GO2</vt:lpstr>
      <vt:lpstr>v_16_GO2_atm</vt:lpstr>
      <vt:lpstr>v_16_SALPHA</vt:lpstr>
      <vt:lpstr>v_16_SAN</vt:lpstr>
      <vt:lpstr>v_16_SB</vt:lpstr>
      <vt:lpstr>v_16_SCa</vt:lpstr>
      <vt:lpstr>v_16_SCAT</vt:lpstr>
      <vt:lpstr>v_16_SCH4</vt:lpstr>
      <vt:lpstr>v_16_SCO2</vt:lpstr>
      <vt:lpstr>v_16_SFe2</vt:lpstr>
      <vt:lpstr>v_16_SH</vt:lpstr>
      <vt:lpstr>v_16_SH2</vt:lpstr>
      <vt:lpstr>v_16_SK</vt:lpstr>
      <vt:lpstr>v_16_SMEOL</vt:lpstr>
      <vt:lpstr>v_16_SMg</vt:lpstr>
      <vt:lpstr>v_16_SN_B</vt:lpstr>
      <vt:lpstr>v_16_SN2</vt:lpstr>
      <vt:lpstr>v_16_SNHx</vt:lpstr>
      <vt:lpstr>v_16_SNO2</vt:lpstr>
      <vt:lpstr>v_16_SNO3</vt:lpstr>
      <vt:lpstr>v_16_SO2</vt:lpstr>
      <vt:lpstr>v_16_SORPswitch</vt:lpstr>
      <vt:lpstr>v_16_SP_B</vt:lpstr>
      <vt:lpstr>v_16_SPFOA</vt:lpstr>
      <vt:lpstr>v_16_SPFOS</vt:lpstr>
      <vt:lpstr>v_16_SPO4</vt:lpstr>
      <vt:lpstr>v_16_SU</vt:lpstr>
      <vt:lpstr>v_16_SVFA</vt:lpstr>
      <vt:lpstr>v_16_XACP</vt:lpstr>
      <vt:lpstr>v_16_XALGAE</vt:lpstr>
      <vt:lpstr>v_16_XAMETO</vt:lpstr>
      <vt:lpstr>v_16_XAMX</vt:lpstr>
      <vt:lpstr>v_16_XAOB</vt:lpstr>
      <vt:lpstr>v_16_XB</vt:lpstr>
      <vt:lpstr>v_16_XB_e</vt:lpstr>
      <vt:lpstr>v_16_XBSH</vt:lpstr>
      <vt:lpstr>v_16_XCaCO3</vt:lpstr>
      <vt:lpstr>v_16_XCASTO</vt:lpstr>
      <vt:lpstr>v_16_XE</vt:lpstr>
      <vt:lpstr>v_16_XE_ana</vt:lpstr>
      <vt:lpstr>v_16_XHAO_H</vt:lpstr>
      <vt:lpstr>v_16_XHAO_H_P</vt:lpstr>
      <vt:lpstr>v_16_XHAO_H_P_old</vt:lpstr>
      <vt:lpstr>v_16_XHAO_L</vt:lpstr>
      <vt:lpstr>v_16_XHAO_L_P</vt:lpstr>
      <vt:lpstr>v_16_XHAO_L_P_old</vt:lpstr>
      <vt:lpstr>v_16_XHAO_old</vt:lpstr>
      <vt:lpstr>v_16_XHFO_H</vt:lpstr>
      <vt:lpstr>v_16_XHFO_H_P</vt:lpstr>
      <vt:lpstr>v_16_XHFO_H_P_old</vt:lpstr>
      <vt:lpstr>v_16_XHFO_L</vt:lpstr>
      <vt:lpstr>v_16_XHFO_L_P</vt:lpstr>
      <vt:lpstr>v_16_XHFO_L_P_old</vt:lpstr>
      <vt:lpstr>v_16_XHFO_old</vt:lpstr>
      <vt:lpstr>v_16_XHMETO</vt:lpstr>
      <vt:lpstr>v_16_XINORG</vt:lpstr>
      <vt:lpstr>v_16_XMEOLO</vt:lpstr>
      <vt:lpstr>v_16_XN_B</vt:lpstr>
      <vt:lpstr>v_16_XN_Be</vt:lpstr>
      <vt:lpstr>v_16_XN_U</vt:lpstr>
      <vt:lpstr>v_16_XNOB</vt:lpstr>
      <vt:lpstr>v_16_XOHO</vt:lpstr>
      <vt:lpstr>v_16_XP_B</vt:lpstr>
      <vt:lpstr>v_16_XP_Be</vt:lpstr>
      <vt:lpstr>v_16_XP_U</vt:lpstr>
      <vt:lpstr>v_16_XPFOA</vt:lpstr>
      <vt:lpstr>v_16_XPFOS</vt:lpstr>
      <vt:lpstr>v_16_XPHA_GAO</vt:lpstr>
      <vt:lpstr>v_16_XPHA_PAO</vt:lpstr>
      <vt:lpstr>v_16_XPP</vt:lpstr>
      <vt:lpstr>v_16_XSTR</vt:lpstr>
      <vt:lpstr>v_16_XU</vt:lpstr>
      <vt:lpstr>v_16_XVivi</vt:lpstr>
      <vt:lpstr>v_17_CB</vt:lpstr>
      <vt:lpstr>v_17_CU</vt:lpstr>
      <vt:lpstr>v_17_GCH4</vt:lpstr>
      <vt:lpstr>v_17_GCH4_atm</vt:lpstr>
      <vt:lpstr>v_17_GCO2</vt:lpstr>
      <vt:lpstr>v_17_GCO2_atm</vt:lpstr>
      <vt:lpstr>v_17_GH2</vt:lpstr>
      <vt:lpstr>v_17_GH2_atm</vt:lpstr>
      <vt:lpstr>v_17_GN2</vt:lpstr>
      <vt:lpstr>v_17_GN2_atm</vt:lpstr>
      <vt:lpstr>v_17_GNH3</vt:lpstr>
      <vt:lpstr>v_17_GNH3_atm</vt:lpstr>
      <vt:lpstr>v_17_GO2</vt:lpstr>
      <vt:lpstr>v_17_GO2_atm</vt:lpstr>
      <vt:lpstr>v_17_SALPHA</vt:lpstr>
      <vt:lpstr>v_17_SAN</vt:lpstr>
      <vt:lpstr>v_17_SB</vt:lpstr>
      <vt:lpstr>v_17_SCa</vt:lpstr>
      <vt:lpstr>v_17_SCAT</vt:lpstr>
      <vt:lpstr>v_17_SCH4</vt:lpstr>
      <vt:lpstr>v_17_SCO2</vt:lpstr>
      <vt:lpstr>v_17_SFe2</vt:lpstr>
      <vt:lpstr>v_17_SH</vt:lpstr>
      <vt:lpstr>v_17_SH2</vt:lpstr>
      <vt:lpstr>v_17_SK</vt:lpstr>
      <vt:lpstr>v_17_SMEOL</vt:lpstr>
      <vt:lpstr>v_17_SMg</vt:lpstr>
      <vt:lpstr>v_17_SN_B</vt:lpstr>
      <vt:lpstr>v_17_SN2</vt:lpstr>
      <vt:lpstr>v_17_SNHx</vt:lpstr>
      <vt:lpstr>v_17_SNO2</vt:lpstr>
      <vt:lpstr>v_17_SNO3</vt:lpstr>
      <vt:lpstr>v_17_SO2</vt:lpstr>
      <vt:lpstr>v_17_SORPswitch</vt:lpstr>
      <vt:lpstr>v_17_SP_B</vt:lpstr>
      <vt:lpstr>v_17_SPFOA</vt:lpstr>
      <vt:lpstr>v_17_SPFOS</vt:lpstr>
      <vt:lpstr>v_17_SPO4</vt:lpstr>
      <vt:lpstr>v_17_SU</vt:lpstr>
      <vt:lpstr>v_17_SVFA</vt:lpstr>
      <vt:lpstr>v_17_XACP</vt:lpstr>
      <vt:lpstr>v_17_XALGAE</vt:lpstr>
      <vt:lpstr>v_17_XAMETO</vt:lpstr>
      <vt:lpstr>v_17_XAMX</vt:lpstr>
      <vt:lpstr>v_17_XAOB</vt:lpstr>
      <vt:lpstr>v_17_XB</vt:lpstr>
      <vt:lpstr>v_17_XB_e</vt:lpstr>
      <vt:lpstr>v_17_XBSH</vt:lpstr>
      <vt:lpstr>v_17_XCaCO3</vt:lpstr>
      <vt:lpstr>v_17_XCASTO</vt:lpstr>
      <vt:lpstr>v_17_XE</vt:lpstr>
      <vt:lpstr>v_17_XE_ana</vt:lpstr>
      <vt:lpstr>v_17_XHAO_H</vt:lpstr>
      <vt:lpstr>v_17_XHAO_H_P</vt:lpstr>
      <vt:lpstr>v_17_XHAO_H_P_old</vt:lpstr>
      <vt:lpstr>v_17_XHAO_L</vt:lpstr>
      <vt:lpstr>v_17_XHAO_L_P</vt:lpstr>
      <vt:lpstr>v_17_XHAO_L_P_old</vt:lpstr>
      <vt:lpstr>v_17_XHAO_old</vt:lpstr>
      <vt:lpstr>v_17_XHFO_H</vt:lpstr>
      <vt:lpstr>v_17_XHFO_H_P</vt:lpstr>
      <vt:lpstr>v_17_XHFO_H_P_old</vt:lpstr>
      <vt:lpstr>v_17_XHFO_L</vt:lpstr>
      <vt:lpstr>v_17_XHFO_L_P</vt:lpstr>
      <vt:lpstr>v_17_XHFO_L_P_old</vt:lpstr>
      <vt:lpstr>v_17_XHFO_old</vt:lpstr>
      <vt:lpstr>v_17_XHMETO</vt:lpstr>
      <vt:lpstr>v_17_XINORG</vt:lpstr>
      <vt:lpstr>v_17_XMEOLO</vt:lpstr>
      <vt:lpstr>v_17_XN_B</vt:lpstr>
      <vt:lpstr>v_17_XN_Be</vt:lpstr>
      <vt:lpstr>v_17_XN_U</vt:lpstr>
      <vt:lpstr>v_17_XNOB</vt:lpstr>
      <vt:lpstr>v_17_XOHO</vt:lpstr>
      <vt:lpstr>v_17_XP_B</vt:lpstr>
      <vt:lpstr>v_17_XP_Be</vt:lpstr>
      <vt:lpstr>v_17_XP_U</vt:lpstr>
      <vt:lpstr>v_17_XPFOA</vt:lpstr>
      <vt:lpstr>v_17_XPFOS</vt:lpstr>
      <vt:lpstr>v_17_XPHA_GAO</vt:lpstr>
      <vt:lpstr>v_17_XPHA_PAO</vt:lpstr>
      <vt:lpstr>v_17_XPP</vt:lpstr>
      <vt:lpstr>v_17_XSTR</vt:lpstr>
      <vt:lpstr>v_17_XU</vt:lpstr>
      <vt:lpstr>v_17_XVivi</vt:lpstr>
      <vt:lpstr>v_18_CB</vt:lpstr>
      <vt:lpstr>v_18_CU</vt:lpstr>
      <vt:lpstr>v_18_GCH4</vt:lpstr>
      <vt:lpstr>v_18_GCH4_atm</vt:lpstr>
      <vt:lpstr>v_18_GCO2</vt:lpstr>
      <vt:lpstr>v_18_GCO2_atm</vt:lpstr>
      <vt:lpstr>v_18_GH2</vt:lpstr>
      <vt:lpstr>v_18_GH2_atm</vt:lpstr>
      <vt:lpstr>v_18_GN2</vt:lpstr>
      <vt:lpstr>v_18_GN2_atm</vt:lpstr>
      <vt:lpstr>v_18_GNH3</vt:lpstr>
      <vt:lpstr>v_18_GNH3_atm</vt:lpstr>
      <vt:lpstr>v_18_GO2</vt:lpstr>
      <vt:lpstr>v_18_GO2_atm</vt:lpstr>
      <vt:lpstr>v_18_SALPHA</vt:lpstr>
      <vt:lpstr>v_18_SAN</vt:lpstr>
      <vt:lpstr>v_18_SB</vt:lpstr>
      <vt:lpstr>v_18_SCa</vt:lpstr>
      <vt:lpstr>v_18_SCAT</vt:lpstr>
      <vt:lpstr>v_18_SCH4</vt:lpstr>
      <vt:lpstr>v_18_SCO2</vt:lpstr>
      <vt:lpstr>v_18_SFe2</vt:lpstr>
      <vt:lpstr>v_18_SH</vt:lpstr>
      <vt:lpstr>v_18_SH2</vt:lpstr>
      <vt:lpstr>v_18_SK</vt:lpstr>
      <vt:lpstr>v_18_SMEOL</vt:lpstr>
      <vt:lpstr>v_18_SMg</vt:lpstr>
      <vt:lpstr>v_18_SN_B</vt:lpstr>
      <vt:lpstr>v_18_SN2</vt:lpstr>
      <vt:lpstr>v_18_SNHx</vt:lpstr>
      <vt:lpstr>v_18_SNO2</vt:lpstr>
      <vt:lpstr>v_18_SNO3</vt:lpstr>
      <vt:lpstr>v_18_SO2</vt:lpstr>
      <vt:lpstr>v_18_SORPswitch</vt:lpstr>
      <vt:lpstr>v_18_SP_B</vt:lpstr>
      <vt:lpstr>v_18_SPFOA</vt:lpstr>
      <vt:lpstr>v_18_SPFOS</vt:lpstr>
      <vt:lpstr>v_18_SPO4</vt:lpstr>
      <vt:lpstr>v_18_SU</vt:lpstr>
      <vt:lpstr>v_18_SVFA</vt:lpstr>
      <vt:lpstr>v_18_XACP</vt:lpstr>
      <vt:lpstr>v_18_XALGAE</vt:lpstr>
      <vt:lpstr>v_18_XAMETO</vt:lpstr>
      <vt:lpstr>v_18_XAMX</vt:lpstr>
      <vt:lpstr>v_18_XAOB</vt:lpstr>
      <vt:lpstr>v_18_XB</vt:lpstr>
      <vt:lpstr>v_18_XB_e</vt:lpstr>
      <vt:lpstr>v_18_XBSH</vt:lpstr>
      <vt:lpstr>v_18_XCaCO3</vt:lpstr>
      <vt:lpstr>v_18_XCASTO</vt:lpstr>
      <vt:lpstr>v_18_XE</vt:lpstr>
      <vt:lpstr>v_18_XE_ana</vt:lpstr>
      <vt:lpstr>v_18_XHAO_H</vt:lpstr>
      <vt:lpstr>v_18_XHAO_H_P</vt:lpstr>
      <vt:lpstr>v_18_XHAO_H_P_old</vt:lpstr>
      <vt:lpstr>v_18_XHAO_L</vt:lpstr>
      <vt:lpstr>v_18_XHAO_L_P</vt:lpstr>
      <vt:lpstr>v_18_XHAO_L_P_old</vt:lpstr>
      <vt:lpstr>v_18_XHAO_old</vt:lpstr>
      <vt:lpstr>v_18_XHFO_H</vt:lpstr>
      <vt:lpstr>v_18_XHFO_H_P</vt:lpstr>
      <vt:lpstr>v_18_XHFO_H_P_old</vt:lpstr>
      <vt:lpstr>v_18_XHFO_L</vt:lpstr>
      <vt:lpstr>v_18_XHFO_L_P</vt:lpstr>
      <vt:lpstr>v_18_XHFO_L_P_old</vt:lpstr>
      <vt:lpstr>v_18_XHFO_old</vt:lpstr>
      <vt:lpstr>v_18_XHMETO</vt:lpstr>
      <vt:lpstr>v_18_XINORG</vt:lpstr>
      <vt:lpstr>v_18_XMEOLO</vt:lpstr>
      <vt:lpstr>v_18_XN_B</vt:lpstr>
      <vt:lpstr>v_18_XN_Be</vt:lpstr>
      <vt:lpstr>v_18_XN_U</vt:lpstr>
      <vt:lpstr>v_18_XNOB</vt:lpstr>
      <vt:lpstr>v_18_XOHO</vt:lpstr>
      <vt:lpstr>v_18_XP_B</vt:lpstr>
      <vt:lpstr>v_18_XP_Be</vt:lpstr>
      <vt:lpstr>v_18_XP_U</vt:lpstr>
      <vt:lpstr>v_18_XPFOA</vt:lpstr>
      <vt:lpstr>v_18_XPFOS</vt:lpstr>
      <vt:lpstr>v_18_XPHA_GAO</vt:lpstr>
      <vt:lpstr>v_18_XPHA_PAO</vt:lpstr>
      <vt:lpstr>v_18_XPP</vt:lpstr>
      <vt:lpstr>v_18_XSTR</vt:lpstr>
      <vt:lpstr>v_18_XU</vt:lpstr>
      <vt:lpstr>v_18_XVivi</vt:lpstr>
      <vt:lpstr>v_19_CB</vt:lpstr>
      <vt:lpstr>v_19_CU</vt:lpstr>
      <vt:lpstr>v_19_GCH4</vt:lpstr>
      <vt:lpstr>v_19_GCH4_atm</vt:lpstr>
      <vt:lpstr>v_19_GCO2</vt:lpstr>
      <vt:lpstr>v_19_GCO2_atm</vt:lpstr>
      <vt:lpstr>v_19_GH2</vt:lpstr>
      <vt:lpstr>v_19_GH2_atm</vt:lpstr>
      <vt:lpstr>v_19_GN2</vt:lpstr>
      <vt:lpstr>v_19_GN2_atm</vt:lpstr>
      <vt:lpstr>v_19_GNH3</vt:lpstr>
      <vt:lpstr>v_19_GNH3_atm</vt:lpstr>
      <vt:lpstr>v_19_GO2</vt:lpstr>
      <vt:lpstr>v_19_GO2_atm</vt:lpstr>
      <vt:lpstr>v_19_SALPHA</vt:lpstr>
      <vt:lpstr>v_19_SAN</vt:lpstr>
      <vt:lpstr>v_19_SB</vt:lpstr>
      <vt:lpstr>v_19_SCa</vt:lpstr>
      <vt:lpstr>v_19_SCAT</vt:lpstr>
      <vt:lpstr>v_19_SCH4</vt:lpstr>
      <vt:lpstr>v_19_SCO2</vt:lpstr>
      <vt:lpstr>v_19_SFe2</vt:lpstr>
      <vt:lpstr>v_19_SH</vt:lpstr>
      <vt:lpstr>v_19_SH2</vt:lpstr>
      <vt:lpstr>v_19_SK</vt:lpstr>
      <vt:lpstr>v_19_SMEOL</vt:lpstr>
      <vt:lpstr>v_19_SMg</vt:lpstr>
      <vt:lpstr>v_19_SN_B</vt:lpstr>
      <vt:lpstr>v_19_SN2</vt:lpstr>
      <vt:lpstr>v_19_SNHx</vt:lpstr>
      <vt:lpstr>v_19_SNO2</vt:lpstr>
      <vt:lpstr>v_19_SNO3</vt:lpstr>
      <vt:lpstr>v_19_SO2</vt:lpstr>
      <vt:lpstr>v_19_SORPswitch</vt:lpstr>
      <vt:lpstr>v_19_SP_B</vt:lpstr>
      <vt:lpstr>v_19_SPFOA</vt:lpstr>
      <vt:lpstr>v_19_SPFOS</vt:lpstr>
      <vt:lpstr>v_19_SPO4</vt:lpstr>
      <vt:lpstr>v_19_SU</vt:lpstr>
      <vt:lpstr>v_19_SVFA</vt:lpstr>
      <vt:lpstr>v_19_XACP</vt:lpstr>
      <vt:lpstr>v_19_XALGAE</vt:lpstr>
      <vt:lpstr>v_19_XAMETO</vt:lpstr>
      <vt:lpstr>v_19_XAMX</vt:lpstr>
      <vt:lpstr>v_19_XAOB</vt:lpstr>
      <vt:lpstr>v_19_XB</vt:lpstr>
      <vt:lpstr>v_19_XB_e</vt:lpstr>
      <vt:lpstr>v_19_XBSH</vt:lpstr>
      <vt:lpstr>v_19_XCaCO3</vt:lpstr>
      <vt:lpstr>v_19_XCASTO</vt:lpstr>
      <vt:lpstr>v_19_XE</vt:lpstr>
      <vt:lpstr>v_19_XE_ana</vt:lpstr>
      <vt:lpstr>v_19_XHAO_H</vt:lpstr>
      <vt:lpstr>v_19_XHAO_H_P</vt:lpstr>
      <vt:lpstr>v_19_XHAO_H_P_old</vt:lpstr>
      <vt:lpstr>v_19_XHAO_L</vt:lpstr>
      <vt:lpstr>v_19_XHAO_L_P</vt:lpstr>
      <vt:lpstr>v_19_XHAO_L_P_old</vt:lpstr>
      <vt:lpstr>v_19_XHAO_old</vt:lpstr>
      <vt:lpstr>v_19_XHFO_H</vt:lpstr>
      <vt:lpstr>v_19_XHFO_H_P</vt:lpstr>
      <vt:lpstr>v_19_XHFO_H_P_old</vt:lpstr>
      <vt:lpstr>v_19_XHFO_L</vt:lpstr>
      <vt:lpstr>v_19_XHFO_L_P</vt:lpstr>
      <vt:lpstr>v_19_XHFO_L_P_old</vt:lpstr>
      <vt:lpstr>v_19_XHFO_old</vt:lpstr>
      <vt:lpstr>v_19_XHMETO</vt:lpstr>
      <vt:lpstr>v_19_XINORG</vt:lpstr>
      <vt:lpstr>v_19_XMEOLO</vt:lpstr>
      <vt:lpstr>v_19_XN_B</vt:lpstr>
      <vt:lpstr>v_19_XN_Be</vt:lpstr>
      <vt:lpstr>v_19_XN_U</vt:lpstr>
      <vt:lpstr>v_19_XNOB</vt:lpstr>
      <vt:lpstr>v_19_XOHO</vt:lpstr>
      <vt:lpstr>v_19_XP_B</vt:lpstr>
      <vt:lpstr>v_19_XP_Be</vt:lpstr>
      <vt:lpstr>v_19_XP_U</vt:lpstr>
      <vt:lpstr>v_19_XPFOA</vt:lpstr>
      <vt:lpstr>v_19_XPFOS</vt:lpstr>
      <vt:lpstr>v_19_XPHA_GAO</vt:lpstr>
      <vt:lpstr>v_19_XPHA_PAO</vt:lpstr>
      <vt:lpstr>v_19_XPP</vt:lpstr>
      <vt:lpstr>v_19_XSTR</vt:lpstr>
      <vt:lpstr>v_19_XU</vt:lpstr>
      <vt:lpstr>v_19_XVivi</vt:lpstr>
      <vt:lpstr>v_2_CB</vt:lpstr>
      <vt:lpstr>v_2_CU</vt:lpstr>
      <vt:lpstr>v_2_GCH4</vt:lpstr>
      <vt:lpstr>v_2_GCH4_atm</vt:lpstr>
      <vt:lpstr>v_2_GCO2</vt:lpstr>
      <vt:lpstr>v_2_GCO2_atm</vt:lpstr>
      <vt:lpstr>v_2_GH2</vt:lpstr>
      <vt:lpstr>v_2_GH2_atm</vt:lpstr>
      <vt:lpstr>v_2_GN2</vt:lpstr>
      <vt:lpstr>v_2_GN2_atm</vt:lpstr>
      <vt:lpstr>v_2_GNH3</vt:lpstr>
      <vt:lpstr>v_2_GNH3_atm</vt:lpstr>
      <vt:lpstr>v_2_GO2</vt:lpstr>
      <vt:lpstr>v_2_GO2_atm</vt:lpstr>
      <vt:lpstr>v_2_SALPHA</vt:lpstr>
      <vt:lpstr>v_2_SAN</vt:lpstr>
      <vt:lpstr>v_2_SB</vt:lpstr>
      <vt:lpstr>v_2_SCa</vt:lpstr>
      <vt:lpstr>v_2_SCAT</vt:lpstr>
      <vt:lpstr>v_2_SCH4</vt:lpstr>
      <vt:lpstr>v_2_SCO2</vt:lpstr>
      <vt:lpstr>v_2_SFe2</vt:lpstr>
      <vt:lpstr>v_2_SH</vt:lpstr>
      <vt:lpstr>v_2_SH2</vt:lpstr>
      <vt:lpstr>v_2_SK</vt:lpstr>
      <vt:lpstr>v_2_SMEOL</vt:lpstr>
      <vt:lpstr>v_2_SMg</vt:lpstr>
      <vt:lpstr>v_2_SN_B</vt:lpstr>
      <vt:lpstr>v_2_SN2</vt:lpstr>
      <vt:lpstr>v_2_SNHx</vt:lpstr>
      <vt:lpstr>v_2_SNO2</vt:lpstr>
      <vt:lpstr>v_2_SNO3</vt:lpstr>
      <vt:lpstr>v_2_SO2</vt:lpstr>
      <vt:lpstr>v_2_SORPswitch</vt:lpstr>
      <vt:lpstr>v_2_SP_B</vt:lpstr>
      <vt:lpstr>v_2_SPFOA</vt:lpstr>
      <vt:lpstr>v_2_SPFOS</vt:lpstr>
      <vt:lpstr>v_2_SPO4</vt:lpstr>
      <vt:lpstr>v_2_SU</vt:lpstr>
      <vt:lpstr>v_2_SVFA</vt:lpstr>
      <vt:lpstr>v_2_XACP</vt:lpstr>
      <vt:lpstr>v_2_XALGAE</vt:lpstr>
      <vt:lpstr>v_2_XAMETO</vt:lpstr>
      <vt:lpstr>v_2_XAMX</vt:lpstr>
      <vt:lpstr>v_2_XAOB</vt:lpstr>
      <vt:lpstr>v_2_XB</vt:lpstr>
      <vt:lpstr>v_2_XB_e</vt:lpstr>
      <vt:lpstr>v_2_XBSH</vt:lpstr>
      <vt:lpstr>v_2_XCaCO3</vt:lpstr>
      <vt:lpstr>v_2_XCASTO</vt:lpstr>
      <vt:lpstr>v_2_XE</vt:lpstr>
      <vt:lpstr>v_2_XE_ana</vt:lpstr>
      <vt:lpstr>v_2_XHAO_H</vt:lpstr>
      <vt:lpstr>v_2_XHAO_H_P</vt:lpstr>
      <vt:lpstr>v_2_XHAO_H_P_old</vt:lpstr>
      <vt:lpstr>v_2_XHAO_L</vt:lpstr>
      <vt:lpstr>v_2_XHAO_L_P</vt:lpstr>
      <vt:lpstr>v_2_XHAO_L_P_old</vt:lpstr>
      <vt:lpstr>v_2_XHAO_old</vt:lpstr>
      <vt:lpstr>v_2_XHFO_H</vt:lpstr>
      <vt:lpstr>v_2_XHFO_H_P</vt:lpstr>
      <vt:lpstr>v_2_XHFO_H_P_old</vt:lpstr>
      <vt:lpstr>v_2_XHFO_L</vt:lpstr>
      <vt:lpstr>v_2_XHFO_L_P</vt:lpstr>
      <vt:lpstr>v_2_XHFO_L_P_old</vt:lpstr>
      <vt:lpstr>v_2_XHFO_old</vt:lpstr>
      <vt:lpstr>v_2_XHMETO</vt:lpstr>
      <vt:lpstr>v_2_XINORG</vt:lpstr>
      <vt:lpstr>v_2_XMEOLO</vt:lpstr>
      <vt:lpstr>v_2_XN_B</vt:lpstr>
      <vt:lpstr>v_2_XN_Be</vt:lpstr>
      <vt:lpstr>v_2_XN_U</vt:lpstr>
      <vt:lpstr>v_2_XNOB</vt:lpstr>
      <vt:lpstr>v_2_XOHO</vt:lpstr>
      <vt:lpstr>v_2_XP_B</vt:lpstr>
      <vt:lpstr>v_2_XP_Be</vt:lpstr>
      <vt:lpstr>v_2_XP_U</vt:lpstr>
      <vt:lpstr>v_2_XPFOA</vt:lpstr>
      <vt:lpstr>v_2_XPFOS</vt:lpstr>
      <vt:lpstr>v_2_XPHA_GAO</vt:lpstr>
      <vt:lpstr>v_2_XPHA_PAO</vt:lpstr>
      <vt:lpstr>v_2_XPP</vt:lpstr>
      <vt:lpstr>v_2_XSTR</vt:lpstr>
      <vt:lpstr>v_2_XU</vt:lpstr>
      <vt:lpstr>v_2_XVivi</vt:lpstr>
      <vt:lpstr>v_20_CB</vt:lpstr>
      <vt:lpstr>v_20_CU</vt:lpstr>
      <vt:lpstr>v_20_GCH4</vt:lpstr>
      <vt:lpstr>v_20_GCH4_atm</vt:lpstr>
      <vt:lpstr>v_20_GCO2</vt:lpstr>
      <vt:lpstr>v_20_GCO2_atm</vt:lpstr>
      <vt:lpstr>v_20_GH2</vt:lpstr>
      <vt:lpstr>v_20_GH2_atm</vt:lpstr>
      <vt:lpstr>v_20_GN2</vt:lpstr>
      <vt:lpstr>v_20_GN2_atm</vt:lpstr>
      <vt:lpstr>v_20_GNH3</vt:lpstr>
      <vt:lpstr>v_20_GNH3_atm</vt:lpstr>
      <vt:lpstr>v_20_GO2</vt:lpstr>
      <vt:lpstr>v_20_GO2_atm</vt:lpstr>
      <vt:lpstr>v_20_SALPHA</vt:lpstr>
      <vt:lpstr>v_20_SAN</vt:lpstr>
      <vt:lpstr>v_20_SB</vt:lpstr>
      <vt:lpstr>v_20_SCa</vt:lpstr>
      <vt:lpstr>v_20_SCAT</vt:lpstr>
      <vt:lpstr>v_20_SCH4</vt:lpstr>
      <vt:lpstr>v_20_SCO2</vt:lpstr>
      <vt:lpstr>v_20_SFe2</vt:lpstr>
      <vt:lpstr>v_20_SH</vt:lpstr>
      <vt:lpstr>v_20_SH2</vt:lpstr>
      <vt:lpstr>v_20_SK</vt:lpstr>
      <vt:lpstr>v_20_SMEOL</vt:lpstr>
      <vt:lpstr>v_20_SMg</vt:lpstr>
      <vt:lpstr>v_20_SN_B</vt:lpstr>
      <vt:lpstr>v_20_SN2</vt:lpstr>
      <vt:lpstr>v_20_SNHx</vt:lpstr>
      <vt:lpstr>v_20_SNO2</vt:lpstr>
      <vt:lpstr>v_20_SNO3</vt:lpstr>
      <vt:lpstr>v_20_SO2</vt:lpstr>
      <vt:lpstr>v_20_SORPswitch</vt:lpstr>
      <vt:lpstr>v_20_SP_B</vt:lpstr>
      <vt:lpstr>v_20_SPFOA</vt:lpstr>
      <vt:lpstr>v_20_SPFOS</vt:lpstr>
      <vt:lpstr>v_20_SPO4</vt:lpstr>
      <vt:lpstr>v_20_SU</vt:lpstr>
      <vt:lpstr>v_20_SVFA</vt:lpstr>
      <vt:lpstr>v_20_XACP</vt:lpstr>
      <vt:lpstr>v_20_XALGAE</vt:lpstr>
      <vt:lpstr>v_20_XAMETO</vt:lpstr>
      <vt:lpstr>v_20_XAMX</vt:lpstr>
      <vt:lpstr>v_20_XAOB</vt:lpstr>
      <vt:lpstr>v_20_XB</vt:lpstr>
      <vt:lpstr>v_20_XB_e</vt:lpstr>
      <vt:lpstr>v_20_XBSH</vt:lpstr>
      <vt:lpstr>v_20_XCaCO3</vt:lpstr>
      <vt:lpstr>v_20_XCASTO</vt:lpstr>
      <vt:lpstr>v_20_XE</vt:lpstr>
      <vt:lpstr>v_20_XE_ana</vt:lpstr>
      <vt:lpstr>v_20_XHAO_H</vt:lpstr>
      <vt:lpstr>v_20_XHAO_H_P</vt:lpstr>
      <vt:lpstr>v_20_XHAO_H_P_old</vt:lpstr>
      <vt:lpstr>v_20_XHAO_L</vt:lpstr>
      <vt:lpstr>v_20_XHAO_L_P</vt:lpstr>
      <vt:lpstr>v_20_XHAO_L_P_old</vt:lpstr>
      <vt:lpstr>v_20_XHAO_old</vt:lpstr>
      <vt:lpstr>v_20_XHFO_H</vt:lpstr>
      <vt:lpstr>v_20_XHFO_H_P</vt:lpstr>
      <vt:lpstr>v_20_XHFO_H_P_old</vt:lpstr>
      <vt:lpstr>v_20_XHFO_L</vt:lpstr>
      <vt:lpstr>v_20_XHFO_L_P</vt:lpstr>
      <vt:lpstr>v_20_XHFO_L_P_old</vt:lpstr>
      <vt:lpstr>v_20_XHFO_old</vt:lpstr>
      <vt:lpstr>v_20_XHMETO</vt:lpstr>
      <vt:lpstr>v_20_XINORG</vt:lpstr>
      <vt:lpstr>v_20_XMEOLO</vt:lpstr>
      <vt:lpstr>v_20_XN_B</vt:lpstr>
      <vt:lpstr>v_20_XN_Be</vt:lpstr>
      <vt:lpstr>v_20_XN_U</vt:lpstr>
      <vt:lpstr>v_20_XNOB</vt:lpstr>
      <vt:lpstr>v_20_XOHO</vt:lpstr>
      <vt:lpstr>v_20_XP_B</vt:lpstr>
      <vt:lpstr>v_20_XP_Be</vt:lpstr>
      <vt:lpstr>v_20_XP_U</vt:lpstr>
      <vt:lpstr>v_20_XPFOA</vt:lpstr>
      <vt:lpstr>v_20_XPFOS</vt:lpstr>
      <vt:lpstr>v_20_XPHA_GAO</vt:lpstr>
      <vt:lpstr>v_20_XPHA_PAO</vt:lpstr>
      <vt:lpstr>v_20_XPP</vt:lpstr>
      <vt:lpstr>v_20_XSTR</vt:lpstr>
      <vt:lpstr>v_20_XU</vt:lpstr>
      <vt:lpstr>v_20_XVivi</vt:lpstr>
      <vt:lpstr>v_21_CB</vt:lpstr>
      <vt:lpstr>v_21_CU</vt:lpstr>
      <vt:lpstr>v_21_GCH4</vt:lpstr>
      <vt:lpstr>v_21_GCH4_atm</vt:lpstr>
      <vt:lpstr>v_21_GCO2</vt:lpstr>
      <vt:lpstr>v_21_GCO2_atm</vt:lpstr>
      <vt:lpstr>v_21_GH2</vt:lpstr>
      <vt:lpstr>v_21_GH2_atm</vt:lpstr>
      <vt:lpstr>v_21_GN2</vt:lpstr>
      <vt:lpstr>v_21_GN2_atm</vt:lpstr>
      <vt:lpstr>v_21_GNH3</vt:lpstr>
      <vt:lpstr>v_21_GNH3_atm</vt:lpstr>
      <vt:lpstr>v_21_GO2</vt:lpstr>
      <vt:lpstr>v_21_GO2_atm</vt:lpstr>
      <vt:lpstr>v_21_SALPHA</vt:lpstr>
      <vt:lpstr>v_21_SAN</vt:lpstr>
      <vt:lpstr>v_21_SB</vt:lpstr>
      <vt:lpstr>v_21_SCa</vt:lpstr>
      <vt:lpstr>v_21_SCAT</vt:lpstr>
      <vt:lpstr>v_21_SCH4</vt:lpstr>
      <vt:lpstr>v_21_SCO2</vt:lpstr>
      <vt:lpstr>v_21_SFe2</vt:lpstr>
      <vt:lpstr>v_21_SH</vt:lpstr>
      <vt:lpstr>v_21_SH2</vt:lpstr>
      <vt:lpstr>v_21_SK</vt:lpstr>
      <vt:lpstr>v_21_SMEOL</vt:lpstr>
      <vt:lpstr>v_21_SMg</vt:lpstr>
      <vt:lpstr>v_21_SN_B</vt:lpstr>
      <vt:lpstr>v_21_SN2</vt:lpstr>
      <vt:lpstr>v_21_SNHx</vt:lpstr>
      <vt:lpstr>v_21_SNO2</vt:lpstr>
      <vt:lpstr>v_21_SNO3</vt:lpstr>
      <vt:lpstr>v_21_SO2</vt:lpstr>
      <vt:lpstr>v_21_SORPswitch</vt:lpstr>
      <vt:lpstr>v_21_SP_B</vt:lpstr>
      <vt:lpstr>v_21_SPFOA</vt:lpstr>
      <vt:lpstr>v_21_SPFOS</vt:lpstr>
      <vt:lpstr>v_21_SPO4</vt:lpstr>
      <vt:lpstr>v_21_SU</vt:lpstr>
      <vt:lpstr>v_21_SVFA</vt:lpstr>
      <vt:lpstr>v_21_XACP</vt:lpstr>
      <vt:lpstr>v_21_XALGAE</vt:lpstr>
      <vt:lpstr>v_21_XAMETO</vt:lpstr>
      <vt:lpstr>v_21_XAMX</vt:lpstr>
      <vt:lpstr>v_21_XAOB</vt:lpstr>
      <vt:lpstr>v_21_XB</vt:lpstr>
      <vt:lpstr>v_21_XB_e</vt:lpstr>
      <vt:lpstr>v_21_XBSH</vt:lpstr>
      <vt:lpstr>v_21_XCaCO3</vt:lpstr>
      <vt:lpstr>v_21_XCASTO</vt:lpstr>
      <vt:lpstr>v_21_XE</vt:lpstr>
      <vt:lpstr>v_21_XE_ana</vt:lpstr>
      <vt:lpstr>v_21_XHAO_H</vt:lpstr>
      <vt:lpstr>v_21_XHAO_H_P</vt:lpstr>
      <vt:lpstr>v_21_XHAO_H_P_old</vt:lpstr>
      <vt:lpstr>v_21_XHAO_L</vt:lpstr>
      <vt:lpstr>v_21_XHAO_L_P</vt:lpstr>
      <vt:lpstr>v_21_XHAO_L_P_old</vt:lpstr>
      <vt:lpstr>v_21_XHAO_old</vt:lpstr>
      <vt:lpstr>v_21_XHFO_H</vt:lpstr>
      <vt:lpstr>v_21_XHFO_H_P</vt:lpstr>
      <vt:lpstr>v_21_XHFO_H_P_old</vt:lpstr>
      <vt:lpstr>v_21_XHFO_L</vt:lpstr>
      <vt:lpstr>v_21_XHFO_L_P</vt:lpstr>
      <vt:lpstr>v_21_XHFO_L_P_old</vt:lpstr>
      <vt:lpstr>v_21_XHFO_old</vt:lpstr>
      <vt:lpstr>v_21_XHMETO</vt:lpstr>
      <vt:lpstr>v_21_XINORG</vt:lpstr>
      <vt:lpstr>v_21_XMEOLO</vt:lpstr>
      <vt:lpstr>v_21_XN_B</vt:lpstr>
      <vt:lpstr>v_21_XN_Be</vt:lpstr>
      <vt:lpstr>v_21_XN_U</vt:lpstr>
      <vt:lpstr>v_21_XNOB</vt:lpstr>
      <vt:lpstr>v_21_XOHO</vt:lpstr>
      <vt:lpstr>v_21_XP_B</vt:lpstr>
      <vt:lpstr>v_21_XP_Be</vt:lpstr>
      <vt:lpstr>v_21_XP_U</vt:lpstr>
      <vt:lpstr>v_21_XPFOA</vt:lpstr>
      <vt:lpstr>v_21_XPFOS</vt:lpstr>
      <vt:lpstr>v_21_XPHA_GAO</vt:lpstr>
      <vt:lpstr>v_21_XPHA_PAO</vt:lpstr>
      <vt:lpstr>v_21_XPP</vt:lpstr>
      <vt:lpstr>v_21_XSTR</vt:lpstr>
      <vt:lpstr>v_21_XU</vt:lpstr>
      <vt:lpstr>v_21_XVivi</vt:lpstr>
      <vt:lpstr>v_22_CB</vt:lpstr>
      <vt:lpstr>v_22_CU</vt:lpstr>
      <vt:lpstr>v_22_GCH4</vt:lpstr>
      <vt:lpstr>v_22_GCH4_atm</vt:lpstr>
      <vt:lpstr>v_22_GCO2</vt:lpstr>
      <vt:lpstr>v_22_GCO2_atm</vt:lpstr>
      <vt:lpstr>v_22_GH2</vt:lpstr>
      <vt:lpstr>v_22_GH2_atm</vt:lpstr>
      <vt:lpstr>v_22_GN2</vt:lpstr>
      <vt:lpstr>v_22_GN2_atm</vt:lpstr>
      <vt:lpstr>v_22_GNH3</vt:lpstr>
      <vt:lpstr>v_22_GNH3_atm</vt:lpstr>
      <vt:lpstr>v_22_GO2</vt:lpstr>
      <vt:lpstr>v_22_GO2_atm</vt:lpstr>
      <vt:lpstr>v_22_SALPHA</vt:lpstr>
      <vt:lpstr>v_22_SAN</vt:lpstr>
      <vt:lpstr>v_22_SB</vt:lpstr>
      <vt:lpstr>v_22_SCa</vt:lpstr>
      <vt:lpstr>v_22_SCAT</vt:lpstr>
      <vt:lpstr>v_22_SCH4</vt:lpstr>
      <vt:lpstr>v_22_SCO2</vt:lpstr>
      <vt:lpstr>v_22_SFe2</vt:lpstr>
      <vt:lpstr>v_22_SH</vt:lpstr>
      <vt:lpstr>v_22_SH2</vt:lpstr>
      <vt:lpstr>v_22_SK</vt:lpstr>
      <vt:lpstr>v_22_SMEOL</vt:lpstr>
      <vt:lpstr>v_22_SMg</vt:lpstr>
      <vt:lpstr>v_22_SN_B</vt:lpstr>
      <vt:lpstr>v_22_SN2</vt:lpstr>
      <vt:lpstr>v_22_SNHx</vt:lpstr>
      <vt:lpstr>v_22_SNO2</vt:lpstr>
      <vt:lpstr>v_22_SNO3</vt:lpstr>
      <vt:lpstr>v_22_SO2</vt:lpstr>
      <vt:lpstr>v_22_SORPswitch</vt:lpstr>
      <vt:lpstr>v_22_SP_B</vt:lpstr>
      <vt:lpstr>v_22_SPFOA</vt:lpstr>
      <vt:lpstr>v_22_SPFOS</vt:lpstr>
      <vt:lpstr>v_22_SPO4</vt:lpstr>
      <vt:lpstr>v_22_SU</vt:lpstr>
      <vt:lpstr>v_22_SVFA</vt:lpstr>
      <vt:lpstr>v_22_XACP</vt:lpstr>
      <vt:lpstr>v_22_XALGAE</vt:lpstr>
      <vt:lpstr>v_22_XAMETO</vt:lpstr>
      <vt:lpstr>v_22_XAMX</vt:lpstr>
      <vt:lpstr>v_22_XAOB</vt:lpstr>
      <vt:lpstr>v_22_XB</vt:lpstr>
      <vt:lpstr>v_22_XB_e</vt:lpstr>
      <vt:lpstr>v_22_XBSH</vt:lpstr>
      <vt:lpstr>v_22_XCaCO3</vt:lpstr>
      <vt:lpstr>v_22_XCASTO</vt:lpstr>
      <vt:lpstr>v_22_XE</vt:lpstr>
      <vt:lpstr>v_22_XE_ana</vt:lpstr>
      <vt:lpstr>v_22_XHAO_H</vt:lpstr>
      <vt:lpstr>v_22_XHAO_H_P</vt:lpstr>
      <vt:lpstr>v_22_XHAO_H_P_old</vt:lpstr>
      <vt:lpstr>v_22_XHAO_L</vt:lpstr>
      <vt:lpstr>v_22_XHAO_L_P</vt:lpstr>
      <vt:lpstr>v_22_XHAO_L_P_old</vt:lpstr>
      <vt:lpstr>v_22_XHAO_old</vt:lpstr>
      <vt:lpstr>v_22_XHFO_H</vt:lpstr>
      <vt:lpstr>v_22_XHFO_H_P</vt:lpstr>
      <vt:lpstr>v_22_XHFO_H_P_old</vt:lpstr>
      <vt:lpstr>v_22_XHFO_L</vt:lpstr>
      <vt:lpstr>v_22_XHFO_L_P</vt:lpstr>
      <vt:lpstr>v_22_XHFO_L_P_old</vt:lpstr>
      <vt:lpstr>v_22_XHFO_old</vt:lpstr>
      <vt:lpstr>v_22_XHMETO</vt:lpstr>
      <vt:lpstr>v_22_XINORG</vt:lpstr>
      <vt:lpstr>v_22_XMEOLO</vt:lpstr>
      <vt:lpstr>v_22_XN_B</vt:lpstr>
      <vt:lpstr>v_22_XN_Be</vt:lpstr>
      <vt:lpstr>v_22_XN_U</vt:lpstr>
      <vt:lpstr>v_22_XNOB</vt:lpstr>
      <vt:lpstr>v_22_XOHO</vt:lpstr>
      <vt:lpstr>v_22_XP_B</vt:lpstr>
      <vt:lpstr>v_22_XP_Be</vt:lpstr>
      <vt:lpstr>v_22_XP_U</vt:lpstr>
      <vt:lpstr>v_22_XPFOA</vt:lpstr>
      <vt:lpstr>v_22_XPFOS</vt:lpstr>
      <vt:lpstr>v_22_XPHA_GAO</vt:lpstr>
      <vt:lpstr>v_22_XPHA_PAO</vt:lpstr>
      <vt:lpstr>v_22_XPP</vt:lpstr>
      <vt:lpstr>v_22_XSTR</vt:lpstr>
      <vt:lpstr>v_22_XU</vt:lpstr>
      <vt:lpstr>v_22_XVivi</vt:lpstr>
      <vt:lpstr>v_23_CB</vt:lpstr>
      <vt:lpstr>v_23_CU</vt:lpstr>
      <vt:lpstr>v_23_GCH4</vt:lpstr>
      <vt:lpstr>v_23_GCH4_atm</vt:lpstr>
      <vt:lpstr>v_23_GCO2</vt:lpstr>
      <vt:lpstr>v_23_GCO2_atm</vt:lpstr>
      <vt:lpstr>v_23_GH2</vt:lpstr>
      <vt:lpstr>v_23_GH2_atm</vt:lpstr>
      <vt:lpstr>v_23_GN2</vt:lpstr>
      <vt:lpstr>v_23_GN2_atm</vt:lpstr>
      <vt:lpstr>v_23_GNH3</vt:lpstr>
      <vt:lpstr>v_23_GNH3_atm</vt:lpstr>
      <vt:lpstr>v_23_GO2</vt:lpstr>
      <vt:lpstr>v_23_GO2_atm</vt:lpstr>
      <vt:lpstr>v_23_SALPHA</vt:lpstr>
      <vt:lpstr>v_23_SAN</vt:lpstr>
      <vt:lpstr>v_23_SB</vt:lpstr>
      <vt:lpstr>v_23_SCa</vt:lpstr>
      <vt:lpstr>v_23_SCAT</vt:lpstr>
      <vt:lpstr>v_23_SCH4</vt:lpstr>
      <vt:lpstr>v_23_SCO2</vt:lpstr>
      <vt:lpstr>v_23_SFe2</vt:lpstr>
      <vt:lpstr>v_23_SH</vt:lpstr>
      <vt:lpstr>v_23_SH2</vt:lpstr>
      <vt:lpstr>v_23_SK</vt:lpstr>
      <vt:lpstr>v_23_SMEOL</vt:lpstr>
      <vt:lpstr>v_23_SMg</vt:lpstr>
      <vt:lpstr>v_23_SN_B</vt:lpstr>
      <vt:lpstr>v_23_SN2</vt:lpstr>
      <vt:lpstr>v_23_SNHx</vt:lpstr>
      <vt:lpstr>v_23_SNO2</vt:lpstr>
      <vt:lpstr>v_23_SNO3</vt:lpstr>
      <vt:lpstr>v_23_SO2</vt:lpstr>
      <vt:lpstr>v_23_SORPswitch</vt:lpstr>
      <vt:lpstr>v_23_SP_B</vt:lpstr>
      <vt:lpstr>v_23_SPFOA</vt:lpstr>
      <vt:lpstr>v_23_SPFOS</vt:lpstr>
      <vt:lpstr>v_23_SPO4</vt:lpstr>
      <vt:lpstr>v_23_SU</vt:lpstr>
      <vt:lpstr>v_23_SVFA</vt:lpstr>
      <vt:lpstr>v_23_XACP</vt:lpstr>
      <vt:lpstr>v_23_XALGAE</vt:lpstr>
      <vt:lpstr>v_23_XAMETO</vt:lpstr>
      <vt:lpstr>v_23_XAMX</vt:lpstr>
      <vt:lpstr>v_23_XAOB</vt:lpstr>
      <vt:lpstr>v_23_XB</vt:lpstr>
      <vt:lpstr>v_23_XB_e</vt:lpstr>
      <vt:lpstr>v_23_XBSH</vt:lpstr>
      <vt:lpstr>v_23_XCaCO3</vt:lpstr>
      <vt:lpstr>v_23_XCASTO</vt:lpstr>
      <vt:lpstr>v_23_XE</vt:lpstr>
      <vt:lpstr>v_23_XE_ana</vt:lpstr>
      <vt:lpstr>v_23_XHAO_H</vt:lpstr>
      <vt:lpstr>v_23_XHAO_H_P</vt:lpstr>
      <vt:lpstr>v_23_XHAO_H_P_old</vt:lpstr>
      <vt:lpstr>v_23_XHAO_L</vt:lpstr>
      <vt:lpstr>v_23_XHAO_L_P</vt:lpstr>
      <vt:lpstr>v_23_XHAO_L_P_old</vt:lpstr>
      <vt:lpstr>v_23_XHAO_old</vt:lpstr>
      <vt:lpstr>v_23_XHFO_H</vt:lpstr>
      <vt:lpstr>v_23_XHFO_H_P</vt:lpstr>
      <vt:lpstr>v_23_XHFO_H_P_old</vt:lpstr>
      <vt:lpstr>v_23_XHFO_L</vt:lpstr>
      <vt:lpstr>v_23_XHFO_L_P</vt:lpstr>
      <vt:lpstr>v_23_XHFO_L_P_old</vt:lpstr>
      <vt:lpstr>v_23_XHFO_old</vt:lpstr>
      <vt:lpstr>v_23_XHMETO</vt:lpstr>
      <vt:lpstr>v_23_XINORG</vt:lpstr>
      <vt:lpstr>v_23_XMEOLO</vt:lpstr>
      <vt:lpstr>v_23_XN_B</vt:lpstr>
      <vt:lpstr>v_23_XN_Be</vt:lpstr>
      <vt:lpstr>v_23_XN_U</vt:lpstr>
      <vt:lpstr>v_23_XNOB</vt:lpstr>
      <vt:lpstr>v_23_XOHO</vt:lpstr>
      <vt:lpstr>v_23_XP_B</vt:lpstr>
      <vt:lpstr>v_23_XP_Be</vt:lpstr>
      <vt:lpstr>v_23_XP_U</vt:lpstr>
      <vt:lpstr>v_23_XPFOA</vt:lpstr>
      <vt:lpstr>v_23_XPFOS</vt:lpstr>
      <vt:lpstr>v_23_XPHA_GAO</vt:lpstr>
      <vt:lpstr>v_23_XPHA_PAO</vt:lpstr>
      <vt:lpstr>v_23_XPP</vt:lpstr>
      <vt:lpstr>v_23_XSTR</vt:lpstr>
      <vt:lpstr>v_23_XU</vt:lpstr>
      <vt:lpstr>v_23_XVivi</vt:lpstr>
      <vt:lpstr>v_24_CB</vt:lpstr>
      <vt:lpstr>v_24_CU</vt:lpstr>
      <vt:lpstr>v_24_GCH4</vt:lpstr>
      <vt:lpstr>v_24_GCH4_atm</vt:lpstr>
      <vt:lpstr>v_24_GCO2</vt:lpstr>
      <vt:lpstr>v_24_GCO2_atm</vt:lpstr>
      <vt:lpstr>v_24_GH2</vt:lpstr>
      <vt:lpstr>v_24_GH2_atm</vt:lpstr>
      <vt:lpstr>v_24_GN2</vt:lpstr>
      <vt:lpstr>v_24_GN2_atm</vt:lpstr>
      <vt:lpstr>v_24_GNH3</vt:lpstr>
      <vt:lpstr>v_24_GNH3_atm</vt:lpstr>
      <vt:lpstr>v_24_GO2</vt:lpstr>
      <vt:lpstr>v_24_GO2_atm</vt:lpstr>
      <vt:lpstr>v_24_SALPHA</vt:lpstr>
      <vt:lpstr>v_24_SAN</vt:lpstr>
      <vt:lpstr>v_24_SB</vt:lpstr>
      <vt:lpstr>v_24_SCa</vt:lpstr>
      <vt:lpstr>v_24_SCAT</vt:lpstr>
      <vt:lpstr>v_24_SCH4</vt:lpstr>
      <vt:lpstr>v_24_SCO2</vt:lpstr>
      <vt:lpstr>v_24_SFe2</vt:lpstr>
      <vt:lpstr>v_24_SH</vt:lpstr>
      <vt:lpstr>v_24_SH2</vt:lpstr>
      <vt:lpstr>v_24_SK</vt:lpstr>
      <vt:lpstr>v_24_SMEOL</vt:lpstr>
      <vt:lpstr>v_24_SMg</vt:lpstr>
      <vt:lpstr>v_24_SN_B</vt:lpstr>
      <vt:lpstr>v_24_SN2</vt:lpstr>
      <vt:lpstr>v_24_SNHx</vt:lpstr>
      <vt:lpstr>v_24_SNO2</vt:lpstr>
      <vt:lpstr>v_24_SNO3</vt:lpstr>
      <vt:lpstr>v_24_SO2</vt:lpstr>
      <vt:lpstr>v_24_SORPswitch</vt:lpstr>
      <vt:lpstr>v_24_SP_B</vt:lpstr>
      <vt:lpstr>v_24_SPFOA</vt:lpstr>
      <vt:lpstr>v_24_SPFOS</vt:lpstr>
      <vt:lpstr>v_24_SPO4</vt:lpstr>
      <vt:lpstr>v_24_SU</vt:lpstr>
      <vt:lpstr>v_24_SVFA</vt:lpstr>
      <vt:lpstr>v_24_XACP</vt:lpstr>
      <vt:lpstr>v_24_XALGAE</vt:lpstr>
      <vt:lpstr>v_24_XAMETO</vt:lpstr>
      <vt:lpstr>v_24_XAMX</vt:lpstr>
      <vt:lpstr>v_24_XAOB</vt:lpstr>
      <vt:lpstr>v_24_XB</vt:lpstr>
      <vt:lpstr>v_24_XB_e</vt:lpstr>
      <vt:lpstr>v_24_XBSH</vt:lpstr>
      <vt:lpstr>v_24_XCaCO3</vt:lpstr>
      <vt:lpstr>v_24_XCASTO</vt:lpstr>
      <vt:lpstr>v_24_XE</vt:lpstr>
      <vt:lpstr>v_24_XE_ana</vt:lpstr>
      <vt:lpstr>v_24_XHAO_H</vt:lpstr>
      <vt:lpstr>v_24_XHAO_H_P</vt:lpstr>
      <vt:lpstr>v_24_XHAO_H_P_old</vt:lpstr>
      <vt:lpstr>v_24_XHAO_L</vt:lpstr>
      <vt:lpstr>v_24_XHAO_L_P</vt:lpstr>
      <vt:lpstr>v_24_XHAO_L_P_old</vt:lpstr>
      <vt:lpstr>v_24_XHAO_old</vt:lpstr>
      <vt:lpstr>v_24_XHFO_H</vt:lpstr>
      <vt:lpstr>v_24_XHFO_H_P</vt:lpstr>
      <vt:lpstr>v_24_XHFO_H_P_old</vt:lpstr>
      <vt:lpstr>v_24_XHFO_L</vt:lpstr>
      <vt:lpstr>v_24_XHFO_L_P</vt:lpstr>
      <vt:lpstr>v_24_XHFO_L_P_old</vt:lpstr>
      <vt:lpstr>v_24_XHFO_old</vt:lpstr>
      <vt:lpstr>v_24_XHMETO</vt:lpstr>
      <vt:lpstr>v_24_XINORG</vt:lpstr>
      <vt:lpstr>v_24_XMEOLO</vt:lpstr>
      <vt:lpstr>v_24_XN_B</vt:lpstr>
      <vt:lpstr>v_24_XN_Be</vt:lpstr>
      <vt:lpstr>v_24_XN_U</vt:lpstr>
      <vt:lpstr>v_24_XNOB</vt:lpstr>
      <vt:lpstr>v_24_XOHO</vt:lpstr>
      <vt:lpstr>v_24_XP_B</vt:lpstr>
      <vt:lpstr>v_24_XP_Be</vt:lpstr>
      <vt:lpstr>v_24_XP_U</vt:lpstr>
      <vt:lpstr>v_24_XPFOA</vt:lpstr>
      <vt:lpstr>v_24_XPFOS</vt:lpstr>
      <vt:lpstr>v_24_XPHA_GAO</vt:lpstr>
      <vt:lpstr>v_24_XPHA_PAO</vt:lpstr>
      <vt:lpstr>v_24_XPP</vt:lpstr>
      <vt:lpstr>v_24_XSTR</vt:lpstr>
      <vt:lpstr>v_24_XU</vt:lpstr>
      <vt:lpstr>v_24_XVivi</vt:lpstr>
      <vt:lpstr>v_25_CB</vt:lpstr>
      <vt:lpstr>v_25_CU</vt:lpstr>
      <vt:lpstr>v_25_GCH4</vt:lpstr>
      <vt:lpstr>v_25_GCH4_atm</vt:lpstr>
      <vt:lpstr>v_25_GCO2</vt:lpstr>
      <vt:lpstr>v_25_GCO2_atm</vt:lpstr>
      <vt:lpstr>v_25_GH2</vt:lpstr>
      <vt:lpstr>v_25_GH2_atm</vt:lpstr>
      <vt:lpstr>v_25_GN2</vt:lpstr>
      <vt:lpstr>v_25_GN2_atm</vt:lpstr>
      <vt:lpstr>v_25_GNH3</vt:lpstr>
      <vt:lpstr>v_25_GNH3_atm</vt:lpstr>
      <vt:lpstr>v_25_GO2</vt:lpstr>
      <vt:lpstr>v_25_GO2_atm</vt:lpstr>
      <vt:lpstr>v_25_SALPHA</vt:lpstr>
      <vt:lpstr>v_25_SAN</vt:lpstr>
      <vt:lpstr>v_25_SB</vt:lpstr>
      <vt:lpstr>v_25_SCa</vt:lpstr>
      <vt:lpstr>v_25_SCAT</vt:lpstr>
      <vt:lpstr>v_25_SCH4</vt:lpstr>
      <vt:lpstr>v_25_SCO2</vt:lpstr>
      <vt:lpstr>v_25_SFe2</vt:lpstr>
      <vt:lpstr>v_25_SH</vt:lpstr>
      <vt:lpstr>v_25_SH2</vt:lpstr>
      <vt:lpstr>v_25_SK</vt:lpstr>
      <vt:lpstr>v_25_SMEOL</vt:lpstr>
      <vt:lpstr>v_25_SMg</vt:lpstr>
      <vt:lpstr>v_25_SN_B</vt:lpstr>
      <vt:lpstr>v_25_SN2</vt:lpstr>
      <vt:lpstr>v_25_SNHx</vt:lpstr>
      <vt:lpstr>v_25_SNO2</vt:lpstr>
      <vt:lpstr>v_25_SNO3</vt:lpstr>
      <vt:lpstr>v_25_SO2</vt:lpstr>
      <vt:lpstr>v_25_SORPswitch</vt:lpstr>
      <vt:lpstr>v_25_SP_B</vt:lpstr>
      <vt:lpstr>v_25_SPFOA</vt:lpstr>
      <vt:lpstr>v_25_SPFOS</vt:lpstr>
      <vt:lpstr>v_25_SPO4</vt:lpstr>
      <vt:lpstr>v_25_SU</vt:lpstr>
      <vt:lpstr>v_25_SVFA</vt:lpstr>
      <vt:lpstr>v_25_XACP</vt:lpstr>
      <vt:lpstr>v_25_XALGAE</vt:lpstr>
      <vt:lpstr>v_25_XAMETO</vt:lpstr>
      <vt:lpstr>v_25_XAMX</vt:lpstr>
      <vt:lpstr>v_25_XAOB</vt:lpstr>
      <vt:lpstr>v_25_XB</vt:lpstr>
      <vt:lpstr>v_25_XB_e</vt:lpstr>
      <vt:lpstr>v_25_XBSH</vt:lpstr>
      <vt:lpstr>v_25_XCaCO3</vt:lpstr>
      <vt:lpstr>v_25_XCASTO</vt:lpstr>
      <vt:lpstr>v_25_XE</vt:lpstr>
      <vt:lpstr>v_25_XE_ana</vt:lpstr>
      <vt:lpstr>v_25_XHAO_H</vt:lpstr>
      <vt:lpstr>v_25_XHAO_H_P</vt:lpstr>
      <vt:lpstr>v_25_XHAO_H_P_old</vt:lpstr>
      <vt:lpstr>v_25_XHAO_L</vt:lpstr>
      <vt:lpstr>v_25_XHAO_L_P</vt:lpstr>
      <vt:lpstr>v_25_XHAO_L_P_old</vt:lpstr>
      <vt:lpstr>v_25_XHAO_old</vt:lpstr>
      <vt:lpstr>v_25_XHFO_H</vt:lpstr>
      <vt:lpstr>v_25_XHFO_H_P</vt:lpstr>
      <vt:lpstr>v_25_XHFO_H_P_old</vt:lpstr>
      <vt:lpstr>v_25_XHFO_L</vt:lpstr>
      <vt:lpstr>v_25_XHFO_L_P</vt:lpstr>
      <vt:lpstr>v_25_XHFO_L_P_old</vt:lpstr>
      <vt:lpstr>v_25_XHFO_old</vt:lpstr>
      <vt:lpstr>v_25_XHMETO</vt:lpstr>
      <vt:lpstr>v_25_XINORG</vt:lpstr>
      <vt:lpstr>v_25_XMEOLO</vt:lpstr>
      <vt:lpstr>v_25_XN_B</vt:lpstr>
      <vt:lpstr>v_25_XN_Be</vt:lpstr>
      <vt:lpstr>v_25_XN_U</vt:lpstr>
      <vt:lpstr>v_25_XNOB</vt:lpstr>
      <vt:lpstr>v_25_XOHO</vt:lpstr>
      <vt:lpstr>v_25_XP_B</vt:lpstr>
      <vt:lpstr>v_25_XP_Be</vt:lpstr>
      <vt:lpstr>v_25_XP_U</vt:lpstr>
      <vt:lpstr>v_25_XPFOA</vt:lpstr>
      <vt:lpstr>v_25_XPFOS</vt:lpstr>
      <vt:lpstr>v_25_XPHA_GAO</vt:lpstr>
      <vt:lpstr>v_25_XPHA_PAO</vt:lpstr>
      <vt:lpstr>v_25_XPP</vt:lpstr>
      <vt:lpstr>v_25_XSTR</vt:lpstr>
      <vt:lpstr>v_25_XU</vt:lpstr>
      <vt:lpstr>v_25_XVivi</vt:lpstr>
      <vt:lpstr>v_26_CB</vt:lpstr>
      <vt:lpstr>v_26_CU</vt:lpstr>
      <vt:lpstr>v_26_GCH4</vt:lpstr>
      <vt:lpstr>v_26_GCH4_atm</vt:lpstr>
      <vt:lpstr>v_26_GCO2</vt:lpstr>
      <vt:lpstr>v_26_GCO2_atm</vt:lpstr>
      <vt:lpstr>v_26_GH2</vt:lpstr>
      <vt:lpstr>v_26_GH2_atm</vt:lpstr>
      <vt:lpstr>v_26_GN2</vt:lpstr>
      <vt:lpstr>v_26_GN2_atm</vt:lpstr>
      <vt:lpstr>v_26_GNH3</vt:lpstr>
      <vt:lpstr>v_26_GNH3_atm</vt:lpstr>
      <vt:lpstr>v_26_GO2</vt:lpstr>
      <vt:lpstr>v_26_GO2_atm</vt:lpstr>
      <vt:lpstr>v_26_SALPHA</vt:lpstr>
      <vt:lpstr>v_26_SAN</vt:lpstr>
      <vt:lpstr>v_26_SB</vt:lpstr>
      <vt:lpstr>v_26_SCa</vt:lpstr>
      <vt:lpstr>v_26_SCAT</vt:lpstr>
      <vt:lpstr>v_26_SCH4</vt:lpstr>
      <vt:lpstr>v_26_SCO2</vt:lpstr>
      <vt:lpstr>v_26_SFe2</vt:lpstr>
      <vt:lpstr>v_26_SH</vt:lpstr>
      <vt:lpstr>v_26_SH2</vt:lpstr>
      <vt:lpstr>v_26_SK</vt:lpstr>
      <vt:lpstr>v_26_SMEOL</vt:lpstr>
      <vt:lpstr>v_26_SMg</vt:lpstr>
      <vt:lpstr>v_26_SN_B</vt:lpstr>
      <vt:lpstr>v_26_SN2</vt:lpstr>
      <vt:lpstr>v_26_SNHx</vt:lpstr>
      <vt:lpstr>v_26_SNO2</vt:lpstr>
      <vt:lpstr>v_26_SNO3</vt:lpstr>
      <vt:lpstr>v_26_SO2</vt:lpstr>
      <vt:lpstr>v_26_SORPswitch</vt:lpstr>
      <vt:lpstr>v_26_SP_B</vt:lpstr>
      <vt:lpstr>v_26_SPFOA</vt:lpstr>
      <vt:lpstr>v_26_SPFOS</vt:lpstr>
      <vt:lpstr>v_26_SPO4</vt:lpstr>
      <vt:lpstr>v_26_SU</vt:lpstr>
      <vt:lpstr>v_26_SVFA</vt:lpstr>
      <vt:lpstr>v_26_XACP</vt:lpstr>
      <vt:lpstr>v_26_XALGAE</vt:lpstr>
      <vt:lpstr>v_26_XAMETO</vt:lpstr>
      <vt:lpstr>v_26_XAMX</vt:lpstr>
      <vt:lpstr>v_26_XAOB</vt:lpstr>
      <vt:lpstr>v_26_XB</vt:lpstr>
      <vt:lpstr>v_26_XB_e</vt:lpstr>
      <vt:lpstr>v_26_XBSH</vt:lpstr>
      <vt:lpstr>v_26_XCaCO3</vt:lpstr>
      <vt:lpstr>v_26_XCASTO</vt:lpstr>
      <vt:lpstr>v_26_XE</vt:lpstr>
      <vt:lpstr>v_26_XE_ana</vt:lpstr>
      <vt:lpstr>v_26_XHAO_H</vt:lpstr>
      <vt:lpstr>v_26_XHAO_H_P</vt:lpstr>
      <vt:lpstr>v_26_XHAO_H_P_old</vt:lpstr>
      <vt:lpstr>v_26_XHAO_L</vt:lpstr>
      <vt:lpstr>v_26_XHAO_L_P</vt:lpstr>
      <vt:lpstr>v_26_XHAO_L_P_old</vt:lpstr>
      <vt:lpstr>v_26_XHAO_old</vt:lpstr>
      <vt:lpstr>v_26_XHFO_H</vt:lpstr>
      <vt:lpstr>v_26_XHFO_H_P</vt:lpstr>
      <vt:lpstr>v_26_XHFO_H_P_old</vt:lpstr>
      <vt:lpstr>v_26_XHFO_L</vt:lpstr>
      <vt:lpstr>v_26_XHFO_L_P</vt:lpstr>
      <vt:lpstr>v_26_XHFO_L_P_old</vt:lpstr>
      <vt:lpstr>v_26_XHFO_old</vt:lpstr>
      <vt:lpstr>v_26_XHMETO</vt:lpstr>
      <vt:lpstr>v_26_XINORG</vt:lpstr>
      <vt:lpstr>v_26_XMEOLO</vt:lpstr>
      <vt:lpstr>v_26_XN_B</vt:lpstr>
      <vt:lpstr>v_26_XN_Be</vt:lpstr>
      <vt:lpstr>v_26_XN_U</vt:lpstr>
      <vt:lpstr>v_26_XNOB</vt:lpstr>
      <vt:lpstr>v_26_XOHO</vt:lpstr>
      <vt:lpstr>v_26_XP_B</vt:lpstr>
      <vt:lpstr>v_26_XP_Be</vt:lpstr>
      <vt:lpstr>v_26_XP_U</vt:lpstr>
      <vt:lpstr>v_26_XPFOA</vt:lpstr>
      <vt:lpstr>v_26_XPFOS</vt:lpstr>
      <vt:lpstr>v_26_XPHA_GAO</vt:lpstr>
      <vt:lpstr>v_26_XPHA_PAO</vt:lpstr>
      <vt:lpstr>v_26_XPP</vt:lpstr>
      <vt:lpstr>v_26_XSTR</vt:lpstr>
      <vt:lpstr>v_26_XU</vt:lpstr>
      <vt:lpstr>v_26_XVivi</vt:lpstr>
      <vt:lpstr>v_27_CB</vt:lpstr>
      <vt:lpstr>v_27_CU</vt:lpstr>
      <vt:lpstr>v_27_GCH4</vt:lpstr>
      <vt:lpstr>v_27_GCH4_atm</vt:lpstr>
      <vt:lpstr>v_27_GCO2</vt:lpstr>
      <vt:lpstr>v_27_GCO2_atm</vt:lpstr>
      <vt:lpstr>v_27_GH2</vt:lpstr>
      <vt:lpstr>v_27_GH2_atm</vt:lpstr>
      <vt:lpstr>v_27_GN2</vt:lpstr>
      <vt:lpstr>v_27_GN2_atm</vt:lpstr>
      <vt:lpstr>v_27_GNH3</vt:lpstr>
      <vt:lpstr>v_27_GNH3_atm</vt:lpstr>
      <vt:lpstr>v_27_GO2</vt:lpstr>
      <vt:lpstr>v_27_GO2_atm</vt:lpstr>
      <vt:lpstr>v_27_SALPHA</vt:lpstr>
      <vt:lpstr>v_27_SAN</vt:lpstr>
      <vt:lpstr>v_27_SB</vt:lpstr>
      <vt:lpstr>v_27_SCa</vt:lpstr>
      <vt:lpstr>v_27_SCAT</vt:lpstr>
      <vt:lpstr>v_27_SCH4</vt:lpstr>
      <vt:lpstr>v_27_SCO2</vt:lpstr>
      <vt:lpstr>v_27_SFe2</vt:lpstr>
      <vt:lpstr>v_27_SH</vt:lpstr>
      <vt:lpstr>v_27_SH2</vt:lpstr>
      <vt:lpstr>v_27_SK</vt:lpstr>
      <vt:lpstr>v_27_SMEOL</vt:lpstr>
      <vt:lpstr>v_27_SMg</vt:lpstr>
      <vt:lpstr>v_27_SN_B</vt:lpstr>
      <vt:lpstr>v_27_SN2</vt:lpstr>
      <vt:lpstr>v_27_SNHx</vt:lpstr>
      <vt:lpstr>v_27_SNO2</vt:lpstr>
      <vt:lpstr>v_27_SNO3</vt:lpstr>
      <vt:lpstr>v_27_SO2</vt:lpstr>
      <vt:lpstr>v_27_SORPswitch</vt:lpstr>
      <vt:lpstr>v_27_SP_B</vt:lpstr>
      <vt:lpstr>v_27_SPFOA</vt:lpstr>
      <vt:lpstr>v_27_SPFOS</vt:lpstr>
      <vt:lpstr>v_27_SPO4</vt:lpstr>
      <vt:lpstr>v_27_SU</vt:lpstr>
      <vt:lpstr>v_27_SVFA</vt:lpstr>
      <vt:lpstr>v_27_XACP</vt:lpstr>
      <vt:lpstr>v_27_XALGAE</vt:lpstr>
      <vt:lpstr>v_27_XAMETO</vt:lpstr>
      <vt:lpstr>v_27_XAMX</vt:lpstr>
      <vt:lpstr>v_27_XAOB</vt:lpstr>
      <vt:lpstr>v_27_XB</vt:lpstr>
      <vt:lpstr>v_27_XB_e</vt:lpstr>
      <vt:lpstr>v_27_XBSH</vt:lpstr>
      <vt:lpstr>v_27_XCaCO3</vt:lpstr>
      <vt:lpstr>v_27_XCASTO</vt:lpstr>
      <vt:lpstr>v_27_XE</vt:lpstr>
      <vt:lpstr>v_27_XE_ana</vt:lpstr>
      <vt:lpstr>v_27_XHAO_H</vt:lpstr>
      <vt:lpstr>v_27_XHAO_H_P</vt:lpstr>
      <vt:lpstr>v_27_XHAO_H_P_old</vt:lpstr>
      <vt:lpstr>v_27_XHAO_L</vt:lpstr>
      <vt:lpstr>v_27_XHAO_L_P</vt:lpstr>
      <vt:lpstr>v_27_XHAO_L_P_old</vt:lpstr>
      <vt:lpstr>v_27_XHAO_old</vt:lpstr>
      <vt:lpstr>v_27_XHFO_H</vt:lpstr>
      <vt:lpstr>v_27_XHFO_H_P</vt:lpstr>
      <vt:lpstr>v_27_XHFO_H_P_old</vt:lpstr>
      <vt:lpstr>v_27_XHFO_L</vt:lpstr>
      <vt:lpstr>v_27_XHFO_L_P</vt:lpstr>
      <vt:lpstr>v_27_XHFO_L_P_old</vt:lpstr>
      <vt:lpstr>v_27_XHFO_old</vt:lpstr>
      <vt:lpstr>v_27_XHMETO</vt:lpstr>
      <vt:lpstr>v_27_XINORG</vt:lpstr>
      <vt:lpstr>v_27_XMEOLO</vt:lpstr>
      <vt:lpstr>v_27_XN_B</vt:lpstr>
      <vt:lpstr>v_27_XN_Be</vt:lpstr>
      <vt:lpstr>v_27_XN_U</vt:lpstr>
      <vt:lpstr>v_27_XNOB</vt:lpstr>
      <vt:lpstr>v_27_XOHO</vt:lpstr>
      <vt:lpstr>v_27_XP_B</vt:lpstr>
      <vt:lpstr>v_27_XP_Be</vt:lpstr>
      <vt:lpstr>v_27_XP_U</vt:lpstr>
      <vt:lpstr>v_27_XPFOA</vt:lpstr>
      <vt:lpstr>v_27_XPFOS</vt:lpstr>
      <vt:lpstr>v_27_XPHA_GAO</vt:lpstr>
      <vt:lpstr>v_27_XPHA_PAO</vt:lpstr>
      <vt:lpstr>v_27_XPP</vt:lpstr>
      <vt:lpstr>v_27_XSTR</vt:lpstr>
      <vt:lpstr>v_27_XU</vt:lpstr>
      <vt:lpstr>v_27_XVivi</vt:lpstr>
      <vt:lpstr>v_28_CB</vt:lpstr>
      <vt:lpstr>v_28_CU</vt:lpstr>
      <vt:lpstr>v_28_GCH4</vt:lpstr>
      <vt:lpstr>v_28_GCH4_atm</vt:lpstr>
      <vt:lpstr>v_28_GCO2</vt:lpstr>
      <vt:lpstr>v_28_GCO2_atm</vt:lpstr>
      <vt:lpstr>v_28_GH2</vt:lpstr>
      <vt:lpstr>v_28_GH2_atm</vt:lpstr>
      <vt:lpstr>v_28_GN2</vt:lpstr>
      <vt:lpstr>v_28_GN2_atm</vt:lpstr>
      <vt:lpstr>v_28_GNH3</vt:lpstr>
      <vt:lpstr>v_28_GNH3_atm</vt:lpstr>
      <vt:lpstr>v_28_GO2</vt:lpstr>
      <vt:lpstr>v_28_GO2_atm</vt:lpstr>
      <vt:lpstr>v_28_SALPHA</vt:lpstr>
      <vt:lpstr>v_28_SAN</vt:lpstr>
      <vt:lpstr>v_28_SB</vt:lpstr>
      <vt:lpstr>v_28_SCa</vt:lpstr>
      <vt:lpstr>v_28_SCAT</vt:lpstr>
      <vt:lpstr>v_28_SCH4</vt:lpstr>
      <vt:lpstr>v_28_SCO2</vt:lpstr>
      <vt:lpstr>v_28_SFe2</vt:lpstr>
      <vt:lpstr>v_28_SH</vt:lpstr>
      <vt:lpstr>v_28_SH2</vt:lpstr>
      <vt:lpstr>v_28_SK</vt:lpstr>
      <vt:lpstr>v_28_SMEOL</vt:lpstr>
      <vt:lpstr>v_28_SMg</vt:lpstr>
      <vt:lpstr>v_28_SN_B</vt:lpstr>
      <vt:lpstr>v_28_SN2</vt:lpstr>
      <vt:lpstr>v_28_SNHx</vt:lpstr>
      <vt:lpstr>v_28_SNO2</vt:lpstr>
      <vt:lpstr>v_28_SNO3</vt:lpstr>
      <vt:lpstr>v_28_SO2</vt:lpstr>
      <vt:lpstr>v_28_SORPswitch</vt:lpstr>
      <vt:lpstr>v_28_SP_B</vt:lpstr>
      <vt:lpstr>v_28_SPFOA</vt:lpstr>
      <vt:lpstr>v_28_SPFOS</vt:lpstr>
      <vt:lpstr>v_28_SPO4</vt:lpstr>
      <vt:lpstr>v_28_SU</vt:lpstr>
      <vt:lpstr>v_28_SVFA</vt:lpstr>
      <vt:lpstr>v_28_XACP</vt:lpstr>
      <vt:lpstr>v_28_XALGAE</vt:lpstr>
      <vt:lpstr>v_28_XAMETO</vt:lpstr>
      <vt:lpstr>v_28_XAMX</vt:lpstr>
      <vt:lpstr>v_28_XAOB</vt:lpstr>
      <vt:lpstr>v_28_XB</vt:lpstr>
      <vt:lpstr>v_28_XB_e</vt:lpstr>
      <vt:lpstr>v_28_XBSH</vt:lpstr>
      <vt:lpstr>v_28_XCaCO3</vt:lpstr>
      <vt:lpstr>v_28_XCASTO</vt:lpstr>
      <vt:lpstr>v_28_XE</vt:lpstr>
      <vt:lpstr>v_28_XE_ana</vt:lpstr>
      <vt:lpstr>v_28_XHAO_H</vt:lpstr>
      <vt:lpstr>v_28_XHAO_H_P</vt:lpstr>
      <vt:lpstr>v_28_XHAO_H_P_old</vt:lpstr>
      <vt:lpstr>v_28_XHAO_L</vt:lpstr>
      <vt:lpstr>v_28_XHAO_L_P</vt:lpstr>
      <vt:lpstr>v_28_XHAO_L_P_old</vt:lpstr>
      <vt:lpstr>v_28_XHAO_old</vt:lpstr>
      <vt:lpstr>v_28_XHFO_H</vt:lpstr>
      <vt:lpstr>v_28_XHFO_H_P</vt:lpstr>
      <vt:lpstr>v_28_XHFO_H_P_old</vt:lpstr>
      <vt:lpstr>v_28_XHFO_L</vt:lpstr>
      <vt:lpstr>v_28_XHFO_L_P</vt:lpstr>
      <vt:lpstr>v_28_XHFO_L_P_old</vt:lpstr>
      <vt:lpstr>v_28_XHFO_old</vt:lpstr>
      <vt:lpstr>v_28_XHMETO</vt:lpstr>
      <vt:lpstr>v_28_XINORG</vt:lpstr>
      <vt:lpstr>v_28_XMEOLO</vt:lpstr>
      <vt:lpstr>v_28_XN_B</vt:lpstr>
      <vt:lpstr>v_28_XN_Be</vt:lpstr>
      <vt:lpstr>v_28_XN_U</vt:lpstr>
      <vt:lpstr>v_28_XNOB</vt:lpstr>
      <vt:lpstr>v_28_XOHO</vt:lpstr>
      <vt:lpstr>v_28_XP_B</vt:lpstr>
      <vt:lpstr>v_28_XP_Be</vt:lpstr>
      <vt:lpstr>v_28_XP_U</vt:lpstr>
      <vt:lpstr>v_28_XPFOA</vt:lpstr>
      <vt:lpstr>v_28_XPFOS</vt:lpstr>
      <vt:lpstr>v_28_XPHA_GAO</vt:lpstr>
      <vt:lpstr>v_28_XPHA_PAO</vt:lpstr>
      <vt:lpstr>v_28_XPP</vt:lpstr>
      <vt:lpstr>v_28_XSTR</vt:lpstr>
      <vt:lpstr>v_28_XU</vt:lpstr>
      <vt:lpstr>v_28_XVivi</vt:lpstr>
      <vt:lpstr>v_29_CB</vt:lpstr>
      <vt:lpstr>v_29_CU</vt:lpstr>
      <vt:lpstr>v_29_GCH4</vt:lpstr>
      <vt:lpstr>v_29_GCH4_atm</vt:lpstr>
      <vt:lpstr>v_29_GCO2</vt:lpstr>
      <vt:lpstr>v_29_GCO2_atm</vt:lpstr>
      <vt:lpstr>v_29_GH2</vt:lpstr>
      <vt:lpstr>v_29_GH2_atm</vt:lpstr>
      <vt:lpstr>v_29_GN2</vt:lpstr>
      <vt:lpstr>v_29_GN2_atm</vt:lpstr>
      <vt:lpstr>v_29_GNH3</vt:lpstr>
      <vt:lpstr>v_29_GNH3_atm</vt:lpstr>
      <vt:lpstr>v_29_GO2</vt:lpstr>
      <vt:lpstr>v_29_GO2_atm</vt:lpstr>
      <vt:lpstr>v_29_SALPHA</vt:lpstr>
      <vt:lpstr>v_29_SAN</vt:lpstr>
      <vt:lpstr>v_29_SB</vt:lpstr>
      <vt:lpstr>v_29_SCa</vt:lpstr>
      <vt:lpstr>v_29_SCAT</vt:lpstr>
      <vt:lpstr>v_29_SCH4</vt:lpstr>
      <vt:lpstr>v_29_SCO2</vt:lpstr>
      <vt:lpstr>v_29_SFe2</vt:lpstr>
      <vt:lpstr>v_29_SH</vt:lpstr>
      <vt:lpstr>v_29_SH2</vt:lpstr>
      <vt:lpstr>v_29_SK</vt:lpstr>
      <vt:lpstr>v_29_SMEOL</vt:lpstr>
      <vt:lpstr>v_29_SMg</vt:lpstr>
      <vt:lpstr>v_29_SN_B</vt:lpstr>
      <vt:lpstr>v_29_SN2</vt:lpstr>
      <vt:lpstr>v_29_SNHx</vt:lpstr>
      <vt:lpstr>v_29_SNO2</vt:lpstr>
      <vt:lpstr>v_29_SNO3</vt:lpstr>
      <vt:lpstr>v_29_SO2</vt:lpstr>
      <vt:lpstr>v_29_SORPswitch</vt:lpstr>
      <vt:lpstr>v_29_SP_B</vt:lpstr>
      <vt:lpstr>v_29_SPFOA</vt:lpstr>
      <vt:lpstr>v_29_SPFOS</vt:lpstr>
      <vt:lpstr>v_29_SPO4</vt:lpstr>
      <vt:lpstr>v_29_SU</vt:lpstr>
      <vt:lpstr>v_29_SVFA</vt:lpstr>
      <vt:lpstr>v_29_XACP</vt:lpstr>
      <vt:lpstr>v_29_XALGAE</vt:lpstr>
      <vt:lpstr>v_29_XAMETO</vt:lpstr>
      <vt:lpstr>v_29_XAMX</vt:lpstr>
      <vt:lpstr>v_29_XAOB</vt:lpstr>
      <vt:lpstr>v_29_XB</vt:lpstr>
      <vt:lpstr>v_29_XB_e</vt:lpstr>
      <vt:lpstr>v_29_XBSH</vt:lpstr>
      <vt:lpstr>v_29_XCaCO3</vt:lpstr>
      <vt:lpstr>v_29_XCASTO</vt:lpstr>
      <vt:lpstr>v_29_XE</vt:lpstr>
      <vt:lpstr>v_29_XE_ana</vt:lpstr>
      <vt:lpstr>v_29_XHAO_H</vt:lpstr>
      <vt:lpstr>v_29_XHAO_H_P</vt:lpstr>
      <vt:lpstr>v_29_XHAO_H_P_old</vt:lpstr>
      <vt:lpstr>v_29_XHAO_L</vt:lpstr>
      <vt:lpstr>v_29_XHAO_L_P</vt:lpstr>
      <vt:lpstr>v_29_XHAO_L_P_old</vt:lpstr>
      <vt:lpstr>v_29_XHAO_old</vt:lpstr>
      <vt:lpstr>v_29_XHFO_H</vt:lpstr>
      <vt:lpstr>v_29_XHFO_H_P</vt:lpstr>
      <vt:lpstr>v_29_XHFO_H_P_old</vt:lpstr>
      <vt:lpstr>v_29_XHFO_L</vt:lpstr>
      <vt:lpstr>v_29_XHFO_L_P</vt:lpstr>
      <vt:lpstr>v_29_XHFO_L_P_old</vt:lpstr>
      <vt:lpstr>v_29_XHFO_old</vt:lpstr>
      <vt:lpstr>v_29_XHMETO</vt:lpstr>
      <vt:lpstr>v_29_XINORG</vt:lpstr>
      <vt:lpstr>v_29_XMEOLO</vt:lpstr>
      <vt:lpstr>v_29_XN_B</vt:lpstr>
      <vt:lpstr>v_29_XN_Be</vt:lpstr>
      <vt:lpstr>v_29_XN_U</vt:lpstr>
      <vt:lpstr>v_29_XNOB</vt:lpstr>
      <vt:lpstr>v_29_XOHO</vt:lpstr>
      <vt:lpstr>v_29_XP_B</vt:lpstr>
      <vt:lpstr>v_29_XP_Be</vt:lpstr>
      <vt:lpstr>v_29_XP_U</vt:lpstr>
      <vt:lpstr>v_29_XPFOA</vt:lpstr>
      <vt:lpstr>v_29_XPFOS</vt:lpstr>
      <vt:lpstr>v_29_XPHA_GAO</vt:lpstr>
      <vt:lpstr>v_29_XPHA_PAO</vt:lpstr>
      <vt:lpstr>v_29_XPP</vt:lpstr>
      <vt:lpstr>v_29_XSTR</vt:lpstr>
      <vt:lpstr>v_29_XU</vt:lpstr>
      <vt:lpstr>v_29_XVivi</vt:lpstr>
      <vt:lpstr>v_3_CB</vt:lpstr>
      <vt:lpstr>v_3_CU</vt:lpstr>
      <vt:lpstr>v_3_GCH4</vt:lpstr>
      <vt:lpstr>v_3_GCH4_atm</vt:lpstr>
      <vt:lpstr>v_3_GCO2</vt:lpstr>
      <vt:lpstr>v_3_GCO2_atm</vt:lpstr>
      <vt:lpstr>v_3_GH2</vt:lpstr>
      <vt:lpstr>v_3_GH2_atm</vt:lpstr>
      <vt:lpstr>v_3_GN2</vt:lpstr>
      <vt:lpstr>v_3_GN2_atm</vt:lpstr>
      <vt:lpstr>v_3_GNH3</vt:lpstr>
      <vt:lpstr>v_3_GNH3_atm</vt:lpstr>
      <vt:lpstr>v_3_GO2</vt:lpstr>
      <vt:lpstr>v_3_GO2_atm</vt:lpstr>
      <vt:lpstr>v_3_SALPHA</vt:lpstr>
      <vt:lpstr>v_3_SAN</vt:lpstr>
      <vt:lpstr>v_3_SB</vt:lpstr>
      <vt:lpstr>v_3_SCa</vt:lpstr>
      <vt:lpstr>v_3_SCAT</vt:lpstr>
      <vt:lpstr>v_3_SCH4</vt:lpstr>
      <vt:lpstr>v_3_SCO2</vt:lpstr>
      <vt:lpstr>v_3_SFe2</vt:lpstr>
      <vt:lpstr>v_3_SH</vt:lpstr>
      <vt:lpstr>v_3_SH2</vt:lpstr>
      <vt:lpstr>v_3_SK</vt:lpstr>
      <vt:lpstr>v_3_SMEOL</vt:lpstr>
      <vt:lpstr>v_3_SMg</vt:lpstr>
      <vt:lpstr>v_3_SN_B</vt:lpstr>
      <vt:lpstr>v_3_SN2</vt:lpstr>
      <vt:lpstr>v_3_SNHx</vt:lpstr>
      <vt:lpstr>v_3_SNO2</vt:lpstr>
      <vt:lpstr>v_3_SNO3</vt:lpstr>
      <vt:lpstr>v_3_SO2</vt:lpstr>
      <vt:lpstr>v_3_SORPswitch</vt:lpstr>
      <vt:lpstr>v_3_SP_B</vt:lpstr>
      <vt:lpstr>v_3_SPFOA</vt:lpstr>
      <vt:lpstr>v_3_SPFOS</vt:lpstr>
      <vt:lpstr>v_3_SPO4</vt:lpstr>
      <vt:lpstr>v_3_SU</vt:lpstr>
      <vt:lpstr>v_3_SVFA</vt:lpstr>
      <vt:lpstr>v_3_XACP</vt:lpstr>
      <vt:lpstr>v_3_XALGAE</vt:lpstr>
      <vt:lpstr>v_3_XAMETO</vt:lpstr>
      <vt:lpstr>v_3_XAMX</vt:lpstr>
      <vt:lpstr>v_3_XAOB</vt:lpstr>
      <vt:lpstr>v_3_XB</vt:lpstr>
      <vt:lpstr>v_3_XB_e</vt:lpstr>
      <vt:lpstr>v_3_XBSH</vt:lpstr>
      <vt:lpstr>v_3_XCaCO3</vt:lpstr>
      <vt:lpstr>v_3_XCASTO</vt:lpstr>
      <vt:lpstr>v_3_XE</vt:lpstr>
      <vt:lpstr>v_3_XE_ana</vt:lpstr>
      <vt:lpstr>v_3_XHAO_H</vt:lpstr>
      <vt:lpstr>v_3_XHAO_H_P</vt:lpstr>
      <vt:lpstr>v_3_XHAO_H_P_old</vt:lpstr>
      <vt:lpstr>v_3_XHAO_L</vt:lpstr>
      <vt:lpstr>v_3_XHAO_L_P</vt:lpstr>
      <vt:lpstr>v_3_XHAO_L_P_old</vt:lpstr>
      <vt:lpstr>v_3_XHAO_old</vt:lpstr>
      <vt:lpstr>v_3_XHFO_H</vt:lpstr>
      <vt:lpstr>v_3_XHFO_H_P</vt:lpstr>
      <vt:lpstr>v_3_XHFO_H_P_old</vt:lpstr>
      <vt:lpstr>v_3_XHFO_L</vt:lpstr>
      <vt:lpstr>v_3_XHFO_L_P</vt:lpstr>
      <vt:lpstr>v_3_XHFO_L_P_old</vt:lpstr>
      <vt:lpstr>v_3_XHFO_old</vt:lpstr>
      <vt:lpstr>v_3_XHMETO</vt:lpstr>
      <vt:lpstr>v_3_XINORG</vt:lpstr>
      <vt:lpstr>v_3_XMEOLO</vt:lpstr>
      <vt:lpstr>v_3_XN_B</vt:lpstr>
      <vt:lpstr>v_3_XN_Be</vt:lpstr>
      <vt:lpstr>v_3_XN_U</vt:lpstr>
      <vt:lpstr>v_3_XNOB</vt:lpstr>
      <vt:lpstr>v_3_XOHO</vt:lpstr>
      <vt:lpstr>v_3_XP_B</vt:lpstr>
      <vt:lpstr>v_3_XP_Be</vt:lpstr>
      <vt:lpstr>v_3_XP_U</vt:lpstr>
      <vt:lpstr>v_3_XPFOA</vt:lpstr>
      <vt:lpstr>v_3_XPFOS</vt:lpstr>
      <vt:lpstr>v_3_XPHA_GAO</vt:lpstr>
      <vt:lpstr>v_3_XPHA_PAO</vt:lpstr>
      <vt:lpstr>v_3_XPP</vt:lpstr>
      <vt:lpstr>v_3_XSTR</vt:lpstr>
      <vt:lpstr>v_3_XU</vt:lpstr>
      <vt:lpstr>v_3_XVivi</vt:lpstr>
      <vt:lpstr>v_30_CB</vt:lpstr>
      <vt:lpstr>v_30_CU</vt:lpstr>
      <vt:lpstr>v_30_GCH4</vt:lpstr>
      <vt:lpstr>v_30_GCH4_atm</vt:lpstr>
      <vt:lpstr>v_30_GCO2</vt:lpstr>
      <vt:lpstr>v_30_GCO2_atm</vt:lpstr>
      <vt:lpstr>v_30_GH2</vt:lpstr>
      <vt:lpstr>v_30_GH2_atm</vt:lpstr>
      <vt:lpstr>v_30_GN2</vt:lpstr>
      <vt:lpstr>v_30_GN2_atm</vt:lpstr>
      <vt:lpstr>v_30_GNH3</vt:lpstr>
      <vt:lpstr>v_30_GNH3_atm</vt:lpstr>
      <vt:lpstr>v_30_GO2</vt:lpstr>
      <vt:lpstr>v_30_GO2_atm</vt:lpstr>
      <vt:lpstr>v_30_SALPHA</vt:lpstr>
      <vt:lpstr>v_30_SAN</vt:lpstr>
      <vt:lpstr>v_30_SB</vt:lpstr>
      <vt:lpstr>v_30_SCa</vt:lpstr>
      <vt:lpstr>v_30_SCAT</vt:lpstr>
      <vt:lpstr>v_30_SCH4</vt:lpstr>
      <vt:lpstr>v_30_SCO2</vt:lpstr>
      <vt:lpstr>v_30_SFe2</vt:lpstr>
      <vt:lpstr>v_30_SH</vt:lpstr>
      <vt:lpstr>v_30_SH2</vt:lpstr>
      <vt:lpstr>v_30_SK</vt:lpstr>
      <vt:lpstr>v_30_SMEOL</vt:lpstr>
      <vt:lpstr>v_30_SMg</vt:lpstr>
      <vt:lpstr>v_30_SN_B</vt:lpstr>
      <vt:lpstr>v_30_SN2</vt:lpstr>
      <vt:lpstr>v_30_SNHx</vt:lpstr>
      <vt:lpstr>v_30_SNO2</vt:lpstr>
      <vt:lpstr>v_30_SNO3</vt:lpstr>
      <vt:lpstr>v_30_SO2</vt:lpstr>
      <vt:lpstr>v_30_SORPswitch</vt:lpstr>
      <vt:lpstr>v_30_SP_B</vt:lpstr>
      <vt:lpstr>v_30_SPFOA</vt:lpstr>
      <vt:lpstr>v_30_SPFOS</vt:lpstr>
      <vt:lpstr>v_30_SPO4</vt:lpstr>
      <vt:lpstr>v_30_SU</vt:lpstr>
      <vt:lpstr>v_30_SVFA</vt:lpstr>
      <vt:lpstr>v_30_XACP</vt:lpstr>
      <vt:lpstr>v_30_XALGAE</vt:lpstr>
      <vt:lpstr>v_30_XAMETO</vt:lpstr>
      <vt:lpstr>v_30_XAMX</vt:lpstr>
      <vt:lpstr>v_30_XAOB</vt:lpstr>
      <vt:lpstr>v_30_XB</vt:lpstr>
      <vt:lpstr>v_30_XB_e</vt:lpstr>
      <vt:lpstr>v_30_XBSH</vt:lpstr>
      <vt:lpstr>v_30_XCaCO3</vt:lpstr>
      <vt:lpstr>v_30_XCASTO</vt:lpstr>
      <vt:lpstr>v_30_XE</vt:lpstr>
      <vt:lpstr>v_30_XE_ana</vt:lpstr>
      <vt:lpstr>v_30_XHAO_H</vt:lpstr>
      <vt:lpstr>v_30_XHAO_H_P</vt:lpstr>
      <vt:lpstr>v_30_XHAO_H_P_old</vt:lpstr>
      <vt:lpstr>v_30_XHAO_L</vt:lpstr>
      <vt:lpstr>v_30_XHAO_L_P</vt:lpstr>
      <vt:lpstr>v_30_XHAO_L_P_old</vt:lpstr>
      <vt:lpstr>v_30_XHAO_old</vt:lpstr>
      <vt:lpstr>v_30_XHFO_H</vt:lpstr>
      <vt:lpstr>v_30_XHFO_H_P</vt:lpstr>
      <vt:lpstr>v_30_XHFO_H_P_old</vt:lpstr>
      <vt:lpstr>v_30_XHFO_L</vt:lpstr>
      <vt:lpstr>v_30_XHFO_L_P</vt:lpstr>
      <vt:lpstr>v_30_XHFO_L_P_old</vt:lpstr>
      <vt:lpstr>v_30_XHFO_old</vt:lpstr>
      <vt:lpstr>v_30_XHMETO</vt:lpstr>
      <vt:lpstr>v_30_XINORG</vt:lpstr>
      <vt:lpstr>v_30_XMEOLO</vt:lpstr>
      <vt:lpstr>v_30_XN_B</vt:lpstr>
      <vt:lpstr>v_30_XN_Be</vt:lpstr>
      <vt:lpstr>v_30_XN_U</vt:lpstr>
      <vt:lpstr>v_30_XNOB</vt:lpstr>
      <vt:lpstr>v_30_XOHO</vt:lpstr>
      <vt:lpstr>v_30_XP_B</vt:lpstr>
      <vt:lpstr>v_30_XP_Be</vt:lpstr>
      <vt:lpstr>v_30_XP_U</vt:lpstr>
      <vt:lpstr>v_30_XPFOA</vt:lpstr>
      <vt:lpstr>v_30_XPFOS</vt:lpstr>
      <vt:lpstr>v_30_XPHA_GAO</vt:lpstr>
      <vt:lpstr>v_30_XPHA_PAO</vt:lpstr>
      <vt:lpstr>v_30_XPP</vt:lpstr>
      <vt:lpstr>v_30_XSTR</vt:lpstr>
      <vt:lpstr>v_30_XU</vt:lpstr>
      <vt:lpstr>v_30_XVivi</vt:lpstr>
      <vt:lpstr>v_31_CB</vt:lpstr>
      <vt:lpstr>v_31_CU</vt:lpstr>
      <vt:lpstr>v_31_GCH4</vt:lpstr>
      <vt:lpstr>v_31_GCH4_atm</vt:lpstr>
      <vt:lpstr>v_31_GCO2</vt:lpstr>
      <vt:lpstr>v_31_GCO2_atm</vt:lpstr>
      <vt:lpstr>v_31_GH2</vt:lpstr>
      <vt:lpstr>v_31_GH2_atm</vt:lpstr>
      <vt:lpstr>v_31_GN2</vt:lpstr>
      <vt:lpstr>v_31_GN2_atm</vt:lpstr>
      <vt:lpstr>v_31_GNH3</vt:lpstr>
      <vt:lpstr>v_31_GNH3_atm</vt:lpstr>
      <vt:lpstr>v_31_GO2</vt:lpstr>
      <vt:lpstr>v_31_GO2_atm</vt:lpstr>
      <vt:lpstr>v_31_SALPHA</vt:lpstr>
      <vt:lpstr>v_31_SAN</vt:lpstr>
      <vt:lpstr>v_31_SB</vt:lpstr>
      <vt:lpstr>v_31_SCa</vt:lpstr>
      <vt:lpstr>v_31_SCAT</vt:lpstr>
      <vt:lpstr>v_31_SCH4</vt:lpstr>
      <vt:lpstr>v_31_SCO2</vt:lpstr>
      <vt:lpstr>v_31_SFe2</vt:lpstr>
      <vt:lpstr>v_31_SH</vt:lpstr>
      <vt:lpstr>v_31_SH2</vt:lpstr>
      <vt:lpstr>v_31_SK</vt:lpstr>
      <vt:lpstr>v_31_SMEOL</vt:lpstr>
      <vt:lpstr>v_31_SMg</vt:lpstr>
      <vt:lpstr>v_31_SN_B</vt:lpstr>
      <vt:lpstr>v_31_SN2</vt:lpstr>
      <vt:lpstr>v_31_SNHx</vt:lpstr>
      <vt:lpstr>v_31_SNO2</vt:lpstr>
      <vt:lpstr>v_31_SNO3</vt:lpstr>
      <vt:lpstr>v_31_SO2</vt:lpstr>
      <vt:lpstr>v_31_SORPswitch</vt:lpstr>
      <vt:lpstr>v_31_SP_B</vt:lpstr>
      <vt:lpstr>v_31_SPFOA</vt:lpstr>
      <vt:lpstr>v_31_SPFOS</vt:lpstr>
      <vt:lpstr>v_31_SPO4</vt:lpstr>
      <vt:lpstr>v_31_SU</vt:lpstr>
      <vt:lpstr>v_31_SVFA</vt:lpstr>
      <vt:lpstr>v_31_XACP</vt:lpstr>
      <vt:lpstr>v_31_XALGAE</vt:lpstr>
      <vt:lpstr>v_31_XAMETO</vt:lpstr>
      <vt:lpstr>v_31_XAMX</vt:lpstr>
      <vt:lpstr>v_31_XAOB</vt:lpstr>
      <vt:lpstr>v_31_XB</vt:lpstr>
      <vt:lpstr>v_31_XB_e</vt:lpstr>
      <vt:lpstr>v_31_XBSH</vt:lpstr>
      <vt:lpstr>v_31_XCaCO3</vt:lpstr>
      <vt:lpstr>v_31_XCASTO</vt:lpstr>
      <vt:lpstr>v_31_XE</vt:lpstr>
      <vt:lpstr>v_31_XE_ana</vt:lpstr>
      <vt:lpstr>v_31_XHAO_H</vt:lpstr>
      <vt:lpstr>v_31_XHAO_H_P</vt:lpstr>
      <vt:lpstr>v_31_XHAO_H_P_old</vt:lpstr>
      <vt:lpstr>v_31_XHAO_L</vt:lpstr>
      <vt:lpstr>v_31_XHAO_L_P</vt:lpstr>
      <vt:lpstr>v_31_XHAO_L_P_old</vt:lpstr>
      <vt:lpstr>v_31_XHAO_old</vt:lpstr>
      <vt:lpstr>v_31_XHFO_H</vt:lpstr>
      <vt:lpstr>v_31_XHFO_H_P</vt:lpstr>
      <vt:lpstr>v_31_XHFO_H_P_old</vt:lpstr>
      <vt:lpstr>v_31_XHFO_L</vt:lpstr>
      <vt:lpstr>v_31_XHFO_L_P</vt:lpstr>
      <vt:lpstr>v_31_XHFO_L_P_old</vt:lpstr>
      <vt:lpstr>v_31_XHFO_old</vt:lpstr>
      <vt:lpstr>v_31_XHMETO</vt:lpstr>
      <vt:lpstr>v_31_XINORG</vt:lpstr>
      <vt:lpstr>v_31_XMEOLO</vt:lpstr>
      <vt:lpstr>v_31_XN_B</vt:lpstr>
      <vt:lpstr>v_31_XN_Be</vt:lpstr>
      <vt:lpstr>v_31_XN_U</vt:lpstr>
      <vt:lpstr>v_31_XNOB</vt:lpstr>
      <vt:lpstr>v_31_XOHO</vt:lpstr>
      <vt:lpstr>v_31_XP_B</vt:lpstr>
      <vt:lpstr>v_31_XP_Be</vt:lpstr>
      <vt:lpstr>v_31_XP_U</vt:lpstr>
      <vt:lpstr>v_31_XPFOA</vt:lpstr>
      <vt:lpstr>v_31_XPFOS</vt:lpstr>
      <vt:lpstr>v_31_XPHA_GAO</vt:lpstr>
      <vt:lpstr>v_31_XPHA_PAO</vt:lpstr>
      <vt:lpstr>v_31_XPP</vt:lpstr>
      <vt:lpstr>v_31_XSTR</vt:lpstr>
      <vt:lpstr>v_31_XU</vt:lpstr>
      <vt:lpstr>v_31_XVivi</vt:lpstr>
      <vt:lpstr>v_32_CB</vt:lpstr>
      <vt:lpstr>v_32_CU</vt:lpstr>
      <vt:lpstr>v_32_GCH4</vt:lpstr>
      <vt:lpstr>v_32_GCH4_atm</vt:lpstr>
      <vt:lpstr>v_32_GCO2</vt:lpstr>
      <vt:lpstr>v_32_GCO2_atm</vt:lpstr>
      <vt:lpstr>v_32_GH2</vt:lpstr>
      <vt:lpstr>v_32_GH2_atm</vt:lpstr>
      <vt:lpstr>v_32_GN2</vt:lpstr>
      <vt:lpstr>v_32_GN2_atm</vt:lpstr>
      <vt:lpstr>v_32_GNH3</vt:lpstr>
      <vt:lpstr>v_32_GNH3_atm</vt:lpstr>
      <vt:lpstr>v_32_GO2</vt:lpstr>
      <vt:lpstr>v_32_GO2_atm</vt:lpstr>
      <vt:lpstr>v_32_SALPHA</vt:lpstr>
      <vt:lpstr>v_32_SAN</vt:lpstr>
      <vt:lpstr>v_32_SB</vt:lpstr>
      <vt:lpstr>v_32_SCa</vt:lpstr>
      <vt:lpstr>v_32_SCAT</vt:lpstr>
      <vt:lpstr>v_32_SCH4</vt:lpstr>
      <vt:lpstr>v_32_SCO2</vt:lpstr>
      <vt:lpstr>v_32_SFe2</vt:lpstr>
      <vt:lpstr>v_32_SH</vt:lpstr>
      <vt:lpstr>v_32_SH2</vt:lpstr>
      <vt:lpstr>v_32_SK</vt:lpstr>
      <vt:lpstr>v_32_SMEOL</vt:lpstr>
      <vt:lpstr>v_32_SMg</vt:lpstr>
      <vt:lpstr>v_32_SN_B</vt:lpstr>
      <vt:lpstr>v_32_SN2</vt:lpstr>
      <vt:lpstr>v_32_SNHx</vt:lpstr>
      <vt:lpstr>v_32_SNO2</vt:lpstr>
      <vt:lpstr>v_32_SNO3</vt:lpstr>
      <vt:lpstr>v_32_SO2</vt:lpstr>
      <vt:lpstr>v_32_SORPswitch</vt:lpstr>
      <vt:lpstr>v_32_SP_B</vt:lpstr>
      <vt:lpstr>v_32_SPFOA</vt:lpstr>
      <vt:lpstr>v_32_SPFOS</vt:lpstr>
      <vt:lpstr>v_32_SPO4</vt:lpstr>
      <vt:lpstr>v_32_SU</vt:lpstr>
      <vt:lpstr>v_32_SVFA</vt:lpstr>
      <vt:lpstr>v_32_XACP</vt:lpstr>
      <vt:lpstr>v_32_XALGAE</vt:lpstr>
      <vt:lpstr>v_32_XAMETO</vt:lpstr>
      <vt:lpstr>v_32_XAMX</vt:lpstr>
      <vt:lpstr>v_32_XAOB</vt:lpstr>
      <vt:lpstr>v_32_XB</vt:lpstr>
      <vt:lpstr>v_32_XB_e</vt:lpstr>
      <vt:lpstr>v_32_XBSH</vt:lpstr>
      <vt:lpstr>v_32_XCaCO3</vt:lpstr>
      <vt:lpstr>v_32_XCASTO</vt:lpstr>
      <vt:lpstr>v_32_XE</vt:lpstr>
      <vt:lpstr>v_32_XE_ana</vt:lpstr>
      <vt:lpstr>v_32_XHAO_H</vt:lpstr>
      <vt:lpstr>v_32_XHAO_H_P</vt:lpstr>
      <vt:lpstr>v_32_XHAO_H_P_old</vt:lpstr>
      <vt:lpstr>v_32_XHAO_L</vt:lpstr>
      <vt:lpstr>v_32_XHAO_L_P</vt:lpstr>
      <vt:lpstr>v_32_XHAO_L_P_old</vt:lpstr>
      <vt:lpstr>v_32_XHAO_old</vt:lpstr>
      <vt:lpstr>v_32_XHFO_H</vt:lpstr>
      <vt:lpstr>v_32_XHFO_H_P</vt:lpstr>
      <vt:lpstr>v_32_XHFO_H_P_old</vt:lpstr>
      <vt:lpstr>v_32_XHFO_L</vt:lpstr>
      <vt:lpstr>v_32_XHFO_L_P</vt:lpstr>
      <vt:lpstr>v_32_XHFO_L_P_old</vt:lpstr>
      <vt:lpstr>v_32_XHFO_old</vt:lpstr>
      <vt:lpstr>v_32_XHMETO</vt:lpstr>
      <vt:lpstr>v_32_XINORG</vt:lpstr>
      <vt:lpstr>v_32_XMEOLO</vt:lpstr>
      <vt:lpstr>v_32_XN_B</vt:lpstr>
      <vt:lpstr>v_32_XN_Be</vt:lpstr>
      <vt:lpstr>v_32_XN_U</vt:lpstr>
      <vt:lpstr>v_32_XNOB</vt:lpstr>
      <vt:lpstr>v_32_XOHO</vt:lpstr>
      <vt:lpstr>v_32_XP_B</vt:lpstr>
      <vt:lpstr>v_32_XP_Be</vt:lpstr>
      <vt:lpstr>v_32_XP_U</vt:lpstr>
      <vt:lpstr>v_32_XPFOA</vt:lpstr>
      <vt:lpstr>v_32_XPFOS</vt:lpstr>
      <vt:lpstr>v_32_XPHA_GAO</vt:lpstr>
      <vt:lpstr>v_32_XPHA_PAO</vt:lpstr>
      <vt:lpstr>v_32_XPP</vt:lpstr>
      <vt:lpstr>v_32_XSTR</vt:lpstr>
      <vt:lpstr>v_32_XU</vt:lpstr>
      <vt:lpstr>v_32_XVivi</vt:lpstr>
      <vt:lpstr>v_33_CB</vt:lpstr>
      <vt:lpstr>v_33_CU</vt:lpstr>
      <vt:lpstr>v_33_GCH4</vt:lpstr>
      <vt:lpstr>v_33_GCH4_atm</vt:lpstr>
      <vt:lpstr>v_33_GCO2</vt:lpstr>
      <vt:lpstr>v_33_GCO2_atm</vt:lpstr>
      <vt:lpstr>v_33_GH2</vt:lpstr>
      <vt:lpstr>v_33_GH2_atm</vt:lpstr>
      <vt:lpstr>v_33_GN2</vt:lpstr>
      <vt:lpstr>v_33_GN2_atm</vt:lpstr>
      <vt:lpstr>v_33_GNH3</vt:lpstr>
      <vt:lpstr>v_33_GNH3_atm</vt:lpstr>
      <vt:lpstr>v_33_GO2</vt:lpstr>
      <vt:lpstr>v_33_GO2_atm</vt:lpstr>
      <vt:lpstr>v_33_SALPHA</vt:lpstr>
      <vt:lpstr>v_33_SAN</vt:lpstr>
      <vt:lpstr>v_33_SB</vt:lpstr>
      <vt:lpstr>v_33_SCa</vt:lpstr>
      <vt:lpstr>v_33_SCAT</vt:lpstr>
      <vt:lpstr>v_33_SCH4</vt:lpstr>
      <vt:lpstr>v_33_SCO2</vt:lpstr>
      <vt:lpstr>v_33_SFe2</vt:lpstr>
      <vt:lpstr>v_33_SH</vt:lpstr>
      <vt:lpstr>v_33_SH2</vt:lpstr>
      <vt:lpstr>v_33_SK</vt:lpstr>
      <vt:lpstr>v_33_SMEOL</vt:lpstr>
      <vt:lpstr>v_33_SMg</vt:lpstr>
      <vt:lpstr>v_33_SN_B</vt:lpstr>
      <vt:lpstr>v_33_SN2</vt:lpstr>
      <vt:lpstr>v_33_SNHx</vt:lpstr>
      <vt:lpstr>v_33_SNO2</vt:lpstr>
      <vt:lpstr>v_33_SNO3</vt:lpstr>
      <vt:lpstr>v_33_SO2</vt:lpstr>
      <vt:lpstr>v_33_SORPswitch</vt:lpstr>
      <vt:lpstr>v_33_SP_B</vt:lpstr>
      <vt:lpstr>v_33_SPFOA</vt:lpstr>
      <vt:lpstr>v_33_SPFOS</vt:lpstr>
      <vt:lpstr>v_33_SPO4</vt:lpstr>
      <vt:lpstr>v_33_SU</vt:lpstr>
      <vt:lpstr>v_33_SVFA</vt:lpstr>
      <vt:lpstr>v_33_XACP</vt:lpstr>
      <vt:lpstr>v_33_XALGAE</vt:lpstr>
      <vt:lpstr>v_33_XAMETO</vt:lpstr>
      <vt:lpstr>v_33_XAMX</vt:lpstr>
      <vt:lpstr>v_33_XAOB</vt:lpstr>
      <vt:lpstr>v_33_XB</vt:lpstr>
      <vt:lpstr>v_33_XB_e</vt:lpstr>
      <vt:lpstr>v_33_XBSH</vt:lpstr>
      <vt:lpstr>v_33_XCaCO3</vt:lpstr>
      <vt:lpstr>v_33_XCASTO</vt:lpstr>
      <vt:lpstr>v_33_XE</vt:lpstr>
      <vt:lpstr>v_33_XE_ana</vt:lpstr>
      <vt:lpstr>v_33_XHAO_H</vt:lpstr>
      <vt:lpstr>v_33_XHAO_H_P</vt:lpstr>
      <vt:lpstr>v_33_XHAO_H_P_old</vt:lpstr>
      <vt:lpstr>v_33_XHAO_L</vt:lpstr>
      <vt:lpstr>v_33_XHAO_L_P</vt:lpstr>
      <vt:lpstr>v_33_XHAO_L_P_old</vt:lpstr>
      <vt:lpstr>v_33_XHAO_old</vt:lpstr>
      <vt:lpstr>v_33_XHFO_H</vt:lpstr>
      <vt:lpstr>v_33_XHFO_H_P</vt:lpstr>
      <vt:lpstr>v_33_XHFO_H_P_old</vt:lpstr>
      <vt:lpstr>v_33_XHFO_L</vt:lpstr>
      <vt:lpstr>v_33_XHFO_L_P</vt:lpstr>
      <vt:lpstr>v_33_XHFO_L_P_old</vt:lpstr>
      <vt:lpstr>v_33_XHFO_old</vt:lpstr>
      <vt:lpstr>v_33_XHMETO</vt:lpstr>
      <vt:lpstr>v_33_XINORG</vt:lpstr>
      <vt:lpstr>v_33_XMEOLO</vt:lpstr>
      <vt:lpstr>v_33_XN_B</vt:lpstr>
      <vt:lpstr>v_33_XN_Be</vt:lpstr>
      <vt:lpstr>v_33_XN_U</vt:lpstr>
      <vt:lpstr>v_33_XNOB</vt:lpstr>
      <vt:lpstr>v_33_XOHO</vt:lpstr>
      <vt:lpstr>v_33_XP_B</vt:lpstr>
      <vt:lpstr>v_33_XP_Be</vt:lpstr>
      <vt:lpstr>v_33_XP_U</vt:lpstr>
      <vt:lpstr>v_33_XPFOA</vt:lpstr>
      <vt:lpstr>v_33_XPFOS</vt:lpstr>
      <vt:lpstr>v_33_XPHA_GAO</vt:lpstr>
      <vt:lpstr>v_33_XPHA_PAO</vt:lpstr>
      <vt:lpstr>v_33_XPP</vt:lpstr>
      <vt:lpstr>v_33_XSTR</vt:lpstr>
      <vt:lpstr>v_33_XU</vt:lpstr>
      <vt:lpstr>v_33_XVivi</vt:lpstr>
      <vt:lpstr>v_34_CB</vt:lpstr>
      <vt:lpstr>v_34_CU</vt:lpstr>
      <vt:lpstr>v_34_GCH4</vt:lpstr>
      <vt:lpstr>v_34_GCH4_atm</vt:lpstr>
      <vt:lpstr>v_34_GCO2</vt:lpstr>
      <vt:lpstr>v_34_GCO2_atm</vt:lpstr>
      <vt:lpstr>v_34_GH2</vt:lpstr>
      <vt:lpstr>v_34_GH2_atm</vt:lpstr>
      <vt:lpstr>v_34_GN2</vt:lpstr>
      <vt:lpstr>v_34_GN2_atm</vt:lpstr>
      <vt:lpstr>v_34_GNH3</vt:lpstr>
      <vt:lpstr>v_34_GNH3_atm</vt:lpstr>
      <vt:lpstr>v_34_GO2</vt:lpstr>
      <vt:lpstr>v_34_GO2_atm</vt:lpstr>
      <vt:lpstr>v_34_SALPHA</vt:lpstr>
      <vt:lpstr>v_34_SAN</vt:lpstr>
      <vt:lpstr>v_34_SB</vt:lpstr>
      <vt:lpstr>v_34_SCa</vt:lpstr>
      <vt:lpstr>v_34_SCAT</vt:lpstr>
      <vt:lpstr>v_34_SCH4</vt:lpstr>
      <vt:lpstr>v_34_SCO2</vt:lpstr>
      <vt:lpstr>v_34_SFe2</vt:lpstr>
      <vt:lpstr>v_34_SH</vt:lpstr>
      <vt:lpstr>v_34_SH2</vt:lpstr>
      <vt:lpstr>v_34_SK</vt:lpstr>
      <vt:lpstr>v_34_SMEOL</vt:lpstr>
      <vt:lpstr>v_34_SMg</vt:lpstr>
      <vt:lpstr>v_34_SN_B</vt:lpstr>
      <vt:lpstr>v_34_SN2</vt:lpstr>
      <vt:lpstr>v_34_SNHx</vt:lpstr>
      <vt:lpstr>v_34_SNO2</vt:lpstr>
      <vt:lpstr>v_34_SNO3</vt:lpstr>
      <vt:lpstr>v_34_SO2</vt:lpstr>
      <vt:lpstr>v_34_SORPswitch</vt:lpstr>
      <vt:lpstr>v_34_SP_B</vt:lpstr>
      <vt:lpstr>v_34_SPFOA</vt:lpstr>
      <vt:lpstr>v_34_SPFOS</vt:lpstr>
      <vt:lpstr>v_34_SPO4</vt:lpstr>
      <vt:lpstr>v_34_SU</vt:lpstr>
      <vt:lpstr>v_34_SVFA</vt:lpstr>
      <vt:lpstr>v_34_XACP</vt:lpstr>
      <vt:lpstr>v_34_XALGAE</vt:lpstr>
      <vt:lpstr>v_34_XAMETO</vt:lpstr>
      <vt:lpstr>v_34_XAMX</vt:lpstr>
      <vt:lpstr>v_34_XAOB</vt:lpstr>
      <vt:lpstr>v_34_XB</vt:lpstr>
      <vt:lpstr>v_34_XB_e</vt:lpstr>
      <vt:lpstr>v_34_XBSH</vt:lpstr>
      <vt:lpstr>v_34_XCaCO3</vt:lpstr>
      <vt:lpstr>v_34_XCASTO</vt:lpstr>
      <vt:lpstr>v_34_XE</vt:lpstr>
      <vt:lpstr>v_34_XE_ana</vt:lpstr>
      <vt:lpstr>v_34_XHAO_H</vt:lpstr>
      <vt:lpstr>v_34_XHAO_H_P</vt:lpstr>
      <vt:lpstr>v_34_XHAO_H_P_old</vt:lpstr>
      <vt:lpstr>v_34_XHAO_L</vt:lpstr>
      <vt:lpstr>v_34_XHAO_L_P</vt:lpstr>
      <vt:lpstr>v_34_XHAO_L_P_old</vt:lpstr>
      <vt:lpstr>v_34_XHAO_old</vt:lpstr>
      <vt:lpstr>v_34_XHFO_H</vt:lpstr>
      <vt:lpstr>v_34_XHFO_H_P</vt:lpstr>
      <vt:lpstr>v_34_XHFO_H_P_old</vt:lpstr>
      <vt:lpstr>v_34_XHFO_L</vt:lpstr>
      <vt:lpstr>v_34_XHFO_L_P</vt:lpstr>
      <vt:lpstr>v_34_XHFO_L_P_old</vt:lpstr>
      <vt:lpstr>v_34_XHFO_old</vt:lpstr>
      <vt:lpstr>v_34_XHMETO</vt:lpstr>
      <vt:lpstr>v_34_XINORG</vt:lpstr>
      <vt:lpstr>v_34_XMEOLO</vt:lpstr>
      <vt:lpstr>v_34_XN_B</vt:lpstr>
      <vt:lpstr>v_34_XN_Be</vt:lpstr>
      <vt:lpstr>v_34_XN_U</vt:lpstr>
      <vt:lpstr>v_34_XNOB</vt:lpstr>
      <vt:lpstr>v_34_XOHO</vt:lpstr>
      <vt:lpstr>v_34_XP_B</vt:lpstr>
      <vt:lpstr>v_34_XP_Be</vt:lpstr>
      <vt:lpstr>v_34_XP_U</vt:lpstr>
      <vt:lpstr>v_34_XPFOA</vt:lpstr>
      <vt:lpstr>v_34_XPFOS</vt:lpstr>
      <vt:lpstr>v_34_XPHA_GAO</vt:lpstr>
      <vt:lpstr>v_34_XPHA_PAO</vt:lpstr>
      <vt:lpstr>v_34_XPP</vt:lpstr>
      <vt:lpstr>v_34_XSTR</vt:lpstr>
      <vt:lpstr>v_34_XU</vt:lpstr>
      <vt:lpstr>v_34_XVivi</vt:lpstr>
      <vt:lpstr>v_35_CB</vt:lpstr>
      <vt:lpstr>v_35_CU</vt:lpstr>
      <vt:lpstr>v_35_GCH4</vt:lpstr>
      <vt:lpstr>v_35_GCH4_atm</vt:lpstr>
      <vt:lpstr>v_35_GCO2</vt:lpstr>
      <vt:lpstr>v_35_GCO2_atm</vt:lpstr>
      <vt:lpstr>v_35_GH2</vt:lpstr>
      <vt:lpstr>v_35_GH2_atm</vt:lpstr>
      <vt:lpstr>v_35_GN2</vt:lpstr>
      <vt:lpstr>v_35_GN2_atm</vt:lpstr>
      <vt:lpstr>v_35_GNH3</vt:lpstr>
      <vt:lpstr>v_35_GNH3_atm</vt:lpstr>
      <vt:lpstr>v_35_GO2</vt:lpstr>
      <vt:lpstr>v_35_GO2_atm</vt:lpstr>
      <vt:lpstr>v_35_SALPHA</vt:lpstr>
      <vt:lpstr>v_35_SAN</vt:lpstr>
      <vt:lpstr>v_35_SB</vt:lpstr>
      <vt:lpstr>v_35_SCa</vt:lpstr>
      <vt:lpstr>v_35_SCAT</vt:lpstr>
      <vt:lpstr>v_35_SCH4</vt:lpstr>
      <vt:lpstr>v_35_SCO2</vt:lpstr>
      <vt:lpstr>v_35_SFe2</vt:lpstr>
      <vt:lpstr>v_35_SH</vt:lpstr>
      <vt:lpstr>v_35_SH2</vt:lpstr>
      <vt:lpstr>v_35_SK</vt:lpstr>
      <vt:lpstr>v_35_SMEOL</vt:lpstr>
      <vt:lpstr>v_35_SMg</vt:lpstr>
      <vt:lpstr>v_35_SN_B</vt:lpstr>
      <vt:lpstr>v_35_SN2</vt:lpstr>
      <vt:lpstr>v_35_SNHx</vt:lpstr>
      <vt:lpstr>v_35_SNO2</vt:lpstr>
      <vt:lpstr>v_35_SNO3</vt:lpstr>
      <vt:lpstr>v_35_SO2</vt:lpstr>
      <vt:lpstr>v_35_SORPswitch</vt:lpstr>
      <vt:lpstr>v_35_SP_B</vt:lpstr>
      <vt:lpstr>v_35_SPFOA</vt:lpstr>
      <vt:lpstr>v_35_SPFOS</vt:lpstr>
      <vt:lpstr>v_35_SPO4</vt:lpstr>
      <vt:lpstr>v_35_SU</vt:lpstr>
      <vt:lpstr>v_35_SVFA</vt:lpstr>
      <vt:lpstr>v_35_XACP</vt:lpstr>
      <vt:lpstr>v_35_XALGAE</vt:lpstr>
      <vt:lpstr>v_35_XAMETO</vt:lpstr>
      <vt:lpstr>v_35_XAMX</vt:lpstr>
      <vt:lpstr>v_35_XAOB</vt:lpstr>
      <vt:lpstr>v_35_XB</vt:lpstr>
      <vt:lpstr>v_35_XB_e</vt:lpstr>
      <vt:lpstr>v_35_XBSH</vt:lpstr>
      <vt:lpstr>v_35_XCaCO3</vt:lpstr>
      <vt:lpstr>v_35_XCASTO</vt:lpstr>
      <vt:lpstr>v_35_XE</vt:lpstr>
      <vt:lpstr>v_35_XE_ana</vt:lpstr>
      <vt:lpstr>v_35_XHAO_H</vt:lpstr>
      <vt:lpstr>v_35_XHAO_H_P</vt:lpstr>
      <vt:lpstr>v_35_XHAO_H_P_old</vt:lpstr>
      <vt:lpstr>v_35_XHAO_L</vt:lpstr>
      <vt:lpstr>v_35_XHAO_L_P</vt:lpstr>
      <vt:lpstr>v_35_XHAO_L_P_old</vt:lpstr>
      <vt:lpstr>v_35_XHAO_old</vt:lpstr>
      <vt:lpstr>v_35_XHFO_H</vt:lpstr>
      <vt:lpstr>v_35_XHFO_H_P</vt:lpstr>
      <vt:lpstr>v_35_XHFO_H_P_old</vt:lpstr>
      <vt:lpstr>v_35_XHFO_L</vt:lpstr>
      <vt:lpstr>v_35_XHFO_L_P</vt:lpstr>
      <vt:lpstr>v_35_XHFO_L_P_old</vt:lpstr>
      <vt:lpstr>v_35_XHFO_old</vt:lpstr>
      <vt:lpstr>v_35_XHMETO</vt:lpstr>
      <vt:lpstr>v_35_XINORG</vt:lpstr>
      <vt:lpstr>v_35_XMEOLO</vt:lpstr>
      <vt:lpstr>v_35_XN_B</vt:lpstr>
      <vt:lpstr>v_35_XN_Be</vt:lpstr>
      <vt:lpstr>v_35_XN_U</vt:lpstr>
      <vt:lpstr>v_35_XNOB</vt:lpstr>
      <vt:lpstr>v_35_XOHO</vt:lpstr>
      <vt:lpstr>v_35_XP_B</vt:lpstr>
      <vt:lpstr>v_35_XP_Be</vt:lpstr>
      <vt:lpstr>v_35_XP_U</vt:lpstr>
      <vt:lpstr>v_35_XPFOA</vt:lpstr>
      <vt:lpstr>v_35_XPFOS</vt:lpstr>
      <vt:lpstr>v_35_XPHA_GAO</vt:lpstr>
      <vt:lpstr>v_35_XPHA_PAO</vt:lpstr>
      <vt:lpstr>v_35_XPP</vt:lpstr>
      <vt:lpstr>v_35_XSTR</vt:lpstr>
      <vt:lpstr>v_35_XU</vt:lpstr>
      <vt:lpstr>v_35_XVivi</vt:lpstr>
      <vt:lpstr>v_36_CB</vt:lpstr>
      <vt:lpstr>v_36_CU</vt:lpstr>
      <vt:lpstr>v_36_GCH4</vt:lpstr>
      <vt:lpstr>v_36_GCH4_atm</vt:lpstr>
      <vt:lpstr>v_36_GCO2</vt:lpstr>
      <vt:lpstr>v_36_GCO2_atm</vt:lpstr>
      <vt:lpstr>v_36_GH2</vt:lpstr>
      <vt:lpstr>v_36_GH2_atm</vt:lpstr>
      <vt:lpstr>v_36_GN2</vt:lpstr>
      <vt:lpstr>v_36_GN2_atm</vt:lpstr>
      <vt:lpstr>v_36_GNH3</vt:lpstr>
      <vt:lpstr>v_36_GNH3_atm</vt:lpstr>
      <vt:lpstr>v_36_GO2</vt:lpstr>
      <vt:lpstr>v_36_GO2_atm</vt:lpstr>
      <vt:lpstr>v_36_SALPHA</vt:lpstr>
      <vt:lpstr>v_36_SAN</vt:lpstr>
      <vt:lpstr>v_36_SB</vt:lpstr>
      <vt:lpstr>v_36_SCa</vt:lpstr>
      <vt:lpstr>v_36_SCAT</vt:lpstr>
      <vt:lpstr>v_36_SCH4</vt:lpstr>
      <vt:lpstr>v_36_SCO2</vt:lpstr>
      <vt:lpstr>v_36_SFe2</vt:lpstr>
      <vt:lpstr>v_36_SH</vt:lpstr>
      <vt:lpstr>v_36_SH2</vt:lpstr>
      <vt:lpstr>v_36_SK</vt:lpstr>
      <vt:lpstr>v_36_SMEOL</vt:lpstr>
      <vt:lpstr>v_36_SMg</vt:lpstr>
      <vt:lpstr>v_36_SN_B</vt:lpstr>
      <vt:lpstr>v_36_SN2</vt:lpstr>
      <vt:lpstr>v_36_SNHx</vt:lpstr>
      <vt:lpstr>v_36_SNO2</vt:lpstr>
      <vt:lpstr>v_36_SNO3</vt:lpstr>
      <vt:lpstr>v_36_SO2</vt:lpstr>
      <vt:lpstr>v_36_SORPswitch</vt:lpstr>
      <vt:lpstr>v_36_SP_B</vt:lpstr>
      <vt:lpstr>v_36_SPFOA</vt:lpstr>
      <vt:lpstr>v_36_SPFOS</vt:lpstr>
      <vt:lpstr>v_36_SPO4</vt:lpstr>
      <vt:lpstr>v_36_SU</vt:lpstr>
      <vt:lpstr>v_36_SVFA</vt:lpstr>
      <vt:lpstr>v_36_XACP</vt:lpstr>
      <vt:lpstr>v_36_XALGAE</vt:lpstr>
      <vt:lpstr>v_36_XAMETO</vt:lpstr>
      <vt:lpstr>v_36_XAMX</vt:lpstr>
      <vt:lpstr>v_36_XAOB</vt:lpstr>
      <vt:lpstr>v_36_XB</vt:lpstr>
      <vt:lpstr>v_36_XB_e</vt:lpstr>
      <vt:lpstr>v_36_XBSH</vt:lpstr>
      <vt:lpstr>v_36_XCaCO3</vt:lpstr>
      <vt:lpstr>v_36_XCASTO</vt:lpstr>
      <vt:lpstr>v_36_XE</vt:lpstr>
      <vt:lpstr>v_36_XE_ana</vt:lpstr>
      <vt:lpstr>v_36_XHAO_H</vt:lpstr>
      <vt:lpstr>v_36_XHAO_H_P</vt:lpstr>
      <vt:lpstr>v_36_XHAO_H_P_old</vt:lpstr>
      <vt:lpstr>v_36_XHAO_L</vt:lpstr>
      <vt:lpstr>v_36_XHAO_L_P</vt:lpstr>
      <vt:lpstr>v_36_XHAO_L_P_old</vt:lpstr>
      <vt:lpstr>v_36_XHAO_old</vt:lpstr>
      <vt:lpstr>v_36_XHFO_H</vt:lpstr>
      <vt:lpstr>v_36_XHFO_H_P</vt:lpstr>
      <vt:lpstr>v_36_XHFO_H_P_old</vt:lpstr>
      <vt:lpstr>v_36_XHFO_L</vt:lpstr>
      <vt:lpstr>v_36_XHFO_L_P</vt:lpstr>
      <vt:lpstr>v_36_XHFO_L_P_old</vt:lpstr>
      <vt:lpstr>v_36_XHFO_old</vt:lpstr>
      <vt:lpstr>v_36_XHMETO</vt:lpstr>
      <vt:lpstr>v_36_XINORG</vt:lpstr>
      <vt:lpstr>v_36_XMEOLO</vt:lpstr>
      <vt:lpstr>v_36_XN_B</vt:lpstr>
      <vt:lpstr>v_36_XN_Be</vt:lpstr>
      <vt:lpstr>v_36_XN_U</vt:lpstr>
      <vt:lpstr>v_36_XNOB</vt:lpstr>
      <vt:lpstr>v_36_XOHO</vt:lpstr>
      <vt:lpstr>v_36_XP_B</vt:lpstr>
      <vt:lpstr>v_36_XP_Be</vt:lpstr>
      <vt:lpstr>v_36_XP_U</vt:lpstr>
      <vt:lpstr>v_36_XPFOA</vt:lpstr>
      <vt:lpstr>v_36_XPFOS</vt:lpstr>
      <vt:lpstr>v_36_XPHA_GAO</vt:lpstr>
      <vt:lpstr>v_36_XPHA_PAO</vt:lpstr>
      <vt:lpstr>v_36_XPP</vt:lpstr>
      <vt:lpstr>v_36_XSTR</vt:lpstr>
      <vt:lpstr>v_36_XU</vt:lpstr>
      <vt:lpstr>v_36_XVivi</vt:lpstr>
      <vt:lpstr>v_37_CB</vt:lpstr>
      <vt:lpstr>v_37_CU</vt:lpstr>
      <vt:lpstr>v_37_GCH4</vt:lpstr>
      <vt:lpstr>v_37_GCH4_atm</vt:lpstr>
      <vt:lpstr>v_37_GCO2</vt:lpstr>
      <vt:lpstr>v_37_GCO2_atm</vt:lpstr>
      <vt:lpstr>v_37_GH2</vt:lpstr>
      <vt:lpstr>v_37_GH2_atm</vt:lpstr>
      <vt:lpstr>v_37_GN2</vt:lpstr>
      <vt:lpstr>v_37_GN2_atm</vt:lpstr>
      <vt:lpstr>v_37_GNH3</vt:lpstr>
      <vt:lpstr>v_37_GNH3_atm</vt:lpstr>
      <vt:lpstr>v_37_GO2</vt:lpstr>
      <vt:lpstr>v_37_GO2_atm</vt:lpstr>
      <vt:lpstr>v_37_SALPHA</vt:lpstr>
      <vt:lpstr>v_37_SAN</vt:lpstr>
      <vt:lpstr>v_37_SB</vt:lpstr>
      <vt:lpstr>v_37_SCa</vt:lpstr>
      <vt:lpstr>v_37_SCAT</vt:lpstr>
      <vt:lpstr>v_37_SCH4</vt:lpstr>
      <vt:lpstr>v_37_SCO2</vt:lpstr>
      <vt:lpstr>v_37_SFe2</vt:lpstr>
      <vt:lpstr>v_37_SH</vt:lpstr>
      <vt:lpstr>v_37_SH2</vt:lpstr>
      <vt:lpstr>v_37_SK</vt:lpstr>
      <vt:lpstr>v_37_SMEOL</vt:lpstr>
      <vt:lpstr>v_37_SMg</vt:lpstr>
      <vt:lpstr>v_37_SN_B</vt:lpstr>
      <vt:lpstr>v_37_SN2</vt:lpstr>
      <vt:lpstr>v_37_SNHx</vt:lpstr>
      <vt:lpstr>v_37_SNO2</vt:lpstr>
      <vt:lpstr>v_37_SNO3</vt:lpstr>
      <vt:lpstr>v_37_SO2</vt:lpstr>
      <vt:lpstr>v_37_SORPswitch</vt:lpstr>
      <vt:lpstr>v_37_SP_B</vt:lpstr>
      <vt:lpstr>v_37_SPFOA</vt:lpstr>
      <vt:lpstr>v_37_SPFOS</vt:lpstr>
      <vt:lpstr>v_37_SPO4</vt:lpstr>
      <vt:lpstr>v_37_SU</vt:lpstr>
      <vt:lpstr>v_37_SVFA</vt:lpstr>
      <vt:lpstr>v_37_XACP</vt:lpstr>
      <vt:lpstr>v_37_XALGAE</vt:lpstr>
      <vt:lpstr>v_37_XAMETO</vt:lpstr>
      <vt:lpstr>v_37_XAMX</vt:lpstr>
      <vt:lpstr>v_37_XAOB</vt:lpstr>
      <vt:lpstr>v_37_XB</vt:lpstr>
      <vt:lpstr>v_37_XB_e</vt:lpstr>
      <vt:lpstr>v_37_XBSH</vt:lpstr>
      <vt:lpstr>v_37_XCaCO3</vt:lpstr>
      <vt:lpstr>v_37_XCASTO</vt:lpstr>
      <vt:lpstr>v_37_XE</vt:lpstr>
      <vt:lpstr>v_37_XE_ana</vt:lpstr>
      <vt:lpstr>v_37_XHAO_H</vt:lpstr>
      <vt:lpstr>v_37_XHAO_H_P</vt:lpstr>
      <vt:lpstr>v_37_XHAO_H_P_old</vt:lpstr>
      <vt:lpstr>v_37_XHAO_L</vt:lpstr>
      <vt:lpstr>v_37_XHAO_L_P</vt:lpstr>
      <vt:lpstr>v_37_XHAO_L_P_old</vt:lpstr>
      <vt:lpstr>v_37_XHAO_old</vt:lpstr>
      <vt:lpstr>v_37_XHFO_H</vt:lpstr>
      <vt:lpstr>v_37_XHFO_H_P</vt:lpstr>
      <vt:lpstr>v_37_XHFO_H_P_old</vt:lpstr>
      <vt:lpstr>v_37_XHFO_L</vt:lpstr>
      <vt:lpstr>v_37_XHFO_L_P</vt:lpstr>
      <vt:lpstr>v_37_XHFO_L_P_old</vt:lpstr>
      <vt:lpstr>v_37_XHFO_old</vt:lpstr>
      <vt:lpstr>v_37_XHMETO</vt:lpstr>
      <vt:lpstr>v_37_XINORG</vt:lpstr>
      <vt:lpstr>v_37_XMEOLO</vt:lpstr>
      <vt:lpstr>v_37_XN_B</vt:lpstr>
      <vt:lpstr>v_37_XN_Be</vt:lpstr>
      <vt:lpstr>v_37_XN_U</vt:lpstr>
      <vt:lpstr>v_37_XNOB</vt:lpstr>
      <vt:lpstr>v_37_XOHO</vt:lpstr>
      <vt:lpstr>v_37_XP_B</vt:lpstr>
      <vt:lpstr>v_37_XP_Be</vt:lpstr>
      <vt:lpstr>v_37_XP_U</vt:lpstr>
      <vt:lpstr>v_37_XPFOA</vt:lpstr>
      <vt:lpstr>v_37_XPFOS</vt:lpstr>
      <vt:lpstr>v_37_XPHA_GAO</vt:lpstr>
      <vt:lpstr>v_37_XPHA_PAO</vt:lpstr>
      <vt:lpstr>v_37_XPP</vt:lpstr>
      <vt:lpstr>v_37_XSTR</vt:lpstr>
      <vt:lpstr>v_37_XU</vt:lpstr>
      <vt:lpstr>v_37_XVivi</vt:lpstr>
      <vt:lpstr>v_38_CB</vt:lpstr>
      <vt:lpstr>v_38_CU</vt:lpstr>
      <vt:lpstr>v_38_GCH4</vt:lpstr>
      <vt:lpstr>v_38_GCH4_atm</vt:lpstr>
      <vt:lpstr>v_38_GCO2</vt:lpstr>
      <vt:lpstr>v_38_GCO2_atm</vt:lpstr>
      <vt:lpstr>v_38_GH2</vt:lpstr>
      <vt:lpstr>v_38_GH2_atm</vt:lpstr>
      <vt:lpstr>v_38_GN2</vt:lpstr>
      <vt:lpstr>v_38_GN2_atm</vt:lpstr>
      <vt:lpstr>v_38_GNH3</vt:lpstr>
      <vt:lpstr>v_38_GNH3_atm</vt:lpstr>
      <vt:lpstr>v_38_GO2</vt:lpstr>
      <vt:lpstr>v_38_GO2_atm</vt:lpstr>
      <vt:lpstr>v_38_SALPHA</vt:lpstr>
      <vt:lpstr>v_38_SAN</vt:lpstr>
      <vt:lpstr>v_38_SB</vt:lpstr>
      <vt:lpstr>v_38_SCa</vt:lpstr>
      <vt:lpstr>v_38_SCAT</vt:lpstr>
      <vt:lpstr>v_38_SCH4</vt:lpstr>
      <vt:lpstr>v_38_SCO2</vt:lpstr>
      <vt:lpstr>v_38_SFe2</vt:lpstr>
      <vt:lpstr>v_38_SH</vt:lpstr>
      <vt:lpstr>v_38_SH2</vt:lpstr>
      <vt:lpstr>v_38_SK</vt:lpstr>
      <vt:lpstr>v_38_SMEOL</vt:lpstr>
      <vt:lpstr>v_38_SMg</vt:lpstr>
      <vt:lpstr>v_38_SN_B</vt:lpstr>
      <vt:lpstr>v_38_SN2</vt:lpstr>
      <vt:lpstr>v_38_SNHx</vt:lpstr>
      <vt:lpstr>v_38_SNO2</vt:lpstr>
      <vt:lpstr>v_38_SNO3</vt:lpstr>
      <vt:lpstr>v_38_SO2</vt:lpstr>
      <vt:lpstr>v_38_SORPswitch</vt:lpstr>
      <vt:lpstr>v_38_SP_B</vt:lpstr>
      <vt:lpstr>v_38_SPFOA</vt:lpstr>
      <vt:lpstr>v_38_SPFOS</vt:lpstr>
      <vt:lpstr>v_38_SPO4</vt:lpstr>
      <vt:lpstr>v_38_SU</vt:lpstr>
      <vt:lpstr>v_38_SVFA</vt:lpstr>
      <vt:lpstr>v_38_XACP</vt:lpstr>
      <vt:lpstr>v_38_XALGAE</vt:lpstr>
      <vt:lpstr>v_38_XAMETO</vt:lpstr>
      <vt:lpstr>v_38_XAMX</vt:lpstr>
      <vt:lpstr>v_38_XAOB</vt:lpstr>
      <vt:lpstr>v_38_XB</vt:lpstr>
      <vt:lpstr>v_38_XB_e</vt:lpstr>
      <vt:lpstr>v_38_XBSH</vt:lpstr>
      <vt:lpstr>v_38_XCaCO3</vt:lpstr>
      <vt:lpstr>v_38_XCASTO</vt:lpstr>
      <vt:lpstr>v_38_XE</vt:lpstr>
      <vt:lpstr>v_38_XE_ana</vt:lpstr>
      <vt:lpstr>v_38_XHAO_H</vt:lpstr>
      <vt:lpstr>v_38_XHAO_H_P</vt:lpstr>
      <vt:lpstr>v_38_XHAO_H_P_old</vt:lpstr>
      <vt:lpstr>v_38_XHAO_L</vt:lpstr>
      <vt:lpstr>v_38_XHAO_L_P</vt:lpstr>
      <vt:lpstr>v_38_XHAO_L_P_old</vt:lpstr>
      <vt:lpstr>v_38_XHAO_old</vt:lpstr>
      <vt:lpstr>v_38_XHFO_H</vt:lpstr>
      <vt:lpstr>v_38_XHFO_H_P</vt:lpstr>
      <vt:lpstr>v_38_XHFO_H_P_old</vt:lpstr>
      <vt:lpstr>v_38_XHFO_L</vt:lpstr>
      <vt:lpstr>v_38_XHFO_L_P</vt:lpstr>
      <vt:lpstr>v_38_XHFO_L_P_old</vt:lpstr>
      <vt:lpstr>v_38_XHFO_old</vt:lpstr>
      <vt:lpstr>v_38_XHMETO</vt:lpstr>
      <vt:lpstr>v_38_XINORG</vt:lpstr>
      <vt:lpstr>v_38_XMEOLO</vt:lpstr>
      <vt:lpstr>v_38_XN_B</vt:lpstr>
      <vt:lpstr>v_38_XN_Be</vt:lpstr>
      <vt:lpstr>v_38_XN_U</vt:lpstr>
      <vt:lpstr>v_38_XNOB</vt:lpstr>
      <vt:lpstr>v_38_XOHO</vt:lpstr>
      <vt:lpstr>v_38_XP_B</vt:lpstr>
      <vt:lpstr>v_38_XP_Be</vt:lpstr>
      <vt:lpstr>v_38_XP_U</vt:lpstr>
      <vt:lpstr>v_38_XPFOA</vt:lpstr>
      <vt:lpstr>v_38_XPFOS</vt:lpstr>
      <vt:lpstr>v_38_XPHA_GAO</vt:lpstr>
      <vt:lpstr>v_38_XPHA_PAO</vt:lpstr>
      <vt:lpstr>v_38_XPP</vt:lpstr>
      <vt:lpstr>v_38_XSTR</vt:lpstr>
      <vt:lpstr>v_38_XU</vt:lpstr>
      <vt:lpstr>v_38_XVivi</vt:lpstr>
      <vt:lpstr>v_39_CB</vt:lpstr>
      <vt:lpstr>v_39_CU</vt:lpstr>
      <vt:lpstr>v_39_GCH4</vt:lpstr>
      <vt:lpstr>v_39_GCH4_atm</vt:lpstr>
      <vt:lpstr>v_39_GCO2</vt:lpstr>
      <vt:lpstr>v_39_GCO2_atm</vt:lpstr>
      <vt:lpstr>v_39_GH2</vt:lpstr>
      <vt:lpstr>v_39_GH2_atm</vt:lpstr>
      <vt:lpstr>v_39_GN2</vt:lpstr>
      <vt:lpstr>v_39_GN2_atm</vt:lpstr>
      <vt:lpstr>v_39_GNH3</vt:lpstr>
      <vt:lpstr>v_39_GNH3_atm</vt:lpstr>
      <vt:lpstr>v_39_GO2</vt:lpstr>
      <vt:lpstr>v_39_GO2_atm</vt:lpstr>
      <vt:lpstr>v_39_SALPHA</vt:lpstr>
      <vt:lpstr>v_39_SAN</vt:lpstr>
      <vt:lpstr>v_39_SB</vt:lpstr>
      <vt:lpstr>v_39_SCa</vt:lpstr>
      <vt:lpstr>v_39_SCAT</vt:lpstr>
      <vt:lpstr>v_39_SCH4</vt:lpstr>
      <vt:lpstr>v_39_SCO2</vt:lpstr>
      <vt:lpstr>v_39_SFe2</vt:lpstr>
      <vt:lpstr>v_39_SH</vt:lpstr>
      <vt:lpstr>v_39_SH2</vt:lpstr>
      <vt:lpstr>v_39_SK</vt:lpstr>
      <vt:lpstr>v_39_SMEOL</vt:lpstr>
      <vt:lpstr>v_39_SMg</vt:lpstr>
      <vt:lpstr>v_39_SN_B</vt:lpstr>
      <vt:lpstr>v_39_SN2</vt:lpstr>
      <vt:lpstr>v_39_SNHx</vt:lpstr>
      <vt:lpstr>v_39_SNO2</vt:lpstr>
      <vt:lpstr>v_39_SNO3</vt:lpstr>
      <vt:lpstr>v_39_SO2</vt:lpstr>
      <vt:lpstr>v_39_SORPswitch</vt:lpstr>
      <vt:lpstr>v_39_SP_B</vt:lpstr>
      <vt:lpstr>v_39_SPFOA</vt:lpstr>
      <vt:lpstr>v_39_SPFOS</vt:lpstr>
      <vt:lpstr>v_39_SPO4</vt:lpstr>
      <vt:lpstr>v_39_SU</vt:lpstr>
      <vt:lpstr>v_39_SVFA</vt:lpstr>
      <vt:lpstr>v_39_XACP</vt:lpstr>
      <vt:lpstr>v_39_XALGAE</vt:lpstr>
      <vt:lpstr>v_39_XAMETO</vt:lpstr>
      <vt:lpstr>v_39_XAMX</vt:lpstr>
      <vt:lpstr>v_39_XAOB</vt:lpstr>
      <vt:lpstr>v_39_XB</vt:lpstr>
      <vt:lpstr>v_39_XB_e</vt:lpstr>
      <vt:lpstr>v_39_XBSH</vt:lpstr>
      <vt:lpstr>v_39_XCaCO3</vt:lpstr>
      <vt:lpstr>v_39_XCASTO</vt:lpstr>
      <vt:lpstr>v_39_XE</vt:lpstr>
      <vt:lpstr>v_39_XE_ana</vt:lpstr>
      <vt:lpstr>v_39_XHAO_H</vt:lpstr>
      <vt:lpstr>v_39_XHAO_H_P</vt:lpstr>
      <vt:lpstr>v_39_XHAO_H_P_old</vt:lpstr>
      <vt:lpstr>v_39_XHAO_L</vt:lpstr>
      <vt:lpstr>v_39_XHAO_L_P</vt:lpstr>
      <vt:lpstr>v_39_XHAO_L_P_old</vt:lpstr>
      <vt:lpstr>v_39_XHAO_old</vt:lpstr>
      <vt:lpstr>v_39_XHFO_H</vt:lpstr>
      <vt:lpstr>v_39_XHFO_H_P</vt:lpstr>
      <vt:lpstr>v_39_XHFO_H_P_old</vt:lpstr>
      <vt:lpstr>v_39_XHFO_L</vt:lpstr>
      <vt:lpstr>v_39_XHFO_L_P</vt:lpstr>
      <vt:lpstr>v_39_XHFO_L_P_old</vt:lpstr>
      <vt:lpstr>v_39_XHFO_old</vt:lpstr>
      <vt:lpstr>v_39_XHMETO</vt:lpstr>
      <vt:lpstr>v_39_XINORG</vt:lpstr>
      <vt:lpstr>v_39_XMEOLO</vt:lpstr>
      <vt:lpstr>v_39_XN_B</vt:lpstr>
      <vt:lpstr>v_39_XN_Be</vt:lpstr>
      <vt:lpstr>v_39_XN_U</vt:lpstr>
      <vt:lpstr>v_39_XNOB</vt:lpstr>
      <vt:lpstr>v_39_XOHO</vt:lpstr>
      <vt:lpstr>v_39_XP_B</vt:lpstr>
      <vt:lpstr>v_39_XP_Be</vt:lpstr>
      <vt:lpstr>v_39_XP_U</vt:lpstr>
      <vt:lpstr>v_39_XPFOA</vt:lpstr>
      <vt:lpstr>v_39_XPFOS</vt:lpstr>
      <vt:lpstr>v_39_XPHA_GAO</vt:lpstr>
      <vt:lpstr>v_39_XPHA_PAO</vt:lpstr>
      <vt:lpstr>v_39_XPP</vt:lpstr>
      <vt:lpstr>v_39_XSTR</vt:lpstr>
      <vt:lpstr>v_39_XU</vt:lpstr>
      <vt:lpstr>v_39_XVivi</vt:lpstr>
      <vt:lpstr>v_4_CB</vt:lpstr>
      <vt:lpstr>v_4_CU</vt:lpstr>
      <vt:lpstr>v_4_GCH4</vt:lpstr>
      <vt:lpstr>v_4_GCH4_atm</vt:lpstr>
      <vt:lpstr>v_4_GCO2</vt:lpstr>
      <vt:lpstr>v_4_GCO2_atm</vt:lpstr>
      <vt:lpstr>v_4_GH2</vt:lpstr>
      <vt:lpstr>v_4_GH2_atm</vt:lpstr>
      <vt:lpstr>v_4_GN2</vt:lpstr>
      <vt:lpstr>v_4_GN2_atm</vt:lpstr>
      <vt:lpstr>v_4_GNH3</vt:lpstr>
      <vt:lpstr>v_4_GNH3_atm</vt:lpstr>
      <vt:lpstr>v_4_GO2</vt:lpstr>
      <vt:lpstr>v_4_GO2_atm</vt:lpstr>
      <vt:lpstr>v_4_SALPHA</vt:lpstr>
      <vt:lpstr>v_4_SAN</vt:lpstr>
      <vt:lpstr>v_4_SB</vt:lpstr>
      <vt:lpstr>v_4_SCa</vt:lpstr>
      <vt:lpstr>v_4_SCAT</vt:lpstr>
      <vt:lpstr>v_4_SCH4</vt:lpstr>
      <vt:lpstr>v_4_SCO2</vt:lpstr>
      <vt:lpstr>v_4_SFe2</vt:lpstr>
      <vt:lpstr>v_4_SH</vt:lpstr>
      <vt:lpstr>v_4_SH2</vt:lpstr>
      <vt:lpstr>v_4_SK</vt:lpstr>
      <vt:lpstr>v_4_SMEOL</vt:lpstr>
      <vt:lpstr>v_4_SMg</vt:lpstr>
      <vt:lpstr>v_4_SN_B</vt:lpstr>
      <vt:lpstr>v_4_SN2</vt:lpstr>
      <vt:lpstr>v_4_SNHx</vt:lpstr>
      <vt:lpstr>v_4_SNO2</vt:lpstr>
      <vt:lpstr>v_4_SNO3</vt:lpstr>
      <vt:lpstr>v_4_SO2</vt:lpstr>
      <vt:lpstr>v_4_SORPswitch</vt:lpstr>
      <vt:lpstr>v_4_SP_B</vt:lpstr>
      <vt:lpstr>v_4_SPFOA</vt:lpstr>
      <vt:lpstr>v_4_SPFOS</vt:lpstr>
      <vt:lpstr>v_4_SPO4</vt:lpstr>
      <vt:lpstr>v_4_SU</vt:lpstr>
      <vt:lpstr>v_4_SVFA</vt:lpstr>
      <vt:lpstr>v_4_XACP</vt:lpstr>
      <vt:lpstr>v_4_XALGAE</vt:lpstr>
      <vt:lpstr>v_4_XAMETO</vt:lpstr>
      <vt:lpstr>v_4_XAMX</vt:lpstr>
      <vt:lpstr>v_4_XAOB</vt:lpstr>
      <vt:lpstr>v_4_XB</vt:lpstr>
      <vt:lpstr>v_4_XB_e</vt:lpstr>
      <vt:lpstr>v_4_XBSH</vt:lpstr>
      <vt:lpstr>v_4_XCaCO3</vt:lpstr>
      <vt:lpstr>v_4_XCASTO</vt:lpstr>
      <vt:lpstr>v_4_XE</vt:lpstr>
      <vt:lpstr>v_4_XE_ana</vt:lpstr>
      <vt:lpstr>v_4_XHAO_H</vt:lpstr>
      <vt:lpstr>v_4_XHAO_H_P</vt:lpstr>
      <vt:lpstr>v_4_XHAO_H_P_old</vt:lpstr>
      <vt:lpstr>v_4_XHAO_L</vt:lpstr>
      <vt:lpstr>v_4_XHAO_L_P</vt:lpstr>
      <vt:lpstr>v_4_XHAO_L_P_old</vt:lpstr>
      <vt:lpstr>v_4_XHAO_old</vt:lpstr>
      <vt:lpstr>v_4_XHFO_H</vt:lpstr>
      <vt:lpstr>v_4_XHFO_H_P</vt:lpstr>
      <vt:lpstr>v_4_XHFO_H_P_old</vt:lpstr>
      <vt:lpstr>v_4_XHFO_L</vt:lpstr>
      <vt:lpstr>v_4_XHFO_L_P</vt:lpstr>
      <vt:lpstr>v_4_XHFO_L_P_old</vt:lpstr>
      <vt:lpstr>v_4_XHFO_old</vt:lpstr>
      <vt:lpstr>v_4_XHMETO</vt:lpstr>
      <vt:lpstr>v_4_XINORG</vt:lpstr>
      <vt:lpstr>v_4_XMEOLO</vt:lpstr>
      <vt:lpstr>v_4_XN_B</vt:lpstr>
      <vt:lpstr>v_4_XN_Be</vt:lpstr>
      <vt:lpstr>v_4_XN_U</vt:lpstr>
      <vt:lpstr>v_4_XNOB</vt:lpstr>
      <vt:lpstr>v_4_XOHO</vt:lpstr>
      <vt:lpstr>v_4_XP_B</vt:lpstr>
      <vt:lpstr>v_4_XP_Be</vt:lpstr>
      <vt:lpstr>v_4_XP_U</vt:lpstr>
      <vt:lpstr>v_4_XPFOA</vt:lpstr>
      <vt:lpstr>v_4_XPFOS</vt:lpstr>
      <vt:lpstr>v_4_XPHA_GAO</vt:lpstr>
      <vt:lpstr>v_4_XPHA_PAO</vt:lpstr>
      <vt:lpstr>v_4_XPP</vt:lpstr>
      <vt:lpstr>v_4_XSTR</vt:lpstr>
      <vt:lpstr>v_4_XU</vt:lpstr>
      <vt:lpstr>v_4_XVivi</vt:lpstr>
      <vt:lpstr>v_40_CB</vt:lpstr>
      <vt:lpstr>v_40_CU</vt:lpstr>
      <vt:lpstr>v_40_GCH4</vt:lpstr>
      <vt:lpstr>v_40_GCH4_atm</vt:lpstr>
      <vt:lpstr>v_40_GCO2</vt:lpstr>
      <vt:lpstr>v_40_GCO2_atm</vt:lpstr>
      <vt:lpstr>v_40_GH2</vt:lpstr>
      <vt:lpstr>v_40_GH2_atm</vt:lpstr>
      <vt:lpstr>v_40_GN2</vt:lpstr>
      <vt:lpstr>v_40_GN2_atm</vt:lpstr>
      <vt:lpstr>v_40_GNH3</vt:lpstr>
      <vt:lpstr>v_40_GNH3_atm</vt:lpstr>
      <vt:lpstr>v_40_GO2</vt:lpstr>
      <vt:lpstr>v_40_GO2_atm</vt:lpstr>
      <vt:lpstr>v_40_SALPHA</vt:lpstr>
      <vt:lpstr>v_40_SAN</vt:lpstr>
      <vt:lpstr>v_40_SB</vt:lpstr>
      <vt:lpstr>v_40_SCa</vt:lpstr>
      <vt:lpstr>v_40_SCAT</vt:lpstr>
      <vt:lpstr>v_40_SCH4</vt:lpstr>
      <vt:lpstr>v_40_SCO2</vt:lpstr>
      <vt:lpstr>v_40_SFe2</vt:lpstr>
      <vt:lpstr>v_40_SH</vt:lpstr>
      <vt:lpstr>v_40_SH2</vt:lpstr>
      <vt:lpstr>v_40_SK</vt:lpstr>
      <vt:lpstr>v_40_SMEOL</vt:lpstr>
      <vt:lpstr>v_40_SMg</vt:lpstr>
      <vt:lpstr>v_40_SN_B</vt:lpstr>
      <vt:lpstr>v_40_SN2</vt:lpstr>
      <vt:lpstr>v_40_SNHx</vt:lpstr>
      <vt:lpstr>v_40_SNO2</vt:lpstr>
      <vt:lpstr>v_40_SNO3</vt:lpstr>
      <vt:lpstr>v_40_SO2</vt:lpstr>
      <vt:lpstr>v_40_SORPswitch</vt:lpstr>
      <vt:lpstr>v_40_SP_B</vt:lpstr>
      <vt:lpstr>v_40_SPFOA</vt:lpstr>
      <vt:lpstr>v_40_SPFOS</vt:lpstr>
      <vt:lpstr>v_40_SPO4</vt:lpstr>
      <vt:lpstr>v_40_SU</vt:lpstr>
      <vt:lpstr>v_40_SVFA</vt:lpstr>
      <vt:lpstr>v_40_XACP</vt:lpstr>
      <vt:lpstr>v_40_XALGAE</vt:lpstr>
      <vt:lpstr>v_40_XAMETO</vt:lpstr>
      <vt:lpstr>v_40_XAMX</vt:lpstr>
      <vt:lpstr>v_40_XAOB</vt:lpstr>
      <vt:lpstr>v_40_XB</vt:lpstr>
      <vt:lpstr>v_40_XB_e</vt:lpstr>
      <vt:lpstr>v_40_XBSH</vt:lpstr>
      <vt:lpstr>v_40_XCaCO3</vt:lpstr>
      <vt:lpstr>v_40_XCASTO</vt:lpstr>
      <vt:lpstr>v_40_XE</vt:lpstr>
      <vt:lpstr>v_40_XE_ana</vt:lpstr>
      <vt:lpstr>v_40_XHAO_H</vt:lpstr>
      <vt:lpstr>v_40_XHAO_H_P</vt:lpstr>
      <vt:lpstr>v_40_XHAO_H_P_old</vt:lpstr>
      <vt:lpstr>v_40_XHAO_L</vt:lpstr>
      <vt:lpstr>v_40_XHAO_L_P</vt:lpstr>
      <vt:lpstr>v_40_XHAO_L_P_old</vt:lpstr>
      <vt:lpstr>v_40_XHAO_old</vt:lpstr>
      <vt:lpstr>v_40_XHFO_H</vt:lpstr>
      <vt:lpstr>v_40_XHFO_H_P</vt:lpstr>
      <vt:lpstr>v_40_XHFO_H_P_old</vt:lpstr>
      <vt:lpstr>v_40_XHFO_L</vt:lpstr>
      <vt:lpstr>v_40_XHFO_L_P</vt:lpstr>
      <vt:lpstr>v_40_XHFO_L_P_old</vt:lpstr>
      <vt:lpstr>v_40_XHFO_old</vt:lpstr>
      <vt:lpstr>v_40_XHMETO</vt:lpstr>
      <vt:lpstr>v_40_XINORG</vt:lpstr>
      <vt:lpstr>v_40_XMEOLO</vt:lpstr>
      <vt:lpstr>v_40_XN_B</vt:lpstr>
      <vt:lpstr>v_40_XN_Be</vt:lpstr>
      <vt:lpstr>v_40_XN_U</vt:lpstr>
      <vt:lpstr>v_40_XNOB</vt:lpstr>
      <vt:lpstr>v_40_XOHO</vt:lpstr>
      <vt:lpstr>v_40_XP_B</vt:lpstr>
      <vt:lpstr>v_40_XP_Be</vt:lpstr>
      <vt:lpstr>v_40_XP_U</vt:lpstr>
      <vt:lpstr>v_40_XPFOA</vt:lpstr>
      <vt:lpstr>v_40_XPFOS</vt:lpstr>
      <vt:lpstr>v_40_XPHA_GAO</vt:lpstr>
      <vt:lpstr>v_40_XPHA_PAO</vt:lpstr>
      <vt:lpstr>v_40_XPP</vt:lpstr>
      <vt:lpstr>v_40_XSTR</vt:lpstr>
      <vt:lpstr>v_40_XU</vt:lpstr>
      <vt:lpstr>v_40_XVivi</vt:lpstr>
      <vt:lpstr>v_41_CB</vt:lpstr>
      <vt:lpstr>v_41_CU</vt:lpstr>
      <vt:lpstr>v_41_GCH4</vt:lpstr>
      <vt:lpstr>v_41_GCH4_atm</vt:lpstr>
      <vt:lpstr>v_41_GCO2</vt:lpstr>
      <vt:lpstr>v_41_GCO2_atm</vt:lpstr>
      <vt:lpstr>v_41_GH2</vt:lpstr>
      <vt:lpstr>v_41_GH2_atm</vt:lpstr>
      <vt:lpstr>v_41_GN2</vt:lpstr>
      <vt:lpstr>v_41_GN2_atm</vt:lpstr>
      <vt:lpstr>v_41_GNH3</vt:lpstr>
      <vt:lpstr>v_41_GNH3_atm</vt:lpstr>
      <vt:lpstr>v_41_GO2</vt:lpstr>
      <vt:lpstr>v_41_GO2_atm</vt:lpstr>
      <vt:lpstr>v_41_SALPHA</vt:lpstr>
      <vt:lpstr>v_41_SAN</vt:lpstr>
      <vt:lpstr>v_41_SB</vt:lpstr>
      <vt:lpstr>v_41_SCa</vt:lpstr>
      <vt:lpstr>v_41_SCAT</vt:lpstr>
      <vt:lpstr>v_41_SCH4</vt:lpstr>
      <vt:lpstr>v_41_SCO2</vt:lpstr>
      <vt:lpstr>v_41_SFe2</vt:lpstr>
      <vt:lpstr>v_41_SH</vt:lpstr>
      <vt:lpstr>v_41_SH2</vt:lpstr>
      <vt:lpstr>v_41_SK</vt:lpstr>
      <vt:lpstr>v_41_SMEOL</vt:lpstr>
      <vt:lpstr>v_41_SMg</vt:lpstr>
      <vt:lpstr>v_41_SN_B</vt:lpstr>
      <vt:lpstr>v_41_SN2</vt:lpstr>
      <vt:lpstr>v_41_SNHx</vt:lpstr>
      <vt:lpstr>v_41_SNO2</vt:lpstr>
      <vt:lpstr>v_41_SNO3</vt:lpstr>
      <vt:lpstr>v_41_SO2</vt:lpstr>
      <vt:lpstr>v_41_SORPswitch</vt:lpstr>
      <vt:lpstr>v_41_SP_B</vt:lpstr>
      <vt:lpstr>v_41_SPFOA</vt:lpstr>
      <vt:lpstr>v_41_SPFOS</vt:lpstr>
      <vt:lpstr>v_41_SPO4</vt:lpstr>
      <vt:lpstr>v_41_SU</vt:lpstr>
      <vt:lpstr>v_41_SVFA</vt:lpstr>
      <vt:lpstr>v_41_XACP</vt:lpstr>
      <vt:lpstr>v_41_XALGAE</vt:lpstr>
      <vt:lpstr>v_41_XAMETO</vt:lpstr>
      <vt:lpstr>v_41_XAMX</vt:lpstr>
      <vt:lpstr>v_41_XAOB</vt:lpstr>
      <vt:lpstr>v_41_XB</vt:lpstr>
      <vt:lpstr>v_41_XB_e</vt:lpstr>
      <vt:lpstr>v_41_XBSH</vt:lpstr>
      <vt:lpstr>v_41_XCaCO3</vt:lpstr>
      <vt:lpstr>v_41_XCASTO</vt:lpstr>
      <vt:lpstr>v_41_XE</vt:lpstr>
      <vt:lpstr>v_41_XE_ana</vt:lpstr>
      <vt:lpstr>v_41_XHAO_H</vt:lpstr>
      <vt:lpstr>v_41_XHAO_H_P</vt:lpstr>
      <vt:lpstr>v_41_XHAO_H_P_old</vt:lpstr>
      <vt:lpstr>v_41_XHAO_L</vt:lpstr>
      <vt:lpstr>v_41_XHAO_L_P</vt:lpstr>
      <vt:lpstr>v_41_XHAO_L_P_old</vt:lpstr>
      <vt:lpstr>v_41_XHAO_old</vt:lpstr>
      <vt:lpstr>v_41_XHFO_H</vt:lpstr>
      <vt:lpstr>v_41_XHFO_H_P</vt:lpstr>
      <vt:lpstr>v_41_XHFO_H_P_old</vt:lpstr>
      <vt:lpstr>v_41_XHFO_L</vt:lpstr>
      <vt:lpstr>v_41_XHFO_L_P</vt:lpstr>
      <vt:lpstr>v_41_XHFO_L_P_old</vt:lpstr>
      <vt:lpstr>v_41_XHFO_old</vt:lpstr>
      <vt:lpstr>v_41_XHMETO</vt:lpstr>
      <vt:lpstr>v_41_XINORG</vt:lpstr>
      <vt:lpstr>v_41_XMEOLO</vt:lpstr>
      <vt:lpstr>v_41_XN_B</vt:lpstr>
      <vt:lpstr>v_41_XN_Be</vt:lpstr>
      <vt:lpstr>v_41_XN_U</vt:lpstr>
      <vt:lpstr>v_41_XNOB</vt:lpstr>
      <vt:lpstr>v_41_XOHO</vt:lpstr>
      <vt:lpstr>v_41_XP_B</vt:lpstr>
      <vt:lpstr>v_41_XP_Be</vt:lpstr>
      <vt:lpstr>v_41_XP_U</vt:lpstr>
      <vt:lpstr>v_41_XPFOA</vt:lpstr>
      <vt:lpstr>v_41_XPFOS</vt:lpstr>
      <vt:lpstr>v_41_XPHA_GAO</vt:lpstr>
      <vt:lpstr>v_41_XPHA_PAO</vt:lpstr>
      <vt:lpstr>v_41_XPP</vt:lpstr>
      <vt:lpstr>v_41_XSTR</vt:lpstr>
      <vt:lpstr>v_41_XU</vt:lpstr>
      <vt:lpstr>v_41_XVivi</vt:lpstr>
      <vt:lpstr>v_42_CB</vt:lpstr>
      <vt:lpstr>v_42_CU</vt:lpstr>
      <vt:lpstr>v_42_GCH4</vt:lpstr>
      <vt:lpstr>v_42_GCH4_atm</vt:lpstr>
      <vt:lpstr>v_42_GCO2</vt:lpstr>
      <vt:lpstr>v_42_GCO2_atm</vt:lpstr>
      <vt:lpstr>v_42_GH2</vt:lpstr>
      <vt:lpstr>v_42_GH2_atm</vt:lpstr>
      <vt:lpstr>v_42_GN2</vt:lpstr>
      <vt:lpstr>v_42_GN2_atm</vt:lpstr>
      <vt:lpstr>v_42_GNH3</vt:lpstr>
      <vt:lpstr>v_42_GNH3_atm</vt:lpstr>
      <vt:lpstr>v_42_GO2</vt:lpstr>
      <vt:lpstr>v_42_GO2_atm</vt:lpstr>
      <vt:lpstr>v_42_SALPHA</vt:lpstr>
      <vt:lpstr>v_42_SAN</vt:lpstr>
      <vt:lpstr>v_42_SB</vt:lpstr>
      <vt:lpstr>v_42_SCa</vt:lpstr>
      <vt:lpstr>v_42_SCAT</vt:lpstr>
      <vt:lpstr>v_42_SCH4</vt:lpstr>
      <vt:lpstr>v_42_SCO2</vt:lpstr>
      <vt:lpstr>v_42_SFe2</vt:lpstr>
      <vt:lpstr>v_42_SH</vt:lpstr>
      <vt:lpstr>v_42_SH2</vt:lpstr>
      <vt:lpstr>v_42_SK</vt:lpstr>
      <vt:lpstr>v_42_SMEOL</vt:lpstr>
      <vt:lpstr>v_42_SMg</vt:lpstr>
      <vt:lpstr>v_42_SN_B</vt:lpstr>
      <vt:lpstr>v_42_SN2</vt:lpstr>
      <vt:lpstr>v_42_SNHx</vt:lpstr>
      <vt:lpstr>v_42_SNO2</vt:lpstr>
      <vt:lpstr>v_42_SNO3</vt:lpstr>
      <vt:lpstr>v_42_SO2</vt:lpstr>
      <vt:lpstr>v_42_SORPswitch</vt:lpstr>
      <vt:lpstr>v_42_SP_B</vt:lpstr>
      <vt:lpstr>v_42_SPFOA</vt:lpstr>
      <vt:lpstr>v_42_SPFOS</vt:lpstr>
      <vt:lpstr>v_42_SPO4</vt:lpstr>
      <vt:lpstr>v_42_SU</vt:lpstr>
      <vt:lpstr>v_42_SVFA</vt:lpstr>
      <vt:lpstr>v_42_XACP</vt:lpstr>
      <vt:lpstr>v_42_XALGAE</vt:lpstr>
      <vt:lpstr>v_42_XAMETO</vt:lpstr>
      <vt:lpstr>v_42_XAMX</vt:lpstr>
      <vt:lpstr>v_42_XAOB</vt:lpstr>
      <vt:lpstr>v_42_XB</vt:lpstr>
      <vt:lpstr>v_42_XB_e</vt:lpstr>
      <vt:lpstr>v_42_XBSH</vt:lpstr>
      <vt:lpstr>v_42_XCaCO3</vt:lpstr>
      <vt:lpstr>v_42_XCASTO</vt:lpstr>
      <vt:lpstr>v_42_XE</vt:lpstr>
      <vt:lpstr>v_42_XE_ana</vt:lpstr>
      <vt:lpstr>v_42_XHAO_H</vt:lpstr>
      <vt:lpstr>v_42_XHAO_H_P</vt:lpstr>
      <vt:lpstr>v_42_XHAO_H_P_old</vt:lpstr>
      <vt:lpstr>v_42_XHAO_L</vt:lpstr>
      <vt:lpstr>v_42_XHAO_L_P</vt:lpstr>
      <vt:lpstr>v_42_XHAO_L_P_old</vt:lpstr>
      <vt:lpstr>v_42_XHAO_old</vt:lpstr>
      <vt:lpstr>v_42_XHFO_H</vt:lpstr>
      <vt:lpstr>v_42_XHFO_H_P</vt:lpstr>
      <vt:lpstr>v_42_XHFO_H_P_old</vt:lpstr>
      <vt:lpstr>v_42_XHFO_L</vt:lpstr>
      <vt:lpstr>v_42_XHFO_L_P</vt:lpstr>
      <vt:lpstr>v_42_XHFO_L_P_old</vt:lpstr>
      <vt:lpstr>v_42_XHFO_old</vt:lpstr>
      <vt:lpstr>v_42_XHMETO</vt:lpstr>
      <vt:lpstr>v_42_XINORG</vt:lpstr>
      <vt:lpstr>v_42_XMEOLO</vt:lpstr>
      <vt:lpstr>v_42_XN_B</vt:lpstr>
      <vt:lpstr>v_42_XN_Be</vt:lpstr>
      <vt:lpstr>v_42_XN_U</vt:lpstr>
      <vt:lpstr>v_42_XNOB</vt:lpstr>
      <vt:lpstr>v_42_XOHO</vt:lpstr>
      <vt:lpstr>v_42_XP_B</vt:lpstr>
      <vt:lpstr>v_42_XP_Be</vt:lpstr>
      <vt:lpstr>v_42_XP_U</vt:lpstr>
      <vt:lpstr>v_42_XPFOA</vt:lpstr>
      <vt:lpstr>v_42_XPFOS</vt:lpstr>
      <vt:lpstr>v_42_XPHA_GAO</vt:lpstr>
      <vt:lpstr>v_42_XPHA_PAO</vt:lpstr>
      <vt:lpstr>v_42_XPP</vt:lpstr>
      <vt:lpstr>v_42_XSTR</vt:lpstr>
      <vt:lpstr>v_42_XU</vt:lpstr>
      <vt:lpstr>v_42_XVivi</vt:lpstr>
      <vt:lpstr>v_43_CB</vt:lpstr>
      <vt:lpstr>v_43_CU</vt:lpstr>
      <vt:lpstr>v_43_GCH4</vt:lpstr>
      <vt:lpstr>v_43_GCH4_atm</vt:lpstr>
      <vt:lpstr>v_43_GCO2</vt:lpstr>
      <vt:lpstr>v_43_GCO2_atm</vt:lpstr>
      <vt:lpstr>v_43_GH2</vt:lpstr>
      <vt:lpstr>v_43_GH2_atm</vt:lpstr>
      <vt:lpstr>v_43_GN2</vt:lpstr>
      <vt:lpstr>v_43_GN2_atm</vt:lpstr>
      <vt:lpstr>v_43_GNH3</vt:lpstr>
      <vt:lpstr>v_43_GNH3_atm</vt:lpstr>
      <vt:lpstr>v_43_GO2</vt:lpstr>
      <vt:lpstr>v_43_GO2_atm</vt:lpstr>
      <vt:lpstr>v_43_SALPHA</vt:lpstr>
      <vt:lpstr>v_43_SAN</vt:lpstr>
      <vt:lpstr>v_43_SB</vt:lpstr>
      <vt:lpstr>v_43_SCa</vt:lpstr>
      <vt:lpstr>v_43_SCAT</vt:lpstr>
      <vt:lpstr>v_43_SCH4</vt:lpstr>
      <vt:lpstr>v_43_SCO2</vt:lpstr>
      <vt:lpstr>v_43_SFe2</vt:lpstr>
      <vt:lpstr>v_43_SH</vt:lpstr>
      <vt:lpstr>v_43_SH2</vt:lpstr>
      <vt:lpstr>v_43_SK</vt:lpstr>
      <vt:lpstr>v_43_SMEOL</vt:lpstr>
      <vt:lpstr>v_43_SMg</vt:lpstr>
      <vt:lpstr>v_43_SN_B</vt:lpstr>
      <vt:lpstr>v_43_SN2</vt:lpstr>
      <vt:lpstr>v_43_SNHx</vt:lpstr>
      <vt:lpstr>v_43_SNO2</vt:lpstr>
      <vt:lpstr>v_43_SNO3</vt:lpstr>
      <vt:lpstr>v_43_SO2</vt:lpstr>
      <vt:lpstr>v_43_SORPswitch</vt:lpstr>
      <vt:lpstr>v_43_SP_B</vt:lpstr>
      <vt:lpstr>v_43_SPFOA</vt:lpstr>
      <vt:lpstr>v_43_SPFOS</vt:lpstr>
      <vt:lpstr>v_43_SPO4</vt:lpstr>
      <vt:lpstr>v_43_SU</vt:lpstr>
      <vt:lpstr>v_43_SVFA</vt:lpstr>
      <vt:lpstr>v_43_XACP</vt:lpstr>
      <vt:lpstr>v_43_XALGAE</vt:lpstr>
      <vt:lpstr>v_43_XAMETO</vt:lpstr>
      <vt:lpstr>v_43_XAMX</vt:lpstr>
      <vt:lpstr>v_43_XAOB</vt:lpstr>
      <vt:lpstr>v_43_XB</vt:lpstr>
      <vt:lpstr>v_43_XB_e</vt:lpstr>
      <vt:lpstr>v_43_XBSH</vt:lpstr>
      <vt:lpstr>v_43_XCaCO3</vt:lpstr>
      <vt:lpstr>v_43_XCASTO</vt:lpstr>
      <vt:lpstr>v_43_XE</vt:lpstr>
      <vt:lpstr>v_43_XE_ana</vt:lpstr>
      <vt:lpstr>v_43_XHAO_H</vt:lpstr>
      <vt:lpstr>v_43_XHAO_H_P</vt:lpstr>
      <vt:lpstr>v_43_XHAO_H_P_old</vt:lpstr>
      <vt:lpstr>v_43_XHAO_L</vt:lpstr>
      <vt:lpstr>v_43_XHAO_L_P</vt:lpstr>
      <vt:lpstr>v_43_XHAO_L_P_old</vt:lpstr>
      <vt:lpstr>v_43_XHAO_old</vt:lpstr>
      <vt:lpstr>v_43_XHFO_H</vt:lpstr>
      <vt:lpstr>v_43_XHFO_H_P</vt:lpstr>
      <vt:lpstr>v_43_XHFO_H_P_old</vt:lpstr>
      <vt:lpstr>v_43_XHFO_L</vt:lpstr>
      <vt:lpstr>v_43_XHFO_L_P</vt:lpstr>
      <vt:lpstr>v_43_XHFO_L_P_old</vt:lpstr>
      <vt:lpstr>v_43_XHFO_old</vt:lpstr>
      <vt:lpstr>v_43_XHMETO</vt:lpstr>
      <vt:lpstr>v_43_XINORG</vt:lpstr>
      <vt:lpstr>v_43_XMEOLO</vt:lpstr>
      <vt:lpstr>v_43_XN_B</vt:lpstr>
      <vt:lpstr>v_43_XN_Be</vt:lpstr>
      <vt:lpstr>v_43_XN_U</vt:lpstr>
      <vt:lpstr>v_43_XNOB</vt:lpstr>
      <vt:lpstr>v_43_XOHO</vt:lpstr>
      <vt:lpstr>v_43_XP_B</vt:lpstr>
      <vt:lpstr>v_43_XP_Be</vt:lpstr>
      <vt:lpstr>v_43_XP_U</vt:lpstr>
      <vt:lpstr>v_43_XPFOA</vt:lpstr>
      <vt:lpstr>v_43_XPFOS</vt:lpstr>
      <vt:lpstr>v_43_XPHA_GAO</vt:lpstr>
      <vt:lpstr>v_43_XPHA_PAO</vt:lpstr>
      <vt:lpstr>v_43_XPP</vt:lpstr>
      <vt:lpstr>v_43_XSTR</vt:lpstr>
      <vt:lpstr>v_43_XU</vt:lpstr>
      <vt:lpstr>v_43_XVivi</vt:lpstr>
      <vt:lpstr>v_44_CB</vt:lpstr>
      <vt:lpstr>v_44_CU</vt:lpstr>
      <vt:lpstr>v_44_GCH4</vt:lpstr>
      <vt:lpstr>v_44_GCH4_atm</vt:lpstr>
      <vt:lpstr>v_44_GCO2</vt:lpstr>
      <vt:lpstr>v_44_GCO2_atm</vt:lpstr>
      <vt:lpstr>v_44_GH2</vt:lpstr>
      <vt:lpstr>v_44_GH2_atm</vt:lpstr>
      <vt:lpstr>v_44_GN2</vt:lpstr>
      <vt:lpstr>v_44_GN2_atm</vt:lpstr>
      <vt:lpstr>v_44_GNH3</vt:lpstr>
      <vt:lpstr>v_44_GNH3_atm</vt:lpstr>
      <vt:lpstr>v_44_GO2</vt:lpstr>
      <vt:lpstr>v_44_GO2_atm</vt:lpstr>
      <vt:lpstr>v_44_SALPHA</vt:lpstr>
      <vt:lpstr>v_44_SAN</vt:lpstr>
      <vt:lpstr>v_44_SB</vt:lpstr>
      <vt:lpstr>v_44_SCa</vt:lpstr>
      <vt:lpstr>v_44_SCAT</vt:lpstr>
      <vt:lpstr>v_44_SCH4</vt:lpstr>
      <vt:lpstr>v_44_SCO2</vt:lpstr>
      <vt:lpstr>v_44_SFe2</vt:lpstr>
      <vt:lpstr>v_44_SH</vt:lpstr>
      <vt:lpstr>v_44_SH2</vt:lpstr>
      <vt:lpstr>v_44_SK</vt:lpstr>
      <vt:lpstr>v_44_SMEOL</vt:lpstr>
      <vt:lpstr>v_44_SMg</vt:lpstr>
      <vt:lpstr>v_44_SN_B</vt:lpstr>
      <vt:lpstr>v_44_SN2</vt:lpstr>
      <vt:lpstr>v_44_SNHx</vt:lpstr>
      <vt:lpstr>v_44_SNO2</vt:lpstr>
      <vt:lpstr>v_44_SNO3</vt:lpstr>
      <vt:lpstr>v_44_SO2</vt:lpstr>
      <vt:lpstr>v_44_SORPswitch</vt:lpstr>
      <vt:lpstr>v_44_SP_B</vt:lpstr>
      <vt:lpstr>v_44_SPFOA</vt:lpstr>
      <vt:lpstr>v_44_SPFOS</vt:lpstr>
      <vt:lpstr>v_44_SPO4</vt:lpstr>
      <vt:lpstr>v_44_SU</vt:lpstr>
      <vt:lpstr>v_44_SVFA</vt:lpstr>
      <vt:lpstr>v_44_XACP</vt:lpstr>
      <vt:lpstr>v_44_XALGAE</vt:lpstr>
      <vt:lpstr>v_44_XAMETO</vt:lpstr>
      <vt:lpstr>v_44_XAMX</vt:lpstr>
      <vt:lpstr>v_44_XAOB</vt:lpstr>
      <vt:lpstr>v_44_XB</vt:lpstr>
      <vt:lpstr>v_44_XB_e</vt:lpstr>
      <vt:lpstr>v_44_XBSH</vt:lpstr>
      <vt:lpstr>v_44_XCaCO3</vt:lpstr>
      <vt:lpstr>v_44_XCASTO</vt:lpstr>
      <vt:lpstr>v_44_XE</vt:lpstr>
      <vt:lpstr>v_44_XE_ana</vt:lpstr>
      <vt:lpstr>v_44_XHAO_H</vt:lpstr>
      <vt:lpstr>v_44_XHAO_H_P</vt:lpstr>
      <vt:lpstr>v_44_XHAO_H_P_old</vt:lpstr>
      <vt:lpstr>v_44_XHAO_L</vt:lpstr>
      <vt:lpstr>v_44_XHAO_L_P</vt:lpstr>
      <vt:lpstr>v_44_XHAO_L_P_old</vt:lpstr>
      <vt:lpstr>v_44_XHAO_old</vt:lpstr>
      <vt:lpstr>v_44_XHFO_H</vt:lpstr>
      <vt:lpstr>v_44_XHFO_H_P</vt:lpstr>
      <vt:lpstr>v_44_XHFO_H_P_old</vt:lpstr>
      <vt:lpstr>v_44_XHFO_L</vt:lpstr>
      <vt:lpstr>v_44_XHFO_L_P</vt:lpstr>
      <vt:lpstr>v_44_XHFO_L_P_old</vt:lpstr>
      <vt:lpstr>v_44_XHFO_old</vt:lpstr>
      <vt:lpstr>v_44_XHMETO</vt:lpstr>
      <vt:lpstr>v_44_XINORG</vt:lpstr>
      <vt:lpstr>v_44_XMEOLO</vt:lpstr>
      <vt:lpstr>v_44_XN_B</vt:lpstr>
      <vt:lpstr>v_44_XN_Be</vt:lpstr>
      <vt:lpstr>v_44_XN_U</vt:lpstr>
      <vt:lpstr>v_44_XNOB</vt:lpstr>
      <vt:lpstr>v_44_XOHO</vt:lpstr>
      <vt:lpstr>v_44_XP_B</vt:lpstr>
      <vt:lpstr>v_44_XP_Be</vt:lpstr>
      <vt:lpstr>v_44_XP_U</vt:lpstr>
      <vt:lpstr>v_44_XPFOA</vt:lpstr>
      <vt:lpstr>v_44_XPFOS</vt:lpstr>
      <vt:lpstr>v_44_XPHA_GAO</vt:lpstr>
      <vt:lpstr>v_44_XPHA_PAO</vt:lpstr>
      <vt:lpstr>v_44_XPP</vt:lpstr>
      <vt:lpstr>v_44_XSTR</vt:lpstr>
      <vt:lpstr>v_44_XU</vt:lpstr>
      <vt:lpstr>v_44_XVivi</vt:lpstr>
      <vt:lpstr>v_45_CB</vt:lpstr>
      <vt:lpstr>v_45_CU</vt:lpstr>
      <vt:lpstr>v_45_GCH4</vt:lpstr>
      <vt:lpstr>v_45_GCH4_atm</vt:lpstr>
      <vt:lpstr>v_45_GCO2</vt:lpstr>
      <vt:lpstr>v_45_GCO2_atm</vt:lpstr>
      <vt:lpstr>v_45_GH2</vt:lpstr>
      <vt:lpstr>v_45_GH2_atm</vt:lpstr>
      <vt:lpstr>v_45_GN2</vt:lpstr>
      <vt:lpstr>v_45_GN2_atm</vt:lpstr>
      <vt:lpstr>v_45_GNH3</vt:lpstr>
      <vt:lpstr>v_45_GNH3_atm</vt:lpstr>
      <vt:lpstr>v_45_GO2</vt:lpstr>
      <vt:lpstr>v_45_GO2_atm</vt:lpstr>
      <vt:lpstr>v_45_SALPHA</vt:lpstr>
      <vt:lpstr>v_45_SAN</vt:lpstr>
      <vt:lpstr>v_45_SB</vt:lpstr>
      <vt:lpstr>v_45_SCa</vt:lpstr>
      <vt:lpstr>v_45_SCAT</vt:lpstr>
      <vt:lpstr>v_45_SCH4</vt:lpstr>
      <vt:lpstr>v_45_SCO2</vt:lpstr>
      <vt:lpstr>v_45_SFe2</vt:lpstr>
      <vt:lpstr>v_45_SH</vt:lpstr>
      <vt:lpstr>v_45_SH2</vt:lpstr>
      <vt:lpstr>v_45_SK</vt:lpstr>
      <vt:lpstr>v_45_SMEOL</vt:lpstr>
      <vt:lpstr>v_45_SMg</vt:lpstr>
      <vt:lpstr>v_45_SN_B</vt:lpstr>
      <vt:lpstr>v_45_SN2</vt:lpstr>
      <vt:lpstr>v_45_SNHx</vt:lpstr>
      <vt:lpstr>v_45_SNO2</vt:lpstr>
      <vt:lpstr>v_45_SNO3</vt:lpstr>
      <vt:lpstr>v_45_SO2</vt:lpstr>
      <vt:lpstr>v_45_SORPswitch</vt:lpstr>
      <vt:lpstr>v_45_SP_B</vt:lpstr>
      <vt:lpstr>v_45_SPFOA</vt:lpstr>
      <vt:lpstr>v_45_SPFOS</vt:lpstr>
      <vt:lpstr>v_45_SPO4</vt:lpstr>
      <vt:lpstr>v_45_SU</vt:lpstr>
      <vt:lpstr>v_45_SVFA</vt:lpstr>
      <vt:lpstr>v_45_XACP</vt:lpstr>
      <vt:lpstr>v_45_XALGAE</vt:lpstr>
      <vt:lpstr>v_45_XAMETO</vt:lpstr>
      <vt:lpstr>v_45_XAMX</vt:lpstr>
      <vt:lpstr>v_45_XAOB</vt:lpstr>
      <vt:lpstr>v_45_XB</vt:lpstr>
      <vt:lpstr>v_45_XB_e</vt:lpstr>
      <vt:lpstr>v_45_XBSH</vt:lpstr>
      <vt:lpstr>v_45_XCaCO3</vt:lpstr>
      <vt:lpstr>v_45_XCASTO</vt:lpstr>
      <vt:lpstr>v_45_XE</vt:lpstr>
      <vt:lpstr>v_45_XE_ana</vt:lpstr>
      <vt:lpstr>v_45_XHAO_H</vt:lpstr>
      <vt:lpstr>v_45_XHAO_H_P</vt:lpstr>
      <vt:lpstr>v_45_XHAO_H_P_old</vt:lpstr>
      <vt:lpstr>v_45_XHAO_L</vt:lpstr>
      <vt:lpstr>v_45_XHAO_L_P</vt:lpstr>
      <vt:lpstr>v_45_XHAO_L_P_old</vt:lpstr>
      <vt:lpstr>v_45_XHAO_old</vt:lpstr>
      <vt:lpstr>v_45_XHFO_H</vt:lpstr>
      <vt:lpstr>v_45_XHFO_H_P</vt:lpstr>
      <vt:lpstr>v_45_XHFO_H_P_old</vt:lpstr>
      <vt:lpstr>v_45_XHFO_L</vt:lpstr>
      <vt:lpstr>v_45_XHFO_L_P</vt:lpstr>
      <vt:lpstr>v_45_XHFO_L_P_old</vt:lpstr>
      <vt:lpstr>v_45_XHFO_old</vt:lpstr>
      <vt:lpstr>v_45_XHMETO</vt:lpstr>
      <vt:lpstr>v_45_XINORG</vt:lpstr>
      <vt:lpstr>v_45_XMEOLO</vt:lpstr>
      <vt:lpstr>v_45_XN_B</vt:lpstr>
      <vt:lpstr>v_45_XN_Be</vt:lpstr>
      <vt:lpstr>v_45_XN_U</vt:lpstr>
      <vt:lpstr>v_45_XNOB</vt:lpstr>
      <vt:lpstr>v_45_XOHO</vt:lpstr>
      <vt:lpstr>v_45_XP_B</vt:lpstr>
      <vt:lpstr>v_45_XP_Be</vt:lpstr>
      <vt:lpstr>v_45_XP_U</vt:lpstr>
      <vt:lpstr>v_45_XPFOA</vt:lpstr>
      <vt:lpstr>v_45_XPFOS</vt:lpstr>
      <vt:lpstr>v_45_XPHA_GAO</vt:lpstr>
      <vt:lpstr>v_45_XPHA_PAO</vt:lpstr>
      <vt:lpstr>v_45_XPP</vt:lpstr>
      <vt:lpstr>v_45_XSTR</vt:lpstr>
      <vt:lpstr>v_45_XU</vt:lpstr>
      <vt:lpstr>v_45_XVivi</vt:lpstr>
      <vt:lpstr>v_46_CB</vt:lpstr>
      <vt:lpstr>v_46_CU</vt:lpstr>
      <vt:lpstr>v_46_GCH4</vt:lpstr>
      <vt:lpstr>v_46_GCH4_atm</vt:lpstr>
      <vt:lpstr>v_46_GCO2</vt:lpstr>
      <vt:lpstr>v_46_GCO2_atm</vt:lpstr>
      <vt:lpstr>v_46_GH2</vt:lpstr>
      <vt:lpstr>v_46_GH2_atm</vt:lpstr>
      <vt:lpstr>v_46_GN2</vt:lpstr>
      <vt:lpstr>v_46_GN2_atm</vt:lpstr>
      <vt:lpstr>v_46_GNH3</vt:lpstr>
      <vt:lpstr>v_46_GNH3_atm</vt:lpstr>
      <vt:lpstr>v_46_GO2</vt:lpstr>
      <vt:lpstr>v_46_GO2_atm</vt:lpstr>
      <vt:lpstr>v_46_SALPHA</vt:lpstr>
      <vt:lpstr>v_46_SAN</vt:lpstr>
      <vt:lpstr>v_46_SB</vt:lpstr>
      <vt:lpstr>v_46_SCa</vt:lpstr>
      <vt:lpstr>v_46_SCAT</vt:lpstr>
      <vt:lpstr>v_46_SCH4</vt:lpstr>
      <vt:lpstr>v_46_SCO2</vt:lpstr>
      <vt:lpstr>v_46_SFe2</vt:lpstr>
      <vt:lpstr>v_46_SH</vt:lpstr>
      <vt:lpstr>v_46_SH2</vt:lpstr>
      <vt:lpstr>v_46_SK</vt:lpstr>
      <vt:lpstr>v_46_SMEOL</vt:lpstr>
      <vt:lpstr>v_46_SMg</vt:lpstr>
      <vt:lpstr>v_46_SN_B</vt:lpstr>
      <vt:lpstr>v_46_SN2</vt:lpstr>
      <vt:lpstr>v_46_SNHx</vt:lpstr>
      <vt:lpstr>v_46_SNO2</vt:lpstr>
      <vt:lpstr>v_46_SNO3</vt:lpstr>
      <vt:lpstr>v_46_SO2</vt:lpstr>
      <vt:lpstr>v_46_SORPswitch</vt:lpstr>
      <vt:lpstr>v_46_SP_B</vt:lpstr>
      <vt:lpstr>v_46_SPFOA</vt:lpstr>
      <vt:lpstr>v_46_SPFOS</vt:lpstr>
      <vt:lpstr>v_46_SPO4</vt:lpstr>
      <vt:lpstr>v_46_SU</vt:lpstr>
      <vt:lpstr>v_46_SVFA</vt:lpstr>
      <vt:lpstr>v_46_XACP</vt:lpstr>
      <vt:lpstr>v_46_XALGAE</vt:lpstr>
      <vt:lpstr>v_46_XAMETO</vt:lpstr>
      <vt:lpstr>v_46_XAMX</vt:lpstr>
      <vt:lpstr>v_46_XAOB</vt:lpstr>
      <vt:lpstr>v_46_XB</vt:lpstr>
      <vt:lpstr>v_46_XB_e</vt:lpstr>
      <vt:lpstr>v_46_XBSH</vt:lpstr>
      <vt:lpstr>v_46_XCaCO3</vt:lpstr>
      <vt:lpstr>v_46_XCASTO</vt:lpstr>
      <vt:lpstr>v_46_XE</vt:lpstr>
      <vt:lpstr>v_46_XE_ana</vt:lpstr>
      <vt:lpstr>v_46_XHAO_H</vt:lpstr>
      <vt:lpstr>v_46_XHAO_H_P</vt:lpstr>
      <vt:lpstr>v_46_XHAO_H_P_old</vt:lpstr>
      <vt:lpstr>v_46_XHAO_L</vt:lpstr>
      <vt:lpstr>v_46_XHAO_L_P</vt:lpstr>
      <vt:lpstr>v_46_XHAO_L_P_old</vt:lpstr>
      <vt:lpstr>v_46_XHAO_old</vt:lpstr>
      <vt:lpstr>v_46_XHFO_H</vt:lpstr>
      <vt:lpstr>v_46_XHFO_H_P</vt:lpstr>
      <vt:lpstr>v_46_XHFO_H_P_old</vt:lpstr>
      <vt:lpstr>v_46_XHFO_L</vt:lpstr>
      <vt:lpstr>v_46_XHFO_L_P</vt:lpstr>
      <vt:lpstr>v_46_XHFO_L_P_old</vt:lpstr>
      <vt:lpstr>v_46_XHFO_old</vt:lpstr>
      <vt:lpstr>v_46_XHMETO</vt:lpstr>
      <vt:lpstr>v_46_XINORG</vt:lpstr>
      <vt:lpstr>v_46_XMEOLO</vt:lpstr>
      <vt:lpstr>v_46_XN_B</vt:lpstr>
      <vt:lpstr>v_46_XN_Be</vt:lpstr>
      <vt:lpstr>v_46_XN_U</vt:lpstr>
      <vt:lpstr>v_46_XNOB</vt:lpstr>
      <vt:lpstr>v_46_XOHO</vt:lpstr>
      <vt:lpstr>v_46_XP_B</vt:lpstr>
      <vt:lpstr>v_46_XP_Be</vt:lpstr>
      <vt:lpstr>v_46_XP_U</vt:lpstr>
      <vt:lpstr>v_46_XPFOA</vt:lpstr>
      <vt:lpstr>v_46_XPFOS</vt:lpstr>
      <vt:lpstr>v_46_XPHA_GAO</vt:lpstr>
      <vt:lpstr>v_46_XPHA_PAO</vt:lpstr>
      <vt:lpstr>v_46_XPP</vt:lpstr>
      <vt:lpstr>v_46_XSTR</vt:lpstr>
      <vt:lpstr>v_46_XU</vt:lpstr>
      <vt:lpstr>v_46_XVivi</vt:lpstr>
      <vt:lpstr>v_47_CB</vt:lpstr>
      <vt:lpstr>v_47_CU</vt:lpstr>
      <vt:lpstr>v_47_GCH4</vt:lpstr>
      <vt:lpstr>v_47_GCH4_atm</vt:lpstr>
      <vt:lpstr>v_47_GCO2</vt:lpstr>
      <vt:lpstr>v_47_GCO2_atm</vt:lpstr>
      <vt:lpstr>v_47_GH2</vt:lpstr>
      <vt:lpstr>v_47_GH2_atm</vt:lpstr>
      <vt:lpstr>v_47_GN2</vt:lpstr>
      <vt:lpstr>v_47_GN2_atm</vt:lpstr>
      <vt:lpstr>v_47_GNH3</vt:lpstr>
      <vt:lpstr>v_47_GNH3_atm</vt:lpstr>
      <vt:lpstr>v_47_GO2</vt:lpstr>
      <vt:lpstr>v_47_GO2_atm</vt:lpstr>
      <vt:lpstr>v_47_SALPHA</vt:lpstr>
      <vt:lpstr>v_47_SAN</vt:lpstr>
      <vt:lpstr>v_47_SB</vt:lpstr>
      <vt:lpstr>v_47_SCa</vt:lpstr>
      <vt:lpstr>v_47_SCAT</vt:lpstr>
      <vt:lpstr>v_47_SCH4</vt:lpstr>
      <vt:lpstr>v_47_SCO2</vt:lpstr>
      <vt:lpstr>v_47_SFe2</vt:lpstr>
      <vt:lpstr>v_47_SH</vt:lpstr>
      <vt:lpstr>v_47_SH2</vt:lpstr>
      <vt:lpstr>v_47_SK</vt:lpstr>
      <vt:lpstr>v_47_SMEOL</vt:lpstr>
      <vt:lpstr>v_47_SMg</vt:lpstr>
      <vt:lpstr>v_47_SN_B</vt:lpstr>
      <vt:lpstr>v_47_SN2</vt:lpstr>
      <vt:lpstr>v_47_SNHx</vt:lpstr>
      <vt:lpstr>v_47_SNO2</vt:lpstr>
      <vt:lpstr>v_47_SNO3</vt:lpstr>
      <vt:lpstr>v_47_SO2</vt:lpstr>
      <vt:lpstr>v_47_SORPswitch</vt:lpstr>
      <vt:lpstr>v_47_SP_B</vt:lpstr>
      <vt:lpstr>v_47_SPFOA</vt:lpstr>
      <vt:lpstr>v_47_SPFOS</vt:lpstr>
      <vt:lpstr>v_47_SPO4</vt:lpstr>
      <vt:lpstr>v_47_SU</vt:lpstr>
      <vt:lpstr>v_47_SVFA</vt:lpstr>
      <vt:lpstr>v_47_XACP</vt:lpstr>
      <vt:lpstr>v_47_XALGAE</vt:lpstr>
      <vt:lpstr>v_47_XAMETO</vt:lpstr>
      <vt:lpstr>v_47_XAMX</vt:lpstr>
      <vt:lpstr>v_47_XAOB</vt:lpstr>
      <vt:lpstr>v_47_XB</vt:lpstr>
      <vt:lpstr>v_47_XB_e</vt:lpstr>
      <vt:lpstr>v_47_XBSH</vt:lpstr>
      <vt:lpstr>v_47_XCaCO3</vt:lpstr>
      <vt:lpstr>v_47_XCASTO</vt:lpstr>
      <vt:lpstr>v_47_XE</vt:lpstr>
      <vt:lpstr>v_47_XE_ana</vt:lpstr>
      <vt:lpstr>v_47_XHAO_H</vt:lpstr>
      <vt:lpstr>v_47_XHAO_H_P</vt:lpstr>
      <vt:lpstr>v_47_XHAO_H_P_old</vt:lpstr>
      <vt:lpstr>v_47_XHAO_L</vt:lpstr>
      <vt:lpstr>v_47_XHAO_L_P</vt:lpstr>
      <vt:lpstr>v_47_XHAO_L_P_old</vt:lpstr>
      <vt:lpstr>v_47_XHAO_old</vt:lpstr>
      <vt:lpstr>v_47_XHFO_H</vt:lpstr>
      <vt:lpstr>v_47_XHFO_H_P</vt:lpstr>
      <vt:lpstr>v_47_XHFO_H_P_old</vt:lpstr>
      <vt:lpstr>v_47_XHFO_L</vt:lpstr>
      <vt:lpstr>v_47_XHFO_L_P</vt:lpstr>
      <vt:lpstr>v_47_XHFO_L_P_old</vt:lpstr>
      <vt:lpstr>v_47_XHFO_old</vt:lpstr>
      <vt:lpstr>v_47_XHMETO</vt:lpstr>
      <vt:lpstr>v_47_XINORG</vt:lpstr>
      <vt:lpstr>v_47_XMEOLO</vt:lpstr>
      <vt:lpstr>v_47_XN_B</vt:lpstr>
      <vt:lpstr>v_47_XN_Be</vt:lpstr>
      <vt:lpstr>v_47_XN_U</vt:lpstr>
      <vt:lpstr>v_47_XNOB</vt:lpstr>
      <vt:lpstr>v_47_XOHO</vt:lpstr>
      <vt:lpstr>v_47_XP_B</vt:lpstr>
      <vt:lpstr>v_47_XP_Be</vt:lpstr>
      <vt:lpstr>v_47_XP_U</vt:lpstr>
      <vt:lpstr>v_47_XPFOA</vt:lpstr>
      <vt:lpstr>v_47_XPFOS</vt:lpstr>
      <vt:lpstr>v_47_XPHA_GAO</vt:lpstr>
      <vt:lpstr>v_47_XPHA_PAO</vt:lpstr>
      <vt:lpstr>v_47_XPP</vt:lpstr>
      <vt:lpstr>v_47_XSTR</vt:lpstr>
      <vt:lpstr>v_47_XU</vt:lpstr>
      <vt:lpstr>v_47_XVivi</vt:lpstr>
      <vt:lpstr>v_48_CB</vt:lpstr>
      <vt:lpstr>v_48_CU</vt:lpstr>
      <vt:lpstr>v_48_GCH4</vt:lpstr>
      <vt:lpstr>v_48_GCH4_atm</vt:lpstr>
      <vt:lpstr>v_48_GCO2</vt:lpstr>
      <vt:lpstr>v_48_GCO2_atm</vt:lpstr>
      <vt:lpstr>v_48_GH2</vt:lpstr>
      <vt:lpstr>v_48_GH2_atm</vt:lpstr>
      <vt:lpstr>v_48_GN2</vt:lpstr>
      <vt:lpstr>v_48_GN2_atm</vt:lpstr>
      <vt:lpstr>v_48_GNH3</vt:lpstr>
      <vt:lpstr>v_48_GNH3_atm</vt:lpstr>
      <vt:lpstr>v_48_GO2</vt:lpstr>
      <vt:lpstr>v_48_GO2_atm</vt:lpstr>
      <vt:lpstr>v_48_SALPHA</vt:lpstr>
      <vt:lpstr>v_48_SAN</vt:lpstr>
      <vt:lpstr>v_48_SB</vt:lpstr>
      <vt:lpstr>v_48_SCa</vt:lpstr>
      <vt:lpstr>v_48_SCAT</vt:lpstr>
      <vt:lpstr>v_48_SCH4</vt:lpstr>
      <vt:lpstr>v_48_SCO2</vt:lpstr>
      <vt:lpstr>v_48_SFe2</vt:lpstr>
      <vt:lpstr>v_48_SH</vt:lpstr>
      <vt:lpstr>v_48_SH2</vt:lpstr>
      <vt:lpstr>v_48_SK</vt:lpstr>
      <vt:lpstr>v_48_SMEOL</vt:lpstr>
      <vt:lpstr>v_48_SMg</vt:lpstr>
      <vt:lpstr>v_48_SN_B</vt:lpstr>
      <vt:lpstr>v_48_SN2</vt:lpstr>
      <vt:lpstr>v_48_SNHx</vt:lpstr>
      <vt:lpstr>v_48_SNO2</vt:lpstr>
      <vt:lpstr>v_48_SNO3</vt:lpstr>
      <vt:lpstr>v_48_SO2</vt:lpstr>
      <vt:lpstr>v_48_SORPswitch</vt:lpstr>
      <vt:lpstr>v_48_SP_B</vt:lpstr>
      <vt:lpstr>v_48_SPFOA</vt:lpstr>
      <vt:lpstr>v_48_SPFOS</vt:lpstr>
      <vt:lpstr>v_48_SPO4</vt:lpstr>
      <vt:lpstr>v_48_SU</vt:lpstr>
      <vt:lpstr>v_48_SVFA</vt:lpstr>
      <vt:lpstr>v_48_XACP</vt:lpstr>
      <vt:lpstr>v_48_XALGAE</vt:lpstr>
      <vt:lpstr>v_48_XAMETO</vt:lpstr>
      <vt:lpstr>v_48_XAMX</vt:lpstr>
      <vt:lpstr>v_48_XAOB</vt:lpstr>
      <vt:lpstr>v_48_XB</vt:lpstr>
      <vt:lpstr>v_48_XB_e</vt:lpstr>
      <vt:lpstr>v_48_XBSH</vt:lpstr>
      <vt:lpstr>v_48_XCaCO3</vt:lpstr>
      <vt:lpstr>v_48_XCASTO</vt:lpstr>
      <vt:lpstr>v_48_XE</vt:lpstr>
      <vt:lpstr>v_48_XE_ana</vt:lpstr>
      <vt:lpstr>v_48_XHAO_H</vt:lpstr>
      <vt:lpstr>v_48_XHAO_H_P</vt:lpstr>
      <vt:lpstr>v_48_XHAO_H_P_old</vt:lpstr>
      <vt:lpstr>v_48_XHAO_L</vt:lpstr>
      <vt:lpstr>v_48_XHAO_L_P</vt:lpstr>
      <vt:lpstr>v_48_XHAO_L_P_old</vt:lpstr>
      <vt:lpstr>v_48_XHAO_old</vt:lpstr>
      <vt:lpstr>v_48_XHFO_H</vt:lpstr>
      <vt:lpstr>v_48_XHFO_H_P</vt:lpstr>
      <vt:lpstr>v_48_XHFO_H_P_old</vt:lpstr>
      <vt:lpstr>v_48_XHFO_L</vt:lpstr>
      <vt:lpstr>v_48_XHFO_L_P</vt:lpstr>
      <vt:lpstr>v_48_XHFO_L_P_old</vt:lpstr>
      <vt:lpstr>v_48_XHFO_old</vt:lpstr>
      <vt:lpstr>v_48_XHMETO</vt:lpstr>
      <vt:lpstr>v_48_XINORG</vt:lpstr>
      <vt:lpstr>v_48_XMEOLO</vt:lpstr>
      <vt:lpstr>v_48_XN_B</vt:lpstr>
      <vt:lpstr>v_48_XN_Be</vt:lpstr>
      <vt:lpstr>v_48_XN_U</vt:lpstr>
      <vt:lpstr>v_48_XNOB</vt:lpstr>
      <vt:lpstr>v_48_XOHO</vt:lpstr>
      <vt:lpstr>v_48_XP_B</vt:lpstr>
      <vt:lpstr>v_48_XP_Be</vt:lpstr>
      <vt:lpstr>v_48_XP_U</vt:lpstr>
      <vt:lpstr>v_48_XPFOA</vt:lpstr>
      <vt:lpstr>v_48_XPFOS</vt:lpstr>
      <vt:lpstr>v_48_XPHA_GAO</vt:lpstr>
      <vt:lpstr>v_48_XPHA_PAO</vt:lpstr>
      <vt:lpstr>v_48_XPP</vt:lpstr>
      <vt:lpstr>v_48_XSTR</vt:lpstr>
      <vt:lpstr>v_48_XU</vt:lpstr>
      <vt:lpstr>v_48_XVivi</vt:lpstr>
      <vt:lpstr>v_49_CB</vt:lpstr>
      <vt:lpstr>v_49_CU</vt:lpstr>
      <vt:lpstr>v_49_GCH4</vt:lpstr>
      <vt:lpstr>v_49_GCH4_atm</vt:lpstr>
      <vt:lpstr>v_49_GCO2</vt:lpstr>
      <vt:lpstr>v_49_GCO2_atm</vt:lpstr>
      <vt:lpstr>v_49_GH2</vt:lpstr>
      <vt:lpstr>v_49_GH2_atm</vt:lpstr>
      <vt:lpstr>v_49_GN2</vt:lpstr>
      <vt:lpstr>v_49_GN2_atm</vt:lpstr>
      <vt:lpstr>v_49_GNH3</vt:lpstr>
      <vt:lpstr>v_49_GNH3_atm</vt:lpstr>
      <vt:lpstr>v_49_GO2</vt:lpstr>
      <vt:lpstr>v_49_GO2_atm</vt:lpstr>
      <vt:lpstr>v_49_SALPHA</vt:lpstr>
      <vt:lpstr>v_49_SAN</vt:lpstr>
      <vt:lpstr>v_49_SB</vt:lpstr>
      <vt:lpstr>v_49_SCa</vt:lpstr>
      <vt:lpstr>v_49_SCAT</vt:lpstr>
      <vt:lpstr>v_49_SCH4</vt:lpstr>
      <vt:lpstr>v_49_SCO2</vt:lpstr>
      <vt:lpstr>v_49_SFe2</vt:lpstr>
      <vt:lpstr>v_49_SH</vt:lpstr>
      <vt:lpstr>v_49_SH2</vt:lpstr>
      <vt:lpstr>v_49_SK</vt:lpstr>
      <vt:lpstr>v_49_SMEOL</vt:lpstr>
      <vt:lpstr>v_49_SMg</vt:lpstr>
      <vt:lpstr>v_49_SN_B</vt:lpstr>
      <vt:lpstr>v_49_SN2</vt:lpstr>
      <vt:lpstr>v_49_SNHx</vt:lpstr>
      <vt:lpstr>v_49_SNO2</vt:lpstr>
      <vt:lpstr>v_49_SNO3</vt:lpstr>
      <vt:lpstr>v_49_SO2</vt:lpstr>
      <vt:lpstr>v_49_SORPswitch</vt:lpstr>
      <vt:lpstr>v_49_SP_B</vt:lpstr>
      <vt:lpstr>v_49_SPFOA</vt:lpstr>
      <vt:lpstr>v_49_SPFOS</vt:lpstr>
      <vt:lpstr>v_49_SPO4</vt:lpstr>
      <vt:lpstr>v_49_SU</vt:lpstr>
      <vt:lpstr>v_49_SVFA</vt:lpstr>
      <vt:lpstr>v_49_XACP</vt:lpstr>
      <vt:lpstr>v_49_XALGAE</vt:lpstr>
      <vt:lpstr>v_49_XAMETO</vt:lpstr>
      <vt:lpstr>v_49_XAMX</vt:lpstr>
      <vt:lpstr>v_49_XAOB</vt:lpstr>
      <vt:lpstr>v_49_XB</vt:lpstr>
      <vt:lpstr>v_49_XB_e</vt:lpstr>
      <vt:lpstr>v_49_XBSH</vt:lpstr>
      <vt:lpstr>v_49_XCaCO3</vt:lpstr>
      <vt:lpstr>v_49_XCASTO</vt:lpstr>
      <vt:lpstr>v_49_XE</vt:lpstr>
      <vt:lpstr>v_49_XE_ana</vt:lpstr>
      <vt:lpstr>v_49_XHAO_H</vt:lpstr>
      <vt:lpstr>v_49_XHAO_H_P</vt:lpstr>
      <vt:lpstr>v_49_XHAO_H_P_old</vt:lpstr>
      <vt:lpstr>v_49_XHAO_L</vt:lpstr>
      <vt:lpstr>v_49_XHAO_L_P</vt:lpstr>
      <vt:lpstr>v_49_XHAO_L_P_old</vt:lpstr>
      <vt:lpstr>v_49_XHAO_old</vt:lpstr>
      <vt:lpstr>v_49_XHFO_H</vt:lpstr>
      <vt:lpstr>v_49_XHFO_H_P</vt:lpstr>
      <vt:lpstr>v_49_XHFO_H_P_old</vt:lpstr>
      <vt:lpstr>v_49_XHFO_L</vt:lpstr>
      <vt:lpstr>v_49_XHFO_L_P</vt:lpstr>
      <vt:lpstr>v_49_XHFO_L_P_old</vt:lpstr>
      <vt:lpstr>v_49_XHFO_old</vt:lpstr>
      <vt:lpstr>v_49_XHMETO</vt:lpstr>
      <vt:lpstr>v_49_XINORG</vt:lpstr>
      <vt:lpstr>v_49_XMEOLO</vt:lpstr>
      <vt:lpstr>v_49_XN_B</vt:lpstr>
      <vt:lpstr>v_49_XN_Be</vt:lpstr>
      <vt:lpstr>v_49_XN_U</vt:lpstr>
      <vt:lpstr>v_49_XNOB</vt:lpstr>
      <vt:lpstr>v_49_XOHO</vt:lpstr>
      <vt:lpstr>v_49_XP_B</vt:lpstr>
      <vt:lpstr>v_49_XP_Be</vt:lpstr>
      <vt:lpstr>v_49_XP_U</vt:lpstr>
      <vt:lpstr>v_49_XPFOA</vt:lpstr>
      <vt:lpstr>v_49_XPFOS</vt:lpstr>
      <vt:lpstr>v_49_XPHA_GAO</vt:lpstr>
      <vt:lpstr>v_49_XPHA_PAO</vt:lpstr>
      <vt:lpstr>v_49_XPP</vt:lpstr>
      <vt:lpstr>v_49_XSTR</vt:lpstr>
      <vt:lpstr>v_49_XU</vt:lpstr>
      <vt:lpstr>v_49_XVivi</vt:lpstr>
      <vt:lpstr>v_5_CB</vt:lpstr>
      <vt:lpstr>v_5_CU</vt:lpstr>
      <vt:lpstr>v_5_GCH4</vt:lpstr>
      <vt:lpstr>v_5_GCH4_atm</vt:lpstr>
      <vt:lpstr>v_5_GCO2</vt:lpstr>
      <vt:lpstr>v_5_GCO2_atm</vt:lpstr>
      <vt:lpstr>v_5_GH2</vt:lpstr>
      <vt:lpstr>v_5_GH2_atm</vt:lpstr>
      <vt:lpstr>v_5_GN2</vt:lpstr>
      <vt:lpstr>v_5_GN2_atm</vt:lpstr>
      <vt:lpstr>v_5_GNH3</vt:lpstr>
      <vt:lpstr>v_5_GNH3_atm</vt:lpstr>
      <vt:lpstr>v_5_GO2</vt:lpstr>
      <vt:lpstr>v_5_GO2_atm</vt:lpstr>
      <vt:lpstr>v_5_SALPHA</vt:lpstr>
      <vt:lpstr>v_5_SAN</vt:lpstr>
      <vt:lpstr>v_5_SB</vt:lpstr>
      <vt:lpstr>v_5_SCa</vt:lpstr>
      <vt:lpstr>v_5_SCAT</vt:lpstr>
      <vt:lpstr>v_5_SCH4</vt:lpstr>
      <vt:lpstr>v_5_SCO2</vt:lpstr>
      <vt:lpstr>v_5_SFe2</vt:lpstr>
      <vt:lpstr>v_5_SH</vt:lpstr>
      <vt:lpstr>v_5_SH2</vt:lpstr>
      <vt:lpstr>v_5_SK</vt:lpstr>
      <vt:lpstr>v_5_SMEOL</vt:lpstr>
      <vt:lpstr>v_5_SMg</vt:lpstr>
      <vt:lpstr>v_5_SN_B</vt:lpstr>
      <vt:lpstr>v_5_SN2</vt:lpstr>
      <vt:lpstr>v_5_SNHx</vt:lpstr>
      <vt:lpstr>v_5_SNO2</vt:lpstr>
      <vt:lpstr>v_5_SNO3</vt:lpstr>
      <vt:lpstr>v_5_SO2</vt:lpstr>
      <vt:lpstr>v_5_SORPswitch</vt:lpstr>
      <vt:lpstr>v_5_SP_B</vt:lpstr>
      <vt:lpstr>v_5_SPFOA</vt:lpstr>
      <vt:lpstr>v_5_SPFOS</vt:lpstr>
      <vt:lpstr>v_5_SPO4</vt:lpstr>
      <vt:lpstr>v_5_SU</vt:lpstr>
      <vt:lpstr>v_5_SVFA</vt:lpstr>
      <vt:lpstr>v_5_XACP</vt:lpstr>
      <vt:lpstr>v_5_XALGAE</vt:lpstr>
      <vt:lpstr>v_5_XAMETO</vt:lpstr>
      <vt:lpstr>v_5_XAMX</vt:lpstr>
      <vt:lpstr>v_5_XAOB</vt:lpstr>
      <vt:lpstr>v_5_XB</vt:lpstr>
      <vt:lpstr>v_5_XB_e</vt:lpstr>
      <vt:lpstr>v_5_XBSH</vt:lpstr>
      <vt:lpstr>v_5_XCaCO3</vt:lpstr>
      <vt:lpstr>v_5_XCASTO</vt:lpstr>
      <vt:lpstr>v_5_XE</vt:lpstr>
      <vt:lpstr>v_5_XE_ana</vt:lpstr>
      <vt:lpstr>v_5_XHAO_H</vt:lpstr>
      <vt:lpstr>v_5_XHAO_H_P</vt:lpstr>
      <vt:lpstr>v_5_XHAO_H_P_old</vt:lpstr>
      <vt:lpstr>v_5_XHAO_L</vt:lpstr>
      <vt:lpstr>v_5_XHAO_L_P</vt:lpstr>
      <vt:lpstr>v_5_XHAO_L_P_old</vt:lpstr>
      <vt:lpstr>v_5_XHAO_old</vt:lpstr>
      <vt:lpstr>v_5_XHFO_H</vt:lpstr>
      <vt:lpstr>v_5_XHFO_H_P</vt:lpstr>
      <vt:lpstr>v_5_XHFO_H_P_old</vt:lpstr>
      <vt:lpstr>v_5_XHFO_L</vt:lpstr>
      <vt:lpstr>v_5_XHFO_L_P</vt:lpstr>
      <vt:lpstr>v_5_XHFO_L_P_old</vt:lpstr>
      <vt:lpstr>v_5_XHFO_old</vt:lpstr>
      <vt:lpstr>v_5_XHMETO</vt:lpstr>
      <vt:lpstr>v_5_XINORG</vt:lpstr>
      <vt:lpstr>v_5_XMEOLO</vt:lpstr>
      <vt:lpstr>v_5_XN_B</vt:lpstr>
      <vt:lpstr>v_5_XN_Be</vt:lpstr>
      <vt:lpstr>v_5_XN_U</vt:lpstr>
      <vt:lpstr>v_5_XNOB</vt:lpstr>
      <vt:lpstr>v_5_XOHO</vt:lpstr>
      <vt:lpstr>v_5_XP_B</vt:lpstr>
      <vt:lpstr>v_5_XP_Be</vt:lpstr>
      <vt:lpstr>v_5_XP_U</vt:lpstr>
      <vt:lpstr>v_5_XPFOA</vt:lpstr>
      <vt:lpstr>v_5_XPFOS</vt:lpstr>
      <vt:lpstr>v_5_XPHA_GAO</vt:lpstr>
      <vt:lpstr>v_5_XPHA_PAO</vt:lpstr>
      <vt:lpstr>v_5_XPP</vt:lpstr>
      <vt:lpstr>v_5_XSTR</vt:lpstr>
      <vt:lpstr>v_5_XU</vt:lpstr>
      <vt:lpstr>v_5_XVivi</vt:lpstr>
      <vt:lpstr>v_50_CB</vt:lpstr>
      <vt:lpstr>v_50_CU</vt:lpstr>
      <vt:lpstr>v_50_GCH4</vt:lpstr>
      <vt:lpstr>v_50_GCH4_atm</vt:lpstr>
      <vt:lpstr>v_50_GCO2</vt:lpstr>
      <vt:lpstr>v_50_GCO2_atm</vt:lpstr>
      <vt:lpstr>v_50_GH2</vt:lpstr>
      <vt:lpstr>v_50_GH2_atm</vt:lpstr>
      <vt:lpstr>v_50_GN2</vt:lpstr>
      <vt:lpstr>v_50_GN2_atm</vt:lpstr>
      <vt:lpstr>v_50_GNH3</vt:lpstr>
      <vt:lpstr>v_50_GNH3_atm</vt:lpstr>
      <vt:lpstr>v_50_GO2</vt:lpstr>
      <vt:lpstr>v_50_GO2_atm</vt:lpstr>
      <vt:lpstr>v_50_SALPHA</vt:lpstr>
      <vt:lpstr>v_50_SAN</vt:lpstr>
      <vt:lpstr>v_50_SB</vt:lpstr>
      <vt:lpstr>v_50_SCa</vt:lpstr>
      <vt:lpstr>v_50_SCAT</vt:lpstr>
      <vt:lpstr>v_50_SCH4</vt:lpstr>
      <vt:lpstr>v_50_SCO2</vt:lpstr>
      <vt:lpstr>v_50_SFe2</vt:lpstr>
      <vt:lpstr>v_50_SH</vt:lpstr>
      <vt:lpstr>v_50_SH2</vt:lpstr>
      <vt:lpstr>v_50_SK</vt:lpstr>
      <vt:lpstr>v_50_SMEOL</vt:lpstr>
      <vt:lpstr>v_50_SMg</vt:lpstr>
      <vt:lpstr>v_50_SN_B</vt:lpstr>
      <vt:lpstr>v_50_SN2</vt:lpstr>
      <vt:lpstr>v_50_SNHx</vt:lpstr>
      <vt:lpstr>v_50_SNO2</vt:lpstr>
      <vt:lpstr>v_50_SNO3</vt:lpstr>
      <vt:lpstr>v_50_SO2</vt:lpstr>
      <vt:lpstr>v_50_SORPswitch</vt:lpstr>
      <vt:lpstr>v_50_SP_B</vt:lpstr>
      <vt:lpstr>v_50_SPFOA</vt:lpstr>
      <vt:lpstr>v_50_SPFOS</vt:lpstr>
      <vt:lpstr>v_50_SPO4</vt:lpstr>
      <vt:lpstr>v_50_SU</vt:lpstr>
      <vt:lpstr>v_50_SVFA</vt:lpstr>
      <vt:lpstr>v_50_XACP</vt:lpstr>
      <vt:lpstr>v_50_XALGAE</vt:lpstr>
      <vt:lpstr>v_50_XAMETO</vt:lpstr>
      <vt:lpstr>v_50_XAMX</vt:lpstr>
      <vt:lpstr>v_50_XAOB</vt:lpstr>
      <vt:lpstr>v_50_XB</vt:lpstr>
      <vt:lpstr>v_50_XB_e</vt:lpstr>
      <vt:lpstr>v_50_XBSH</vt:lpstr>
      <vt:lpstr>v_50_XCaCO3</vt:lpstr>
      <vt:lpstr>v_50_XCASTO</vt:lpstr>
      <vt:lpstr>v_50_XE</vt:lpstr>
      <vt:lpstr>v_50_XE_ana</vt:lpstr>
      <vt:lpstr>v_50_XHAO_H</vt:lpstr>
      <vt:lpstr>v_50_XHAO_H_P</vt:lpstr>
      <vt:lpstr>v_50_XHAO_H_P_old</vt:lpstr>
      <vt:lpstr>v_50_XHAO_L</vt:lpstr>
      <vt:lpstr>v_50_XHAO_L_P</vt:lpstr>
      <vt:lpstr>v_50_XHAO_L_P_old</vt:lpstr>
      <vt:lpstr>v_50_XHAO_old</vt:lpstr>
      <vt:lpstr>v_50_XHFO_H</vt:lpstr>
      <vt:lpstr>v_50_XHFO_H_P</vt:lpstr>
      <vt:lpstr>v_50_XHFO_H_P_old</vt:lpstr>
      <vt:lpstr>v_50_XHFO_L</vt:lpstr>
      <vt:lpstr>v_50_XHFO_L_P</vt:lpstr>
      <vt:lpstr>v_50_XHFO_L_P_old</vt:lpstr>
      <vt:lpstr>v_50_XHFO_old</vt:lpstr>
      <vt:lpstr>v_50_XHMETO</vt:lpstr>
      <vt:lpstr>v_50_XINORG</vt:lpstr>
      <vt:lpstr>v_50_XMEOLO</vt:lpstr>
      <vt:lpstr>v_50_XN_B</vt:lpstr>
      <vt:lpstr>v_50_XN_Be</vt:lpstr>
      <vt:lpstr>v_50_XN_U</vt:lpstr>
      <vt:lpstr>v_50_XNOB</vt:lpstr>
      <vt:lpstr>v_50_XOHO</vt:lpstr>
      <vt:lpstr>v_50_XP_B</vt:lpstr>
      <vt:lpstr>v_50_XP_Be</vt:lpstr>
      <vt:lpstr>v_50_XP_U</vt:lpstr>
      <vt:lpstr>v_50_XPFOA</vt:lpstr>
      <vt:lpstr>v_50_XPFOS</vt:lpstr>
      <vt:lpstr>v_50_XPHA_GAO</vt:lpstr>
      <vt:lpstr>v_50_XPHA_PAO</vt:lpstr>
      <vt:lpstr>v_50_XPP</vt:lpstr>
      <vt:lpstr>v_50_XSTR</vt:lpstr>
      <vt:lpstr>v_50_XU</vt:lpstr>
      <vt:lpstr>v_50_XVivi</vt:lpstr>
      <vt:lpstr>v_51_CB</vt:lpstr>
      <vt:lpstr>v_51_CU</vt:lpstr>
      <vt:lpstr>v_51_GCH4</vt:lpstr>
      <vt:lpstr>v_51_GCH4_atm</vt:lpstr>
      <vt:lpstr>v_51_GCO2</vt:lpstr>
      <vt:lpstr>v_51_GCO2_atm</vt:lpstr>
      <vt:lpstr>v_51_GH2</vt:lpstr>
      <vt:lpstr>v_51_GH2_atm</vt:lpstr>
      <vt:lpstr>v_51_GN2</vt:lpstr>
      <vt:lpstr>v_51_GN2_atm</vt:lpstr>
      <vt:lpstr>v_51_GNH3</vt:lpstr>
      <vt:lpstr>v_51_GNH3_atm</vt:lpstr>
      <vt:lpstr>v_51_GO2</vt:lpstr>
      <vt:lpstr>v_51_GO2_atm</vt:lpstr>
      <vt:lpstr>v_51_SALPHA</vt:lpstr>
      <vt:lpstr>v_51_SAN</vt:lpstr>
      <vt:lpstr>v_51_SB</vt:lpstr>
      <vt:lpstr>v_51_SCa</vt:lpstr>
      <vt:lpstr>v_51_SCAT</vt:lpstr>
      <vt:lpstr>v_51_SCH4</vt:lpstr>
      <vt:lpstr>v_51_SCO2</vt:lpstr>
      <vt:lpstr>v_51_SFe2</vt:lpstr>
      <vt:lpstr>v_51_SH</vt:lpstr>
      <vt:lpstr>v_51_SH2</vt:lpstr>
      <vt:lpstr>v_51_SK</vt:lpstr>
      <vt:lpstr>v_51_SMEOL</vt:lpstr>
      <vt:lpstr>v_51_SMg</vt:lpstr>
      <vt:lpstr>v_51_SN_B</vt:lpstr>
      <vt:lpstr>v_51_SN2</vt:lpstr>
      <vt:lpstr>v_51_SNHx</vt:lpstr>
      <vt:lpstr>v_51_SNO2</vt:lpstr>
      <vt:lpstr>v_51_SNO3</vt:lpstr>
      <vt:lpstr>v_51_SO2</vt:lpstr>
      <vt:lpstr>v_51_SORPswitch</vt:lpstr>
      <vt:lpstr>v_51_SP_B</vt:lpstr>
      <vt:lpstr>v_51_SPFOA</vt:lpstr>
      <vt:lpstr>v_51_SPFOS</vt:lpstr>
      <vt:lpstr>v_51_SPO4</vt:lpstr>
      <vt:lpstr>v_51_SU</vt:lpstr>
      <vt:lpstr>v_51_SVFA</vt:lpstr>
      <vt:lpstr>v_51_XACP</vt:lpstr>
      <vt:lpstr>v_51_XALGAE</vt:lpstr>
      <vt:lpstr>v_51_XAMETO</vt:lpstr>
      <vt:lpstr>v_51_XAMX</vt:lpstr>
      <vt:lpstr>v_51_XAOB</vt:lpstr>
      <vt:lpstr>v_51_XB</vt:lpstr>
      <vt:lpstr>v_51_XB_e</vt:lpstr>
      <vt:lpstr>v_51_XBSH</vt:lpstr>
      <vt:lpstr>v_51_XCaCO3</vt:lpstr>
      <vt:lpstr>v_51_XCASTO</vt:lpstr>
      <vt:lpstr>v_51_XE</vt:lpstr>
      <vt:lpstr>v_51_XE_ana</vt:lpstr>
      <vt:lpstr>v_51_XHAO_H</vt:lpstr>
      <vt:lpstr>v_51_XHAO_H_P</vt:lpstr>
      <vt:lpstr>v_51_XHAO_H_P_old</vt:lpstr>
      <vt:lpstr>v_51_XHAO_L</vt:lpstr>
      <vt:lpstr>v_51_XHAO_L_P</vt:lpstr>
      <vt:lpstr>v_51_XHAO_L_P_old</vt:lpstr>
      <vt:lpstr>v_51_XHAO_old</vt:lpstr>
      <vt:lpstr>v_51_XHFO_H</vt:lpstr>
      <vt:lpstr>v_51_XHFO_H_P</vt:lpstr>
      <vt:lpstr>v_51_XHFO_H_P_old</vt:lpstr>
      <vt:lpstr>v_51_XHFO_L</vt:lpstr>
      <vt:lpstr>v_51_XHFO_L_P</vt:lpstr>
      <vt:lpstr>v_51_XHFO_L_P_old</vt:lpstr>
      <vt:lpstr>v_51_XHFO_old</vt:lpstr>
      <vt:lpstr>v_51_XHMETO</vt:lpstr>
      <vt:lpstr>v_51_XINORG</vt:lpstr>
      <vt:lpstr>v_51_XMEOLO</vt:lpstr>
      <vt:lpstr>v_51_XN_B</vt:lpstr>
      <vt:lpstr>v_51_XN_Be</vt:lpstr>
      <vt:lpstr>v_51_XN_U</vt:lpstr>
      <vt:lpstr>v_51_XNOB</vt:lpstr>
      <vt:lpstr>v_51_XOHO</vt:lpstr>
      <vt:lpstr>v_51_XP_B</vt:lpstr>
      <vt:lpstr>v_51_XP_Be</vt:lpstr>
      <vt:lpstr>v_51_XP_U</vt:lpstr>
      <vt:lpstr>v_51_XPFOA</vt:lpstr>
      <vt:lpstr>v_51_XPFOS</vt:lpstr>
      <vt:lpstr>v_51_XPHA_GAO</vt:lpstr>
      <vt:lpstr>v_51_XPHA_PAO</vt:lpstr>
      <vt:lpstr>v_51_XPP</vt:lpstr>
      <vt:lpstr>v_51_XSTR</vt:lpstr>
      <vt:lpstr>v_51_XU</vt:lpstr>
      <vt:lpstr>v_51_XVivi</vt:lpstr>
      <vt:lpstr>v_52_CB</vt:lpstr>
      <vt:lpstr>v_52_CU</vt:lpstr>
      <vt:lpstr>v_52_GCH4</vt:lpstr>
      <vt:lpstr>v_52_GCH4_atm</vt:lpstr>
      <vt:lpstr>v_52_GCO2</vt:lpstr>
      <vt:lpstr>v_52_GCO2_atm</vt:lpstr>
      <vt:lpstr>v_52_GH2</vt:lpstr>
      <vt:lpstr>v_52_GH2_atm</vt:lpstr>
      <vt:lpstr>v_52_GN2</vt:lpstr>
      <vt:lpstr>v_52_GN2_atm</vt:lpstr>
      <vt:lpstr>v_52_GNH3</vt:lpstr>
      <vt:lpstr>v_52_GNH3_atm</vt:lpstr>
      <vt:lpstr>v_52_GO2</vt:lpstr>
      <vt:lpstr>v_52_GO2_atm</vt:lpstr>
      <vt:lpstr>v_52_SALPHA</vt:lpstr>
      <vt:lpstr>v_52_SAN</vt:lpstr>
      <vt:lpstr>v_52_SB</vt:lpstr>
      <vt:lpstr>v_52_SCa</vt:lpstr>
      <vt:lpstr>v_52_SCAT</vt:lpstr>
      <vt:lpstr>v_52_SCH4</vt:lpstr>
      <vt:lpstr>v_52_SCO2</vt:lpstr>
      <vt:lpstr>v_52_SFe2</vt:lpstr>
      <vt:lpstr>v_52_SH</vt:lpstr>
      <vt:lpstr>v_52_SH2</vt:lpstr>
      <vt:lpstr>v_52_SK</vt:lpstr>
      <vt:lpstr>v_52_SMEOL</vt:lpstr>
      <vt:lpstr>v_52_SMg</vt:lpstr>
      <vt:lpstr>v_52_SN_B</vt:lpstr>
      <vt:lpstr>v_52_SN2</vt:lpstr>
      <vt:lpstr>v_52_SNHx</vt:lpstr>
      <vt:lpstr>v_52_SNO2</vt:lpstr>
      <vt:lpstr>v_52_SNO3</vt:lpstr>
      <vt:lpstr>v_52_SO2</vt:lpstr>
      <vt:lpstr>v_52_SORPswitch</vt:lpstr>
      <vt:lpstr>v_52_SP_B</vt:lpstr>
      <vt:lpstr>v_52_SPFOA</vt:lpstr>
      <vt:lpstr>v_52_SPFOS</vt:lpstr>
      <vt:lpstr>v_52_SPO4</vt:lpstr>
      <vt:lpstr>v_52_SU</vt:lpstr>
      <vt:lpstr>v_52_SVFA</vt:lpstr>
      <vt:lpstr>v_52_XACP</vt:lpstr>
      <vt:lpstr>v_52_XALGAE</vt:lpstr>
      <vt:lpstr>v_52_XAMETO</vt:lpstr>
      <vt:lpstr>v_52_XAMX</vt:lpstr>
      <vt:lpstr>v_52_XAOB</vt:lpstr>
      <vt:lpstr>v_52_XB</vt:lpstr>
      <vt:lpstr>v_52_XB_e</vt:lpstr>
      <vt:lpstr>v_52_XBSH</vt:lpstr>
      <vt:lpstr>v_52_XCaCO3</vt:lpstr>
      <vt:lpstr>v_52_XCASTO</vt:lpstr>
      <vt:lpstr>v_52_XE</vt:lpstr>
      <vt:lpstr>v_52_XE_ana</vt:lpstr>
      <vt:lpstr>v_52_XHAO_H</vt:lpstr>
      <vt:lpstr>v_52_XHAO_H_P</vt:lpstr>
      <vt:lpstr>v_52_XHAO_H_P_old</vt:lpstr>
      <vt:lpstr>v_52_XHAO_L</vt:lpstr>
      <vt:lpstr>v_52_XHAO_L_P</vt:lpstr>
      <vt:lpstr>v_52_XHAO_L_P_old</vt:lpstr>
      <vt:lpstr>v_52_XHAO_old</vt:lpstr>
      <vt:lpstr>v_52_XHFO_H</vt:lpstr>
      <vt:lpstr>v_52_XHFO_H_P</vt:lpstr>
      <vt:lpstr>v_52_XHFO_H_P_old</vt:lpstr>
      <vt:lpstr>v_52_XHFO_L</vt:lpstr>
      <vt:lpstr>v_52_XHFO_L_P</vt:lpstr>
      <vt:lpstr>v_52_XHFO_L_P_old</vt:lpstr>
      <vt:lpstr>v_52_XHFO_old</vt:lpstr>
      <vt:lpstr>v_52_XHMETO</vt:lpstr>
      <vt:lpstr>v_52_XINORG</vt:lpstr>
      <vt:lpstr>v_52_XMEOLO</vt:lpstr>
      <vt:lpstr>v_52_XN_B</vt:lpstr>
      <vt:lpstr>v_52_XN_Be</vt:lpstr>
      <vt:lpstr>v_52_XN_U</vt:lpstr>
      <vt:lpstr>v_52_XNOB</vt:lpstr>
      <vt:lpstr>v_52_XOHO</vt:lpstr>
      <vt:lpstr>v_52_XP_B</vt:lpstr>
      <vt:lpstr>v_52_XP_Be</vt:lpstr>
      <vt:lpstr>v_52_XP_U</vt:lpstr>
      <vt:lpstr>v_52_XPFOA</vt:lpstr>
      <vt:lpstr>v_52_XPFOS</vt:lpstr>
      <vt:lpstr>v_52_XPHA_GAO</vt:lpstr>
      <vt:lpstr>v_52_XPHA_PAO</vt:lpstr>
      <vt:lpstr>v_52_XPP</vt:lpstr>
      <vt:lpstr>v_52_XSTR</vt:lpstr>
      <vt:lpstr>v_52_XU</vt:lpstr>
      <vt:lpstr>v_52_XVivi</vt:lpstr>
      <vt:lpstr>v_53_CB</vt:lpstr>
      <vt:lpstr>v_53_CU</vt:lpstr>
      <vt:lpstr>v_53_GCH4</vt:lpstr>
      <vt:lpstr>v_53_GCH4_atm</vt:lpstr>
      <vt:lpstr>v_53_GCO2</vt:lpstr>
      <vt:lpstr>v_53_GCO2_atm</vt:lpstr>
      <vt:lpstr>v_53_GH2</vt:lpstr>
      <vt:lpstr>v_53_GH2_atm</vt:lpstr>
      <vt:lpstr>v_53_GN2</vt:lpstr>
      <vt:lpstr>v_53_GN2_atm</vt:lpstr>
      <vt:lpstr>v_53_GNH3</vt:lpstr>
      <vt:lpstr>v_53_GNH3_atm</vt:lpstr>
      <vt:lpstr>v_53_GO2</vt:lpstr>
      <vt:lpstr>v_53_GO2_atm</vt:lpstr>
      <vt:lpstr>v_53_SALPHA</vt:lpstr>
      <vt:lpstr>v_53_SAN</vt:lpstr>
      <vt:lpstr>v_53_SB</vt:lpstr>
      <vt:lpstr>v_53_SCa</vt:lpstr>
      <vt:lpstr>v_53_SCAT</vt:lpstr>
      <vt:lpstr>v_53_SCH4</vt:lpstr>
      <vt:lpstr>v_53_SCO2</vt:lpstr>
      <vt:lpstr>v_53_SFe2</vt:lpstr>
      <vt:lpstr>v_53_SH</vt:lpstr>
      <vt:lpstr>v_53_SH2</vt:lpstr>
      <vt:lpstr>v_53_SK</vt:lpstr>
      <vt:lpstr>v_53_SMEOL</vt:lpstr>
      <vt:lpstr>v_53_SMg</vt:lpstr>
      <vt:lpstr>v_53_SN_B</vt:lpstr>
      <vt:lpstr>v_53_SN2</vt:lpstr>
      <vt:lpstr>v_53_SNHx</vt:lpstr>
      <vt:lpstr>v_53_SNO2</vt:lpstr>
      <vt:lpstr>v_53_SNO3</vt:lpstr>
      <vt:lpstr>v_53_SO2</vt:lpstr>
      <vt:lpstr>v_53_SORPswitch</vt:lpstr>
      <vt:lpstr>v_53_SP_B</vt:lpstr>
      <vt:lpstr>v_53_SPFOA</vt:lpstr>
      <vt:lpstr>v_53_SPFOS</vt:lpstr>
      <vt:lpstr>v_53_SPO4</vt:lpstr>
      <vt:lpstr>v_53_SU</vt:lpstr>
      <vt:lpstr>v_53_SVFA</vt:lpstr>
      <vt:lpstr>v_53_XACP</vt:lpstr>
      <vt:lpstr>v_53_XALGAE</vt:lpstr>
      <vt:lpstr>v_53_XAMETO</vt:lpstr>
      <vt:lpstr>v_53_XAMX</vt:lpstr>
      <vt:lpstr>v_53_XAOB</vt:lpstr>
      <vt:lpstr>v_53_XB</vt:lpstr>
      <vt:lpstr>v_53_XB_e</vt:lpstr>
      <vt:lpstr>v_53_XBSH</vt:lpstr>
      <vt:lpstr>v_53_XCaCO3</vt:lpstr>
      <vt:lpstr>v_53_XCASTO</vt:lpstr>
      <vt:lpstr>v_53_XE</vt:lpstr>
      <vt:lpstr>v_53_XE_ana</vt:lpstr>
      <vt:lpstr>v_53_XHAO_H</vt:lpstr>
      <vt:lpstr>v_53_XHAO_H_P</vt:lpstr>
      <vt:lpstr>v_53_XHAO_H_P_old</vt:lpstr>
      <vt:lpstr>v_53_XHAO_L</vt:lpstr>
      <vt:lpstr>v_53_XHAO_L_P</vt:lpstr>
      <vt:lpstr>v_53_XHAO_L_P_old</vt:lpstr>
      <vt:lpstr>v_53_XHAO_old</vt:lpstr>
      <vt:lpstr>v_53_XHFO_H</vt:lpstr>
      <vt:lpstr>v_53_XHFO_H_P</vt:lpstr>
      <vt:lpstr>v_53_XHFO_H_P_old</vt:lpstr>
      <vt:lpstr>v_53_XHFO_L</vt:lpstr>
      <vt:lpstr>v_53_XHFO_L_P</vt:lpstr>
      <vt:lpstr>v_53_XHFO_L_P_old</vt:lpstr>
      <vt:lpstr>v_53_XHFO_old</vt:lpstr>
      <vt:lpstr>v_53_XHMETO</vt:lpstr>
      <vt:lpstr>v_53_XINORG</vt:lpstr>
      <vt:lpstr>v_53_XMEOLO</vt:lpstr>
      <vt:lpstr>v_53_XN_B</vt:lpstr>
      <vt:lpstr>v_53_XN_Be</vt:lpstr>
      <vt:lpstr>v_53_XN_U</vt:lpstr>
      <vt:lpstr>v_53_XNOB</vt:lpstr>
      <vt:lpstr>v_53_XOHO</vt:lpstr>
      <vt:lpstr>v_53_XP_B</vt:lpstr>
      <vt:lpstr>v_53_XP_Be</vt:lpstr>
      <vt:lpstr>v_53_XP_U</vt:lpstr>
      <vt:lpstr>v_53_XPFOA</vt:lpstr>
      <vt:lpstr>v_53_XPFOS</vt:lpstr>
      <vt:lpstr>v_53_XPHA_GAO</vt:lpstr>
      <vt:lpstr>v_53_XPHA_PAO</vt:lpstr>
      <vt:lpstr>v_53_XPP</vt:lpstr>
      <vt:lpstr>v_53_XSTR</vt:lpstr>
      <vt:lpstr>v_53_XU</vt:lpstr>
      <vt:lpstr>v_53_XVivi</vt:lpstr>
      <vt:lpstr>v_54_CB</vt:lpstr>
      <vt:lpstr>v_54_CU</vt:lpstr>
      <vt:lpstr>v_54_GCH4</vt:lpstr>
      <vt:lpstr>v_54_GCH4_atm</vt:lpstr>
      <vt:lpstr>v_54_GCO2</vt:lpstr>
      <vt:lpstr>v_54_GCO2_atm</vt:lpstr>
      <vt:lpstr>v_54_GH2</vt:lpstr>
      <vt:lpstr>v_54_GH2_atm</vt:lpstr>
      <vt:lpstr>v_54_GN2</vt:lpstr>
      <vt:lpstr>v_54_GN2_atm</vt:lpstr>
      <vt:lpstr>v_54_GNH3</vt:lpstr>
      <vt:lpstr>v_54_GNH3_atm</vt:lpstr>
      <vt:lpstr>v_54_GO2</vt:lpstr>
      <vt:lpstr>v_54_GO2_atm</vt:lpstr>
      <vt:lpstr>v_54_SALPHA</vt:lpstr>
      <vt:lpstr>v_54_SAN</vt:lpstr>
      <vt:lpstr>v_54_SB</vt:lpstr>
      <vt:lpstr>v_54_SCa</vt:lpstr>
      <vt:lpstr>v_54_SCAT</vt:lpstr>
      <vt:lpstr>v_54_SCH4</vt:lpstr>
      <vt:lpstr>v_54_SCO2</vt:lpstr>
      <vt:lpstr>v_54_SFe2</vt:lpstr>
      <vt:lpstr>v_54_SH</vt:lpstr>
      <vt:lpstr>v_54_SH2</vt:lpstr>
      <vt:lpstr>v_54_SK</vt:lpstr>
      <vt:lpstr>v_54_SMEOL</vt:lpstr>
      <vt:lpstr>v_54_SMg</vt:lpstr>
      <vt:lpstr>v_54_SN_B</vt:lpstr>
      <vt:lpstr>v_54_SN2</vt:lpstr>
      <vt:lpstr>v_54_SNHx</vt:lpstr>
      <vt:lpstr>v_54_SNO2</vt:lpstr>
      <vt:lpstr>v_54_SNO3</vt:lpstr>
      <vt:lpstr>v_54_SO2</vt:lpstr>
      <vt:lpstr>v_54_SORPswitch</vt:lpstr>
      <vt:lpstr>v_54_SP_B</vt:lpstr>
      <vt:lpstr>v_54_SPFOA</vt:lpstr>
      <vt:lpstr>v_54_SPFOS</vt:lpstr>
      <vt:lpstr>v_54_SPO4</vt:lpstr>
      <vt:lpstr>v_54_SU</vt:lpstr>
      <vt:lpstr>v_54_SVFA</vt:lpstr>
      <vt:lpstr>v_54_XACP</vt:lpstr>
      <vt:lpstr>v_54_XALGAE</vt:lpstr>
      <vt:lpstr>v_54_XAMETO</vt:lpstr>
      <vt:lpstr>v_54_XAMX</vt:lpstr>
      <vt:lpstr>v_54_XAOB</vt:lpstr>
      <vt:lpstr>v_54_XB</vt:lpstr>
      <vt:lpstr>v_54_XB_e</vt:lpstr>
      <vt:lpstr>v_54_XBSH</vt:lpstr>
      <vt:lpstr>v_54_XCaCO3</vt:lpstr>
      <vt:lpstr>v_54_XCASTO</vt:lpstr>
      <vt:lpstr>v_54_XE</vt:lpstr>
      <vt:lpstr>v_54_XE_ana</vt:lpstr>
      <vt:lpstr>v_54_XHAO_H</vt:lpstr>
      <vt:lpstr>v_54_XHAO_H_P</vt:lpstr>
      <vt:lpstr>v_54_XHAO_H_P_old</vt:lpstr>
      <vt:lpstr>v_54_XHAO_L</vt:lpstr>
      <vt:lpstr>v_54_XHAO_L_P</vt:lpstr>
      <vt:lpstr>v_54_XHAO_L_P_old</vt:lpstr>
      <vt:lpstr>v_54_XHAO_old</vt:lpstr>
      <vt:lpstr>v_54_XHFO_H</vt:lpstr>
      <vt:lpstr>v_54_XHFO_H_P</vt:lpstr>
      <vt:lpstr>v_54_XHFO_H_P_old</vt:lpstr>
      <vt:lpstr>v_54_XHFO_L</vt:lpstr>
      <vt:lpstr>v_54_XHFO_L_P</vt:lpstr>
      <vt:lpstr>v_54_XHFO_L_P_old</vt:lpstr>
      <vt:lpstr>v_54_XHFO_old</vt:lpstr>
      <vt:lpstr>v_54_XHMETO</vt:lpstr>
      <vt:lpstr>v_54_XINORG</vt:lpstr>
      <vt:lpstr>v_54_XMEOLO</vt:lpstr>
      <vt:lpstr>v_54_XN_B</vt:lpstr>
      <vt:lpstr>v_54_XN_Be</vt:lpstr>
      <vt:lpstr>v_54_XN_U</vt:lpstr>
      <vt:lpstr>v_54_XNOB</vt:lpstr>
      <vt:lpstr>v_54_XOHO</vt:lpstr>
      <vt:lpstr>v_54_XP_B</vt:lpstr>
      <vt:lpstr>v_54_XP_Be</vt:lpstr>
      <vt:lpstr>v_54_XP_U</vt:lpstr>
      <vt:lpstr>v_54_XPFOA</vt:lpstr>
      <vt:lpstr>v_54_XPFOS</vt:lpstr>
      <vt:lpstr>v_54_XPHA_GAO</vt:lpstr>
      <vt:lpstr>v_54_XPHA_PAO</vt:lpstr>
      <vt:lpstr>v_54_XPP</vt:lpstr>
      <vt:lpstr>v_54_XSTR</vt:lpstr>
      <vt:lpstr>v_54_XU</vt:lpstr>
      <vt:lpstr>v_54_XVivi</vt:lpstr>
      <vt:lpstr>v_55_CB</vt:lpstr>
      <vt:lpstr>v_55_CU</vt:lpstr>
      <vt:lpstr>v_55_GCH4</vt:lpstr>
      <vt:lpstr>v_55_GCH4_atm</vt:lpstr>
      <vt:lpstr>v_55_GCO2</vt:lpstr>
      <vt:lpstr>v_55_GCO2_atm</vt:lpstr>
      <vt:lpstr>v_55_GH2</vt:lpstr>
      <vt:lpstr>v_55_GH2_atm</vt:lpstr>
      <vt:lpstr>v_55_GN2</vt:lpstr>
      <vt:lpstr>v_55_GN2_atm</vt:lpstr>
      <vt:lpstr>v_55_GNH3</vt:lpstr>
      <vt:lpstr>v_55_GNH3_atm</vt:lpstr>
      <vt:lpstr>v_55_GO2</vt:lpstr>
      <vt:lpstr>v_55_GO2_atm</vt:lpstr>
      <vt:lpstr>v_55_SALPHA</vt:lpstr>
      <vt:lpstr>v_55_SAN</vt:lpstr>
      <vt:lpstr>v_55_SB</vt:lpstr>
      <vt:lpstr>v_55_SCa</vt:lpstr>
      <vt:lpstr>v_55_SCAT</vt:lpstr>
      <vt:lpstr>v_55_SCH4</vt:lpstr>
      <vt:lpstr>v_55_SCO2</vt:lpstr>
      <vt:lpstr>v_55_SFe2</vt:lpstr>
      <vt:lpstr>v_55_SH</vt:lpstr>
      <vt:lpstr>v_55_SH2</vt:lpstr>
      <vt:lpstr>v_55_SK</vt:lpstr>
      <vt:lpstr>v_55_SMEOL</vt:lpstr>
      <vt:lpstr>v_55_SMg</vt:lpstr>
      <vt:lpstr>v_55_SN_B</vt:lpstr>
      <vt:lpstr>v_55_SN2</vt:lpstr>
      <vt:lpstr>v_55_SNHx</vt:lpstr>
      <vt:lpstr>v_55_SNO2</vt:lpstr>
      <vt:lpstr>v_55_SNO3</vt:lpstr>
      <vt:lpstr>v_55_SO2</vt:lpstr>
      <vt:lpstr>v_55_SORPswitch</vt:lpstr>
      <vt:lpstr>v_55_SP_B</vt:lpstr>
      <vt:lpstr>v_55_SPFOA</vt:lpstr>
      <vt:lpstr>v_55_SPFOS</vt:lpstr>
      <vt:lpstr>v_55_SPO4</vt:lpstr>
      <vt:lpstr>v_55_SU</vt:lpstr>
      <vt:lpstr>v_55_SVFA</vt:lpstr>
      <vt:lpstr>v_55_XACP</vt:lpstr>
      <vt:lpstr>v_55_XALGAE</vt:lpstr>
      <vt:lpstr>v_55_XAMETO</vt:lpstr>
      <vt:lpstr>v_55_XAMX</vt:lpstr>
      <vt:lpstr>v_55_XAOB</vt:lpstr>
      <vt:lpstr>v_55_XB</vt:lpstr>
      <vt:lpstr>v_55_XB_e</vt:lpstr>
      <vt:lpstr>v_55_XBSH</vt:lpstr>
      <vt:lpstr>v_55_XCaCO3</vt:lpstr>
      <vt:lpstr>v_55_XCASTO</vt:lpstr>
      <vt:lpstr>v_55_XE</vt:lpstr>
      <vt:lpstr>v_55_XE_ana</vt:lpstr>
      <vt:lpstr>v_55_XHAO_H</vt:lpstr>
      <vt:lpstr>v_55_XHAO_H_P</vt:lpstr>
      <vt:lpstr>v_55_XHAO_H_P_old</vt:lpstr>
      <vt:lpstr>v_55_XHAO_L</vt:lpstr>
      <vt:lpstr>v_55_XHAO_L_P</vt:lpstr>
      <vt:lpstr>v_55_XHAO_L_P_old</vt:lpstr>
      <vt:lpstr>v_55_XHAO_old</vt:lpstr>
      <vt:lpstr>v_55_XHFO_H</vt:lpstr>
      <vt:lpstr>v_55_XHFO_H_P</vt:lpstr>
      <vt:lpstr>v_55_XHFO_H_P_old</vt:lpstr>
      <vt:lpstr>v_55_XHFO_L</vt:lpstr>
      <vt:lpstr>v_55_XHFO_L_P</vt:lpstr>
      <vt:lpstr>v_55_XHFO_L_P_old</vt:lpstr>
      <vt:lpstr>v_55_XHFO_old</vt:lpstr>
      <vt:lpstr>v_55_XHMETO</vt:lpstr>
      <vt:lpstr>v_55_XINORG</vt:lpstr>
      <vt:lpstr>v_55_XMEOLO</vt:lpstr>
      <vt:lpstr>v_55_XN_B</vt:lpstr>
      <vt:lpstr>v_55_XN_Be</vt:lpstr>
      <vt:lpstr>v_55_XN_U</vt:lpstr>
      <vt:lpstr>v_55_XNOB</vt:lpstr>
      <vt:lpstr>v_55_XOHO</vt:lpstr>
      <vt:lpstr>v_55_XP_B</vt:lpstr>
      <vt:lpstr>v_55_XP_Be</vt:lpstr>
      <vt:lpstr>v_55_XP_U</vt:lpstr>
      <vt:lpstr>v_55_XPFOA</vt:lpstr>
      <vt:lpstr>v_55_XPFOS</vt:lpstr>
      <vt:lpstr>v_55_XPHA_GAO</vt:lpstr>
      <vt:lpstr>v_55_XPHA_PAO</vt:lpstr>
      <vt:lpstr>v_55_XPP</vt:lpstr>
      <vt:lpstr>v_55_XSTR</vt:lpstr>
      <vt:lpstr>v_55_XU</vt:lpstr>
      <vt:lpstr>v_55_XVivi</vt:lpstr>
      <vt:lpstr>v_56_CB</vt:lpstr>
      <vt:lpstr>v_56_CU</vt:lpstr>
      <vt:lpstr>v_56_GCH4</vt:lpstr>
      <vt:lpstr>v_56_GCH4_atm</vt:lpstr>
      <vt:lpstr>v_56_GCO2</vt:lpstr>
      <vt:lpstr>v_56_GCO2_atm</vt:lpstr>
      <vt:lpstr>v_56_GH2</vt:lpstr>
      <vt:lpstr>v_56_GH2_atm</vt:lpstr>
      <vt:lpstr>v_56_GN2</vt:lpstr>
      <vt:lpstr>v_56_GN2_atm</vt:lpstr>
      <vt:lpstr>v_56_GNH3</vt:lpstr>
      <vt:lpstr>v_56_GNH3_atm</vt:lpstr>
      <vt:lpstr>v_56_GO2</vt:lpstr>
      <vt:lpstr>v_56_GO2_atm</vt:lpstr>
      <vt:lpstr>v_56_SALPHA</vt:lpstr>
      <vt:lpstr>v_56_SAN</vt:lpstr>
      <vt:lpstr>v_56_SB</vt:lpstr>
      <vt:lpstr>v_56_SCa</vt:lpstr>
      <vt:lpstr>v_56_SCAT</vt:lpstr>
      <vt:lpstr>v_56_SCH4</vt:lpstr>
      <vt:lpstr>v_56_SCO2</vt:lpstr>
      <vt:lpstr>v_56_SFe2</vt:lpstr>
      <vt:lpstr>v_56_SH</vt:lpstr>
      <vt:lpstr>v_56_SH2</vt:lpstr>
      <vt:lpstr>v_56_SK</vt:lpstr>
      <vt:lpstr>v_56_SMEOL</vt:lpstr>
      <vt:lpstr>v_56_SMg</vt:lpstr>
      <vt:lpstr>v_56_SN_B</vt:lpstr>
      <vt:lpstr>v_56_SN2</vt:lpstr>
      <vt:lpstr>v_56_SNHx</vt:lpstr>
      <vt:lpstr>v_56_SNO2</vt:lpstr>
      <vt:lpstr>v_56_SNO3</vt:lpstr>
      <vt:lpstr>v_56_SO2</vt:lpstr>
      <vt:lpstr>v_56_SORPswitch</vt:lpstr>
      <vt:lpstr>v_56_SP_B</vt:lpstr>
      <vt:lpstr>v_56_SPFOA</vt:lpstr>
      <vt:lpstr>v_56_SPFOS</vt:lpstr>
      <vt:lpstr>v_56_SPO4</vt:lpstr>
      <vt:lpstr>v_56_SU</vt:lpstr>
      <vt:lpstr>v_56_SVFA</vt:lpstr>
      <vt:lpstr>v_56_XACP</vt:lpstr>
      <vt:lpstr>v_56_XALGAE</vt:lpstr>
      <vt:lpstr>v_56_XAMETO</vt:lpstr>
      <vt:lpstr>v_56_XAMX</vt:lpstr>
      <vt:lpstr>v_56_XAOB</vt:lpstr>
      <vt:lpstr>v_56_XB</vt:lpstr>
      <vt:lpstr>v_56_XB_e</vt:lpstr>
      <vt:lpstr>v_56_XBSH</vt:lpstr>
      <vt:lpstr>v_56_XCaCO3</vt:lpstr>
      <vt:lpstr>v_56_XCASTO</vt:lpstr>
      <vt:lpstr>v_56_XE</vt:lpstr>
      <vt:lpstr>v_56_XE_ana</vt:lpstr>
      <vt:lpstr>v_56_XHAO_H</vt:lpstr>
      <vt:lpstr>v_56_XHAO_H_P</vt:lpstr>
      <vt:lpstr>v_56_XHAO_H_P_old</vt:lpstr>
      <vt:lpstr>v_56_XHAO_L</vt:lpstr>
      <vt:lpstr>v_56_XHAO_L_P</vt:lpstr>
      <vt:lpstr>v_56_XHAO_L_P_old</vt:lpstr>
      <vt:lpstr>v_56_XHAO_old</vt:lpstr>
      <vt:lpstr>v_56_XHFO_H</vt:lpstr>
      <vt:lpstr>v_56_XHFO_H_P</vt:lpstr>
      <vt:lpstr>v_56_XHFO_H_P_old</vt:lpstr>
      <vt:lpstr>v_56_XHFO_L</vt:lpstr>
      <vt:lpstr>v_56_XHFO_L_P</vt:lpstr>
      <vt:lpstr>v_56_XHFO_L_P_old</vt:lpstr>
      <vt:lpstr>v_56_XHFO_old</vt:lpstr>
      <vt:lpstr>v_56_XHMETO</vt:lpstr>
      <vt:lpstr>v_56_XINORG</vt:lpstr>
      <vt:lpstr>v_56_XMEOLO</vt:lpstr>
      <vt:lpstr>v_56_XN_B</vt:lpstr>
      <vt:lpstr>v_56_XN_Be</vt:lpstr>
      <vt:lpstr>v_56_XN_U</vt:lpstr>
      <vt:lpstr>v_56_XNOB</vt:lpstr>
      <vt:lpstr>v_56_XOHO</vt:lpstr>
      <vt:lpstr>v_56_XP_B</vt:lpstr>
      <vt:lpstr>v_56_XP_Be</vt:lpstr>
      <vt:lpstr>v_56_XP_U</vt:lpstr>
      <vt:lpstr>v_56_XPFOA</vt:lpstr>
      <vt:lpstr>v_56_XPFOS</vt:lpstr>
      <vt:lpstr>v_56_XPHA_GAO</vt:lpstr>
      <vt:lpstr>v_56_XPHA_PAO</vt:lpstr>
      <vt:lpstr>v_56_XPP</vt:lpstr>
      <vt:lpstr>v_56_XSTR</vt:lpstr>
      <vt:lpstr>v_56_XU</vt:lpstr>
      <vt:lpstr>v_56_XVivi</vt:lpstr>
      <vt:lpstr>v_57_CB</vt:lpstr>
      <vt:lpstr>v_57_CU</vt:lpstr>
      <vt:lpstr>v_57_GCH4</vt:lpstr>
      <vt:lpstr>v_57_GCH4_atm</vt:lpstr>
      <vt:lpstr>v_57_GCO2</vt:lpstr>
      <vt:lpstr>v_57_GCO2_atm</vt:lpstr>
      <vt:lpstr>v_57_GH2</vt:lpstr>
      <vt:lpstr>v_57_GH2_atm</vt:lpstr>
      <vt:lpstr>v_57_GN2</vt:lpstr>
      <vt:lpstr>v_57_GN2_atm</vt:lpstr>
      <vt:lpstr>v_57_GNH3</vt:lpstr>
      <vt:lpstr>v_57_GNH3_atm</vt:lpstr>
      <vt:lpstr>v_57_GO2</vt:lpstr>
      <vt:lpstr>v_57_GO2_atm</vt:lpstr>
      <vt:lpstr>v_57_SALPHA</vt:lpstr>
      <vt:lpstr>v_57_SAN</vt:lpstr>
      <vt:lpstr>v_57_SB</vt:lpstr>
      <vt:lpstr>v_57_SCa</vt:lpstr>
      <vt:lpstr>v_57_SCAT</vt:lpstr>
      <vt:lpstr>v_57_SCH4</vt:lpstr>
      <vt:lpstr>v_57_SCO2</vt:lpstr>
      <vt:lpstr>v_57_SFe2</vt:lpstr>
      <vt:lpstr>v_57_SH</vt:lpstr>
      <vt:lpstr>v_57_SH2</vt:lpstr>
      <vt:lpstr>v_57_SK</vt:lpstr>
      <vt:lpstr>v_57_SMEOL</vt:lpstr>
      <vt:lpstr>v_57_SMg</vt:lpstr>
      <vt:lpstr>v_57_SN_B</vt:lpstr>
      <vt:lpstr>v_57_SN2</vt:lpstr>
      <vt:lpstr>v_57_SNHx</vt:lpstr>
      <vt:lpstr>v_57_SNO2</vt:lpstr>
      <vt:lpstr>v_57_SNO3</vt:lpstr>
      <vt:lpstr>v_57_SO2</vt:lpstr>
      <vt:lpstr>v_57_SORPswitch</vt:lpstr>
      <vt:lpstr>v_57_SP_B</vt:lpstr>
      <vt:lpstr>v_57_SPFOA</vt:lpstr>
      <vt:lpstr>v_57_SPFOS</vt:lpstr>
      <vt:lpstr>v_57_SPO4</vt:lpstr>
      <vt:lpstr>v_57_SU</vt:lpstr>
      <vt:lpstr>v_57_SVFA</vt:lpstr>
      <vt:lpstr>v_57_XACP</vt:lpstr>
      <vt:lpstr>v_57_XALGAE</vt:lpstr>
      <vt:lpstr>v_57_XAMETO</vt:lpstr>
      <vt:lpstr>v_57_XAMX</vt:lpstr>
      <vt:lpstr>v_57_XAOB</vt:lpstr>
      <vt:lpstr>v_57_XB</vt:lpstr>
      <vt:lpstr>v_57_XB_e</vt:lpstr>
      <vt:lpstr>v_57_XBSH</vt:lpstr>
      <vt:lpstr>v_57_XCaCO3</vt:lpstr>
      <vt:lpstr>v_57_XCASTO</vt:lpstr>
      <vt:lpstr>v_57_XE</vt:lpstr>
      <vt:lpstr>v_57_XE_ana</vt:lpstr>
      <vt:lpstr>v_57_XHAO_H</vt:lpstr>
      <vt:lpstr>v_57_XHAO_H_P</vt:lpstr>
      <vt:lpstr>v_57_XHAO_H_P_old</vt:lpstr>
      <vt:lpstr>v_57_XHAO_L</vt:lpstr>
      <vt:lpstr>v_57_XHAO_L_P</vt:lpstr>
      <vt:lpstr>v_57_XHAO_L_P_old</vt:lpstr>
      <vt:lpstr>v_57_XHAO_old</vt:lpstr>
      <vt:lpstr>v_57_XHFO_H</vt:lpstr>
      <vt:lpstr>v_57_XHFO_H_P</vt:lpstr>
      <vt:lpstr>v_57_XHFO_H_P_old</vt:lpstr>
      <vt:lpstr>v_57_XHFO_L</vt:lpstr>
      <vt:lpstr>v_57_XHFO_L_P</vt:lpstr>
      <vt:lpstr>v_57_XHFO_L_P_old</vt:lpstr>
      <vt:lpstr>v_57_XHFO_old</vt:lpstr>
      <vt:lpstr>v_57_XHMETO</vt:lpstr>
      <vt:lpstr>v_57_XINORG</vt:lpstr>
      <vt:lpstr>v_57_XMEOLO</vt:lpstr>
      <vt:lpstr>v_57_XN_B</vt:lpstr>
      <vt:lpstr>v_57_XN_Be</vt:lpstr>
      <vt:lpstr>v_57_XN_U</vt:lpstr>
      <vt:lpstr>v_57_XNOB</vt:lpstr>
      <vt:lpstr>v_57_XOHO</vt:lpstr>
      <vt:lpstr>v_57_XP_B</vt:lpstr>
      <vt:lpstr>v_57_XP_Be</vt:lpstr>
      <vt:lpstr>v_57_XP_U</vt:lpstr>
      <vt:lpstr>v_57_XPFOA</vt:lpstr>
      <vt:lpstr>v_57_XPFOS</vt:lpstr>
      <vt:lpstr>v_57_XPHA_GAO</vt:lpstr>
      <vt:lpstr>v_57_XPHA_PAO</vt:lpstr>
      <vt:lpstr>v_57_XPP</vt:lpstr>
      <vt:lpstr>v_57_XSTR</vt:lpstr>
      <vt:lpstr>v_57_XU</vt:lpstr>
      <vt:lpstr>v_57_XVivi</vt:lpstr>
      <vt:lpstr>v_58_CB</vt:lpstr>
      <vt:lpstr>v_58_CU</vt:lpstr>
      <vt:lpstr>v_58_GCH4</vt:lpstr>
      <vt:lpstr>v_58_GCH4_atm</vt:lpstr>
      <vt:lpstr>v_58_GCO2</vt:lpstr>
      <vt:lpstr>v_58_GCO2_atm</vt:lpstr>
      <vt:lpstr>v_58_GH2</vt:lpstr>
      <vt:lpstr>v_58_GH2_atm</vt:lpstr>
      <vt:lpstr>v_58_GN2</vt:lpstr>
      <vt:lpstr>v_58_GN2_atm</vt:lpstr>
      <vt:lpstr>v_58_GNH3</vt:lpstr>
      <vt:lpstr>v_58_GNH3_atm</vt:lpstr>
      <vt:lpstr>v_58_GO2</vt:lpstr>
      <vt:lpstr>v_58_GO2_atm</vt:lpstr>
      <vt:lpstr>v_58_SALPHA</vt:lpstr>
      <vt:lpstr>v_58_SAN</vt:lpstr>
      <vt:lpstr>v_58_SB</vt:lpstr>
      <vt:lpstr>v_58_SCa</vt:lpstr>
      <vt:lpstr>v_58_SCAT</vt:lpstr>
      <vt:lpstr>v_58_SCH4</vt:lpstr>
      <vt:lpstr>v_58_SCO2</vt:lpstr>
      <vt:lpstr>v_58_SFe2</vt:lpstr>
      <vt:lpstr>v_58_SH</vt:lpstr>
      <vt:lpstr>v_58_SH2</vt:lpstr>
      <vt:lpstr>v_58_SK</vt:lpstr>
      <vt:lpstr>v_58_SMEOL</vt:lpstr>
      <vt:lpstr>v_58_SMg</vt:lpstr>
      <vt:lpstr>v_58_SN_B</vt:lpstr>
      <vt:lpstr>v_58_SN2</vt:lpstr>
      <vt:lpstr>v_58_SNHx</vt:lpstr>
      <vt:lpstr>v_58_SNO2</vt:lpstr>
      <vt:lpstr>v_58_SNO3</vt:lpstr>
      <vt:lpstr>v_58_SO2</vt:lpstr>
      <vt:lpstr>v_58_SORPswitch</vt:lpstr>
      <vt:lpstr>v_58_SP_B</vt:lpstr>
      <vt:lpstr>v_58_SPFOA</vt:lpstr>
      <vt:lpstr>v_58_SPFOS</vt:lpstr>
      <vt:lpstr>v_58_SPO4</vt:lpstr>
      <vt:lpstr>v_58_SU</vt:lpstr>
      <vt:lpstr>v_58_SVFA</vt:lpstr>
      <vt:lpstr>v_58_XACP</vt:lpstr>
      <vt:lpstr>v_58_XALGAE</vt:lpstr>
      <vt:lpstr>v_58_XAMETO</vt:lpstr>
      <vt:lpstr>v_58_XAMX</vt:lpstr>
      <vt:lpstr>v_58_XAOB</vt:lpstr>
      <vt:lpstr>v_58_XB</vt:lpstr>
      <vt:lpstr>v_58_XB_e</vt:lpstr>
      <vt:lpstr>v_58_XBSH</vt:lpstr>
      <vt:lpstr>v_58_XCaCO3</vt:lpstr>
      <vt:lpstr>v_58_XCASTO</vt:lpstr>
      <vt:lpstr>v_58_XE</vt:lpstr>
      <vt:lpstr>v_58_XE_ana</vt:lpstr>
      <vt:lpstr>v_58_XHAO_H</vt:lpstr>
      <vt:lpstr>v_58_XHAO_H_P</vt:lpstr>
      <vt:lpstr>v_58_XHAO_H_P_old</vt:lpstr>
      <vt:lpstr>v_58_XHAO_L</vt:lpstr>
      <vt:lpstr>v_58_XHAO_L_P</vt:lpstr>
      <vt:lpstr>v_58_XHAO_L_P_old</vt:lpstr>
      <vt:lpstr>v_58_XHAO_old</vt:lpstr>
      <vt:lpstr>v_58_XHFO_H</vt:lpstr>
      <vt:lpstr>v_58_XHFO_H_P</vt:lpstr>
      <vt:lpstr>v_58_XHFO_H_P_old</vt:lpstr>
      <vt:lpstr>v_58_XHFO_L</vt:lpstr>
      <vt:lpstr>v_58_XHFO_L_P</vt:lpstr>
      <vt:lpstr>v_58_XHFO_L_P_old</vt:lpstr>
      <vt:lpstr>v_58_XHFO_old</vt:lpstr>
      <vt:lpstr>v_58_XHMETO</vt:lpstr>
      <vt:lpstr>v_58_XINORG</vt:lpstr>
      <vt:lpstr>v_58_XMEOLO</vt:lpstr>
      <vt:lpstr>v_58_XN_B</vt:lpstr>
      <vt:lpstr>v_58_XN_Be</vt:lpstr>
      <vt:lpstr>v_58_XN_U</vt:lpstr>
      <vt:lpstr>v_58_XNOB</vt:lpstr>
      <vt:lpstr>v_58_XOHO</vt:lpstr>
      <vt:lpstr>v_58_XP_B</vt:lpstr>
      <vt:lpstr>v_58_XP_Be</vt:lpstr>
      <vt:lpstr>v_58_XP_U</vt:lpstr>
      <vt:lpstr>v_58_XPFOA</vt:lpstr>
      <vt:lpstr>v_58_XPFOS</vt:lpstr>
      <vt:lpstr>v_58_XPHA_GAO</vt:lpstr>
      <vt:lpstr>v_58_XPHA_PAO</vt:lpstr>
      <vt:lpstr>v_58_XPP</vt:lpstr>
      <vt:lpstr>v_58_XSTR</vt:lpstr>
      <vt:lpstr>v_58_XU</vt:lpstr>
      <vt:lpstr>v_58_XVivi</vt:lpstr>
      <vt:lpstr>v_59_CB</vt:lpstr>
      <vt:lpstr>v_59_CU</vt:lpstr>
      <vt:lpstr>v_59_GCH4</vt:lpstr>
      <vt:lpstr>v_59_GCH4_atm</vt:lpstr>
      <vt:lpstr>v_59_GCO2</vt:lpstr>
      <vt:lpstr>v_59_GCO2_atm</vt:lpstr>
      <vt:lpstr>v_59_GH2</vt:lpstr>
      <vt:lpstr>v_59_GH2_atm</vt:lpstr>
      <vt:lpstr>v_59_GN2</vt:lpstr>
      <vt:lpstr>v_59_GN2_atm</vt:lpstr>
      <vt:lpstr>v_59_GNH3</vt:lpstr>
      <vt:lpstr>v_59_GNH3_atm</vt:lpstr>
      <vt:lpstr>v_59_GO2</vt:lpstr>
      <vt:lpstr>v_59_GO2_atm</vt:lpstr>
      <vt:lpstr>v_59_SALPHA</vt:lpstr>
      <vt:lpstr>v_59_SAN</vt:lpstr>
      <vt:lpstr>v_59_SB</vt:lpstr>
      <vt:lpstr>v_59_SCa</vt:lpstr>
      <vt:lpstr>v_59_SCAT</vt:lpstr>
      <vt:lpstr>v_59_SCH4</vt:lpstr>
      <vt:lpstr>v_59_SCO2</vt:lpstr>
      <vt:lpstr>v_59_SFe2</vt:lpstr>
      <vt:lpstr>v_59_SH</vt:lpstr>
      <vt:lpstr>v_59_SH2</vt:lpstr>
      <vt:lpstr>v_59_SK</vt:lpstr>
      <vt:lpstr>v_59_SMEOL</vt:lpstr>
      <vt:lpstr>v_59_SMg</vt:lpstr>
      <vt:lpstr>v_59_SN_B</vt:lpstr>
      <vt:lpstr>v_59_SN2</vt:lpstr>
      <vt:lpstr>v_59_SNHx</vt:lpstr>
      <vt:lpstr>v_59_SNO2</vt:lpstr>
      <vt:lpstr>v_59_SNO3</vt:lpstr>
      <vt:lpstr>v_59_SO2</vt:lpstr>
      <vt:lpstr>v_59_SORPswitch</vt:lpstr>
      <vt:lpstr>v_59_SP_B</vt:lpstr>
      <vt:lpstr>v_59_SPFOA</vt:lpstr>
      <vt:lpstr>v_59_SPFOS</vt:lpstr>
      <vt:lpstr>v_59_SPO4</vt:lpstr>
      <vt:lpstr>v_59_SU</vt:lpstr>
      <vt:lpstr>v_59_SVFA</vt:lpstr>
      <vt:lpstr>v_59_XACP</vt:lpstr>
      <vt:lpstr>v_59_XALGAE</vt:lpstr>
      <vt:lpstr>v_59_XAMETO</vt:lpstr>
      <vt:lpstr>v_59_XAMX</vt:lpstr>
      <vt:lpstr>v_59_XAOB</vt:lpstr>
      <vt:lpstr>v_59_XB</vt:lpstr>
      <vt:lpstr>v_59_XB_e</vt:lpstr>
      <vt:lpstr>v_59_XBSH</vt:lpstr>
      <vt:lpstr>v_59_XCaCO3</vt:lpstr>
      <vt:lpstr>v_59_XCASTO</vt:lpstr>
      <vt:lpstr>v_59_XE</vt:lpstr>
      <vt:lpstr>v_59_XE_ana</vt:lpstr>
      <vt:lpstr>v_59_XHAO_H</vt:lpstr>
      <vt:lpstr>v_59_XHAO_H_P</vt:lpstr>
      <vt:lpstr>v_59_XHAO_H_P_old</vt:lpstr>
      <vt:lpstr>v_59_XHAO_L</vt:lpstr>
      <vt:lpstr>v_59_XHAO_L_P</vt:lpstr>
      <vt:lpstr>v_59_XHAO_L_P_old</vt:lpstr>
      <vt:lpstr>v_59_XHAO_old</vt:lpstr>
      <vt:lpstr>v_59_XHFO_H</vt:lpstr>
      <vt:lpstr>v_59_XHFO_H_P</vt:lpstr>
      <vt:lpstr>v_59_XHFO_H_P_old</vt:lpstr>
      <vt:lpstr>v_59_XHFO_L</vt:lpstr>
      <vt:lpstr>v_59_XHFO_L_P</vt:lpstr>
      <vt:lpstr>v_59_XHFO_L_P_old</vt:lpstr>
      <vt:lpstr>v_59_XHFO_old</vt:lpstr>
      <vt:lpstr>v_59_XHMETO</vt:lpstr>
      <vt:lpstr>v_59_XINORG</vt:lpstr>
      <vt:lpstr>v_59_XMEOLO</vt:lpstr>
      <vt:lpstr>v_59_XN_B</vt:lpstr>
      <vt:lpstr>v_59_XN_Be</vt:lpstr>
      <vt:lpstr>v_59_XN_U</vt:lpstr>
      <vt:lpstr>v_59_XNOB</vt:lpstr>
      <vt:lpstr>v_59_XOHO</vt:lpstr>
      <vt:lpstr>v_59_XP_B</vt:lpstr>
      <vt:lpstr>v_59_XP_Be</vt:lpstr>
      <vt:lpstr>v_59_XP_U</vt:lpstr>
      <vt:lpstr>v_59_XPFOA</vt:lpstr>
      <vt:lpstr>v_59_XPFOS</vt:lpstr>
      <vt:lpstr>v_59_XPHA_GAO</vt:lpstr>
      <vt:lpstr>v_59_XPHA_PAO</vt:lpstr>
      <vt:lpstr>v_59_XPP</vt:lpstr>
      <vt:lpstr>v_59_XSTR</vt:lpstr>
      <vt:lpstr>v_59_XU</vt:lpstr>
      <vt:lpstr>v_59_XVivi</vt:lpstr>
      <vt:lpstr>v_6_CB</vt:lpstr>
      <vt:lpstr>v_6_CU</vt:lpstr>
      <vt:lpstr>v_6_GCH4</vt:lpstr>
      <vt:lpstr>v_6_GCH4_atm</vt:lpstr>
      <vt:lpstr>v_6_GCO2</vt:lpstr>
      <vt:lpstr>v_6_GCO2_atm</vt:lpstr>
      <vt:lpstr>v_6_GH2</vt:lpstr>
      <vt:lpstr>v_6_GH2_atm</vt:lpstr>
      <vt:lpstr>v_6_GN2</vt:lpstr>
      <vt:lpstr>v_6_GN2_atm</vt:lpstr>
      <vt:lpstr>v_6_GNH3</vt:lpstr>
      <vt:lpstr>v_6_GNH3_atm</vt:lpstr>
      <vt:lpstr>v_6_GO2</vt:lpstr>
      <vt:lpstr>v_6_GO2_atm</vt:lpstr>
      <vt:lpstr>v_6_SALPHA</vt:lpstr>
      <vt:lpstr>v_6_SAN</vt:lpstr>
      <vt:lpstr>v_6_SB</vt:lpstr>
      <vt:lpstr>v_6_SCa</vt:lpstr>
      <vt:lpstr>v_6_SCAT</vt:lpstr>
      <vt:lpstr>v_6_SCH4</vt:lpstr>
      <vt:lpstr>v_6_SCO2</vt:lpstr>
      <vt:lpstr>v_6_SFe2</vt:lpstr>
      <vt:lpstr>v_6_SH</vt:lpstr>
      <vt:lpstr>v_6_SH2</vt:lpstr>
      <vt:lpstr>v_6_SK</vt:lpstr>
      <vt:lpstr>v_6_SMEOL</vt:lpstr>
      <vt:lpstr>v_6_SMg</vt:lpstr>
      <vt:lpstr>v_6_SN_B</vt:lpstr>
      <vt:lpstr>v_6_SN2</vt:lpstr>
      <vt:lpstr>v_6_SNHx</vt:lpstr>
      <vt:lpstr>v_6_SNO2</vt:lpstr>
      <vt:lpstr>v_6_SNO3</vt:lpstr>
      <vt:lpstr>v_6_SO2</vt:lpstr>
      <vt:lpstr>v_6_SORPswitch</vt:lpstr>
      <vt:lpstr>v_6_SP_B</vt:lpstr>
      <vt:lpstr>v_6_SPFOA</vt:lpstr>
      <vt:lpstr>v_6_SPFOS</vt:lpstr>
      <vt:lpstr>v_6_SPO4</vt:lpstr>
      <vt:lpstr>v_6_SU</vt:lpstr>
      <vt:lpstr>v_6_SVFA</vt:lpstr>
      <vt:lpstr>v_6_XACP</vt:lpstr>
      <vt:lpstr>v_6_XALGAE</vt:lpstr>
      <vt:lpstr>v_6_XAMETO</vt:lpstr>
      <vt:lpstr>v_6_XAMX</vt:lpstr>
      <vt:lpstr>v_6_XAOB</vt:lpstr>
      <vt:lpstr>v_6_XB</vt:lpstr>
      <vt:lpstr>v_6_XB_e</vt:lpstr>
      <vt:lpstr>v_6_XBSH</vt:lpstr>
      <vt:lpstr>v_6_XCaCO3</vt:lpstr>
      <vt:lpstr>v_6_XCASTO</vt:lpstr>
      <vt:lpstr>v_6_XE</vt:lpstr>
      <vt:lpstr>v_6_XE_ana</vt:lpstr>
      <vt:lpstr>v_6_XHAO_H</vt:lpstr>
      <vt:lpstr>v_6_XHAO_H_P</vt:lpstr>
      <vt:lpstr>v_6_XHAO_H_P_old</vt:lpstr>
      <vt:lpstr>v_6_XHAO_L</vt:lpstr>
      <vt:lpstr>v_6_XHAO_L_P</vt:lpstr>
      <vt:lpstr>v_6_XHAO_L_P_old</vt:lpstr>
      <vt:lpstr>v_6_XHAO_old</vt:lpstr>
      <vt:lpstr>v_6_XHFO_H</vt:lpstr>
      <vt:lpstr>v_6_XHFO_H_P</vt:lpstr>
      <vt:lpstr>v_6_XHFO_H_P_old</vt:lpstr>
      <vt:lpstr>v_6_XHFO_L</vt:lpstr>
      <vt:lpstr>v_6_XHFO_L_P</vt:lpstr>
      <vt:lpstr>v_6_XHFO_L_P_old</vt:lpstr>
      <vt:lpstr>v_6_XHFO_old</vt:lpstr>
      <vt:lpstr>v_6_XHMETO</vt:lpstr>
      <vt:lpstr>v_6_XINORG</vt:lpstr>
      <vt:lpstr>v_6_XMEOLO</vt:lpstr>
      <vt:lpstr>v_6_XN_B</vt:lpstr>
      <vt:lpstr>v_6_XN_Be</vt:lpstr>
      <vt:lpstr>v_6_XN_U</vt:lpstr>
      <vt:lpstr>v_6_XNOB</vt:lpstr>
      <vt:lpstr>v_6_XOHO</vt:lpstr>
      <vt:lpstr>v_6_XP_B</vt:lpstr>
      <vt:lpstr>v_6_XP_Be</vt:lpstr>
      <vt:lpstr>v_6_XP_U</vt:lpstr>
      <vt:lpstr>v_6_XPFOA</vt:lpstr>
      <vt:lpstr>v_6_XPFOS</vt:lpstr>
      <vt:lpstr>v_6_XPHA_GAO</vt:lpstr>
      <vt:lpstr>v_6_XPHA_PAO</vt:lpstr>
      <vt:lpstr>v_6_XPP</vt:lpstr>
      <vt:lpstr>v_6_XSTR</vt:lpstr>
      <vt:lpstr>v_6_XU</vt:lpstr>
      <vt:lpstr>v_6_XVivi</vt:lpstr>
      <vt:lpstr>v_60_CB</vt:lpstr>
      <vt:lpstr>v_60_CU</vt:lpstr>
      <vt:lpstr>v_60_GCH4</vt:lpstr>
      <vt:lpstr>v_60_GCH4_atm</vt:lpstr>
      <vt:lpstr>v_60_GCO2</vt:lpstr>
      <vt:lpstr>v_60_GCO2_atm</vt:lpstr>
      <vt:lpstr>v_60_GH2</vt:lpstr>
      <vt:lpstr>v_60_GH2_atm</vt:lpstr>
      <vt:lpstr>v_60_GN2</vt:lpstr>
      <vt:lpstr>v_60_GN2_atm</vt:lpstr>
      <vt:lpstr>v_60_GNH3</vt:lpstr>
      <vt:lpstr>v_60_GNH3_atm</vt:lpstr>
      <vt:lpstr>v_60_GO2</vt:lpstr>
      <vt:lpstr>v_60_GO2_atm</vt:lpstr>
      <vt:lpstr>v_60_SALPHA</vt:lpstr>
      <vt:lpstr>v_60_SAN</vt:lpstr>
      <vt:lpstr>v_60_SB</vt:lpstr>
      <vt:lpstr>v_60_SCa</vt:lpstr>
      <vt:lpstr>v_60_SCAT</vt:lpstr>
      <vt:lpstr>v_60_SCH4</vt:lpstr>
      <vt:lpstr>v_60_SCO2</vt:lpstr>
      <vt:lpstr>v_60_SFe2</vt:lpstr>
      <vt:lpstr>v_60_SH</vt:lpstr>
      <vt:lpstr>v_60_SH2</vt:lpstr>
      <vt:lpstr>v_60_SK</vt:lpstr>
      <vt:lpstr>v_60_SMEOL</vt:lpstr>
      <vt:lpstr>v_60_SMg</vt:lpstr>
      <vt:lpstr>v_60_SN_B</vt:lpstr>
      <vt:lpstr>v_60_SN2</vt:lpstr>
      <vt:lpstr>v_60_SNHx</vt:lpstr>
      <vt:lpstr>v_60_SNO2</vt:lpstr>
      <vt:lpstr>v_60_SNO3</vt:lpstr>
      <vt:lpstr>v_60_SO2</vt:lpstr>
      <vt:lpstr>v_60_SORPswitch</vt:lpstr>
      <vt:lpstr>v_60_SP_B</vt:lpstr>
      <vt:lpstr>v_60_SPFOA</vt:lpstr>
      <vt:lpstr>v_60_SPFOS</vt:lpstr>
      <vt:lpstr>v_60_SPO4</vt:lpstr>
      <vt:lpstr>v_60_SU</vt:lpstr>
      <vt:lpstr>v_60_SVFA</vt:lpstr>
      <vt:lpstr>v_60_XACP</vt:lpstr>
      <vt:lpstr>v_60_XALGAE</vt:lpstr>
      <vt:lpstr>v_60_XAMETO</vt:lpstr>
      <vt:lpstr>v_60_XAMX</vt:lpstr>
      <vt:lpstr>v_60_XAOB</vt:lpstr>
      <vt:lpstr>v_60_XB</vt:lpstr>
      <vt:lpstr>v_60_XB_e</vt:lpstr>
      <vt:lpstr>v_60_XBSH</vt:lpstr>
      <vt:lpstr>v_60_XCaCO3</vt:lpstr>
      <vt:lpstr>v_60_XCASTO</vt:lpstr>
      <vt:lpstr>v_60_XE</vt:lpstr>
      <vt:lpstr>v_60_XE_ana</vt:lpstr>
      <vt:lpstr>v_60_XHAO_H</vt:lpstr>
      <vt:lpstr>v_60_XHAO_H_P</vt:lpstr>
      <vt:lpstr>v_60_XHAO_H_P_old</vt:lpstr>
      <vt:lpstr>v_60_XHAO_L</vt:lpstr>
      <vt:lpstr>v_60_XHAO_L_P</vt:lpstr>
      <vt:lpstr>v_60_XHAO_L_P_old</vt:lpstr>
      <vt:lpstr>v_60_XHAO_old</vt:lpstr>
      <vt:lpstr>v_60_XHFO_H</vt:lpstr>
      <vt:lpstr>v_60_XHFO_H_P</vt:lpstr>
      <vt:lpstr>v_60_XHFO_H_P_old</vt:lpstr>
      <vt:lpstr>v_60_XHFO_L</vt:lpstr>
      <vt:lpstr>v_60_XHFO_L_P</vt:lpstr>
      <vt:lpstr>v_60_XHFO_L_P_old</vt:lpstr>
      <vt:lpstr>v_60_XHFO_old</vt:lpstr>
      <vt:lpstr>v_60_XHMETO</vt:lpstr>
      <vt:lpstr>v_60_XINORG</vt:lpstr>
      <vt:lpstr>v_60_XMEOLO</vt:lpstr>
      <vt:lpstr>v_60_XN_B</vt:lpstr>
      <vt:lpstr>v_60_XN_Be</vt:lpstr>
      <vt:lpstr>v_60_XN_U</vt:lpstr>
      <vt:lpstr>v_60_XNOB</vt:lpstr>
      <vt:lpstr>v_60_XOHO</vt:lpstr>
      <vt:lpstr>v_60_XP_B</vt:lpstr>
      <vt:lpstr>v_60_XP_Be</vt:lpstr>
      <vt:lpstr>v_60_XP_U</vt:lpstr>
      <vt:lpstr>v_60_XPFOA</vt:lpstr>
      <vt:lpstr>v_60_XPFOS</vt:lpstr>
      <vt:lpstr>v_60_XPHA_GAO</vt:lpstr>
      <vt:lpstr>v_60_XPHA_PAO</vt:lpstr>
      <vt:lpstr>v_60_XPP</vt:lpstr>
      <vt:lpstr>v_60_XSTR</vt:lpstr>
      <vt:lpstr>v_60_XU</vt:lpstr>
      <vt:lpstr>v_60_XVivi</vt:lpstr>
      <vt:lpstr>v_61_CB</vt:lpstr>
      <vt:lpstr>v_61_CU</vt:lpstr>
      <vt:lpstr>v_61_GCH4</vt:lpstr>
      <vt:lpstr>v_61_GCH4_atm</vt:lpstr>
      <vt:lpstr>v_61_GCO2</vt:lpstr>
      <vt:lpstr>v_61_GCO2_atm</vt:lpstr>
      <vt:lpstr>v_61_GH2</vt:lpstr>
      <vt:lpstr>v_61_GH2_atm</vt:lpstr>
      <vt:lpstr>v_61_GN2</vt:lpstr>
      <vt:lpstr>v_61_GN2_atm</vt:lpstr>
      <vt:lpstr>v_61_GNH3</vt:lpstr>
      <vt:lpstr>v_61_GNH3_atm</vt:lpstr>
      <vt:lpstr>v_61_GO2</vt:lpstr>
      <vt:lpstr>v_61_GO2_atm</vt:lpstr>
      <vt:lpstr>v_61_SALPHA</vt:lpstr>
      <vt:lpstr>v_61_SAN</vt:lpstr>
      <vt:lpstr>v_61_SB</vt:lpstr>
      <vt:lpstr>v_61_SCa</vt:lpstr>
      <vt:lpstr>v_61_SCAT</vt:lpstr>
      <vt:lpstr>v_61_SCH4</vt:lpstr>
      <vt:lpstr>v_61_SCO2</vt:lpstr>
      <vt:lpstr>v_61_SFe2</vt:lpstr>
      <vt:lpstr>v_61_SH</vt:lpstr>
      <vt:lpstr>v_61_SH2</vt:lpstr>
      <vt:lpstr>v_61_SK</vt:lpstr>
      <vt:lpstr>v_61_SMEOL</vt:lpstr>
      <vt:lpstr>v_61_SMg</vt:lpstr>
      <vt:lpstr>v_61_SN_B</vt:lpstr>
      <vt:lpstr>v_61_SN2</vt:lpstr>
      <vt:lpstr>v_61_SNHx</vt:lpstr>
      <vt:lpstr>v_61_SNO2</vt:lpstr>
      <vt:lpstr>v_61_SNO3</vt:lpstr>
      <vt:lpstr>v_61_SO2</vt:lpstr>
      <vt:lpstr>v_61_SORPswitch</vt:lpstr>
      <vt:lpstr>v_61_SP_B</vt:lpstr>
      <vt:lpstr>v_61_SPFOA</vt:lpstr>
      <vt:lpstr>v_61_SPFOS</vt:lpstr>
      <vt:lpstr>v_61_SPO4</vt:lpstr>
      <vt:lpstr>v_61_SU</vt:lpstr>
      <vt:lpstr>v_61_SVFA</vt:lpstr>
      <vt:lpstr>v_61_XACP</vt:lpstr>
      <vt:lpstr>v_61_XALGAE</vt:lpstr>
      <vt:lpstr>v_61_XAMETO</vt:lpstr>
      <vt:lpstr>v_61_XAMX</vt:lpstr>
      <vt:lpstr>v_61_XAOB</vt:lpstr>
      <vt:lpstr>v_61_XB</vt:lpstr>
      <vt:lpstr>v_61_XB_e</vt:lpstr>
      <vt:lpstr>v_61_XBSH</vt:lpstr>
      <vt:lpstr>v_61_XCaCO3</vt:lpstr>
      <vt:lpstr>v_61_XCASTO</vt:lpstr>
      <vt:lpstr>v_61_XE</vt:lpstr>
      <vt:lpstr>v_61_XE_ana</vt:lpstr>
      <vt:lpstr>v_61_XHAO_H</vt:lpstr>
      <vt:lpstr>v_61_XHAO_H_P</vt:lpstr>
      <vt:lpstr>v_61_XHAO_H_P_old</vt:lpstr>
      <vt:lpstr>v_61_XHAO_L</vt:lpstr>
      <vt:lpstr>v_61_XHAO_L_P</vt:lpstr>
      <vt:lpstr>v_61_XHAO_L_P_old</vt:lpstr>
      <vt:lpstr>v_61_XHAO_old</vt:lpstr>
      <vt:lpstr>v_61_XHFO_H</vt:lpstr>
      <vt:lpstr>v_61_XHFO_H_P</vt:lpstr>
      <vt:lpstr>v_61_XHFO_H_P_old</vt:lpstr>
      <vt:lpstr>v_61_XHFO_L</vt:lpstr>
      <vt:lpstr>v_61_XHFO_L_P</vt:lpstr>
      <vt:lpstr>v_61_XHFO_L_P_old</vt:lpstr>
      <vt:lpstr>v_61_XHFO_old</vt:lpstr>
      <vt:lpstr>v_61_XHMETO</vt:lpstr>
      <vt:lpstr>v_61_XINORG</vt:lpstr>
      <vt:lpstr>v_61_XMEOLO</vt:lpstr>
      <vt:lpstr>v_61_XN_B</vt:lpstr>
      <vt:lpstr>v_61_XN_Be</vt:lpstr>
      <vt:lpstr>v_61_XN_U</vt:lpstr>
      <vt:lpstr>v_61_XNOB</vt:lpstr>
      <vt:lpstr>v_61_XOHO</vt:lpstr>
      <vt:lpstr>v_61_XP_B</vt:lpstr>
      <vt:lpstr>v_61_XP_Be</vt:lpstr>
      <vt:lpstr>v_61_XP_U</vt:lpstr>
      <vt:lpstr>v_61_XPFOA</vt:lpstr>
      <vt:lpstr>v_61_XPFOS</vt:lpstr>
      <vt:lpstr>v_61_XPHA_GAO</vt:lpstr>
      <vt:lpstr>v_61_XPHA_PAO</vt:lpstr>
      <vt:lpstr>v_61_XPP</vt:lpstr>
      <vt:lpstr>v_61_XSTR</vt:lpstr>
      <vt:lpstr>v_61_XU</vt:lpstr>
      <vt:lpstr>v_61_XVivi</vt:lpstr>
      <vt:lpstr>v_62_CB</vt:lpstr>
      <vt:lpstr>v_62_CU</vt:lpstr>
      <vt:lpstr>v_62_GCH4</vt:lpstr>
      <vt:lpstr>v_62_GCH4_atm</vt:lpstr>
      <vt:lpstr>v_62_GCO2</vt:lpstr>
      <vt:lpstr>v_62_GCO2_atm</vt:lpstr>
      <vt:lpstr>v_62_GH2</vt:lpstr>
      <vt:lpstr>v_62_GH2_atm</vt:lpstr>
      <vt:lpstr>v_62_GN2</vt:lpstr>
      <vt:lpstr>v_62_GN2_atm</vt:lpstr>
      <vt:lpstr>v_62_GNH3</vt:lpstr>
      <vt:lpstr>v_62_GNH3_atm</vt:lpstr>
      <vt:lpstr>v_62_GO2</vt:lpstr>
      <vt:lpstr>v_62_GO2_atm</vt:lpstr>
      <vt:lpstr>v_62_SALPHA</vt:lpstr>
      <vt:lpstr>v_62_SAN</vt:lpstr>
      <vt:lpstr>v_62_SB</vt:lpstr>
      <vt:lpstr>v_62_SCa</vt:lpstr>
      <vt:lpstr>v_62_SCAT</vt:lpstr>
      <vt:lpstr>v_62_SCH4</vt:lpstr>
      <vt:lpstr>v_62_SCO2</vt:lpstr>
      <vt:lpstr>v_62_SFe2</vt:lpstr>
      <vt:lpstr>v_62_SH</vt:lpstr>
      <vt:lpstr>v_62_SH2</vt:lpstr>
      <vt:lpstr>v_62_SK</vt:lpstr>
      <vt:lpstr>v_62_SMEOL</vt:lpstr>
      <vt:lpstr>v_62_SMg</vt:lpstr>
      <vt:lpstr>v_62_SN_B</vt:lpstr>
      <vt:lpstr>v_62_SN2</vt:lpstr>
      <vt:lpstr>v_62_SNHx</vt:lpstr>
      <vt:lpstr>v_62_SNO2</vt:lpstr>
      <vt:lpstr>v_62_SNO3</vt:lpstr>
      <vt:lpstr>v_62_SO2</vt:lpstr>
      <vt:lpstr>v_62_SORPswitch</vt:lpstr>
      <vt:lpstr>v_62_SP_B</vt:lpstr>
      <vt:lpstr>v_62_SPFOA</vt:lpstr>
      <vt:lpstr>v_62_SPFOS</vt:lpstr>
      <vt:lpstr>v_62_SPO4</vt:lpstr>
      <vt:lpstr>v_62_SU</vt:lpstr>
      <vt:lpstr>v_62_SVFA</vt:lpstr>
      <vt:lpstr>v_62_XACP</vt:lpstr>
      <vt:lpstr>v_62_XALGAE</vt:lpstr>
      <vt:lpstr>v_62_XAMETO</vt:lpstr>
      <vt:lpstr>v_62_XAMX</vt:lpstr>
      <vt:lpstr>v_62_XAOB</vt:lpstr>
      <vt:lpstr>v_62_XB</vt:lpstr>
      <vt:lpstr>v_62_XB_e</vt:lpstr>
      <vt:lpstr>v_62_XBSH</vt:lpstr>
      <vt:lpstr>v_62_XCaCO3</vt:lpstr>
      <vt:lpstr>v_62_XCASTO</vt:lpstr>
      <vt:lpstr>v_62_XE</vt:lpstr>
      <vt:lpstr>v_62_XE_ana</vt:lpstr>
      <vt:lpstr>v_62_XHAO_H</vt:lpstr>
      <vt:lpstr>v_62_XHAO_H_P</vt:lpstr>
      <vt:lpstr>v_62_XHAO_H_P_old</vt:lpstr>
      <vt:lpstr>v_62_XHAO_L</vt:lpstr>
      <vt:lpstr>v_62_XHAO_L_P</vt:lpstr>
      <vt:lpstr>v_62_XHAO_L_P_old</vt:lpstr>
      <vt:lpstr>v_62_XHAO_old</vt:lpstr>
      <vt:lpstr>v_62_XHFO_H</vt:lpstr>
      <vt:lpstr>v_62_XHFO_H_P</vt:lpstr>
      <vt:lpstr>v_62_XHFO_H_P_old</vt:lpstr>
      <vt:lpstr>v_62_XHFO_L</vt:lpstr>
      <vt:lpstr>v_62_XHFO_L_P</vt:lpstr>
      <vt:lpstr>v_62_XHFO_L_P_old</vt:lpstr>
      <vt:lpstr>v_62_XHFO_old</vt:lpstr>
      <vt:lpstr>v_62_XHMETO</vt:lpstr>
      <vt:lpstr>v_62_XINORG</vt:lpstr>
      <vt:lpstr>v_62_XMEOLO</vt:lpstr>
      <vt:lpstr>v_62_XN_B</vt:lpstr>
      <vt:lpstr>v_62_XN_Be</vt:lpstr>
      <vt:lpstr>v_62_XN_U</vt:lpstr>
      <vt:lpstr>v_62_XNOB</vt:lpstr>
      <vt:lpstr>v_62_XOHO</vt:lpstr>
      <vt:lpstr>v_62_XP_B</vt:lpstr>
      <vt:lpstr>v_62_XP_Be</vt:lpstr>
      <vt:lpstr>v_62_XP_U</vt:lpstr>
      <vt:lpstr>v_62_XPFOA</vt:lpstr>
      <vt:lpstr>v_62_XPFOS</vt:lpstr>
      <vt:lpstr>v_62_XPHA_GAO</vt:lpstr>
      <vt:lpstr>v_62_XPHA_PAO</vt:lpstr>
      <vt:lpstr>v_62_XPP</vt:lpstr>
      <vt:lpstr>v_62_XSTR</vt:lpstr>
      <vt:lpstr>v_62_XU</vt:lpstr>
      <vt:lpstr>v_62_XVivi</vt:lpstr>
      <vt:lpstr>v_63_CB</vt:lpstr>
      <vt:lpstr>v_63_CU</vt:lpstr>
      <vt:lpstr>v_63_GCH4</vt:lpstr>
      <vt:lpstr>v_63_GCH4_atm</vt:lpstr>
      <vt:lpstr>v_63_GCO2</vt:lpstr>
      <vt:lpstr>v_63_GCO2_atm</vt:lpstr>
      <vt:lpstr>v_63_GH2</vt:lpstr>
      <vt:lpstr>v_63_GH2_atm</vt:lpstr>
      <vt:lpstr>v_63_GN2</vt:lpstr>
      <vt:lpstr>v_63_GN2_atm</vt:lpstr>
      <vt:lpstr>v_63_GNH3</vt:lpstr>
      <vt:lpstr>v_63_GNH3_atm</vt:lpstr>
      <vt:lpstr>v_63_GO2</vt:lpstr>
      <vt:lpstr>v_63_GO2_atm</vt:lpstr>
      <vt:lpstr>v_63_SALPHA</vt:lpstr>
      <vt:lpstr>v_63_SAN</vt:lpstr>
      <vt:lpstr>v_63_SB</vt:lpstr>
      <vt:lpstr>v_63_SCa</vt:lpstr>
      <vt:lpstr>v_63_SCAT</vt:lpstr>
      <vt:lpstr>v_63_SCH4</vt:lpstr>
      <vt:lpstr>v_63_SCO2</vt:lpstr>
      <vt:lpstr>v_63_SFe2</vt:lpstr>
      <vt:lpstr>v_63_SH</vt:lpstr>
      <vt:lpstr>v_63_SH2</vt:lpstr>
      <vt:lpstr>v_63_SK</vt:lpstr>
      <vt:lpstr>v_63_SMEOL</vt:lpstr>
      <vt:lpstr>v_63_SMg</vt:lpstr>
      <vt:lpstr>v_63_SN_B</vt:lpstr>
      <vt:lpstr>v_63_SN2</vt:lpstr>
      <vt:lpstr>v_63_SNHx</vt:lpstr>
      <vt:lpstr>v_63_SNO2</vt:lpstr>
      <vt:lpstr>v_63_SNO3</vt:lpstr>
      <vt:lpstr>v_63_SO2</vt:lpstr>
      <vt:lpstr>v_63_SORPswitch</vt:lpstr>
      <vt:lpstr>v_63_SP_B</vt:lpstr>
      <vt:lpstr>v_63_SPFOA</vt:lpstr>
      <vt:lpstr>v_63_SPFOS</vt:lpstr>
      <vt:lpstr>v_63_SPO4</vt:lpstr>
      <vt:lpstr>v_63_SU</vt:lpstr>
      <vt:lpstr>v_63_SVFA</vt:lpstr>
      <vt:lpstr>v_63_XACP</vt:lpstr>
      <vt:lpstr>v_63_XALGAE</vt:lpstr>
      <vt:lpstr>v_63_XAMETO</vt:lpstr>
      <vt:lpstr>v_63_XAMX</vt:lpstr>
      <vt:lpstr>v_63_XAOB</vt:lpstr>
      <vt:lpstr>v_63_XB</vt:lpstr>
      <vt:lpstr>v_63_XB_e</vt:lpstr>
      <vt:lpstr>v_63_XBSH</vt:lpstr>
      <vt:lpstr>v_63_XCaCO3</vt:lpstr>
      <vt:lpstr>v_63_XCASTO</vt:lpstr>
      <vt:lpstr>v_63_XE</vt:lpstr>
      <vt:lpstr>v_63_XE_ana</vt:lpstr>
      <vt:lpstr>v_63_XHAO_H</vt:lpstr>
      <vt:lpstr>v_63_XHAO_H_P</vt:lpstr>
      <vt:lpstr>v_63_XHAO_H_P_old</vt:lpstr>
      <vt:lpstr>v_63_XHAO_L</vt:lpstr>
      <vt:lpstr>v_63_XHAO_L_P</vt:lpstr>
      <vt:lpstr>v_63_XHAO_L_P_old</vt:lpstr>
      <vt:lpstr>v_63_XHAO_old</vt:lpstr>
      <vt:lpstr>v_63_XHFO_H</vt:lpstr>
      <vt:lpstr>v_63_XHFO_H_P</vt:lpstr>
      <vt:lpstr>v_63_XHFO_H_P_old</vt:lpstr>
      <vt:lpstr>v_63_XHFO_L</vt:lpstr>
      <vt:lpstr>v_63_XHFO_L_P</vt:lpstr>
      <vt:lpstr>v_63_XHFO_L_P_old</vt:lpstr>
      <vt:lpstr>v_63_XHFO_old</vt:lpstr>
      <vt:lpstr>v_63_XHMETO</vt:lpstr>
      <vt:lpstr>v_63_XINORG</vt:lpstr>
      <vt:lpstr>v_63_XMEOLO</vt:lpstr>
      <vt:lpstr>v_63_XN_B</vt:lpstr>
      <vt:lpstr>v_63_XN_Be</vt:lpstr>
      <vt:lpstr>v_63_XN_U</vt:lpstr>
      <vt:lpstr>v_63_XNOB</vt:lpstr>
      <vt:lpstr>v_63_XOHO</vt:lpstr>
      <vt:lpstr>v_63_XP_B</vt:lpstr>
      <vt:lpstr>v_63_XP_Be</vt:lpstr>
      <vt:lpstr>v_63_XP_U</vt:lpstr>
      <vt:lpstr>v_63_XPFOA</vt:lpstr>
      <vt:lpstr>v_63_XPFOS</vt:lpstr>
      <vt:lpstr>v_63_XPHA_GAO</vt:lpstr>
      <vt:lpstr>v_63_XPHA_PAO</vt:lpstr>
      <vt:lpstr>v_63_XPP</vt:lpstr>
      <vt:lpstr>v_63_XSTR</vt:lpstr>
      <vt:lpstr>v_63_XU</vt:lpstr>
      <vt:lpstr>v_63_XVivi</vt:lpstr>
      <vt:lpstr>v_64_CB</vt:lpstr>
      <vt:lpstr>v_64_CU</vt:lpstr>
      <vt:lpstr>v_64_GCH4</vt:lpstr>
      <vt:lpstr>v_64_GCH4_atm</vt:lpstr>
      <vt:lpstr>v_64_GCO2</vt:lpstr>
      <vt:lpstr>v_64_GCO2_atm</vt:lpstr>
      <vt:lpstr>v_64_GH2</vt:lpstr>
      <vt:lpstr>v_64_GH2_atm</vt:lpstr>
      <vt:lpstr>v_64_GN2</vt:lpstr>
      <vt:lpstr>v_64_GN2_atm</vt:lpstr>
      <vt:lpstr>v_64_GNH3</vt:lpstr>
      <vt:lpstr>v_64_GNH3_atm</vt:lpstr>
      <vt:lpstr>v_64_GO2</vt:lpstr>
      <vt:lpstr>v_64_GO2_atm</vt:lpstr>
      <vt:lpstr>v_64_SALPHA</vt:lpstr>
      <vt:lpstr>v_64_SAN</vt:lpstr>
      <vt:lpstr>v_64_SB</vt:lpstr>
      <vt:lpstr>v_64_SCa</vt:lpstr>
      <vt:lpstr>v_64_SCAT</vt:lpstr>
      <vt:lpstr>v_64_SCH4</vt:lpstr>
      <vt:lpstr>v_64_SCO2</vt:lpstr>
      <vt:lpstr>v_64_SFe2</vt:lpstr>
      <vt:lpstr>v_64_SH</vt:lpstr>
      <vt:lpstr>v_64_SH2</vt:lpstr>
      <vt:lpstr>v_64_SK</vt:lpstr>
      <vt:lpstr>v_64_SMEOL</vt:lpstr>
      <vt:lpstr>v_64_SMg</vt:lpstr>
      <vt:lpstr>v_64_SN_B</vt:lpstr>
      <vt:lpstr>v_64_SN2</vt:lpstr>
      <vt:lpstr>v_64_SNHx</vt:lpstr>
      <vt:lpstr>v_64_SNO2</vt:lpstr>
      <vt:lpstr>v_64_SNO3</vt:lpstr>
      <vt:lpstr>v_64_SO2</vt:lpstr>
      <vt:lpstr>v_64_SORPswitch</vt:lpstr>
      <vt:lpstr>v_64_SP_B</vt:lpstr>
      <vt:lpstr>v_64_SPFOA</vt:lpstr>
      <vt:lpstr>v_64_SPFOS</vt:lpstr>
      <vt:lpstr>v_64_SPO4</vt:lpstr>
      <vt:lpstr>v_64_SU</vt:lpstr>
      <vt:lpstr>v_64_SVFA</vt:lpstr>
      <vt:lpstr>v_64_XACP</vt:lpstr>
      <vt:lpstr>v_64_XALGAE</vt:lpstr>
      <vt:lpstr>v_64_XAMETO</vt:lpstr>
      <vt:lpstr>v_64_XAMX</vt:lpstr>
      <vt:lpstr>v_64_XAOB</vt:lpstr>
      <vt:lpstr>v_64_XB</vt:lpstr>
      <vt:lpstr>v_64_XB_e</vt:lpstr>
      <vt:lpstr>v_64_XBSH</vt:lpstr>
      <vt:lpstr>v_64_XCaCO3</vt:lpstr>
      <vt:lpstr>v_64_XCASTO</vt:lpstr>
      <vt:lpstr>v_64_XE</vt:lpstr>
      <vt:lpstr>v_64_XE_ana</vt:lpstr>
      <vt:lpstr>v_64_XHAO_H</vt:lpstr>
      <vt:lpstr>v_64_XHAO_H_P</vt:lpstr>
      <vt:lpstr>v_64_XHAO_H_P_old</vt:lpstr>
      <vt:lpstr>v_64_XHAO_L</vt:lpstr>
      <vt:lpstr>v_64_XHAO_L_P</vt:lpstr>
      <vt:lpstr>v_64_XHAO_L_P_old</vt:lpstr>
      <vt:lpstr>v_64_XHAO_old</vt:lpstr>
      <vt:lpstr>v_64_XHFO_H</vt:lpstr>
      <vt:lpstr>v_64_XHFO_H_P</vt:lpstr>
      <vt:lpstr>v_64_XHFO_H_P_old</vt:lpstr>
      <vt:lpstr>v_64_XHFO_L</vt:lpstr>
      <vt:lpstr>v_64_XHFO_L_P</vt:lpstr>
      <vt:lpstr>v_64_XHFO_L_P_old</vt:lpstr>
      <vt:lpstr>v_64_XHFO_old</vt:lpstr>
      <vt:lpstr>v_64_XHMETO</vt:lpstr>
      <vt:lpstr>v_64_XINORG</vt:lpstr>
      <vt:lpstr>v_64_XMEOLO</vt:lpstr>
      <vt:lpstr>v_64_XN_B</vt:lpstr>
      <vt:lpstr>v_64_XN_Be</vt:lpstr>
      <vt:lpstr>v_64_XN_U</vt:lpstr>
      <vt:lpstr>v_64_XNOB</vt:lpstr>
      <vt:lpstr>v_64_XOHO</vt:lpstr>
      <vt:lpstr>v_64_XP_B</vt:lpstr>
      <vt:lpstr>v_64_XP_Be</vt:lpstr>
      <vt:lpstr>v_64_XP_U</vt:lpstr>
      <vt:lpstr>v_64_XPFOA</vt:lpstr>
      <vt:lpstr>v_64_XPFOS</vt:lpstr>
      <vt:lpstr>v_64_XPHA_GAO</vt:lpstr>
      <vt:lpstr>v_64_XPHA_PAO</vt:lpstr>
      <vt:lpstr>v_64_XPP</vt:lpstr>
      <vt:lpstr>v_64_XSTR</vt:lpstr>
      <vt:lpstr>v_64_XU</vt:lpstr>
      <vt:lpstr>v_64_XVivi</vt:lpstr>
      <vt:lpstr>v_65_CB</vt:lpstr>
      <vt:lpstr>v_65_CU</vt:lpstr>
      <vt:lpstr>v_65_GCH4</vt:lpstr>
      <vt:lpstr>v_65_GCH4_atm</vt:lpstr>
      <vt:lpstr>v_65_GCO2</vt:lpstr>
      <vt:lpstr>v_65_GCO2_atm</vt:lpstr>
      <vt:lpstr>v_65_GH2</vt:lpstr>
      <vt:lpstr>v_65_GH2_atm</vt:lpstr>
      <vt:lpstr>v_65_GN2</vt:lpstr>
      <vt:lpstr>v_65_GN2_atm</vt:lpstr>
      <vt:lpstr>v_65_GNH3</vt:lpstr>
      <vt:lpstr>v_65_GNH3_atm</vt:lpstr>
      <vt:lpstr>v_65_GO2</vt:lpstr>
      <vt:lpstr>v_65_GO2_atm</vt:lpstr>
      <vt:lpstr>v_65_SALPHA</vt:lpstr>
      <vt:lpstr>v_65_SAN</vt:lpstr>
      <vt:lpstr>v_65_SB</vt:lpstr>
      <vt:lpstr>v_65_SCa</vt:lpstr>
      <vt:lpstr>v_65_SCAT</vt:lpstr>
      <vt:lpstr>v_65_SCH4</vt:lpstr>
      <vt:lpstr>v_65_SCO2</vt:lpstr>
      <vt:lpstr>v_65_SFe2</vt:lpstr>
      <vt:lpstr>v_65_SH</vt:lpstr>
      <vt:lpstr>v_65_SH2</vt:lpstr>
      <vt:lpstr>v_65_SK</vt:lpstr>
      <vt:lpstr>v_65_SMEOL</vt:lpstr>
      <vt:lpstr>v_65_SMg</vt:lpstr>
      <vt:lpstr>v_65_SN_B</vt:lpstr>
      <vt:lpstr>v_65_SN2</vt:lpstr>
      <vt:lpstr>v_65_SNHx</vt:lpstr>
      <vt:lpstr>v_65_SNO2</vt:lpstr>
      <vt:lpstr>v_65_SNO3</vt:lpstr>
      <vt:lpstr>v_65_SO2</vt:lpstr>
      <vt:lpstr>v_65_SORPswitch</vt:lpstr>
      <vt:lpstr>v_65_SP_B</vt:lpstr>
      <vt:lpstr>v_65_SPFOA</vt:lpstr>
      <vt:lpstr>v_65_SPFOS</vt:lpstr>
      <vt:lpstr>v_65_SPO4</vt:lpstr>
      <vt:lpstr>v_65_SU</vt:lpstr>
      <vt:lpstr>v_65_SVFA</vt:lpstr>
      <vt:lpstr>v_65_XACP</vt:lpstr>
      <vt:lpstr>v_65_XALGAE</vt:lpstr>
      <vt:lpstr>v_65_XAMETO</vt:lpstr>
      <vt:lpstr>v_65_XAMX</vt:lpstr>
      <vt:lpstr>v_65_XAOB</vt:lpstr>
      <vt:lpstr>v_65_XB</vt:lpstr>
      <vt:lpstr>v_65_XB_e</vt:lpstr>
      <vt:lpstr>v_65_XBSH</vt:lpstr>
      <vt:lpstr>v_65_XCaCO3</vt:lpstr>
      <vt:lpstr>v_65_XCASTO</vt:lpstr>
      <vt:lpstr>v_65_XE</vt:lpstr>
      <vt:lpstr>v_65_XE_ana</vt:lpstr>
      <vt:lpstr>v_65_XHAO_H</vt:lpstr>
      <vt:lpstr>v_65_XHAO_H_P</vt:lpstr>
      <vt:lpstr>v_65_XHAO_H_P_old</vt:lpstr>
      <vt:lpstr>v_65_XHAO_L</vt:lpstr>
      <vt:lpstr>v_65_XHAO_L_P</vt:lpstr>
      <vt:lpstr>v_65_XHAO_L_P_old</vt:lpstr>
      <vt:lpstr>v_65_XHAO_old</vt:lpstr>
      <vt:lpstr>v_65_XHFO_H</vt:lpstr>
      <vt:lpstr>v_65_XHFO_H_P</vt:lpstr>
      <vt:lpstr>v_65_XHFO_H_P_old</vt:lpstr>
      <vt:lpstr>v_65_XHFO_L</vt:lpstr>
      <vt:lpstr>v_65_XHFO_L_P</vt:lpstr>
      <vt:lpstr>v_65_XHFO_L_P_old</vt:lpstr>
      <vt:lpstr>v_65_XHFO_old</vt:lpstr>
      <vt:lpstr>v_65_XHMETO</vt:lpstr>
      <vt:lpstr>v_65_XINORG</vt:lpstr>
      <vt:lpstr>v_65_XMEOLO</vt:lpstr>
      <vt:lpstr>v_65_XN_B</vt:lpstr>
      <vt:lpstr>v_65_XN_Be</vt:lpstr>
      <vt:lpstr>v_65_XN_U</vt:lpstr>
      <vt:lpstr>v_65_XNOB</vt:lpstr>
      <vt:lpstr>v_65_XOHO</vt:lpstr>
      <vt:lpstr>v_65_XP_B</vt:lpstr>
      <vt:lpstr>v_65_XP_Be</vt:lpstr>
      <vt:lpstr>v_65_XP_U</vt:lpstr>
      <vt:lpstr>v_65_XPFOA</vt:lpstr>
      <vt:lpstr>v_65_XPFOS</vt:lpstr>
      <vt:lpstr>v_65_XPHA_GAO</vt:lpstr>
      <vt:lpstr>v_65_XPHA_PAO</vt:lpstr>
      <vt:lpstr>v_65_XPP</vt:lpstr>
      <vt:lpstr>v_65_XSTR</vt:lpstr>
      <vt:lpstr>v_65_XU</vt:lpstr>
      <vt:lpstr>v_65_XVivi</vt:lpstr>
      <vt:lpstr>v_66_CB</vt:lpstr>
      <vt:lpstr>v_66_CU</vt:lpstr>
      <vt:lpstr>v_66_GCH4</vt:lpstr>
      <vt:lpstr>v_66_GCH4_atm</vt:lpstr>
      <vt:lpstr>v_66_GCO2</vt:lpstr>
      <vt:lpstr>v_66_GCO2_atm</vt:lpstr>
      <vt:lpstr>v_66_GH2</vt:lpstr>
      <vt:lpstr>v_66_GH2_atm</vt:lpstr>
      <vt:lpstr>v_66_GN2</vt:lpstr>
      <vt:lpstr>v_66_GN2_atm</vt:lpstr>
      <vt:lpstr>v_66_GNH3</vt:lpstr>
      <vt:lpstr>v_66_GNH3_atm</vt:lpstr>
      <vt:lpstr>v_66_GO2</vt:lpstr>
      <vt:lpstr>v_66_GO2_atm</vt:lpstr>
      <vt:lpstr>v_66_SALPHA</vt:lpstr>
      <vt:lpstr>v_66_SAN</vt:lpstr>
      <vt:lpstr>v_66_SB</vt:lpstr>
      <vt:lpstr>v_66_SCa</vt:lpstr>
      <vt:lpstr>v_66_SCAT</vt:lpstr>
      <vt:lpstr>v_66_SCH4</vt:lpstr>
      <vt:lpstr>v_66_SCO2</vt:lpstr>
      <vt:lpstr>v_66_SFe2</vt:lpstr>
      <vt:lpstr>v_66_SH</vt:lpstr>
      <vt:lpstr>v_66_SH2</vt:lpstr>
      <vt:lpstr>v_66_SK</vt:lpstr>
      <vt:lpstr>v_66_SMEOL</vt:lpstr>
      <vt:lpstr>v_66_SMg</vt:lpstr>
      <vt:lpstr>v_66_SN_B</vt:lpstr>
      <vt:lpstr>v_66_SN2</vt:lpstr>
      <vt:lpstr>v_66_SNHx</vt:lpstr>
      <vt:lpstr>v_66_SNO2</vt:lpstr>
      <vt:lpstr>v_66_SNO3</vt:lpstr>
      <vt:lpstr>v_66_SO2</vt:lpstr>
      <vt:lpstr>v_66_SORPswitch</vt:lpstr>
      <vt:lpstr>v_66_SP_B</vt:lpstr>
      <vt:lpstr>v_66_SPFOA</vt:lpstr>
      <vt:lpstr>v_66_SPFOS</vt:lpstr>
      <vt:lpstr>v_66_SPO4</vt:lpstr>
      <vt:lpstr>v_66_SU</vt:lpstr>
      <vt:lpstr>v_66_SVFA</vt:lpstr>
      <vt:lpstr>v_66_XACP</vt:lpstr>
      <vt:lpstr>v_66_XALGAE</vt:lpstr>
      <vt:lpstr>v_66_XAMETO</vt:lpstr>
      <vt:lpstr>v_66_XAMX</vt:lpstr>
      <vt:lpstr>v_66_XAOB</vt:lpstr>
      <vt:lpstr>v_66_XB</vt:lpstr>
      <vt:lpstr>v_66_XB_e</vt:lpstr>
      <vt:lpstr>v_66_XBSH</vt:lpstr>
      <vt:lpstr>v_66_XCaCO3</vt:lpstr>
      <vt:lpstr>v_66_XCASTO</vt:lpstr>
      <vt:lpstr>v_66_XE</vt:lpstr>
      <vt:lpstr>v_66_XE_ana</vt:lpstr>
      <vt:lpstr>v_66_XHAO_H</vt:lpstr>
      <vt:lpstr>v_66_XHAO_H_P</vt:lpstr>
      <vt:lpstr>v_66_XHAO_H_P_old</vt:lpstr>
      <vt:lpstr>v_66_XHAO_L</vt:lpstr>
      <vt:lpstr>v_66_XHAO_L_P</vt:lpstr>
      <vt:lpstr>v_66_XHAO_L_P_old</vt:lpstr>
      <vt:lpstr>v_66_XHAO_old</vt:lpstr>
      <vt:lpstr>v_66_XHFO_H</vt:lpstr>
      <vt:lpstr>v_66_XHFO_H_P</vt:lpstr>
      <vt:lpstr>v_66_XHFO_H_P_old</vt:lpstr>
      <vt:lpstr>v_66_XHFO_L</vt:lpstr>
      <vt:lpstr>v_66_XHFO_L_P</vt:lpstr>
      <vt:lpstr>v_66_XHFO_L_P_old</vt:lpstr>
      <vt:lpstr>v_66_XHFO_old</vt:lpstr>
      <vt:lpstr>v_66_XHMETO</vt:lpstr>
      <vt:lpstr>v_66_XINORG</vt:lpstr>
      <vt:lpstr>v_66_XMEOLO</vt:lpstr>
      <vt:lpstr>v_66_XN_B</vt:lpstr>
      <vt:lpstr>v_66_XN_Be</vt:lpstr>
      <vt:lpstr>v_66_XN_U</vt:lpstr>
      <vt:lpstr>v_66_XNOB</vt:lpstr>
      <vt:lpstr>v_66_XOHO</vt:lpstr>
      <vt:lpstr>v_66_XP_B</vt:lpstr>
      <vt:lpstr>v_66_XP_Be</vt:lpstr>
      <vt:lpstr>v_66_XP_U</vt:lpstr>
      <vt:lpstr>v_66_XPFOA</vt:lpstr>
      <vt:lpstr>v_66_XPFOS</vt:lpstr>
      <vt:lpstr>v_66_XPHA_GAO</vt:lpstr>
      <vt:lpstr>v_66_XPHA_PAO</vt:lpstr>
      <vt:lpstr>v_66_XPP</vt:lpstr>
      <vt:lpstr>v_66_XSTR</vt:lpstr>
      <vt:lpstr>v_66_XU</vt:lpstr>
      <vt:lpstr>v_66_XVivi</vt:lpstr>
      <vt:lpstr>v_67_CB</vt:lpstr>
      <vt:lpstr>v_67_CU</vt:lpstr>
      <vt:lpstr>v_67_GCH4</vt:lpstr>
      <vt:lpstr>v_67_GCH4_atm</vt:lpstr>
      <vt:lpstr>v_67_GCO2</vt:lpstr>
      <vt:lpstr>v_67_GCO2_atm</vt:lpstr>
      <vt:lpstr>v_67_GH2</vt:lpstr>
      <vt:lpstr>v_67_GH2_atm</vt:lpstr>
      <vt:lpstr>v_67_GN2</vt:lpstr>
      <vt:lpstr>v_67_GN2_atm</vt:lpstr>
      <vt:lpstr>v_67_GNH3</vt:lpstr>
      <vt:lpstr>v_67_GNH3_atm</vt:lpstr>
      <vt:lpstr>v_67_GO2</vt:lpstr>
      <vt:lpstr>v_67_GO2_atm</vt:lpstr>
      <vt:lpstr>v_67_SALPHA</vt:lpstr>
      <vt:lpstr>v_67_SAN</vt:lpstr>
      <vt:lpstr>v_67_SB</vt:lpstr>
      <vt:lpstr>v_67_SCa</vt:lpstr>
      <vt:lpstr>v_67_SCAT</vt:lpstr>
      <vt:lpstr>v_67_SCH4</vt:lpstr>
      <vt:lpstr>v_67_SCO2</vt:lpstr>
      <vt:lpstr>v_67_SFe2</vt:lpstr>
      <vt:lpstr>v_67_SH</vt:lpstr>
      <vt:lpstr>v_67_SH2</vt:lpstr>
      <vt:lpstr>v_67_SK</vt:lpstr>
      <vt:lpstr>v_67_SMEOL</vt:lpstr>
      <vt:lpstr>v_67_SMg</vt:lpstr>
      <vt:lpstr>v_67_SN_B</vt:lpstr>
      <vt:lpstr>v_67_SN2</vt:lpstr>
      <vt:lpstr>v_67_SNHx</vt:lpstr>
      <vt:lpstr>v_67_SNO2</vt:lpstr>
      <vt:lpstr>v_67_SNO3</vt:lpstr>
      <vt:lpstr>v_67_SO2</vt:lpstr>
      <vt:lpstr>v_67_SORPswitch</vt:lpstr>
      <vt:lpstr>v_67_SP_B</vt:lpstr>
      <vt:lpstr>v_67_SPFOA</vt:lpstr>
      <vt:lpstr>v_67_SPFOS</vt:lpstr>
      <vt:lpstr>v_67_SPO4</vt:lpstr>
      <vt:lpstr>v_67_SU</vt:lpstr>
      <vt:lpstr>v_67_SVFA</vt:lpstr>
      <vt:lpstr>v_67_XACP</vt:lpstr>
      <vt:lpstr>v_67_XALGAE</vt:lpstr>
      <vt:lpstr>v_67_XAMETO</vt:lpstr>
      <vt:lpstr>v_67_XAMX</vt:lpstr>
      <vt:lpstr>v_67_XAOB</vt:lpstr>
      <vt:lpstr>v_67_XB</vt:lpstr>
      <vt:lpstr>v_67_XB_e</vt:lpstr>
      <vt:lpstr>v_67_XBSH</vt:lpstr>
      <vt:lpstr>v_67_XCaCO3</vt:lpstr>
      <vt:lpstr>v_67_XCASTO</vt:lpstr>
      <vt:lpstr>v_67_XE</vt:lpstr>
      <vt:lpstr>v_67_XE_ana</vt:lpstr>
      <vt:lpstr>v_67_XHAO_H</vt:lpstr>
      <vt:lpstr>v_67_XHAO_H_P</vt:lpstr>
      <vt:lpstr>v_67_XHAO_H_P_old</vt:lpstr>
      <vt:lpstr>v_67_XHAO_L</vt:lpstr>
      <vt:lpstr>v_67_XHAO_L_P</vt:lpstr>
      <vt:lpstr>v_67_XHAO_L_P_old</vt:lpstr>
      <vt:lpstr>v_67_XHAO_old</vt:lpstr>
      <vt:lpstr>v_67_XHFO_H</vt:lpstr>
      <vt:lpstr>v_67_XHFO_H_P</vt:lpstr>
      <vt:lpstr>v_67_XHFO_H_P_old</vt:lpstr>
      <vt:lpstr>v_67_XHFO_L</vt:lpstr>
      <vt:lpstr>v_67_XHFO_L_P</vt:lpstr>
      <vt:lpstr>v_67_XHFO_L_P_old</vt:lpstr>
      <vt:lpstr>v_67_XHFO_old</vt:lpstr>
      <vt:lpstr>v_67_XHMETO</vt:lpstr>
      <vt:lpstr>v_67_XINORG</vt:lpstr>
      <vt:lpstr>v_67_XMEOLO</vt:lpstr>
      <vt:lpstr>v_67_XN_B</vt:lpstr>
      <vt:lpstr>v_67_XN_Be</vt:lpstr>
      <vt:lpstr>v_67_XN_U</vt:lpstr>
      <vt:lpstr>v_67_XNOB</vt:lpstr>
      <vt:lpstr>v_67_XOHO</vt:lpstr>
      <vt:lpstr>v_67_XP_B</vt:lpstr>
      <vt:lpstr>v_67_XP_Be</vt:lpstr>
      <vt:lpstr>v_67_XP_U</vt:lpstr>
      <vt:lpstr>v_67_XPFOA</vt:lpstr>
      <vt:lpstr>v_67_XPFOS</vt:lpstr>
      <vt:lpstr>v_67_XPHA_GAO</vt:lpstr>
      <vt:lpstr>v_67_XPHA_PAO</vt:lpstr>
      <vt:lpstr>v_67_XPP</vt:lpstr>
      <vt:lpstr>v_67_XSTR</vt:lpstr>
      <vt:lpstr>v_67_XU</vt:lpstr>
      <vt:lpstr>v_67_XVivi</vt:lpstr>
      <vt:lpstr>v_68_CB</vt:lpstr>
      <vt:lpstr>v_68_CU</vt:lpstr>
      <vt:lpstr>v_68_GCH4</vt:lpstr>
      <vt:lpstr>v_68_GCH4_atm</vt:lpstr>
      <vt:lpstr>v_68_GCO2</vt:lpstr>
      <vt:lpstr>v_68_GCO2_atm</vt:lpstr>
      <vt:lpstr>v_68_GH2</vt:lpstr>
      <vt:lpstr>v_68_GH2_atm</vt:lpstr>
      <vt:lpstr>v_68_GN2</vt:lpstr>
      <vt:lpstr>v_68_GN2_atm</vt:lpstr>
      <vt:lpstr>v_68_GNH3</vt:lpstr>
      <vt:lpstr>v_68_GNH3_atm</vt:lpstr>
      <vt:lpstr>v_68_GO2</vt:lpstr>
      <vt:lpstr>v_68_GO2_atm</vt:lpstr>
      <vt:lpstr>v_68_SALPHA</vt:lpstr>
      <vt:lpstr>v_68_SAN</vt:lpstr>
      <vt:lpstr>v_68_SB</vt:lpstr>
      <vt:lpstr>v_68_SCa</vt:lpstr>
      <vt:lpstr>v_68_SCAT</vt:lpstr>
      <vt:lpstr>v_68_SCH4</vt:lpstr>
      <vt:lpstr>v_68_SCO2</vt:lpstr>
      <vt:lpstr>v_68_SFe2</vt:lpstr>
      <vt:lpstr>v_68_SH</vt:lpstr>
      <vt:lpstr>v_68_SH2</vt:lpstr>
      <vt:lpstr>v_68_SK</vt:lpstr>
      <vt:lpstr>v_68_SMEOL</vt:lpstr>
      <vt:lpstr>v_68_SMg</vt:lpstr>
      <vt:lpstr>v_68_SN_B</vt:lpstr>
      <vt:lpstr>v_68_SN2</vt:lpstr>
      <vt:lpstr>v_68_SNHx</vt:lpstr>
      <vt:lpstr>v_68_SNO2</vt:lpstr>
      <vt:lpstr>v_68_SNO3</vt:lpstr>
      <vt:lpstr>v_68_SO2</vt:lpstr>
      <vt:lpstr>v_68_SORPswitch</vt:lpstr>
      <vt:lpstr>v_68_SP_B</vt:lpstr>
      <vt:lpstr>v_68_SPFOA</vt:lpstr>
      <vt:lpstr>v_68_SPFOS</vt:lpstr>
      <vt:lpstr>v_68_SPO4</vt:lpstr>
      <vt:lpstr>v_68_SU</vt:lpstr>
      <vt:lpstr>v_68_SVFA</vt:lpstr>
      <vt:lpstr>v_68_XACP</vt:lpstr>
      <vt:lpstr>v_68_XALGAE</vt:lpstr>
      <vt:lpstr>v_68_XAMETO</vt:lpstr>
      <vt:lpstr>v_68_XAMX</vt:lpstr>
      <vt:lpstr>v_68_XAOB</vt:lpstr>
      <vt:lpstr>v_68_XB</vt:lpstr>
      <vt:lpstr>v_68_XB_e</vt:lpstr>
      <vt:lpstr>v_68_XBSH</vt:lpstr>
      <vt:lpstr>v_68_XCaCO3</vt:lpstr>
      <vt:lpstr>v_68_XCASTO</vt:lpstr>
      <vt:lpstr>v_68_XE</vt:lpstr>
      <vt:lpstr>v_68_XE_ana</vt:lpstr>
      <vt:lpstr>v_68_XHAO_H</vt:lpstr>
      <vt:lpstr>v_68_XHAO_H_P</vt:lpstr>
      <vt:lpstr>v_68_XHAO_H_P_old</vt:lpstr>
      <vt:lpstr>v_68_XHAO_L</vt:lpstr>
      <vt:lpstr>v_68_XHAO_L_P</vt:lpstr>
      <vt:lpstr>v_68_XHAO_L_P_old</vt:lpstr>
      <vt:lpstr>v_68_XHAO_old</vt:lpstr>
      <vt:lpstr>v_68_XHFO_H</vt:lpstr>
      <vt:lpstr>v_68_XHFO_H_P</vt:lpstr>
      <vt:lpstr>v_68_XHFO_H_P_old</vt:lpstr>
      <vt:lpstr>v_68_XHFO_L</vt:lpstr>
      <vt:lpstr>v_68_XHFO_L_P</vt:lpstr>
      <vt:lpstr>v_68_XHFO_L_P_old</vt:lpstr>
      <vt:lpstr>v_68_XHFO_old</vt:lpstr>
      <vt:lpstr>v_68_XHMETO</vt:lpstr>
      <vt:lpstr>v_68_XINORG</vt:lpstr>
      <vt:lpstr>v_68_XMEOLO</vt:lpstr>
      <vt:lpstr>v_68_XN_B</vt:lpstr>
      <vt:lpstr>v_68_XN_Be</vt:lpstr>
      <vt:lpstr>v_68_XN_U</vt:lpstr>
      <vt:lpstr>v_68_XNOB</vt:lpstr>
      <vt:lpstr>v_68_XOHO</vt:lpstr>
      <vt:lpstr>v_68_XP_B</vt:lpstr>
      <vt:lpstr>v_68_XP_Be</vt:lpstr>
      <vt:lpstr>v_68_XP_U</vt:lpstr>
      <vt:lpstr>v_68_XPFOA</vt:lpstr>
      <vt:lpstr>v_68_XPFOS</vt:lpstr>
      <vt:lpstr>v_68_XPHA_GAO</vt:lpstr>
      <vt:lpstr>v_68_XPHA_PAO</vt:lpstr>
      <vt:lpstr>v_68_XPP</vt:lpstr>
      <vt:lpstr>v_68_XSTR</vt:lpstr>
      <vt:lpstr>v_68_XU</vt:lpstr>
      <vt:lpstr>v_68_XVivi</vt:lpstr>
      <vt:lpstr>v_69_CB</vt:lpstr>
      <vt:lpstr>v_69_CU</vt:lpstr>
      <vt:lpstr>v_69_GCH4</vt:lpstr>
      <vt:lpstr>v_69_GCH4_atm</vt:lpstr>
      <vt:lpstr>v_69_GCO2</vt:lpstr>
      <vt:lpstr>v_69_GCO2_atm</vt:lpstr>
      <vt:lpstr>v_69_GH2</vt:lpstr>
      <vt:lpstr>v_69_GH2_atm</vt:lpstr>
      <vt:lpstr>v_69_GN2</vt:lpstr>
      <vt:lpstr>v_69_GN2_atm</vt:lpstr>
      <vt:lpstr>v_69_GNH3</vt:lpstr>
      <vt:lpstr>v_69_GNH3_atm</vt:lpstr>
      <vt:lpstr>v_69_GO2</vt:lpstr>
      <vt:lpstr>v_69_GO2_atm</vt:lpstr>
      <vt:lpstr>v_69_SALPHA</vt:lpstr>
      <vt:lpstr>v_69_SAN</vt:lpstr>
      <vt:lpstr>v_69_SB</vt:lpstr>
      <vt:lpstr>v_69_SCa</vt:lpstr>
      <vt:lpstr>v_69_SCAT</vt:lpstr>
      <vt:lpstr>v_69_SCH4</vt:lpstr>
      <vt:lpstr>v_69_SCO2</vt:lpstr>
      <vt:lpstr>v_69_SFe2</vt:lpstr>
      <vt:lpstr>v_69_SH</vt:lpstr>
      <vt:lpstr>v_69_SH2</vt:lpstr>
      <vt:lpstr>v_69_SK</vt:lpstr>
      <vt:lpstr>v_69_SMEOL</vt:lpstr>
      <vt:lpstr>v_69_SMg</vt:lpstr>
      <vt:lpstr>v_69_SN_B</vt:lpstr>
      <vt:lpstr>v_69_SN2</vt:lpstr>
      <vt:lpstr>v_69_SNHx</vt:lpstr>
      <vt:lpstr>v_69_SNO2</vt:lpstr>
      <vt:lpstr>v_69_SNO3</vt:lpstr>
      <vt:lpstr>v_69_SO2</vt:lpstr>
      <vt:lpstr>v_69_SORPswitch</vt:lpstr>
      <vt:lpstr>v_69_SP_B</vt:lpstr>
      <vt:lpstr>v_69_SPFOA</vt:lpstr>
      <vt:lpstr>v_69_SPFOS</vt:lpstr>
      <vt:lpstr>v_69_SPO4</vt:lpstr>
      <vt:lpstr>v_69_SU</vt:lpstr>
      <vt:lpstr>v_69_SVFA</vt:lpstr>
      <vt:lpstr>v_69_XACP</vt:lpstr>
      <vt:lpstr>v_69_XALGAE</vt:lpstr>
      <vt:lpstr>v_69_XAMETO</vt:lpstr>
      <vt:lpstr>v_69_XAMX</vt:lpstr>
      <vt:lpstr>v_69_XAOB</vt:lpstr>
      <vt:lpstr>v_69_XB</vt:lpstr>
      <vt:lpstr>v_69_XB_e</vt:lpstr>
      <vt:lpstr>v_69_XBSH</vt:lpstr>
      <vt:lpstr>v_69_XCaCO3</vt:lpstr>
      <vt:lpstr>v_69_XCASTO</vt:lpstr>
      <vt:lpstr>v_69_XE</vt:lpstr>
      <vt:lpstr>v_69_XE_ana</vt:lpstr>
      <vt:lpstr>v_69_XHAO_H</vt:lpstr>
      <vt:lpstr>v_69_XHAO_H_P</vt:lpstr>
      <vt:lpstr>v_69_XHAO_H_P_old</vt:lpstr>
      <vt:lpstr>v_69_XHAO_L</vt:lpstr>
      <vt:lpstr>v_69_XHAO_L_P</vt:lpstr>
      <vt:lpstr>v_69_XHAO_L_P_old</vt:lpstr>
      <vt:lpstr>v_69_XHAO_old</vt:lpstr>
      <vt:lpstr>v_69_XHFO_H</vt:lpstr>
      <vt:lpstr>v_69_XHFO_H_P</vt:lpstr>
      <vt:lpstr>v_69_XHFO_H_P_old</vt:lpstr>
      <vt:lpstr>v_69_XHFO_L</vt:lpstr>
      <vt:lpstr>v_69_XHFO_L_P</vt:lpstr>
      <vt:lpstr>v_69_XHFO_L_P_old</vt:lpstr>
      <vt:lpstr>v_69_XHFO_old</vt:lpstr>
      <vt:lpstr>v_69_XHMETO</vt:lpstr>
      <vt:lpstr>v_69_XINORG</vt:lpstr>
      <vt:lpstr>v_69_XMEOLO</vt:lpstr>
      <vt:lpstr>v_69_XN_B</vt:lpstr>
      <vt:lpstr>v_69_XN_Be</vt:lpstr>
      <vt:lpstr>v_69_XN_U</vt:lpstr>
      <vt:lpstr>v_69_XNOB</vt:lpstr>
      <vt:lpstr>v_69_XOHO</vt:lpstr>
      <vt:lpstr>v_69_XP_B</vt:lpstr>
      <vt:lpstr>v_69_XP_Be</vt:lpstr>
      <vt:lpstr>v_69_XP_U</vt:lpstr>
      <vt:lpstr>v_69_XPFOA</vt:lpstr>
      <vt:lpstr>v_69_XPFOS</vt:lpstr>
      <vt:lpstr>v_69_XPHA_GAO</vt:lpstr>
      <vt:lpstr>v_69_XPHA_PAO</vt:lpstr>
      <vt:lpstr>v_69_XPP</vt:lpstr>
      <vt:lpstr>v_69_XSTR</vt:lpstr>
      <vt:lpstr>v_69_XU</vt:lpstr>
      <vt:lpstr>v_69_XVivi</vt:lpstr>
      <vt:lpstr>v_7_CB</vt:lpstr>
      <vt:lpstr>v_7_CU</vt:lpstr>
      <vt:lpstr>v_7_GCH4</vt:lpstr>
      <vt:lpstr>v_7_GCH4_atm</vt:lpstr>
      <vt:lpstr>v_7_GCO2</vt:lpstr>
      <vt:lpstr>v_7_GCO2_atm</vt:lpstr>
      <vt:lpstr>v_7_GH2</vt:lpstr>
      <vt:lpstr>v_7_GH2_atm</vt:lpstr>
      <vt:lpstr>v_7_GN2</vt:lpstr>
      <vt:lpstr>v_7_GN2_atm</vt:lpstr>
      <vt:lpstr>v_7_GNH3</vt:lpstr>
      <vt:lpstr>v_7_GNH3_atm</vt:lpstr>
      <vt:lpstr>v_7_GO2</vt:lpstr>
      <vt:lpstr>v_7_GO2_atm</vt:lpstr>
      <vt:lpstr>v_7_SALPHA</vt:lpstr>
      <vt:lpstr>v_7_SAN</vt:lpstr>
      <vt:lpstr>v_7_SB</vt:lpstr>
      <vt:lpstr>v_7_SCa</vt:lpstr>
      <vt:lpstr>v_7_SCAT</vt:lpstr>
      <vt:lpstr>v_7_SCH4</vt:lpstr>
      <vt:lpstr>v_7_SCO2</vt:lpstr>
      <vt:lpstr>v_7_SFe2</vt:lpstr>
      <vt:lpstr>v_7_SH</vt:lpstr>
      <vt:lpstr>v_7_SH2</vt:lpstr>
      <vt:lpstr>v_7_SK</vt:lpstr>
      <vt:lpstr>v_7_SMEOL</vt:lpstr>
      <vt:lpstr>v_7_SMg</vt:lpstr>
      <vt:lpstr>v_7_SN_B</vt:lpstr>
      <vt:lpstr>v_7_SN2</vt:lpstr>
      <vt:lpstr>v_7_SNHx</vt:lpstr>
      <vt:lpstr>v_7_SNO2</vt:lpstr>
      <vt:lpstr>v_7_SNO3</vt:lpstr>
      <vt:lpstr>v_7_SO2</vt:lpstr>
      <vt:lpstr>v_7_SORPswitch</vt:lpstr>
      <vt:lpstr>v_7_SP_B</vt:lpstr>
      <vt:lpstr>v_7_SPFOA</vt:lpstr>
      <vt:lpstr>v_7_SPFOS</vt:lpstr>
      <vt:lpstr>v_7_SPO4</vt:lpstr>
      <vt:lpstr>v_7_SU</vt:lpstr>
      <vt:lpstr>v_7_SVFA</vt:lpstr>
      <vt:lpstr>v_7_XACP</vt:lpstr>
      <vt:lpstr>v_7_XALGAE</vt:lpstr>
      <vt:lpstr>v_7_XAMETO</vt:lpstr>
      <vt:lpstr>v_7_XAMX</vt:lpstr>
      <vt:lpstr>v_7_XAOB</vt:lpstr>
      <vt:lpstr>v_7_XB</vt:lpstr>
      <vt:lpstr>v_7_XB_e</vt:lpstr>
      <vt:lpstr>v_7_XBSH</vt:lpstr>
      <vt:lpstr>v_7_XCaCO3</vt:lpstr>
      <vt:lpstr>v_7_XCASTO</vt:lpstr>
      <vt:lpstr>v_7_XE</vt:lpstr>
      <vt:lpstr>v_7_XE_ana</vt:lpstr>
      <vt:lpstr>v_7_XHAO_H</vt:lpstr>
      <vt:lpstr>v_7_XHAO_H_P</vt:lpstr>
      <vt:lpstr>v_7_XHAO_H_P_old</vt:lpstr>
      <vt:lpstr>v_7_XHAO_L</vt:lpstr>
      <vt:lpstr>v_7_XHAO_L_P</vt:lpstr>
      <vt:lpstr>v_7_XHAO_L_P_old</vt:lpstr>
      <vt:lpstr>v_7_XHAO_old</vt:lpstr>
      <vt:lpstr>v_7_XHFO_H</vt:lpstr>
      <vt:lpstr>v_7_XHFO_H_P</vt:lpstr>
      <vt:lpstr>v_7_XHFO_H_P_old</vt:lpstr>
      <vt:lpstr>v_7_XHFO_L</vt:lpstr>
      <vt:lpstr>v_7_XHFO_L_P</vt:lpstr>
      <vt:lpstr>v_7_XHFO_L_P_old</vt:lpstr>
      <vt:lpstr>v_7_XHFO_old</vt:lpstr>
      <vt:lpstr>v_7_XHMETO</vt:lpstr>
      <vt:lpstr>v_7_XINORG</vt:lpstr>
      <vt:lpstr>v_7_XMEOLO</vt:lpstr>
      <vt:lpstr>v_7_XN_B</vt:lpstr>
      <vt:lpstr>v_7_XN_Be</vt:lpstr>
      <vt:lpstr>v_7_XN_U</vt:lpstr>
      <vt:lpstr>v_7_XNOB</vt:lpstr>
      <vt:lpstr>v_7_XOHO</vt:lpstr>
      <vt:lpstr>v_7_XP_B</vt:lpstr>
      <vt:lpstr>v_7_XP_Be</vt:lpstr>
      <vt:lpstr>v_7_XP_U</vt:lpstr>
      <vt:lpstr>v_7_XPFOA</vt:lpstr>
      <vt:lpstr>v_7_XPFOS</vt:lpstr>
      <vt:lpstr>v_7_XPHA_GAO</vt:lpstr>
      <vt:lpstr>v_7_XPHA_PAO</vt:lpstr>
      <vt:lpstr>v_7_XPP</vt:lpstr>
      <vt:lpstr>v_7_XSTR</vt:lpstr>
      <vt:lpstr>v_7_XU</vt:lpstr>
      <vt:lpstr>v_7_XVivi</vt:lpstr>
      <vt:lpstr>v_70_CB</vt:lpstr>
      <vt:lpstr>v_70_CU</vt:lpstr>
      <vt:lpstr>v_70_GCH4</vt:lpstr>
      <vt:lpstr>v_70_GCH4_atm</vt:lpstr>
      <vt:lpstr>v_70_GCO2</vt:lpstr>
      <vt:lpstr>v_70_GCO2_atm</vt:lpstr>
      <vt:lpstr>v_70_GH2</vt:lpstr>
      <vt:lpstr>v_70_GH2_atm</vt:lpstr>
      <vt:lpstr>v_70_GN2</vt:lpstr>
      <vt:lpstr>v_70_GN2_atm</vt:lpstr>
      <vt:lpstr>v_70_GNH3</vt:lpstr>
      <vt:lpstr>v_70_GNH3_atm</vt:lpstr>
      <vt:lpstr>v_70_GO2</vt:lpstr>
      <vt:lpstr>v_70_GO2_atm</vt:lpstr>
      <vt:lpstr>v_70_SALPHA</vt:lpstr>
      <vt:lpstr>v_70_SAN</vt:lpstr>
      <vt:lpstr>v_70_SB</vt:lpstr>
      <vt:lpstr>v_70_SCa</vt:lpstr>
      <vt:lpstr>v_70_SCAT</vt:lpstr>
      <vt:lpstr>v_70_SCH4</vt:lpstr>
      <vt:lpstr>v_70_SCO2</vt:lpstr>
      <vt:lpstr>v_70_SFe2</vt:lpstr>
      <vt:lpstr>v_70_SH</vt:lpstr>
      <vt:lpstr>v_70_SH2</vt:lpstr>
      <vt:lpstr>v_70_SK</vt:lpstr>
      <vt:lpstr>v_70_SMEOL</vt:lpstr>
      <vt:lpstr>v_70_SMg</vt:lpstr>
      <vt:lpstr>v_70_SN_B</vt:lpstr>
      <vt:lpstr>v_70_SN2</vt:lpstr>
      <vt:lpstr>v_70_SNHx</vt:lpstr>
      <vt:lpstr>v_70_SNO2</vt:lpstr>
      <vt:lpstr>v_70_SNO3</vt:lpstr>
      <vt:lpstr>v_70_SO2</vt:lpstr>
      <vt:lpstr>v_70_SORPswitch</vt:lpstr>
      <vt:lpstr>v_70_SP_B</vt:lpstr>
      <vt:lpstr>v_70_SPFOA</vt:lpstr>
      <vt:lpstr>v_70_SPFOS</vt:lpstr>
      <vt:lpstr>v_70_SPO4</vt:lpstr>
      <vt:lpstr>v_70_SU</vt:lpstr>
      <vt:lpstr>v_70_SVFA</vt:lpstr>
      <vt:lpstr>v_70_XACP</vt:lpstr>
      <vt:lpstr>v_70_XALGAE</vt:lpstr>
      <vt:lpstr>v_70_XAMETO</vt:lpstr>
      <vt:lpstr>v_70_XAMX</vt:lpstr>
      <vt:lpstr>v_70_XAOB</vt:lpstr>
      <vt:lpstr>v_70_XB</vt:lpstr>
      <vt:lpstr>v_70_XB_e</vt:lpstr>
      <vt:lpstr>v_70_XBSH</vt:lpstr>
      <vt:lpstr>v_70_XCaCO3</vt:lpstr>
      <vt:lpstr>v_70_XCASTO</vt:lpstr>
      <vt:lpstr>v_70_XE</vt:lpstr>
      <vt:lpstr>v_70_XE_ana</vt:lpstr>
      <vt:lpstr>v_70_XHAO_H</vt:lpstr>
      <vt:lpstr>v_70_XHAO_H_P</vt:lpstr>
      <vt:lpstr>v_70_XHAO_H_P_old</vt:lpstr>
      <vt:lpstr>v_70_XHAO_L</vt:lpstr>
      <vt:lpstr>v_70_XHAO_L_P</vt:lpstr>
      <vt:lpstr>v_70_XHAO_L_P_old</vt:lpstr>
      <vt:lpstr>v_70_XHAO_old</vt:lpstr>
      <vt:lpstr>v_70_XHFO_H</vt:lpstr>
      <vt:lpstr>v_70_XHFO_H_P</vt:lpstr>
      <vt:lpstr>v_70_XHFO_H_P_old</vt:lpstr>
      <vt:lpstr>v_70_XHFO_L</vt:lpstr>
      <vt:lpstr>v_70_XHFO_L_P</vt:lpstr>
      <vt:lpstr>v_70_XHFO_L_P_old</vt:lpstr>
      <vt:lpstr>v_70_XHFO_old</vt:lpstr>
      <vt:lpstr>v_70_XHMETO</vt:lpstr>
      <vt:lpstr>v_70_XINORG</vt:lpstr>
      <vt:lpstr>v_70_XMEOLO</vt:lpstr>
      <vt:lpstr>v_70_XN_B</vt:lpstr>
      <vt:lpstr>v_70_XN_Be</vt:lpstr>
      <vt:lpstr>v_70_XN_U</vt:lpstr>
      <vt:lpstr>v_70_XNOB</vt:lpstr>
      <vt:lpstr>v_70_XOHO</vt:lpstr>
      <vt:lpstr>v_70_XP_B</vt:lpstr>
      <vt:lpstr>v_70_XP_Be</vt:lpstr>
      <vt:lpstr>v_70_XP_U</vt:lpstr>
      <vt:lpstr>v_70_XPFOA</vt:lpstr>
      <vt:lpstr>v_70_XPFOS</vt:lpstr>
      <vt:lpstr>v_70_XPHA_GAO</vt:lpstr>
      <vt:lpstr>v_70_XPHA_PAO</vt:lpstr>
      <vt:lpstr>v_70_XPP</vt:lpstr>
      <vt:lpstr>v_70_XSTR</vt:lpstr>
      <vt:lpstr>v_70_XU</vt:lpstr>
      <vt:lpstr>v_70_XVivi</vt:lpstr>
      <vt:lpstr>v_71_CB</vt:lpstr>
      <vt:lpstr>v_71_CU</vt:lpstr>
      <vt:lpstr>v_71_GCH4</vt:lpstr>
      <vt:lpstr>v_71_GCH4_atm</vt:lpstr>
      <vt:lpstr>v_71_GCO2</vt:lpstr>
      <vt:lpstr>v_71_GCO2_atm</vt:lpstr>
      <vt:lpstr>v_71_GH2</vt:lpstr>
      <vt:lpstr>v_71_GH2_atm</vt:lpstr>
      <vt:lpstr>v_71_GN2</vt:lpstr>
      <vt:lpstr>v_71_GN2_atm</vt:lpstr>
      <vt:lpstr>v_71_GNH3</vt:lpstr>
      <vt:lpstr>v_71_GNH3_atm</vt:lpstr>
      <vt:lpstr>v_71_GO2</vt:lpstr>
      <vt:lpstr>v_71_GO2_atm</vt:lpstr>
      <vt:lpstr>v_71_SALPHA</vt:lpstr>
      <vt:lpstr>v_71_SAN</vt:lpstr>
      <vt:lpstr>v_71_SB</vt:lpstr>
      <vt:lpstr>v_71_SCa</vt:lpstr>
      <vt:lpstr>v_71_SCAT</vt:lpstr>
      <vt:lpstr>v_71_SCH4</vt:lpstr>
      <vt:lpstr>v_71_SCO2</vt:lpstr>
      <vt:lpstr>v_71_SFe2</vt:lpstr>
      <vt:lpstr>v_71_SH</vt:lpstr>
      <vt:lpstr>v_71_SH2</vt:lpstr>
      <vt:lpstr>v_71_SK</vt:lpstr>
      <vt:lpstr>v_71_SMEOL</vt:lpstr>
      <vt:lpstr>v_71_SMg</vt:lpstr>
      <vt:lpstr>v_71_SN_B</vt:lpstr>
      <vt:lpstr>v_71_SN2</vt:lpstr>
      <vt:lpstr>v_71_SNHx</vt:lpstr>
      <vt:lpstr>v_71_SNO2</vt:lpstr>
      <vt:lpstr>v_71_SNO3</vt:lpstr>
      <vt:lpstr>v_71_SO2</vt:lpstr>
      <vt:lpstr>v_71_SORPswitch</vt:lpstr>
      <vt:lpstr>v_71_SP_B</vt:lpstr>
      <vt:lpstr>v_71_SPFOA</vt:lpstr>
      <vt:lpstr>v_71_SPFOS</vt:lpstr>
      <vt:lpstr>v_71_SPO4</vt:lpstr>
      <vt:lpstr>v_71_SU</vt:lpstr>
      <vt:lpstr>v_71_SVFA</vt:lpstr>
      <vt:lpstr>v_71_XACP</vt:lpstr>
      <vt:lpstr>v_71_XALGAE</vt:lpstr>
      <vt:lpstr>v_71_XAMETO</vt:lpstr>
      <vt:lpstr>v_71_XAMX</vt:lpstr>
      <vt:lpstr>v_71_XAOB</vt:lpstr>
      <vt:lpstr>v_71_XB</vt:lpstr>
      <vt:lpstr>v_71_XB_e</vt:lpstr>
      <vt:lpstr>v_71_XBSH</vt:lpstr>
      <vt:lpstr>v_71_XCaCO3</vt:lpstr>
      <vt:lpstr>v_71_XCASTO</vt:lpstr>
      <vt:lpstr>v_71_XE</vt:lpstr>
      <vt:lpstr>v_71_XE_ana</vt:lpstr>
      <vt:lpstr>v_71_XHAO_H</vt:lpstr>
      <vt:lpstr>v_71_XHAO_H_P</vt:lpstr>
      <vt:lpstr>v_71_XHAO_H_P_old</vt:lpstr>
      <vt:lpstr>v_71_XHAO_L</vt:lpstr>
      <vt:lpstr>v_71_XHAO_L_P</vt:lpstr>
      <vt:lpstr>v_71_XHAO_L_P_old</vt:lpstr>
      <vt:lpstr>v_71_XHAO_old</vt:lpstr>
      <vt:lpstr>v_71_XHFO_H</vt:lpstr>
      <vt:lpstr>v_71_XHFO_H_P</vt:lpstr>
      <vt:lpstr>v_71_XHFO_H_P_old</vt:lpstr>
      <vt:lpstr>v_71_XHFO_L</vt:lpstr>
      <vt:lpstr>v_71_XHFO_L_P</vt:lpstr>
      <vt:lpstr>v_71_XHFO_L_P_old</vt:lpstr>
      <vt:lpstr>v_71_XHFO_old</vt:lpstr>
      <vt:lpstr>v_71_XHMETO</vt:lpstr>
      <vt:lpstr>v_71_XINORG</vt:lpstr>
      <vt:lpstr>v_71_XMEOLO</vt:lpstr>
      <vt:lpstr>v_71_XN_B</vt:lpstr>
      <vt:lpstr>v_71_XN_Be</vt:lpstr>
      <vt:lpstr>v_71_XN_U</vt:lpstr>
      <vt:lpstr>v_71_XNOB</vt:lpstr>
      <vt:lpstr>v_71_XOHO</vt:lpstr>
      <vt:lpstr>v_71_XP_B</vt:lpstr>
      <vt:lpstr>v_71_XP_Be</vt:lpstr>
      <vt:lpstr>v_71_XP_U</vt:lpstr>
      <vt:lpstr>v_71_XPFOA</vt:lpstr>
      <vt:lpstr>v_71_XPFOS</vt:lpstr>
      <vt:lpstr>v_71_XPHA_GAO</vt:lpstr>
      <vt:lpstr>v_71_XPHA_PAO</vt:lpstr>
      <vt:lpstr>v_71_XPP</vt:lpstr>
      <vt:lpstr>v_71_XSTR</vt:lpstr>
      <vt:lpstr>v_71_XU</vt:lpstr>
      <vt:lpstr>v_71_XVivi</vt:lpstr>
      <vt:lpstr>v_72_CB</vt:lpstr>
      <vt:lpstr>v_72_CU</vt:lpstr>
      <vt:lpstr>v_72_GCH4</vt:lpstr>
      <vt:lpstr>v_72_GCH4_atm</vt:lpstr>
      <vt:lpstr>v_72_GCO2</vt:lpstr>
      <vt:lpstr>v_72_GCO2_atm</vt:lpstr>
      <vt:lpstr>v_72_GH2</vt:lpstr>
      <vt:lpstr>v_72_GH2_atm</vt:lpstr>
      <vt:lpstr>v_72_GN2</vt:lpstr>
      <vt:lpstr>v_72_GN2_atm</vt:lpstr>
      <vt:lpstr>v_72_GNH3</vt:lpstr>
      <vt:lpstr>v_72_GNH3_atm</vt:lpstr>
      <vt:lpstr>v_72_GO2</vt:lpstr>
      <vt:lpstr>v_72_GO2_atm</vt:lpstr>
      <vt:lpstr>v_72_SALPHA</vt:lpstr>
      <vt:lpstr>v_72_SAN</vt:lpstr>
      <vt:lpstr>v_72_SB</vt:lpstr>
      <vt:lpstr>v_72_SCa</vt:lpstr>
      <vt:lpstr>v_72_SCAT</vt:lpstr>
      <vt:lpstr>v_72_SCH4</vt:lpstr>
      <vt:lpstr>v_72_SCO2</vt:lpstr>
      <vt:lpstr>v_72_SFe2</vt:lpstr>
      <vt:lpstr>v_72_SH</vt:lpstr>
      <vt:lpstr>v_72_SH2</vt:lpstr>
      <vt:lpstr>v_72_SK</vt:lpstr>
      <vt:lpstr>v_72_SMEOL</vt:lpstr>
      <vt:lpstr>v_72_SMg</vt:lpstr>
      <vt:lpstr>v_72_SN_B</vt:lpstr>
      <vt:lpstr>v_72_SN2</vt:lpstr>
      <vt:lpstr>v_72_SNHx</vt:lpstr>
      <vt:lpstr>v_72_SNO2</vt:lpstr>
      <vt:lpstr>v_72_SNO3</vt:lpstr>
      <vt:lpstr>v_72_SO2</vt:lpstr>
      <vt:lpstr>v_72_SORPswitch</vt:lpstr>
      <vt:lpstr>v_72_SP_B</vt:lpstr>
      <vt:lpstr>v_72_SPFOA</vt:lpstr>
      <vt:lpstr>v_72_SPFOS</vt:lpstr>
      <vt:lpstr>v_72_SPO4</vt:lpstr>
      <vt:lpstr>v_72_SU</vt:lpstr>
      <vt:lpstr>v_72_SVFA</vt:lpstr>
      <vt:lpstr>v_72_XACP</vt:lpstr>
      <vt:lpstr>v_72_XALGAE</vt:lpstr>
      <vt:lpstr>v_72_XAMETO</vt:lpstr>
      <vt:lpstr>v_72_XAMX</vt:lpstr>
      <vt:lpstr>v_72_XAOB</vt:lpstr>
      <vt:lpstr>v_72_XB</vt:lpstr>
      <vt:lpstr>v_72_XB_e</vt:lpstr>
      <vt:lpstr>v_72_XBSH</vt:lpstr>
      <vt:lpstr>v_72_XCaCO3</vt:lpstr>
      <vt:lpstr>v_72_XCASTO</vt:lpstr>
      <vt:lpstr>v_72_XE</vt:lpstr>
      <vt:lpstr>v_72_XE_ana</vt:lpstr>
      <vt:lpstr>v_72_XHAO_H</vt:lpstr>
      <vt:lpstr>v_72_XHAO_H_P</vt:lpstr>
      <vt:lpstr>v_72_XHAO_H_P_old</vt:lpstr>
      <vt:lpstr>v_72_XHAO_L</vt:lpstr>
      <vt:lpstr>v_72_XHAO_L_P</vt:lpstr>
      <vt:lpstr>v_72_XHAO_L_P_old</vt:lpstr>
      <vt:lpstr>v_72_XHAO_old</vt:lpstr>
      <vt:lpstr>v_72_XHFO_H</vt:lpstr>
      <vt:lpstr>v_72_XHFO_H_P</vt:lpstr>
      <vt:lpstr>v_72_XHFO_H_P_old</vt:lpstr>
      <vt:lpstr>v_72_XHFO_L</vt:lpstr>
      <vt:lpstr>v_72_XHFO_L_P</vt:lpstr>
      <vt:lpstr>v_72_XHFO_L_P_old</vt:lpstr>
      <vt:lpstr>v_72_XHFO_old</vt:lpstr>
      <vt:lpstr>v_72_XHMETO</vt:lpstr>
      <vt:lpstr>v_72_XINORG</vt:lpstr>
      <vt:lpstr>v_72_XMEOLO</vt:lpstr>
      <vt:lpstr>v_72_XN_B</vt:lpstr>
      <vt:lpstr>v_72_XN_Be</vt:lpstr>
      <vt:lpstr>v_72_XN_U</vt:lpstr>
      <vt:lpstr>v_72_XNOB</vt:lpstr>
      <vt:lpstr>v_72_XOHO</vt:lpstr>
      <vt:lpstr>v_72_XP_B</vt:lpstr>
      <vt:lpstr>v_72_XP_Be</vt:lpstr>
      <vt:lpstr>v_72_XP_U</vt:lpstr>
      <vt:lpstr>v_72_XPFOA</vt:lpstr>
      <vt:lpstr>v_72_XPFOS</vt:lpstr>
      <vt:lpstr>v_72_XPHA_GAO</vt:lpstr>
      <vt:lpstr>v_72_XPHA_PAO</vt:lpstr>
      <vt:lpstr>v_72_XPP</vt:lpstr>
      <vt:lpstr>v_72_XSTR</vt:lpstr>
      <vt:lpstr>v_72_XU</vt:lpstr>
      <vt:lpstr>v_72_XVivi</vt:lpstr>
      <vt:lpstr>v_73_CB</vt:lpstr>
      <vt:lpstr>v_73_CU</vt:lpstr>
      <vt:lpstr>v_73_GCH4</vt:lpstr>
      <vt:lpstr>v_73_GCH4_atm</vt:lpstr>
      <vt:lpstr>v_73_GCO2</vt:lpstr>
      <vt:lpstr>v_73_GCO2_atm</vt:lpstr>
      <vt:lpstr>v_73_GH2</vt:lpstr>
      <vt:lpstr>v_73_GH2_atm</vt:lpstr>
      <vt:lpstr>v_73_GN2</vt:lpstr>
      <vt:lpstr>v_73_GN2_atm</vt:lpstr>
      <vt:lpstr>v_73_GNH3</vt:lpstr>
      <vt:lpstr>v_73_GNH3_atm</vt:lpstr>
      <vt:lpstr>v_73_GO2</vt:lpstr>
      <vt:lpstr>v_73_GO2_atm</vt:lpstr>
      <vt:lpstr>v_73_SALPHA</vt:lpstr>
      <vt:lpstr>v_73_SAN</vt:lpstr>
      <vt:lpstr>v_73_SB</vt:lpstr>
      <vt:lpstr>v_73_SCa</vt:lpstr>
      <vt:lpstr>v_73_SCAT</vt:lpstr>
      <vt:lpstr>v_73_SCH4</vt:lpstr>
      <vt:lpstr>v_73_SCO2</vt:lpstr>
      <vt:lpstr>v_73_SFe2</vt:lpstr>
      <vt:lpstr>v_73_SH</vt:lpstr>
      <vt:lpstr>v_73_SH2</vt:lpstr>
      <vt:lpstr>v_73_SK</vt:lpstr>
      <vt:lpstr>v_73_SMEOL</vt:lpstr>
      <vt:lpstr>v_73_SMg</vt:lpstr>
      <vt:lpstr>v_73_SN_B</vt:lpstr>
      <vt:lpstr>v_73_SN2</vt:lpstr>
      <vt:lpstr>v_73_SNHx</vt:lpstr>
      <vt:lpstr>v_73_SNO2</vt:lpstr>
      <vt:lpstr>v_73_SNO3</vt:lpstr>
      <vt:lpstr>v_73_SO2</vt:lpstr>
      <vt:lpstr>v_73_SORPswitch</vt:lpstr>
      <vt:lpstr>v_73_SP_B</vt:lpstr>
      <vt:lpstr>v_73_SPFOA</vt:lpstr>
      <vt:lpstr>v_73_SPFOS</vt:lpstr>
      <vt:lpstr>v_73_SPO4</vt:lpstr>
      <vt:lpstr>v_73_SU</vt:lpstr>
      <vt:lpstr>v_73_SVFA</vt:lpstr>
      <vt:lpstr>v_73_XACP</vt:lpstr>
      <vt:lpstr>v_73_XALGAE</vt:lpstr>
      <vt:lpstr>v_73_XAMETO</vt:lpstr>
      <vt:lpstr>v_73_XAMX</vt:lpstr>
      <vt:lpstr>v_73_XAOB</vt:lpstr>
      <vt:lpstr>v_73_XB</vt:lpstr>
      <vt:lpstr>v_73_XB_e</vt:lpstr>
      <vt:lpstr>v_73_XBSH</vt:lpstr>
      <vt:lpstr>v_73_XCaCO3</vt:lpstr>
      <vt:lpstr>v_73_XCASTO</vt:lpstr>
      <vt:lpstr>v_73_XE</vt:lpstr>
      <vt:lpstr>v_73_XE_ana</vt:lpstr>
      <vt:lpstr>v_73_XHAO_H</vt:lpstr>
      <vt:lpstr>v_73_XHAO_H_P</vt:lpstr>
      <vt:lpstr>v_73_XHAO_H_P_old</vt:lpstr>
      <vt:lpstr>v_73_XHAO_L</vt:lpstr>
      <vt:lpstr>v_73_XHAO_L_P</vt:lpstr>
      <vt:lpstr>v_73_XHAO_L_P_old</vt:lpstr>
      <vt:lpstr>v_73_XHAO_old</vt:lpstr>
      <vt:lpstr>v_73_XHFO_H</vt:lpstr>
      <vt:lpstr>v_73_XHFO_H_P</vt:lpstr>
      <vt:lpstr>v_73_XHFO_H_P_old</vt:lpstr>
      <vt:lpstr>v_73_XHFO_L</vt:lpstr>
      <vt:lpstr>v_73_XHFO_L_P</vt:lpstr>
      <vt:lpstr>v_73_XHFO_L_P_old</vt:lpstr>
      <vt:lpstr>v_73_XHFO_old</vt:lpstr>
      <vt:lpstr>v_73_XHMETO</vt:lpstr>
      <vt:lpstr>v_73_XINORG</vt:lpstr>
      <vt:lpstr>v_73_XMEOLO</vt:lpstr>
      <vt:lpstr>v_73_XN_B</vt:lpstr>
      <vt:lpstr>v_73_XN_Be</vt:lpstr>
      <vt:lpstr>v_73_XN_U</vt:lpstr>
      <vt:lpstr>v_73_XNOB</vt:lpstr>
      <vt:lpstr>v_73_XOHO</vt:lpstr>
      <vt:lpstr>v_73_XP_B</vt:lpstr>
      <vt:lpstr>v_73_XP_Be</vt:lpstr>
      <vt:lpstr>v_73_XP_U</vt:lpstr>
      <vt:lpstr>v_73_XPFOA</vt:lpstr>
      <vt:lpstr>v_73_XPFOS</vt:lpstr>
      <vt:lpstr>v_73_XPHA_GAO</vt:lpstr>
      <vt:lpstr>v_73_XPHA_PAO</vt:lpstr>
      <vt:lpstr>v_73_XPP</vt:lpstr>
      <vt:lpstr>v_73_XSTR</vt:lpstr>
      <vt:lpstr>v_73_XU</vt:lpstr>
      <vt:lpstr>v_73_XVivi</vt:lpstr>
      <vt:lpstr>v_74_CB</vt:lpstr>
      <vt:lpstr>v_74_CU</vt:lpstr>
      <vt:lpstr>v_74_GCH4</vt:lpstr>
      <vt:lpstr>v_74_GCH4_atm</vt:lpstr>
      <vt:lpstr>v_74_GCO2</vt:lpstr>
      <vt:lpstr>v_74_GCO2_atm</vt:lpstr>
      <vt:lpstr>v_74_GH2</vt:lpstr>
      <vt:lpstr>v_74_GH2_atm</vt:lpstr>
      <vt:lpstr>v_74_GN2</vt:lpstr>
      <vt:lpstr>v_74_GN2_atm</vt:lpstr>
      <vt:lpstr>v_74_GNH3</vt:lpstr>
      <vt:lpstr>v_74_GNH3_atm</vt:lpstr>
      <vt:lpstr>v_74_GO2</vt:lpstr>
      <vt:lpstr>v_74_GO2_atm</vt:lpstr>
      <vt:lpstr>v_74_SALPHA</vt:lpstr>
      <vt:lpstr>v_74_SAN</vt:lpstr>
      <vt:lpstr>v_74_SB</vt:lpstr>
      <vt:lpstr>v_74_SCa</vt:lpstr>
      <vt:lpstr>v_74_SCAT</vt:lpstr>
      <vt:lpstr>v_74_SCH4</vt:lpstr>
      <vt:lpstr>v_74_SCO2</vt:lpstr>
      <vt:lpstr>v_74_SFe2</vt:lpstr>
      <vt:lpstr>v_74_SH</vt:lpstr>
      <vt:lpstr>v_74_SH2</vt:lpstr>
      <vt:lpstr>v_74_SK</vt:lpstr>
      <vt:lpstr>v_74_SMEOL</vt:lpstr>
      <vt:lpstr>v_74_SMg</vt:lpstr>
      <vt:lpstr>v_74_SN_B</vt:lpstr>
      <vt:lpstr>v_74_SN2</vt:lpstr>
      <vt:lpstr>v_74_SNHx</vt:lpstr>
      <vt:lpstr>v_74_SNO2</vt:lpstr>
      <vt:lpstr>v_74_SNO3</vt:lpstr>
      <vt:lpstr>v_74_SO2</vt:lpstr>
      <vt:lpstr>v_74_SORPswitch</vt:lpstr>
      <vt:lpstr>v_74_SP_B</vt:lpstr>
      <vt:lpstr>v_74_SPFOA</vt:lpstr>
      <vt:lpstr>v_74_SPFOS</vt:lpstr>
      <vt:lpstr>v_74_SPO4</vt:lpstr>
      <vt:lpstr>v_74_SU</vt:lpstr>
      <vt:lpstr>v_74_SVFA</vt:lpstr>
      <vt:lpstr>v_74_XACP</vt:lpstr>
      <vt:lpstr>v_74_XALGAE</vt:lpstr>
      <vt:lpstr>v_74_XAMETO</vt:lpstr>
      <vt:lpstr>v_74_XAMX</vt:lpstr>
      <vt:lpstr>v_74_XAOB</vt:lpstr>
      <vt:lpstr>v_74_XB</vt:lpstr>
      <vt:lpstr>v_74_XB_e</vt:lpstr>
      <vt:lpstr>v_74_XBSH</vt:lpstr>
      <vt:lpstr>v_74_XCaCO3</vt:lpstr>
      <vt:lpstr>v_74_XCASTO</vt:lpstr>
      <vt:lpstr>v_74_XE</vt:lpstr>
      <vt:lpstr>v_74_XE_ana</vt:lpstr>
      <vt:lpstr>v_74_XHAO_H</vt:lpstr>
      <vt:lpstr>v_74_XHAO_H_P</vt:lpstr>
      <vt:lpstr>v_74_XHAO_H_P_old</vt:lpstr>
      <vt:lpstr>v_74_XHAO_L</vt:lpstr>
      <vt:lpstr>v_74_XHAO_L_P</vt:lpstr>
      <vt:lpstr>v_74_XHAO_L_P_old</vt:lpstr>
      <vt:lpstr>v_74_XHAO_old</vt:lpstr>
      <vt:lpstr>v_74_XHFO_H</vt:lpstr>
      <vt:lpstr>v_74_XHFO_H_P</vt:lpstr>
      <vt:lpstr>v_74_XHFO_H_P_old</vt:lpstr>
      <vt:lpstr>v_74_XHFO_L</vt:lpstr>
      <vt:lpstr>v_74_XHFO_L_P</vt:lpstr>
      <vt:lpstr>v_74_XHFO_L_P_old</vt:lpstr>
      <vt:lpstr>v_74_XHFO_old</vt:lpstr>
      <vt:lpstr>v_74_XHMETO</vt:lpstr>
      <vt:lpstr>v_74_XINORG</vt:lpstr>
      <vt:lpstr>v_74_XMEOLO</vt:lpstr>
      <vt:lpstr>v_74_XN_B</vt:lpstr>
      <vt:lpstr>v_74_XN_Be</vt:lpstr>
      <vt:lpstr>v_74_XN_U</vt:lpstr>
      <vt:lpstr>v_74_XNOB</vt:lpstr>
      <vt:lpstr>v_74_XOHO</vt:lpstr>
      <vt:lpstr>v_74_XP_B</vt:lpstr>
      <vt:lpstr>v_74_XP_Be</vt:lpstr>
      <vt:lpstr>v_74_XP_U</vt:lpstr>
      <vt:lpstr>v_74_XPFOA</vt:lpstr>
      <vt:lpstr>v_74_XPFOS</vt:lpstr>
      <vt:lpstr>v_74_XPHA_GAO</vt:lpstr>
      <vt:lpstr>v_74_XPHA_PAO</vt:lpstr>
      <vt:lpstr>v_74_XPP</vt:lpstr>
      <vt:lpstr>v_74_XSTR</vt:lpstr>
      <vt:lpstr>v_74_XU</vt:lpstr>
      <vt:lpstr>v_74_XVivi</vt:lpstr>
      <vt:lpstr>v_75_CB</vt:lpstr>
      <vt:lpstr>v_75_CU</vt:lpstr>
      <vt:lpstr>v_75_GCH4</vt:lpstr>
      <vt:lpstr>v_75_GCH4_atm</vt:lpstr>
      <vt:lpstr>v_75_GCO2</vt:lpstr>
      <vt:lpstr>v_75_GCO2_atm</vt:lpstr>
      <vt:lpstr>v_75_GH2</vt:lpstr>
      <vt:lpstr>v_75_GH2_atm</vt:lpstr>
      <vt:lpstr>v_75_GN2</vt:lpstr>
      <vt:lpstr>v_75_GN2_atm</vt:lpstr>
      <vt:lpstr>v_75_GNH3</vt:lpstr>
      <vt:lpstr>v_75_GNH3_atm</vt:lpstr>
      <vt:lpstr>v_75_GO2</vt:lpstr>
      <vt:lpstr>v_75_GO2_atm</vt:lpstr>
      <vt:lpstr>v_75_SALPHA</vt:lpstr>
      <vt:lpstr>v_75_SAN</vt:lpstr>
      <vt:lpstr>v_75_SB</vt:lpstr>
      <vt:lpstr>v_75_SCa</vt:lpstr>
      <vt:lpstr>v_75_SCAT</vt:lpstr>
      <vt:lpstr>v_75_SCH4</vt:lpstr>
      <vt:lpstr>v_75_SCO2</vt:lpstr>
      <vt:lpstr>v_75_SFe2</vt:lpstr>
      <vt:lpstr>v_75_SH</vt:lpstr>
      <vt:lpstr>v_75_SH2</vt:lpstr>
      <vt:lpstr>v_75_SK</vt:lpstr>
      <vt:lpstr>v_75_SMEOL</vt:lpstr>
      <vt:lpstr>v_75_SMg</vt:lpstr>
      <vt:lpstr>v_75_SN_B</vt:lpstr>
      <vt:lpstr>v_75_SN2</vt:lpstr>
      <vt:lpstr>v_75_SNHx</vt:lpstr>
      <vt:lpstr>v_75_SNO2</vt:lpstr>
      <vt:lpstr>v_75_SNO3</vt:lpstr>
      <vt:lpstr>v_75_SO2</vt:lpstr>
      <vt:lpstr>v_75_SORPswitch</vt:lpstr>
      <vt:lpstr>v_75_SP_B</vt:lpstr>
      <vt:lpstr>v_75_SPFOA</vt:lpstr>
      <vt:lpstr>v_75_SPFOS</vt:lpstr>
      <vt:lpstr>v_75_SPO4</vt:lpstr>
      <vt:lpstr>v_75_SU</vt:lpstr>
      <vt:lpstr>v_75_SVFA</vt:lpstr>
      <vt:lpstr>v_75_XACP</vt:lpstr>
      <vt:lpstr>v_75_XALGAE</vt:lpstr>
      <vt:lpstr>v_75_XAMETO</vt:lpstr>
      <vt:lpstr>v_75_XAMX</vt:lpstr>
      <vt:lpstr>v_75_XAOB</vt:lpstr>
      <vt:lpstr>v_75_XB</vt:lpstr>
      <vt:lpstr>v_75_XB_e</vt:lpstr>
      <vt:lpstr>v_75_XBSH</vt:lpstr>
      <vt:lpstr>v_75_XCaCO3</vt:lpstr>
      <vt:lpstr>v_75_XCASTO</vt:lpstr>
      <vt:lpstr>v_75_XE</vt:lpstr>
      <vt:lpstr>v_75_XE_ana</vt:lpstr>
      <vt:lpstr>v_75_XHAO_H</vt:lpstr>
      <vt:lpstr>v_75_XHAO_H_P</vt:lpstr>
      <vt:lpstr>v_75_XHAO_H_P_old</vt:lpstr>
      <vt:lpstr>v_75_XHAO_L</vt:lpstr>
      <vt:lpstr>v_75_XHAO_L_P</vt:lpstr>
      <vt:lpstr>v_75_XHAO_L_P_old</vt:lpstr>
      <vt:lpstr>v_75_XHAO_old</vt:lpstr>
      <vt:lpstr>v_75_XHFO_H</vt:lpstr>
      <vt:lpstr>v_75_XHFO_H_P</vt:lpstr>
      <vt:lpstr>v_75_XHFO_H_P_old</vt:lpstr>
      <vt:lpstr>v_75_XHFO_L</vt:lpstr>
      <vt:lpstr>v_75_XHFO_L_P</vt:lpstr>
      <vt:lpstr>v_75_XHFO_L_P_old</vt:lpstr>
      <vt:lpstr>v_75_XHFO_old</vt:lpstr>
      <vt:lpstr>v_75_XHMETO</vt:lpstr>
      <vt:lpstr>v_75_XINORG</vt:lpstr>
      <vt:lpstr>v_75_XMEOLO</vt:lpstr>
      <vt:lpstr>v_75_XN_B</vt:lpstr>
      <vt:lpstr>v_75_XN_Be</vt:lpstr>
      <vt:lpstr>v_75_XN_U</vt:lpstr>
      <vt:lpstr>v_75_XNOB</vt:lpstr>
      <vt:lpstr>v_75_XOHO</vt:lpstr>
      <vt:lpstr>v_75_XP_B</vt:lpstr>
      <vt:lpstr>v_75_XP_Be</vt:lpstr>
      <vt:lpstr>v_75_XP_U</vt:lpstr>
      <vt:lpstr>v_75_XPFOA</vt:lpstr>
      <vt:lpstr>v_75_XPFOS</vt:lpstr>
      <vt:lpstr>v_75_XPHA_GAO</vt:lpstr>
      <vt:lpstr>v_75_XPHA_PAO</vt:lpstr>
      <vt:lpstr>v_75_XPP</vt:lpstr>
      <vt:lpstr>v_75_XSTR</vt:lpstr>
      <vt:lpstr>v_75_XU</vt:lpstr>
      <vt:lpstr>v_75_XVivi</vt:lpstr>
      <vt:lpstr>v_76_CB</vt:lpstr>
      <vt:lpstr>v_76_CU</vt:lpstr>
      <vt:lpstr>v_76_GCH4</vt:lpstr>
      <vt:lpstr>v_76_GCH4_atm</vt:lpstr>
      <vt:lpstr>v_76_GCO2</vt:lpstr>
      <vt:lpstr>v_76_GCO2_atm</vt:lpstr>
      <vt:lpstr>v_76_GH2</vt:lpstr>
      <vt:lpstr>v_76_GH2_atm</vt:lpstr>
      <vt:lpstr>v_76_GN2</vt:lpstr>
      <vt:lpstr>v_76_GN2_atm</vt:lpstr>
      <vt:lpstr>v_76_GNH3</vt:lpstr>
      <vt:lpstr>v_76_GNH3_atm</vt:lpstr>
      <vt:lpstr>v_76_GO2</vt:lpstr>
      <vt:lpstr>v_76_GO2_atm</vt:lpstr>
      <vt:lpstr>v_76_SALPHA</vt:lpstr>
      <vt:lpstr>v_76_SAN</vt:lpstr>
      <vt:lpstr>v_76_SB</vt:lpstr>
      <vt:lpstr>v_76_SCa</vt:lpstr>
      <vt:lpstr>v_76_SCAT</vt:lpstr>
      <vt:lpstr>v_76_SCH4</vt:lpstr>
      <vt:lpstr>v_76_SCO2</vt:lpstr>
      <vt:lpstr>v_76_SFe2</vt:lpstr>
      <vt:lpstr>v_76_SH</vt:lpstr>
      <vt:lpstr>v_76_SH2</vt:lpstr>
      <vt:lpstr>v_76_SK</vt:lpstr>
      <vt:lpstr>v_76_SMEOL</vt:lpstr>
      <vt:lpstr>v_76_SMg</vt:lpstr>
      <vt:lpstr>v_76_SN_B</vt:lpstr>
      <vt:lpstr>v_76_SN2</vt:lpstr>
      <vt:lpstr>v_76_SNHx</vt:lpstr>
      <vt:lpstr>v_76_SNO2</vt:lpstr>
      <vt:lpstr>v_76_SNO3</vt:lpstr>
      <vt:lpstr>v_76_SO2</vt:lpstr>
      <vt:lpstr>v_76_SORPswitch</vt:lpstr>
      <vt:lpstr>v_76_SP_B</vt:lpstr>
      <vt:lpstr>v_76_SPFOA</vt:lpstr>
      <vt:lpstr>v_76_SPFOS</vt:lpstr>
      <vt:lpstr>v_76_SPO4</vt:lpstr>
      <vt:lpstr>v_76_SU</vt:lpstr>
      <vt:lpstr>v_76_SVFA</vt:lpstr>
      <vt:lpstr>v_76_XACP</vt:lpstr>
      <vt:lpstr>v_76_XALGAE</vt:lpstr>
      <vt:lpstr>v_76_XAMETO</vt:lpstr>
      <vt:lpstr>v_76_XAMX</vt:lpstr>
      <vt:lpstr>v_76_XAOB</vt:lpstr>
      <vt:lpstr>v_76_XB</vt:lpstr>
      <vt:lpstr>v_76_XB_e</vt:lpstr>
      <vt:lpstr>v_76_XBSH</vt:lpstr>
      <vt:lpstr>v_76_XCaCO3</vt:lpstr>
      <vt:lpstr>v_76_XCASTO</vt:lpstr>
      <vt:lpstr>v_76_XE</vt:lpstr>
      <vt:lpstr>v_76_XE_ana</vt:lpstr>
      <vt:lpstr>v_76_XHAO_H</vt:lpstr>
      <vt:lpstr>v_76_XHAO_H_P</vt:lpstr>
      <vt:lpstr>v_76_XHAO_H_P_old</vt:lpstr>
      <vt:lpstr>v_76_XHAO_L</vt:lpstr>
      <vt:lpstr>v_76_XHAO_L_P</vt:lpstr>
      <vt:lpstr>v_76_XHAO_L_P_old</vt:lpstr>
      <vt:lpstr>v_76_XHAO_old</vt:lpstr>
      <vt:lpstr>v_76_XHFO_H</vt:lpstr>
      <vt:lpstr>v_76_XHFO_H_P</vt:lpstr>
      <vt:lpstr>v_76_XHFO_H_P_old</vt:lpstr>
      <vt:lpstr>v_76_XHFO_L</vt:lpstr>
      <vt:lpstr>v_76_XHFO_L_P</vt:lpstr>
      <vt:lpstr>v_76_XHFO_L_P_old</vt:lpstr>
      <vt:lpstr>v_76_XHFO_old</vt:lpstr>
      <vt:lpstr>v_76_XHMETO</vt:lpstr>
      <vt:lpstr>v_76_XINORG</vt:lpstr>
      <vt:lpstr>v_76_XMEOLO</vt:lpstr>
      <vt:lpstr>v_76_XN_B</vt:lpstr>
      <vt:lpstr>v_76_XN_Be</vt:lpstr>
      <vt:lpstr>v_76_XN_U</vt:lpstr>
      <vt:lpstr>v_76_XNOB</vt:lpstr>
      <vt:lpstr>v_76_XOHO</vt:lpstr>
      <vt:lpstr>v_76_XP_B</vt:lpstr>
      <vt:lpstr>v_76_XP_Be</vt:lpstr>
      <vt:lpstr>v_76_XP_U</vt:lpstr>
      <vt:lpstr>v_76_XPFOA</vt:lpstr>
      <vt:lpstr>v_76_XPFOS</vt:lpstr>
      <vt:lpstr>v_76_XPHA_GAO</vt:lpstr>
      <vt:lpstr>v_76_XPHA_PAO</vt:lpstr>
      <vt:lpstr>v_76_XPP</vt:lpstr>
      <vt:lpstr>v_76_XSTR</vt:lpstr>
      <vt:lpstr>v_76_XU</vt:lpstr>
      <vt:lpstr>v_76_XVivi</vt:lpstr>
      <vt:lpstr>v_77_CB</vt:lpstr>
      <vt:lpstr>v_77_CU</vt:lpstr>
      <vt:lpstr>v_77_GCH4</vt:lpstr>
      <vt:lpstr>v_77_GCH4_atm</vt:lpstr>
      <vt:lpstr>v_77_GCO2</vt:lpstr>
      <vt:lpstr>v_77_GCO2_atm</vt:lpstr>
      <vt:lpstr>v_77_GH2</vt:lpstr>
      <vt:lpstr>v_77_GH2_atm</vt:lpstr>
      <vt:lpstr>v_77_GN2</vt:lpstr>
      <vt:lpstr>v_77_GN2_atm</vt:lpstr>
      <vt:lpstr>v_77_GNH3</vt:lpstr>
      <vt:lpstr>v_77_GNH3_atm</vt:lpstr>
      <vt:lpstr>v_77_GO2</vt:lpstr>
      <vt:lpstr>v_77_GO2_atm</vt:lpstr>
      <vt:lpstr>v_77_SALPHA</vt:lpstr>
      <vt:lpstr>v_77_SAN</vt:lpstr>
      <vt:lpstr>v_77_SB</vt:lpstr>
      <vt:lpstr>v_77_SCa</vt:lpstr>
      <vt:lpstr>v_77_SCAT</vt:lpstr>
      <vt:lpstr>v_77_SCH4</vt:lpstr>
      <vt:lpstr>v_77_SCO2</vt:lpstr>
      <vt:lpstr>v_77_SFe2</vt:lpstr>
      <vt:lpstr>v_77_SH</vt:lpstr>
      <vt:lpstr>v_77_SH2</vt:lpstr>
      <vt:lpstr>v_77_SK</vt:lpstr>
      <vt:lpstr>v_77_SMEOL</vt:lpstr>
      <vt:lpstr>v_77_SMg</vt:lpstr>
      <vt:lpstr>v_77_SN_B</vt:lpstr>
      <vt:lpstr>v_77_SN2</vt:lpstr>
      <vt:lpstr>v_77_SNHx</vt:lpstr>
      <vt:lpstr>v_77_SNO2</vt:lpstr>
      <vt:lpstr>v_77_SNO3</vt:lpstr>
      <vt:lpstr>v_77_SO2</vt:lpstr>
      <vt:lpstr>v_77_SORPswitch</vt:lpstr>
      <vt:lpstr>v_77_SP_B</vt:lpstr>
      <vt:lpstr>v_77_SPFOA</vt:lpstr>
      <vt:lpstr>v_77_SPFOS</vt:lpstr>
      <vt:lpstr>v_77_SPO4</vt:lpstr>
      <vt:lpstr>v_77_SU</vt:lpstr>
      <vt:lpstr>v_77_SVFA</vt:lpstr>
      <vt:lpstr>v_77_XACP</vt:lpstr>
      <vt:lpstr>v_77_XALGAE</vt:lpstr>
      <vt:lpstr>v_77_XAMETO</vt:lpstr>
      <vt:lpstr>v_77_XAMX</vt:lpstr>
      <vt:lpstr>v_77_XAOB</vt:lpstr>
      <vt:lpstr>v_77_XB</vt:lpstr>
      <vt:lpstr>v_77_XB_e</vt:lpstr>
      <vt:lpstr>v_77_XBSH</vt:lpstr>
      <vt:lpstr>v_77_XCaCO3</vt:lpstr>
      <vt:lpstr>v_77_XCASTO</vt:lpstr>
      <vt:lpstr>v_77_XE</vt:lpstr>
      <vt:lpstr>v_77_XE_ana</vt:lpstr>
      <vt:lpstr>v_77_XHAO_H</vt:lpstr>
      <vt:lpstr>v_77_XHAO_H_P</vt:lpstr>
      <vt:lpstr>v_77_XHAO_H_P_old</vt:lpstr>
      <vt:lpstr>v_77_XHAO_L</vt:lpstr>
      <vt:lpstr>v_77_XHAO_L_P</vt:lpstr>
      <vt:lpstr>v_77_XHAO_L_P_old</vt:lpstr>
      <vt:lpstr>v_77_XHAO_old</vt:lpstr>
      <vt:lpstr>v_77_XHFO_H</vt:lpstr>
      <vt:lpstr>v_77_XHFO_H_P</vt:lpstr>
      <vt:lpstr>v_77_XHFO_H_P_old</vt:lpstr>
      <vt:lpstr>v_77_XHFO_L</vt:lpstr>
      <vt:lpstr>v_77_XHFO_L_P</vt:lpstr>
      <vt:lpstr>v_77_XHFO_L_P_old</vt:lpstr>
      <vt:lpstr>v_77_XHFO_old</vt:lpstr>
      <vt:lpstr>v_77_XHMETO</vt:lpstr>
      <vt:lpstr>v_77_XINORG</vt:lpstr>
      <vt:lpstr>v_77_XMEOLO</vt:lpstr>
      <vt:lpstr>v_77_XN_B</vt:lpstr>
      <vt:lpstr>v_77_XN_Be</vt:lpstr>
      <vt:lpstr>v_77_XN_U</vt:lpstr>
      <vt:lpstr>v_77_XNOB</vt:lpstr>
      <vt:lpstr>v_77_XOHO</vt:lpstr>
      <vt:lpstr>v_77_XP_B</vt:lpstr>
      <vt:lpstr>v_77_XP_Be</vt:lpstr>
      <vt:lpstr>v_77_XP_U</vt:lpstr>
      <vt:lpstr>v_77_XPFOA</vt:lpstr>
      <vt:lpstr>v_77_XPFOS</vt:lpstr>
      <vt:lpstr>v_77_XPHA_GAO</vt:lpstr>
      <vt:lpstr>v_77_XPHA_PAO</vt:lpstr>
      <vt:lpstr>v_77_XPP</vt:lpstr>
      <vt:lpstr>v_77_XSTR</vt:lpstr>
      <vt:lpstr>v_77_XU</vt:lpstr>
      <vt:lpstr>v_77_XVivi</vt:lpstr>
      <vt:lpstr>v_78_CB</vt:lpstr>
      <vt:lpstr>v_78_CU</vt:lpstr>
      <vt:lpstr>v_78_GCH4</vt:lpstr>
      <vt:lpstr>v_78_GCH4_atm</vt:lpstr>
      <vt:lpstr>v_78_GCO2</vt:lpstr>
      <vt:lpstr>v_78_GCO2_atm</vt:lpstr>
      <vt:lpstr>v_78_GH2</vt:lpstr>
      <vt:lpstr>v_78_GH2_atm</vt:lpstr>
      <vt:lpstr>v_78_GN2</vt:lpstr>
      <vt:lpstr>v_78_GN2_atm</vt:lpstr>
      <vt:lpstr>v_78_GNH3</vt:lpstr>
      <vt:lpstr>v_78_GNH3_atm</vt:lpstr>
      <vt:lpstr>v_78_GO2</vt:lpstr>
      <vt:lpstr>v_78_GO2_atm</vt:lpstr>
      <vt:lpstr>v_78_SALPHA</vt:lpstr>
      <vt:lpstr>v_78_SAN</vt:lpstr>
      <vt:lpstr>v_78_SB</vt:lpstr>
      <vt:lpstr>v_78_SCa</vt:lpstr>
      <vt:lpstr>v_78_SCAT</vt:lpstr>
      <vt:lpstr>v_78_SCH4</vt:lpstr>
      <vt:lpstr>v_78_SCO2</vt:lpstr>
      <vt:lpstr>v_78_SFe2</vt:lpstr>
      <vt:lpstr>v_78_SH</vt:lpstr>
      <vt:lpstr>v_78_SH2</vt:lpstr>
      <vt:lpstr>v_78_SK</vt:lpstr>
      <vt:lpstr>v_78_SMEOL</vt:lpstr>
      <vt:lpstr>v_78_SMg</vt:lpstr>
      <vt:lpstr>v_78_SN_B</vt:lpstr>
      <vt:lpstr>v_78_SN2</vt:lpstr>
      <vt:lpstr>v_78_SNHx</vt:lpstr>
      <vt:lpstr>v_78_SNO2</vt:lpstr>
      <vt:lpstr>v_78_SNO3</vt:lpstr>
      <vt:lpstr>v_78_SO2</vt:lpstr>
      <vt:lpstr>v_78_SORPswitch</vt:lpstr>
      <vt:lpstr>v_78_SP_B</vt:lpstr>
      <vt:lpstr>v_78_SPFOA</vt:lpstr>
      <vt:lpstr>v_78_SPFOS</vt:lpstr>
      <vt:lpstr>v_78_SPO4</vt:lpstr>
      <vt:lpstr>v_78_SU</vt:lpstr>
      <vt:lpstr>v_78_SVFA</vt:lpstr>
      <vt:lpstr>v_78_XACP</vt:lpstr>
      <vt:lpstr>v_78_XALGAE</vt:lpstr>
      <vt:lpstr>v_78_XAMETO</vt:lpstr>
      <vt:lpstr>v_78_XAMX</vt:lpstr>
      <vt:lpstr>v_78_XAOB</vt:lpstr>
      <vt:lpstr>v_78_XB</vt:lpstr>
      <vt:lpstr>v_78_XB_e</vt:lpstr>
      <vt:lpstr>v_78_XBSH</vt:lpstr>
      <vt:lpstr>v_78_XCaCO3</vt:lpstr>
      <vt:lpstr>v_78_XCASTO</vt:lpstr>
      <vt:lpstr>v_78_XE</vt:lpstr>
      <vt:lpstr>v_78_XE_ana</vt:lpstr>
      <vt:lpstr>v_78_XHAO_H</vt:lpstr>
      <vt:lpstr>v_78_XHAO_H_P</vt:lpstr>
      <vt:lpstr>v_78_XHAO_H_P_old</vt:lpstr>
      <vt:lpstr>v_78_XHAO_L</vt:lpstr>
      <vt:lpstr>v_78_XHAO_L_P</vt:lpstr>
      <vt:lpstr>v_78_XHAO_L_P_old</vt:lpstr>
      <vt:lpstr>v_78_XHAO_old</vt:lpstr>
      <vt:lpstr>v_78_XHFO_H</vt:lpstr>
      <vt:lpstr>v_78_XHFO_H_P</vt:lpstr>
      <vt:lpstr>v_78_XHFO_H_P_old</vt:lpstr>
      <vt:lpstr>v_78_XHFO_L</vt:lpstr>
      <vt:lpstr>v_78_XHFO_L_P</vt:lpstr>
      <vt:lpstr>v_78_XHFO_L_P_old</vt:lpstr>
      <vt:lpstr>v_78_XHFO_old</vt:lpstr>
      <vt:lpstr>v_78_XHMETO</vt:lpstr>
      <vt:lpstr>v_78_XINORG</vt:lpstr>
      <vt:lpstr>v_78_XMEOLO</vt:lpstr>
      <vt:lpstr>v_78_XN_B</vt:lpstr>
      <vt:lpstr>v_78_XN_Be</vt:lpstr>
      <vt:lpstr>v_78_XN_U</vt:lpstr>
      <vt:lpstr>v_78_XNOB</vt:lpstr>
      <vt:lpstr>v_78_XOHO</vt:lpstr>
      <vt:lpstr>v_78_XP_B</vt:lpstr>
      <vt:lpstr>v_78_XP_Be</vt:lpstr>
      <vt:lpstr>v_78_XP_U</vt:lpstr>
      <vt:lpstr>v_78_XPFOA</vt:lpstr>
      <vt:lpstr>v_78_XPFOS</vt:lpstr>
      <vt:lpstr>v_78_XPHA_GAO</vt:lpstr>
      <vt:lpstr>v_78_XPHA_PAO</vt:lpstr>
      <vt:lpstr>v_78_XPP</vt:lpstr>
      <vt:lpstr>v_78_XSTR</vt:lpstr>
      <vt:lpstr>v_78_XU</vt:lpstr>
      <vt:lpstr>v_78_XVivi</vt:lpstr>
      <vt:lpstr>v_79_CB</vt:lpstr>
      <vt:lpstr>v_79_CU</vt:lpstr>
      <vt:lpstr>v_79_GCH4</vt:lpstr>
      <vt:lpstr>v_79_GCH4_atm</vt:lpstr>
      <vt:lpstr>v_79_GCO2</vt:lpstr>
      <vt:lpstr>v_79_GCO2_atm</vt:lpstr>
      <vt:lpstr>v_79_GH2</vt:lpstr>
      <vt:lpstr>v_79_GH2_atm</vt:lpstr>
      <vt:lpstr>v_79_GN2</vt:lpstr>
      <vt:lpstr>v_79_GN2_atm</vt:lpstr>
      <vt:lpstr>v_79_GNH3</vt:lpstr>
      <vt:lpstr>v_79_GNH3_atm</vt:lpstr>
      <vt:lpstr>v_79_GO2</vt:lpstr>
      <vt:lpstr>v_79_GO2_atm</vt:lpstr>
      <vt:lpstr>v_79_SALPHA</vt:lpstr>
      <vt:lpstr>v_79_SAN</vt:lpstr>
      <vt:lpstr>v_79_SB</vt:lpstr>
      <vt:lpstr>v_79_SCa</vt:lpstr>
      <vt:lpstr>v_79_SCAT</vt:lpstr>
      <vt:lpstr>v_79_SCH4</vt:lpstr>
      <vt:lpstr>v_79_SCO2</vt:lpstr>
      <vt:lpstr>v_79_SFe2</vt:lpstr>
      <vt:lpstr>v_79_SH</vt:lpstr>
      <vt:lpstr>v_79_SH2</vt:lpstr>
      <vt:lpstr>v_79_SK</vt:lpstr>
      <vt:lpstr>v_79_SMEOL</vt:lpstr>
      <vt:lpstr>v_79_SMg</vt:lpstr>
      <vt:lpstr>v_79_SN_B</vt:lpstr>
      <vt:lpstr>v_79_SN2</vt:lpstr>
      <vt:lpstr>v_79_SNHx</vt:lpstr>
      <vt:lpstr>v_79_SNO2</vt:lpstr>
      <vt:lpstr>v_79_SNO3</vt:lpstr>
      <vt:lpstr>v_79_SO2</vt:lpstr>
      <vt:lpstr>v_79_SORPswitch</vt:lpstr>
      <vt:lpstr>v_79_SP_B</vt:lpstr>
      <vt:lpstr>v_79_SPFOA</vt:lpstr>
      <vt:lpstr>v_79_SPFOS</vt:lpstr>
      <vt:lpstr>v_79_SPO4</vt:lpstr>
      <vt:lpstr>v_79_SU</vt:lpstr>
      <vt:lpstr>v_79_SVFA</vt:lpstr>
      <vt:lpstr>v_79_XACP</vt:lpstr>
      <vt:lpstr>v_79_XALGAE</vt:lpstr>
      <vt:lpstr>v_79_XAMETO</vt:lpstr>
      <vt:lpstr>v_79_XAMX</vt:lpstr>
      <vt:lpstr>v_79_XAOB</vt:lpstr>
      <vt:lpstr>v_79_XB</vt:lpstr>
      <vt:lpstr>v_79_XB_e</vt:lpstr>
      <vt:lpstr>v_79_XBSH</vt:lpstr>
      <vt:lpstr>v_79_XCaCO3</vt:lpstr>
      <vt:lpstr>v_79_XCASTO</vt:lpstr>
      <vt:lpstr>v_79_XE</vt:lpstr>
      <vt:lpstr>v_79_XE_ana</vt:lpstr>
      <vt:lpstr>v_79_XHAO_H</vt:lpstr>
      <vt:lpstr>v_79_XHAO_H_P</vt:lpstr>
      <vt:lpstr>v_79_XHAO_H_P_old</vt:lpstr>
      <vt:lpstr>v_79_XHAO_L</vt:lpstr>
      <vt:lpstr>v_79_XHAO_L_P</vt:lpstr>
      <vt:lpstr>v_79_XHAO_L_P_old</vt:lpstr>
      <vt:lpstr>v_79_XHAO_old</vt:lpstr>
      <vt:lpstr>v_79_XHFO_H</vt:lpstr>
      <vt:lpstr>v_79_XHFO_H_P</vt:lpstr>
      <vt:lpstr>v_79_XHFO_H_P_old</vt:lpstr>
      <vt:lpstr>v_79_XHFO_L</vt:lpstr>
      <vt:lpstr>v_79_XHFO_L_P</vt:lpstr>
      <vt:lpstr>v_79_XHFO_L_P_old</vt:lpstr>
      <vt:lpstr>v_79_XHFO_old</vt:lpstr>
      <vt:lpstr>v_79_XHMETO</vt:lpstr>
      <vt:lpstr>v_79_XINORG</vt:lpstr>
      <vt:lpstr>v_79_XMEOLO</vt:lpstr>
      <vt:lpstr>v_79_XN_B</vt:lpstr>
      <vt:lpstr>v_79_XN_Be</vt:lpstr>
      <vt:lpstr>v_79_XN_U</vt:lpstr>
      <vt:lpstr>v_79_XNOB</vt:lpstr>
      <vt:lpstr>v_79_XOHO</vt:lpstr>
      <vt:lpstr>v_79_XP_B</vt:lpstr>
      <vt:lpstr>v_79_XP_Be</vt:lpstr>
      <vt:lpstr>v_79_XP_U</vt:lpstr>
      <vt:lpstr>v_79_XPFOA</vt:lpstr>
      <vt:lpstr>v_79_XPFOS</vt:lpstr>
      <vt:lpstr>v_79_XPHA_GAO</vt:lpstr>
      <vt:lpstr>v_79_XPHA_PAO</vt:lpstr>
      <vt:lpstr>v_79_XPP</vt:lpstr>
      <vt:lpstr>v_79_XSTR</vt:lpstr>
      <vt:lpstr>v_79_XU</vt:lpstr>
      <vt:lpstr>v_79_XVivi</vt:lpstr>
      <vt:lpstr>v_8_CB</vt:lpstr>
      <vt:lpstr>v_8_CU</vt:lpstr>
      <vt:lpstr>v_8_GCH4</vt:lpstr>
      <vt:lpstr>v_8_GCH4_atm</vt:lpstr>
      <vt:lpstr>v_8_GCO2</vt:lpstr>
      <vt:lpstr>v_8_GCO2_atm</vt:lpstr>
      <vt:lpstr>v_8_GH2</vt:lpstr>
      <vt:lpstr>v_8_GH2_atm</vt:lpstr>
      <vt:lpstr>v_8_GN2</vt:lpstr>
      <vt:lpstr>v_8_GN2_atm</vt:lpstr>
      <vt:lpstr>v_8_GNH3</vt:lpstr>
      <vt:lpstr>v_8_GNH3_atm</vt:lpstr>
      <vt:lpstr>v_8_GO2</vt:lpstr>
      <vt:lpstr>v_8_GO2_atm</vt:lpstr>
      <vt:lpstr>v_8_SALPHA</vt:lpstr>
      <vt:lpstr>v_8_SAN</vt:lpstr>
      <vt:lpstr>v_8_SB</vt:lpstr>
      <vt:lpstr>v_8_SCa</vt:lpstr>
      <vt:lpstr>v_8_SCAT</vt:lpstr>
      <vt:lpstr>v_8_SCH4</vt:lpstr>
      <vt:lpstr>v_8_SCO2</vt:lpstr>
      <vt:lpstr>v_8_SFe2</vt:lpstr>
      <vt:lpstr>v_8_SH</vt:lpstr>
      <vt:lpstr>v_8_SH2</vt:lpstr>
      <vt:lpstr>v_8_SK</vt:lpstr>
      <vt:lpstr>v_8_SMEOL</vt:lpstr>
      <vt:lpstr>v_8_SMg</vt:lpstr>
      <vt:lpstr>v_8_SN_B</vt:lpstr>
      <vt:lpstr>v_8_SN2</vt:lpstr>
      <vt:lpstr>v_8_SNHx</vt:lpstr>
      <vt:lpstr>v_8_SNO2</vt:lpstr>
      <vt:lpstr>v_8_SNO3</vt:lpstr>
      <vt:lpstr>v_8_SO2</vt:lpstr>
      <vt:lpstr>v_8_SORPswitch</vt:lpstr>
      <vt:lpstr>v_8_SP_B</vt:lpstr>
      <vt:lpstr>v_8_SPFOA</vt:lpstr>
      <vt:lpstr>v_8_SPFOS</vt:lpstr>
      <vt:lpstr>v_8_SPO4</vt:lpstr>
      <vt:lpstr>v_8_SU</vt:lpstr>
      <vt:lpstr>v_8_SVFA</vt:lpstr>
      <vt:lpstr>v_8_XACP</vt:lpstr>
      <vt:lpstr>v_8_XALGAE</vt:lpstr>
      <vt:lpstr>v_8_XAMETO</vt:lpstr>
      <vt:lpstr>v_8_XAMX</vt:lpstr>
      <vt:lpstr>v_8_XAOB</vt:lpstr>
      <vt:lpstr>v_8_XB</vt:lpstr>
      <vt:lpstr>v_8_XB_e</vt:lpstr>
      <vt:lpstr>v_8_XBSH</vt:lpstr>
      <vt:lpstr>v_8_XCaCO3</vt:lpstr>
      <vt:lpstr>v_8_XCASTO</vt:lpstr>
      <vt:lpstr>v_8_XE</vt:lpstr>
      <vt:lpstr>v_8_XE_ana</vt:lpstr>
      <vt:lpstr>v_8_XHAO_H</vt:lpstr>
      <vt:lpstr>v_8_XHAO_H_P</vt:lpstr>
      <vt:lpstr>v_8_XHAO_H_P_old</vt:lpstr>
      <vt:lpstr>v_8_XHAO_L</vt:lpstr>
      <vt:lpstr>v_8_XHAO_L_P</vt:lpstr>
      <vt:lpstr>v_8_XHAO_L_P_old</vt:lpstr>
      <vt:lpstr>v_8_XHAO_old</vt:lpstr>
      <vt:lpstr>v_8_XHFO_H</vt:lpstr>
      <vt:lpstr>v_8_XHFO_H_P</vt:lpstr>
      <vt:lpstr>v_8_XHFO_H_P_old</vt:lpstr>
      <vt:lpstr>v_8_XHFO_L</vt:lpstr>
      <vt:lpstr>v_8_XHFO_L_P</vt:lpstr>
      <vt:lpstr>v_8_XHFO_L_P_old</vt:lpstr>
      <vt:lpstr>v_8_XHFO_old</vt:lpstr>
      <vt:lpstr>v_8_XHMETO</vt:lpstr>
      <vt:lpstr>v_8_XINORG</vt:lpstr>
      <vt:lpstr>v_8_XMEOLO</vt:lpstr>
      <vt:lpstr>v_8_XN_B</vt:lpstr>
      <vt:lpstr>v_8_XN_Be</vt:lpstr>
      <vt:lpstr>v_8_XN_U</vt:lpstr>
      <vt:lpstr>v_8_XNOB</vt:lpstr>
      <vt:lpstr>v_8_XOHO</vt:lpstr>
      <vt:lpstr>v_8_XP_B</vt:lpstr>
      <vt:lpstr>v_8_XP_Be</vt:lpstr>
      <vt:lpstr>v_8_XP_U</vt:lpstr>
      <vt:lpstr>v_8_XPFOA</vt:lpstr>
      <vt:lpstr>v_8_XPFOS</vt:lpstr>
      <vt:lpstr>v_8_XPHA_GAO</vt:lpstr>
      <vt:lpstr>v_8_XPHA_PAO</vt:lpstr>
      <vt:lpstr>v_8_XPP</vt:lpstr>
      <vt:lpstr>v_8_XSTR</vt:lpstr>
      <vt:lpstr>v_8_XU</vt:lpstr>
      <vt:lpstr>v_8_XVivi</vt:lpstr>
      <vt:lpstr>v_80_CB</vt:lpstr>
      <vt:lpstr>v_80_CU</vt:lpstr>
      <vt:lpstr>v_80_GCH4</vt:lpstr>
      <vt:lpstr>v_80_GCH4_atm</vt:lpstr>
      <vt:lpstr>v_80_GCO2</vt:lpstr>
      <vt:lpstr>v_80_GCO2_atm</vt:lpstr>
      <vt:lpstr>v_80_GH2</vt:lpstr>
      <vt:lpstr>v_80_GH2_atm</vt:lpstr>
      <vt:lpstr>v_80_GN2</vt:lpstr>
      <vt:lpstr>v_80_GN2_atm</vt:lpstr>
      <vt:lpstr>v_80_GNH3</vt:lpstr>
      <vt:lpstr>v_80_GNH3_atm</vt:lpstr>
      <vt:lpstr>v_80_GO2</vt:lpstr>
      <vt:lpstr>v_80_GO2_atm</vt:lpstr>
      <vt:lpstr>v_80_SALPHA</vt:lpstr>
      <vt:lpstr>v_80_SAN</vt:lpstr>
      <vt:lpstr>v_80_SB</vt:lpstr>
      <vt:lpstr>v_80_SCa</vt:lpstr>
      <vt:lpstr>v_80_SCAT</vt:lpstr>
      <vt:lpstr>v_80_SCH4</vt:lpstr>
      <vt:lpstr>v_80_SCO2</vt:lpstr>
      <vt:lpstr>v_80_SFe2</vt:lpstr>
      <vt:lpstr>v_80_SH</vt:lpstr>
      <vt:lpstr>v_80_SH2</vt:lpstr>
      <vt:lpstr>v_80_SK</vt:lpstr>
      <vt:lpstr>v_80_SMEOL</vt:lpstr>
      <vt:lpstr>v_80_SMg</vt:lpstr>
      <vt:lpstr>v_80_SN_B</vt:lpstr>
      <vt:lpstr>v_80_SN2</vt:lpstr>
      <vt:lpstr>v_80_SNHx</vt:lpstr>
      <vt:lpstr>v_80_SNO2</vt:lpstr>
      <vt:lpstr>v_80_SNO3</vt:lpstr>
      <vt:lpstr>v_80_SO2</vt:lpstr>
      <vt:lpstr>v_80_SORPswitch</vt:lpstr>
      <vt:lpstr>v_80_SP_B</vt:lpstr>
      <vt:lpstr>v_80_SPFOA</vt:lpstr>
      <vt:lpstr>v_80_SPFOS</vt:lpstr>
      <vt:lpstr>v_80_SPO4</vt:lpstr>
      <vt:lpstr>v_80_SU</vt:lpstr>
      <vt:lpstr>v_80_SVFA</vt:lpstr>
      <vt:lpstr>v_80_XACP</vt:lpstr>
      <vt:lpstr>v_80_XALGAE</vt:lpstr>
      <vt:lpstr>v_80_XAMETO</vt:lpstr>
      <vt:lpstr>v_80_XAMX</vt:lpstr>
      <vt:lpstr>v_80_XAOB</vt:lpstr>
      <vt:lpstr>v_80_XB</vt:lpstr>
      <vt:lpstr>v_80_XB_e</vt:lpstr>
      <vt:lpstr>v_80_XBSH</vt:lpstr>
      <vt:lpstr>v_80_XCaCO3</vt:lpstr>
      <vt:lpstr>v_80_XCASTO</vt:lpstr>
      <vt:lpstr>v_80_XE</vt:lpstr>
      <vt:lpstr>v_80_XE_ana</vt:lpstr>
      <vt:lpstr>v_80_XHAO_H</vt:lpstr>
      <vt:lpstr>v_80_XHAO_H_P</vt:lpstr>
      <vt:lpstr>v_80_XHAO_H_P_old</vt:lpstr>
      <vt:lpstr>v_80_XHAO_L</vt:lpstr>
      <vt:lpstr>v_80_XHAO_L_P</vt:lpstr>
      <vt:lpstr>v_80_XHAO_L_P_old</vt:lpstr>
      <vt:lpstr>v_80_XHAO_old</vt:lpstr>
      <vt:lpstr>v_80_XHFO_H</vt:lpstr>
      <vt:lpstr>v_80_XHFO_H_P</vt:lpstr>
      <vt:lpstr>v_80_XHFO_H_P_old</vt:lpstr>
      <vt:lpstr>v_80_XHFO_L</vt:lpstr>
      <vt:lpstr>v_80_XHFO_L_P</vt:lpstr>
      <vt:lpstr>v_80_XHFO_L_P_old</vt:lpstr>
      <vt:lpstr>v_80_XHFO_old</vt:lpstr>
      <vt:lpstr>v_80_XHMETO</vt:lpstr>
      <vt:lpstr>v_80_XINORG</vt:lpstr>
      <vt:lpstr>v_80_XMEOLO</vt:lpstr>
      <vt:lpstr>v_80_XN_B</vt:lpstr>
      <vt:lpstr>v_80_XN_Be</vt:lpstr>
      <vt:lpstr>v_80_XN_U</vt:lpstr>
      <vt:lpstr>v_80_XNOB</vt:lpstr>
      <vt:lpstr>v_80_XOHO</vt:lpstr>
      <vt:lpstr>v_80_XP_B</vt:lpstr>
      <vt:lpstr>v_80_XP_Be</vt:lpstr>
      <vt:lpstr>v_80_XP_U</vt:lpstr>
      <vt:lpstr>v_80_XPFOA</vt:lpstr>
      <vt:lpstr>v_80_XPFOS</vt:lpstr>
      <vt:lpstr>v_80_XPHA_GAO</vt:lpstr>
      <vt:lpstr>v_80_XPHA_PAO</vt:lpstr>
      <vt:lpstr>v_80_XPP</vt:lpstr>
      <vt:lpstr>v_80_XSTR</vt:lpstr>
      <vt:lpstr>v_80_XU</vt:lpstr>
      <vt:lpstr>v_80_XVivi</vt:lpstr>
      <vt:lpstr>v_81_CB</vt:lpstr>
      <vt:lpstr>v_81_CU</vt:lpstr>
      <vt:lpstr>v_81_GCH4</vt:lpstr>
      <vt:lpstr>v_81_GCH4_atm</vt:lpstr>
      <vt:lpstr>v_81_GCO2</vt:lpstr>
      <vt:lpstr>v_81_GCO2_atm</vt:lpstr>
      <vt:lpstr>v_81_GH2</vt:lpstr>
      <vt:lpstr>v_81_GH2_atm</vt:lpstr>
      <vt:lpstr>v_81_GN2</vt:lpstr>
      <vt:lpstr>v_81_GN2_atm</vt:lpstr>
      <vt:lpstr>v_81_GNH3</vt:lpstr>
      <vt:lpstr>v_81_GNH3_atm</vt:lpstr>
      <vt:lpstr>v_81_GO2</vt:lpstr>
      <vt:lpstr>v_81_GO2_atm</vt:lpstr>
      <vt:lpstr>v_81_SALPHA</vt:lpstr>
      <vt:lpstr>v_81_SAN</vt:lpstr>
      <vt:lpstr>v_81_SB</vt:lpstr>
      <vt:lpstr>v_81_SCa</vt:lpstr>
      <vt:lpstr>v_81_SCAT</vt:lpstr>
      <vt:lpstr>v_81_SCH4</vt:lpstr>
      <vt:lpstr>v_81_SCO2</vt:lpstr>
      <vt:lpstr>v_81_SFe2</vt:lpstr>
      <vt:lpstr>v_81_SH</vt:lpstr>
      <vt:lpstr>v_81_SH2</vt:lpstr>
      <vt:lpstr>v_81_SK</vt:lpstr>
      <vt:lpstr>v_81_SMEOL</vt:lpstr>
      <vt:lpstr>v_81_SMg</vt:lpstr>
      <vt:lpstr>v_81_SN_B</vt:lpstr>
      <vt:lpstr>v_81_SN2</vt:lpstr>
      <vt:lpstr>v_81_SNHx</vt:lpstr>
      <vt:lpstr>v_81_SNO2</vt:lpstr>
      <vt:lpstr>v_81_SNO3</vt:lpstr>
      <vt:lpstr>v_81_SO2</vt:lpstr>
      <vt:lpstr>v_81_SORPswitch</vt:lpstr>
      <vt:lpstr>v_81_SP_B</vt:lpstr>
      <vt:lpstr>v_81_SPFOA</vt:lpstr>
      <vt:lpstr>v_81_SPFOS</vt:lpstr>
      <vt:lpstr>v_81_SPO4</vt:lpstr>
      <vt:lpstr>v_81_SU</vt:lpstr>
      <vt:lpstr>v_81_SVFA</vt:lpstr>
      <vt:lpstr>v_81_XACP</vt:lpstr>
      <vt:lpstr>v_81_XALGAE</vt:lpstr>
      <vt:lpstr>v_81_XAMETO</vt:lpstr>
      <vt:lpstr>v_81_XAMX</vt:lpstr>
      <vt:lpstr>v_81_XAOB</vt:lpstr>
      <vt:lpstr>v_81_XB</vt:lpstr>
      <vt:lpstr>v_81_XB_e</vt:lpstr>
      <vt:lpstr>v_81_XBSH</vt:lpstr>
      <vt:lpstr>v_81_XCaCO3</vt:lpstr>
      <vt:lpstr>v_81_XCASTO</vt:lpstr>
      <vt:lpstr>v_81_XE</vt:lpstr>
      <vt:lpstr>v_81_XE_ana</vt:lpstr>
      <vt:lpstr>v_81_XHAO_H</vt:lpstr>
      <vt:lpstr>v_81_XHAO_H_P</vt:lpstr>
      <vt:lpstr>v_81_XHAO_H_P_old</vt:lpstr>
      <vt:lpstr>v_81_XHAO_L</vt:lpstr>
      <vt:lpstr>v_81_XHAO_L_P</vt:lpstr>
      <vt:lpstr>v_81_XHAO_L_P_old</vt:lpstr>
      <vt:lpstr>v_81_XHAO_old</vt:lpstr>
      <vt:lpstr>v_81_XHFO_H</vt:lpstr>
      <vt:lpstr>v_81_XHFO_H_P</vt:lpstr>
      <vt:lpstr>v_81_XHFO_H_P_old</vt:lpstr>
      <vt:lpstr>v_81_XHFO_L</vt:lpstr>
      <vt:lpstr>v_81_XHFO_L_P</vt:lpstr>
      <vt:lpstr>v_81_XHFO_L_P_old</vt:lpstr>
      <vt:lpstr>v_81_XHFO_old</vt:lpstr>
      <vt:lpstr>v_81_XHMETO</vt:lpstr>
      <vt:lpstr>v_81_XINORG</vt:lpstr>
      <vt:lpstr>v_81_XMEOLO</vt:lpstr>
      <vt:lpstr>v_81_XN_B</vt:lpstr>
      <vt:lpstr>v_81_XN_Be</vt:lpstr>
      <vt:lpstr>v_81_XN_U</vt:lpstr>
      <vt:lpstr>v_81_XNOB</vt:lpstr>
      <vt:lpstr>v_81_XOHO</vt:lpstr>
      <vt:lpstr>v_81_XP_B</vt:lpstr>
      <vt:lpstr>v_81_XP_Be</vt:lpstr>
      <vt:lpstr>v_81_XP_U</vt:lpstr>
      <vt:lpstr>v_81_XPFOA</vt:lpstr>
      <vt:lpstr>v_81_XPFOS</vt:lpstr>
      <vt:lpstr>v_81_XPHA_GAO</vt:lpstr>
      <vt:lpstr>v_81_XPHA_PAO</vt:lpstr>
      <vt:lpstr>v_81_XPP</vt:lpstr>
      <vt:lpstr>v_81_XSTR</vt:lpstr>
      <vt:lpstr>v_81_XU</vt:lpstr>
      <vt:lpstr>v_81_XVivi</vt:lpstr>
      <vt:lpstr>v_82_CB</vt:lpstr>
      <vt:lpstr>v_82_CU</vt:lpstr>
      <vt:lpstr>v_82_GCH4</vt:lpstr>
      <vt:lpstr>v_82_GCH4_atm</vt:lpstr>
      <vt:lpstr>v_82_GCO2</vt:lpstr>
      <vt:lpstr>v_82_GCO2_atm</vt:lpstr>
      <vt:lpstr>v_82_GH2</vt:lpstr>
      <vt:lpstr>v_82_GH2_atm</vt:lpstr>
      <vt:lpstr>v_82_GN2</vt:lpstr>
      <vt:lpstr>v_82_GN2_atm</vt:lpstr>
      <vt:lpstr>v_82_GNH3</vt:lpstr>
      <vt:lpstr>v_82_GNH3_atm</vt:lpstr>
      <vt:lpstr>v_82_GO2</vt:lpstr>
      <vt:lpstr>v_82_GO2_atm</vt:lpstr>
      <vt:lpstr>v_82_SALPHA</vt:lpstr>
      <vt:lpstr>v_82_SAN</vt:lpstr>
      <vt:lpstr>v_82_SB</vt:lpstr>
      <vt:lpstr>v_82_SCa</vt:lpstr>
      <vt:lpstr>v_82_SCAT</vt:lpstr>
      <vt:lpstr>v_82_SCH4</vt:lpstr>
      <vt:lpstr>v_82_SCO2</vt:lpstr>
      <vt:lpstr>v_82_SFe2</vt:lpstr>
      <vt:lpstr>v_82_SH</vt:lpstr>
      <vt:lpstr>v_82_SH2</vt:lpstr>
      <vt:lpstr>v_82_SK</vt:lpstr>
      <vt:lpstr>v_82_SMEOL</vt:lpstr>
      <vt:lpstr>v_82_SMg</vt:lpstr>
      <vt:lpstr>v_82_SN_B</vt:lpstr>
      <vt:lpstr>v_82_SN2</vt:lpstr>
      <vt:lpstr>v_82_SNHx</vt:lpstr>
      <vt:lpstr>v_82_SNO2</vt:lpstr>
      <vt:lpstr>v_82_SNO3</vt:lpstr>
      <vt:lpstr>v_82_SO2</vt:lpstr>
      <vt:lpstr>v_82_SORPswitch</vt:lpstr>
      <vt:lpstr>v_82_SP_B</vt:lpstr>
      <vt:lpstr>v_82_SPFOA</vt:lpstr>
      <vt:lpstr>v_82_SPFOS</vt:lpstr>
      <vt:lpstr>v_82_SPO4</vt:lpstr>
      <vt:lpstr>v_82_SU</vt:lpstr>
      <vt:lpstr>v_82_SVFA</vt:lpstr>
      <vt:lpstr>v_82_XACP</vt:lpstr>
      <vt:lpstr>v_82_XALGAE</vt:lpstr>
      <vt:lpstr>v_82_XAMETO</vt:lpstr>
      <vt:lpstr>v_82_XAMX</vt:lpstr>
      <vt:lpstr>v_82_XAOB</vt:lpstr>
      <vt:lpstr>v_82_XB</vt:lpstr>
      <vt:lpstr>v_82_XB_e</vt:lpstr>
      <vt:lpstr>v_82_XBSH</vt:lpstr>
      <vt:lpstr>v_82_XCaCO3</vt:lpstr>
      <vt:lpstr>v_82_XCASTO</vt:lpstr>
      <vt:lpstr>v_82_XE</vt:lpstr>
      <vt:lpstr>v_82_XE_ana</vt:lpstr>
      <vt:lpstr>v_82_XHAO_H</vt:lpstr>
      <vt:lpstr>v_82_XHAO_H_P</vt:lpstr>
      <vt:lpstr>v_82_XHAO_H_P_old</vt:lpstr>
      <vt:lpstr>v_82_XHAO_L</vt:lpstr>
      <vt:lpstr>v_82_XHAO_L_P</vt:lpstr>
      <vt:lpstr>v_82_XHAO_L_P_old</vt:lpstr>
      <vt:lpstr>v_82_XHAO_old</vt:lpstr>
      <vt:lpstr>v_82_XHFO_H</vt:lpstr>
      <vt:lpstr>v_82_XHFO_H_P</vt:lpstr>
      <vt:lpstr>v_82_XHFO_H_P_old</vt:lpstr>
      <vt:lpstr>v_82_XHFO_L</vt:lpstr>
      <vt:lpstr>v_82_XHFO_L_P</vt:lpstr>
      <vt:lpstr>v_82_XHFO_L_P_old</vt:lpstr>
      <vt:lpstr>v_82_XHFO_old</vt:lpstr>
      <vt:lpstr>v_82_XHMETO</vt:lpstr>
      <vt:lpstr>v_82_XINORG</vt:lpstr>
      <vt:lpstr>v_82_XMEOLO</vt:lpstr>
      <vt:lpstr>v_82_XN_B</vt:lpstr>
      <vt:lpstr>v_82_XN_Be</vt:lpstr>
      <vt:lpstr>v_82_XN_U</vt:lpstr>
      <vt:lpstr>v_82_XNOB</vt:lpstr>
      <vt:lpstr>v_82_XOHO</vt:lpstr>
      <vt:lpstr>v_82_XP_B</vt:lpstr>
      <vt:lpstr>v_82_XP_Be</vt:lpstr>
      <vt:lpstr>v_82_XP_U</vt:lpstr>
      <vt:lpstr>v_82_XPFOA</vt:lpstr>
      <vt:lpstr>v_82_XPFOS</vt:lpstr>
      <vt:lpstr>v_82_XPHA_GAO</vt:lpstr>
      <vt:lpstr>v_82_XPHA_PAO</vt:lpstr>
      <vt:lpstr>v_82_XPP</vt:lpstr>
      <vt:lpstr>v_82_XSTR</vt:lpstr>
      <vt:lpstr>v_82_XU</vt:lpstr>
      <vt:lpstr>v_82_XVivi</vt:lpstr>
      <vt:lpstr>v_83_CB</vt:lpstr>
      <vt:lpstr>v_83_CU</vt:lpstr>
      <vt:lpstr>v_83_GCH4</vt:lpstr>
      <vt:lpstr>v_83_GCH4_atm</vt:lpstr>
      <vt:lpstr>v_83_GCO2</vt:lpstr>
      <vt:lpstr>v_83_GCO2_atm</vt:lpstr>
      <vt:lpstr>v_83_GH2</vt:lpstr>
      <vt:lpstr>v_83_GH2_atm</vt:lpstr>
      <vt:lpstr>v_83_GN2</vt:lpstr>
      <vt:lpstr>v_83_GN2_atm</vt:lpstr>
      <vt:lpstr>v_83_GNH3</vt:lpstr>
      <vt:lpstr>v_83_GNH3_atm</vt:lpstr>
      <vt:lpstr>v_83_GO2</vt:lpstr>
      <vt:lpstr>v_83_GO2_atm</vt:lpstr>
      <vt:lpstr>v_83_SALPHA</vt:lpstr>
      <vt:lpstr>v_83_SAN</vt:lpstr>
      <vt:lpstr>v_83_SB</vt:lpstr>
      <vt:lpstr>v_83_SCa</vt:lpstr>
      <vt:lpstr>v_83_SCAT</vt:lpstr>
      <vt:lpstr>v_83_SCH4</vt:lpstr>
      <vt:lpstr>v_83_SCO2</vt:lpstr>
      <vt:lpstr>v_83_SFe2</vt:lpstr>
      <vt:lpstr>v_83_SH</vt:lpstr>
      <vt:lpstr>v_83_SH2</vt:lpstr>
      <vt:lpstr>v_83_SK</vt:lpstr>
      <vt:lpstr>v_83_SMEOL</vt:lpstr>
      <vt:lpstr>v_83_SMg</vt:lpstr>
      <vt:lpstr>v_83_SN_B</vt:lpstr>
      <vt:lpstr>v_83_SN2</vt:lpstr>
      <vt:lpstr>v_83_SNHx</vt:lpstr>
      <vt:lpstr>v_83_SNO2</vt:lpstr>
      <vt:lpstr>v_83_SNO3</vt:lpstr>
      <vt:lpstr>v_83_SO2</vt:lpstr>
      <vt:lpstr>v_83_SORPswitch</vt:lpstr>
      <vt:lpstr>v_83_SP_B</vt:lpstr>
      <vt:lpstr>v_83_SPFOA</vt:lpstr>
      <vt:lpstr>v_83_SPFOS</vt:lpstr>
      <vt:lpstr>v_83_SPO4</vt:lpstr>
      <vt:lpstr>v_83_SU</vt:lpstr>
      <vt:lpstr>v_83_SVFA</vt:lpstr>
      <vt:lpstr>v_83_XACP</vt:lpstr>
      <vt:lpstr>v_83_XALGAE</vt:lpstr>
      <vt:lpstr>v_83_XAMETO</vt:lpstr>
      <vt:lpstr>v_83_XAMX</vt:lpstr>
      <vt:lpstr>v_83_XAOB</vt:lpstr>
      <vt:lpstr>v_83_XB</vt:lpstr>
      <vt:lpstr>v_83_XB_e</vt:lpstr>
      <vt:lpstr>v_83_XBSH</vt:lpstr>
      <vt:lpstr>v_83_XCaCO3</vt:lpstr>
      <vt:lpstr>v_83_XCASTO</vt:lpstr>
      <vt:lpstr>v_83_XE</vt:lpstr>
      <vt:lpstr>v_83_XE_ana</vt:lpstr>
      <vt:lpstr>v_83_XHAO_H</vt:lpstr>
      <vt:lpstr>v_83_XHAO_H_P</vt:lpstr>
      <vt:lpstr>v_83_XHAO_H_P_old</vt:lpstr>
      <vt:lpstr>v_83_XHAO_L</vt:lpstr>
      <vt:lpstr>v_83_XHAO_L_P</vt:lpstr>
      <vt:lpstr>v_83_XHAO_L_P_old</vt:lpstr>
      <vt:lpstr>v_83_XHAO_old</vt:lpstr>
      <vt:lpstr>v_83_XHFO_H</vt:lpstr>
      <vt:lpstr>v_83_XHFO_H_P</vt:lpstr>
      <vt:lpstr>v_83_XHFO_H_P_old</vt:lpstr>
      <vt:lpstr>v_83_XHFO_L</vt:lpstr>
      <vt:lpstr>v_83_XHFO_L_P</vt:lpstr>
      <vt:lpstr>v_83_XHFO_L_P_old</vt:lpstr>
      <vt:lpstr>v_83_XHFO_old</vt:lpstr>
      <vt:lpstr>v_83_XHMETO</vt:lpstr>
      <vt:lpstr>v_83_XINORG</vt:lpstr>
      <vt:lpstr>v_83_XMEOLO</vt:lpstr>
      <vt:lpstr>v_83_XN_B</vt:lpstr>
      <vt:lpstr>v_83_XN_Be</vt:lpstr>
      <vt:lpstr>v_83_XN_U</vt:lpstr>
      <vt:lpstr>v_83_XNOB</vt:lpstr>
      <vt:lpstr>v_83_XOHO</vt:lpstr>
      <vt:lpstr>v_83_XP_B</vt:lpstr>
      <vt:lpstr>v_83_XP_Be</vt:lpstr>
      <vt:lpstr>v_83_XP_U</vt:lpstr>
      <vt:lpstr>v_83_XPFOA</vt:lpstr>
      <vt:lpstr>v_83_XPFOS</vt:lpstr>
      <vt:lpstr>v_83_XPHA_GAO</vt:lpstr>
      <vt:lpstr>v_83_XPHA_PAO</vt:lpstr>
      <vt:lpstr>v_83_XPP</vt:lpstr>
      <vt:lpstr>v_83_XSTR</vt:lpstr>
      <vt:lpstr>v_83_XU</vt:lpstr>
      <vt:lpstr>v_83_XVivi</vt:lpstr>
      <vt:lpstr>v_84_CB</vt:lpstr>
      <vt:lpstr>v_84_CU</vt:lpstr>
      <vt:lpstr>v_84_GCH4</vt:lpstr>
      <vt:lpstr>v_84_GCH4_atm</vt:lpstr>
      <vt:lpstr>v_84_GCO2</vt:lpstr>
      <vt:lpstr>v_84_GCO2_atm</vt:lpstr>
      <vt:lpstr>v_84_GH2</vt:lpstr>
      <vt:lpstr>v_84_GH2_atm</vt:lpstr>
      <vt:lpstr>v_84_GN2</vt:lpstr>
      <vt:lpstr>v_84_GN2_atm</vt:lpstr>
      <vt:lpstr>v_84_GNH3</vt:lpstr>
      <vt:lpstr>v_84_GNH3_atm</vt:lpstr>
      <vt:lpstr>v_84_GO2</vt:lpstr>
      <vt:lpstr>v_84_GO2_atm</vt:lpstr>
      <vt:lpstr>v_84_SALPHA</vt:lpstr>
      <vt:lpstr>v_84_SAN</vt:lpstr>
      <vt:lpstr>v_84_SB</vt:lpstr>
      <vt:lpstr>v_84_SCa</vt:lpstr>
      <vt:lpstr>v_84_SCAT</vt:lpstr>
      <vt:lpstr>v_84_SCH4</vt:lpstr>
      <vt:lpstr>v_84_SCO2</vt:lpstr>
      <vt:lpstr>v_84_SFe2</vt:lpstr>
      <vt:lpstr>v_84_SH</vt:lpstr>
      <vt:lpstr>v_84_SH2</vt:lpstr>
      <vt:lpstr>v_84_SK</vt:lpstr>
      <vt:lpstr>v_84_SMEOL</vt:lpstr>
      <vt:lpstr>v_84_SMg</vt:lpstr>
      <vt:lpstr>v_84_SN_B</vt:lpstr>
      <vt:lpstr>v_84_SN2</vt:lpstr>
      <vt:lpstr>v_84_SNHx</vt:lpstr>
      <vt:lpstr>v_84_SNO2</vt:lpstr>
      <vt:lpstr>v_84_SNO3</vt:lpstr>
      <vt:lpstr>v_84_SO2</vt:lpstr>
      <vt:lpstr>v_84_SORPswitch</vt:lpstr>
      <vt:lpstr>v_84_SP_B</vt:lpstr>
      <vt:lpstr>v_84_SPFOA</vt:lpstr>
      <vt:lpstr>v_84_SPFOS</vt:lpstr>
      <vt:lpstr>v_84_SPO4</vt:lpstr>
      <vt:lpstr>v_84_SU</vt:lpstr>
      <vt:lpstr>v_84_SVFA</vt:lpstr>
      <vt:lpstr>v_84_XACP</vt:lpstr>
      <vt:lpstr>v_84_XALGAE</vt:lpstr>
      <vt:lpstr>v_84_XAMETO</vt:lpstr>
      <vt:lpstr>v_84_XAMX</vt:lpstr>
      <vt:lpstr>v_84_XAOB</vt:lpstr>
      <vt:lpstr>v_84_XB</vt:lpstr>
      <vt:lpstr>v_84_XB_e</vt:lpstr>
      <vt:lpstr>v_84_XBSH</vt:lpstr>
      <vt:lpstr>v_84_XCaCO3</vt:lpstr>
      <vt:lpstr>v_84_XCASTO</vt:lpstr>
      <vt:lpstr>v_84_XE</vt:lpstr>
      <vt:lpstr>v_84_XE_ana</vt:lpstr>
      <vt:lpstr>v_84_XHAO_H</vt:lpstr>
      <vt:lpstr>v_84_XHAO_H_P</vt:lpstr>
      <vt:lpstr>v_84_XHAO_H_P_old</vt:lpstr>
      <vt:lpstr>v_84_XHAO_L</vt:lpstr>
      <vt:lpstr>v_84_XHAO_L_P</vt:lpstr>
      <vt:lpstr>v_84_XHAO_L_P_old</vt:lpstr>
      <vt:lpstr>v_84_XHAO_old</vt:lpstr>
      <vt:lpstr>v_84_XHFO_H</vt:lpstr>
      <vt:lpstr>v_84_XHFO_H_P</vt:lpstr>
      <vt:lpstr>v_84_XHFO_H_P_old</vt:lpstr>
      <vt:lpstr>v_84_XHFO_L</vt:lpstr>
      <vt:lpstr>v_84_XHFO_L_P</vt:lpstr>
      <vt:lpstr>v_84_XHFO_L_P_old</vt:lpstr>
      <vt:lpstr>v_84_XHFO_old</vt:lpstr>
      <vt:lpstr>v_84_XHMETO</vt:lpstr>
      <vt:lpstr>v_84_XINORG</vt:lpstr>
      <vt:lpstr>v_84_XMEOLO</vt:lpstr>
      <vt:lpstr>v_84_XN_B</vt:lpstr>
      <vt:lpstr>v_84_XN_Be</vt:lpstr>
      <vt:lpstr>v_84_XN_U</vt:lpstr>
      <vt:lpstr>v_84_XNOB</vt:lpstr>
      <vt:lpstr>v_84_XOHO</vt:lpstr>
      <vt:lpstr>v_84_XP_B</vt:lpstr>
      <vt:lpstr>v_84_XP_Be</vt:lpstr>
      <vt:lpstr>v_84_XP_U</vt:lpstr>
      <vt:lpstr>v_84_XPFOA</vt:lpstr>
      <vt:lpstr>v_84_XPFOS</vt:lpstr>
      <vt:lpstr>v_84_XPHA_GAO</vt:lpstr>
      <vt:lpstr>v_84_XPHA_PAO</vt:lpstr>
      <vt:lpstr>v_84_XPP</vt:lpstr>
      <vt:lpstr>v_84_XSTR</vt:lpstr>
      <vt:lpstr>v_84_XU</vt:lpstr>
      <vt:lpstr>v_84_XVivi</vt:lpstr>
      <vt:lpstr>v_85_CB</vt:lpstr>
      <vt:lpstr>v_85_CU</vt:lpstr>
      <vt:lpstr>v_85_GCH4</vt:lpstr>
      <vt:lpstr>v_85_GCH4_atm</vt:lpstr>
      <vt:lpstr>v_85_GCO2</vt:lpstr>
      <vt:lpstr>v_85_GCO2_atm</vt:lpstr>
      <vt:lpstr>v_85_GH2</vt:lpstr>
      <vt:lpstr>v_85_GH2_atm</vt:lpstr>
      <vt:lpstr>v_85_GN2</vt:lpstr>
      <vt:lpstr>v_85_GN2_atm</vt:lpstr>
      <vt:lpstr>v_85_GNH3</vt:lpstr>
      <vt:lpstr>v_85_GNH3_atm</vt:lpstr>
      <vt:lpstr>v_85_GO2</vt:lpstr>
      <vt:lpstr>v_85_GO2_atm</vt:lpstr>
      <vt:lpstr>v_85_SALPHA</vt:lpstr>
      <vt:lpstr>v_85_SAN</vt:lpstr>
      <vt:lpstr>v_85_SB</vt:lpstr>
      <vt:lpstr>v_85_SCa</vt:lpstr>
      <vt:lpstr>v_85_SCAT</vt:lpstr>
      <vt:lpstr>v_85_SCH4</vt:lpstr>
      <vt:lpstr>v_85_SCO2</vt:lpstr>
      <vt:lpstr>v_85_SFe2</vt:lpstr>
      <vt:lpstr>v_85_SH</vt:lpstr>
      <vt:lpstr>v_85_SH2</vt:lpstr>
      <vt:lpstr>v_85_SK</vt:lpstr>
      <vt:lpstr>v_85_SMEOL</vt:lpstr>
      <vt:lpstr>v_85_SMg</vt:lpstr>
      <vt:lpstr>v_85_SN_B</vt:lpstr>
      <vt:lpstr>v_85_SN2</vt:lpstr>
      <vt:lpstr>v_85_SNHx</vt:lpstr>
      <vt:lpstr>v_85_SNO2</vt:lpstr>
      <vt:lpstr>v_85_SNO3</vt:lpstr>
      <vt:lpstr>v_85_SO2</vt:lpstr>
      <vt:lpstr>v_85_SORPswitch</vt:lpstr>
      <vt:lpstr>v_85_SP_B</vt:lpstr>
      <vt:lpstr>v_85_SPFOA</vt:lpstr>
      <vt:lpstr>v_85_SPFOS</vt:lpstr>
      <vt:lpstr>v_85_SPO4</vt:lpstr>
      <vt:lpstr>v_85_SU</vt:lpstr>
      <vt:lpstr>v_85_SVFA</vt:lpstr>
      <vt:lpstr>v_85_XACP</vt:lpstr>
      <vt:lpstr>v_85_XALGAE</vt:lpstr>
      <vt:lpstr>v_85_XAMETO</vt:lpstr>
      <vt:lpstr>v_85_XAMX</vt:lpstr>
      <vt:lpstr>v_85_XAOB</vt:lpstr>
      <vt:lpstr>v_85_XB</vt:lpstr>
      <vt:lpstr>v_85_XB_e</vt:lpstr>
      <vt:lpstr>v_85_XBSH</vt:lpstr>
      <vt:lpstr>v_85_XCaCO3</vt:lpstr>
      <vt:lpstr>v_85_XCASTO</vt:lpstr>
      <vt:lpstr>v_85_XE</vt:lpstr>
      <vt:lpstr>v_85_XE_ana</vt:lpstr>
      <vt:lpstr>v_85_XHAO_H</vt:lpstr>
      <vt:lpstr>v_85_XHAO_H_P</vt:lpstr>
      <vt:lpstr>v_85_XHAO_H_P_old</vt:lpstr>
      <vt:lpstr>v_85_XHAO_L</vt:lpstr>
      <vt:lpstr>v_85_XHAO_L_P</vt:lpstr>
      <vt:lpstr>v_85_XHAO_L_P_old</vt:lpstr>
      <vt:lpstr>v_85_XHAO_old</vt:lpstr>
      <vt:lpstr>v_85_XHFO_H</vt:lpstr>
      <vt:lpstr>v_85_XHFO_H_P</vt:lpstr>
      <vt:lpstr>v_85_XHFO_H_P_old</vt:lpstr>
      <vt:lpstr>v_85_XHFO_L</vt:lpstr>
      <vt:lpstr>v_85_XHFO_L_P</vt:lpstr>
      <vt:lpstr>v_85_XHFO_L_P_old</vt:lpstr>
      <vt:lpstr>v_85_XHFO_old</vt:lpstr>
      <vt:lpstr>v_85_XHMETO</vt:lpstr>
      <vt:lpstr>v_85_XINORG</vt:lpstr>
      <vt:lpstr>v_85_XMEOLO</vt:lpstr>
      <vt:lpstr>v_85_XN_B</vt:lpstr>
      <vt:lpstr>v_85_XN_Be</vt:lpstr>
      <vt:lpstr>v_85_XN_U</vt:lpstr>
      <vt:lpstr>v_85_XNOB</vt:lpstr>
      <vt:lpstr>v_85_XOHO</vt:lpstr>
      <vt:lpstr>v_85_XP_B</vt:lpstr>
      <vt:lpstr>v_85_XP_Be</vt:lpstr>
      <vt:lpstr>v_85_XP_U</vt:lpstr>
      <vt:lpstr>v_85_XPFOA</vt:lpstr>
      <vt:lpstr>v_85_XPFOS</vt:lpstr>
      <vt:lpstr>v_85_XPHA_GAO</vt:lpstr>
      <vt:lpstr>v_85_XPHA_PAO</vt:lpstr>
      <vt:lpstr>v_85_XPP</vt:lpstr>
      <vt:lpstr>v_85_XSTR</vt:lpstr>
      <vt:lpstr>v_85_XU</vt:lpstr>
      <vt:lpstr>v_85_XVivi</vt:lpstr>
      <vt:lpstr>v_86_CB</vt:lpstr>
      <vt:lpstr>v_86_CU</vt:lpstr>
      <vt:lpstr>v_86_GCH4</vt:lpstr>
      <vt:lpstr>v_86_GCH4_atm</vt:lpstr>
      <vt:lpstr>v_86_GCO2</vt:lpstr>
      <vt:lpstr>v_86_GCO2_atm</vt:lpstr>
      <vt:lpstr>v_86_GH2</vt:lpstr>
      <vt:lpstr>v_86_GH2_atm</vt:lpstr>
      <vt:lpstr>v_86_GN2</vt:lpstr>
      <vt:lpstr>v_86_GN2_atm</vt:lpstr>
      <vt:lpstr>v_86_GNH3</vt:lpstr>
      <vt:lpstr>v_86_GNH3_atm</vt:lpstr>
      <vt:lpstr>v_86_GO2</vt:lpstr>
      <vt:lpstr>v_86_GO2_atm</vt:lpstr>
      <vt:lpstr>v_86_SALPHA</vt:lpstr>
      <vt:lpstr>v_86_SAN</vt:lpstr>
      <vt:lpstr>v_86_SB</vt:lpstr>
      <vt:lpstr>v_86_SCa</vt:lpstr>
      <vt:lpstr>v_86_SCAT</vt:lpstr>
      <vt:lpstr>v_86_SCH4</vt:lpstr>
      <vt:lpstr>v_86_SCO2</vt:lpstr>
      <vt:lpstr>v_86_SFe2</vt:lpstr>
      <vt:lpstr>v_86_SH</vt:lpstr>
      <vt:lpstr>v_86_SH2</vt:lpstr>
      <vt:lpstr>v_86_SK</vt:lpstr>
      <vt:lpstr>v_86_SMEOL</vt:lpstr>
      <vt:lpstr>v_86_SMg</vt:lpstr>
      <vt:lpstr>v_86_SN_B</vt:lpstr>
      <vt:lpstr>v_86_SN2</vt:lpstr>
      <vt:lpstr>v_86_SNHx</vt:lpstr>
      <vt:lpstr>v_86_SNO2</vt:lpstr>
      <vt:lpstr>v_86_SNO3</vt:lpstr>
      <vt:lpstr>v_86_SO2</vt:lpstr>
      <vt:lpstr>v_86_SORPswitch</vt:lpstr>
      <vt:lpstr>v_86_SP_B</vt:lpstr>
      <vt:lpstr>v_86_SPFOA</vt:lpstr>
      <vt:lpstr>v_86_SPFOS</vt:lpstr>
      <vt:lpstr>v_86_SPO4</vt:lpstr>
      <vt:lpstr>v_86_SU</vt:lpstr>
      <vt:lpstr>v_86_SVFA</vt:lpstr>
      <vt:lpstr>v_86_XACP</vt:lpstr>
      <vt:lpstr>v_86_XALGAE</vt:lpstr>
      <vt:lpstr>v_86_XAMETO</vt:lpstr>
      <vt:lpstr>v_86_XAMX</vt:lpstr>
      <vt:lpstr>v_86_XAOB</vt:lpstr>
      <vt:lpstr>v_86_XB</vt:lpstr>
      <vt:lpstr>v_86_XB_e</vt:lpstr>
      <vt:lpstr>v_86_XBSH</vt:lpstr>
      <vt:lpstr>v_86_XCaCO3</vt:lpstr>
      <vt:lpstr>v_86_XCASTO</vt:lpstr>
      <vt:lpstr>v_86_XE</vt:lpstr>
      <vt:lpstr>v_86_XE_ana</vt:lpstr>
      <vt:lpstr>v_86_XHAO_H</vt:lpstr>
      <vt:lpstr>v_86_XHAO_H_P</vt:lpstr>
      <vt:lpstr>v_86_XHAO_H_P_old</vt:lpstr>
      <vt:lpstr>v_86_XHAO_L</vt:lpstr>
      <vt:lpstr>v_86_XHAO_L_P</vt:lpstr>
      <vt:lpstr>v_86_XHAO_L_P_old</vt:lpstr>
      <vt:lpstr>v_86_XHAO_old</vt:lpstr>
      <vt:lpstr>v_86_XHFO_H</vt:lpstr>
      <vt:lpstr>v_86_XHFO_H_P</vt:lpstr>
      <vt:lpstr>v_86_XHFO_H_P_old</vt:lpstr>
      <vt:lpstr>v_86_XHFO_L</vt:lpstr>
      <vt:lpstr>v_86_XHFO_L_P</vt:lpstr>
      <vt:lpstr>v_86_XHFO_L_P_old</vt:lpstr>
      <vt:lpstr>v_86_XHFO_old</vt:lpstr>
      <vt:lpstr>v_86_XHMETO</vt:lpstr>
      <vt:lpstr>v_86_XINORG</vt:lpstr>
      <vt:lpstr>v_86_XMEOLO</vt:lpstr>
      <vt:lpstr>v_86_XN_B</vt:lpstr>
      <vt:lpstr>v_86_XN_Be</vt:lpstr>
      <vt:lpstr>v_86_XN_U</vt:lpstr>
      <vt:lpstr>v_86_XNOB</vt:lpstr>
      <vt:lpstr>v_86_XOHO</vt:lpstr>
      <vt:lpstr>v_86_XP_B</vt:lpstr>
      <vt:lpstr>v_86_XP_Be</vt:lpstr>
      <vt:lpstr>v_86_XP_U</vt:lpstr>
      <vt:lpstr>v_86_XPFOA</vt:lpstr>
      <vt:lpstr>v_86_XPFOS</vt:lpstr>
      <vt:lpstr>v_86_XPHA_GAO</vt:lpstr>
      <vt:lpstr>v_86_XPHA_PAO</vt:lpstr>
      <vt:lpstr>v_86_XPP</vt:lpstr>
      <vt:lpstr>v_86_XSTR</vt:lpstr>
      <vt:lpstr>v_86_XU</vt:lpstr>
      <vt:lpstr>v_86_XVivi</vt:lpstr>
      <vt:lpstr>v_87_CB</vt:lpstr>
      <vt:lpstr>v_87_CU</vt:lpstr>
      <vt:lpstr>v_87_GCH4</vt:lpstr>
      <vt:lpstr>v_87_GCH4_atm</vt:lpstr>
      <vt:lpstr>v_87_GCO2</vt:lpstr>
      <vt:lpstr>v_87_GCO2_atm</vt:lpstr>
      <vt:lpstr>v_87_GH2</vt:lpstr>
      <vt:lpstr>v_87_GH2_atm</vt:lpstr>
      <vt:lpstr>v_87_GN2</vt:lpstr>
      <vt:lpstr>v_87_GN2_atm</vt:lpstr>
      <vt:lpstr>v_87_GNH3</vt:lpstr>
      <vt:lpstr>v_87_GNH3_atm</vt:lpstr>
      <vt:lpstr>v_87_GO2</vt:lpstr>
      <vt:lpstr>v_87_GO2_atm</vt:lpstr>
      <vt:lpstr>v_87_SALPHA</vt:lpstr>
      <vt:lpstr>v_87_SAN</vt:lpstr>
      <vt:lpstr>v_87_SB</vt:lpstr>
      <vt:lpstr>v_87_SCa</vt:lpstr>
      <vt:lpstr>v_87_SCAT</vt:lpstr>
      <vt:lpstr>v_87_SCH4</vt:lpstr>
      <vt:lpstr>v_87_SCO2</vt:lpstr>
      <vt:lpstr>v_87_SFe2</vt:lpstr>
      <vt:lpstr>v_87_SH</vt:lpstr>
      <vt:lpstr>v_87_SH2</vt:lpstr>
      <vt:lpstr>v_87_SK</vt:lpstr>
      <vt:lpstr>v_87_SMEOL</vt:lpstr>
      <vt:lpstr>v_87_SMg</vt:lpstr>
      <vt:lpstr>v_87_SN_B</vt:lpstr>
      <vt:lpstr>v_87_SN2</vt:lpstr>
      <vt:lpstr>v_87_SNHx</vt:lpstr>
      <vt:lpstr>v_87_SNO2</vt:lpstr>
      <vt:lpstr>v_87_SNO3</vt:lpstr>
      <vt:lpstr>v_87_SO2</vt:lpstr>
      <vt:lpstr>v_87_SORPswitch</vt:lpstr>
      <vt:lpstr>v_87_SP_B</vt:lpstr>
      <vt:lpstr>v_87_SPFOA</vt:lpstr>
      <vt:lpstr>v_87_SPFOS</vt:lpstr>
      <vt:lpstr>v_87_SPO4</vt:lpstr>
      <vt:lpstr>v_87_SU</vt:lpstr>
      <vt:lpstr>v_87_SVFA</vt:lpstr>
      <vt:lpstr>v_87_XACP</vt:lpstr>
      <vt:lpstr>v_87_XALGAE</vt:lpstr>
      <vt:lpstr>v_87_XAMETO</vt:lpstr>
      <vt:lpstr>v_87_XAMX</vt:lpstr>
      <vt:lpstr>v_87_XAOB</vt:lpstr>
      <vt:lpstr>v_87_XB</vt:lpstr>
      <vt:lpstr>v_87_XB_e</vt:lpstr>
      <vt:lpstr>v_87_XBSH</vt:lpstr>
      <vt:lpstr>v_87_XCaCO3</vt:lpstr>
      <vt:lpstr>v_87_XCASTO</vt:lpstr>
      <vt:lpstr>v_87_XE</vt:lpstr>
      <vt:lpstr>v_87_XE_ana</vt:lpstr>
      <vt:lpstr>v_87_XHAO_H</vt:lpstr>
      <vt:lpstr>v_87_XHAO_H_P</vt:lpstr>
      <vt:lpstr>v_87_XHAO_H_P_old</vt:lpstr>
      <vt:lpstr>v_87_XHAO_L</vt:lpstr>
      <vt:lpstr>v_87_XHAO_L_P</vt:lpstr>
      <vt:lpstr>v_87_XHAO_L_P_old</vt:lpstr>
      <vt:lpstr>v_87_XHAO_old</vt:lpstr>
      <vt:lpstr>v_87_XHFO_H</vt:lpstr>
      <vt:lpstr>v_87_XHFO_H_P</vt:lpstr>
      <vt:lpstr>v_87_XHFO_H_P_old</vt:lpstr>
      <vt:lpstr>v_87_XHFO_L</vt:lpstr>
      <vt:lpstr>v_87_XHFO_L_P</vt:lpstr>
      <vt:lpstr>v_87_XHFO_L_P_old</vt:lpstr>
      <vt:lpstr>v_87_XHFO_old</vt:lpstr>
      <vt:lpstr>v_87_XHMETO</vt:lpstr>
      <vt:lpstr>v_87_XINORG</vt:lpstr>
      <vt:lpstr>v_87_XMEOLO</vt:lpstr>
      <vt:lpstr>v_87_XN_B</vt:lpstr>
      <vt:lpstr>v_87_XN_Be</vt:lpstr>
      <vt:lpstr>v_87_XN_U</vt:lpstr>
      <vt:lpstr>v_87_XNOB</vt:lpstr>
      <vt:lpstr>v_87_XOHO</vt:lpstr>
      <vt:lpstr>v_87_XP_B</vt:lpstr>
      <vt:lpstr>v_87_XP_Be</vt:lpstr>
      <vt:lpstr>v_87_XP_U</vt:lpstr>
      <vt:lpstr>v_87_XPFOA</vt:lpstr>
      <vt:lpstr>v_87_XPFOS</vt:lpstr>
      <vt:lpstr>v_87_XPHA_GAO</vt:lpstr>
      <vt:lpstr>v_87_XPHA_PAO</vt:lpstr>
      <vt:lpstr>v_87_XPP</vt:lpstr>
      <vt:lpstr>v_87_XSTR</vt:lpstr>
      <vt:lpstr>v_87_XU</vt:lpstr>
      <vt:lpstr>v_87_XVivi</vt:lpstr>
      <vt:lpstr>v_88_CB</vt:lpstr>
      <vt:lpstr>v_88_CU</vt:lpstr>
      <vt:lpstr>v_88_GCH4</vt:lpstr>
      <vt:lpstr>v_88_GCH4_atm</vt:lpstr>
      <vt:lpstr>v_88_GCO2</vt:lpstr>
      <vt:lpstr>v_88_GCO2_atm</vt:lpstr>
      <vt:lpstr>v_88_GH2</vt:lpstr>
      <vt:lpstr>v_88_GH2_atm</vt:lpstr>
      <vt:lpstr>v_88_GN2</vt:lpstr>
      <vt:lpstr>v_88_GN2_atm</vt:lpstr>
      <vt:lpstr>v_88_GNH3</vt:lpstr>
      <vt:lpstr>v_88_GNH3_atm</vt:lpstr>
      <vt:lpstr>v_88_GO2</vt:lpstr>
      <vt:lpstr>v_88_GO2_atm</vt:lpstr>
      <vt:lpstr>v_88_SALPHA</vt:lpstr>
      <vt:lpstr>v_88_SAN</vt:lpstr>
      <vt:lpstr>v_88_SB</vt:lpstr>
      <vt:lpstr>v_88_SCa</vt:lpstr>
      <vt:lpstr>v_88_SCAT</vt:lpstr>
      <vt:lpstr>v_88_SCH4</vt:lpstr>
      <vt:lpstr>v_88_SCO2</vt:lpstr>
      <vt:lpstr>v_88_SFe2</vt:lpstr>
      <vt:lpstr>v_88_SH</vt:lpstr>
      <vt:lpstr>v_88_SH2</vt:lpstr>
      <vt:lpstr>v_88_SK</vt:lpstr>
      <vt:lpstr>v_88_SMEOL</vt:lpstr>
      <vt:lpstr>v_88_SMg</vt:lpstr>
      <vt:lpstr>v_88_SN_B</vt:lpstr>
      <vt:lpstr>v_88_SN2</vt:lpstr>
      <vt:lpstr>v_88_SNHx</vt:lpstr>
      <vt:lpstr>v_88_SNO2</vt:lpstr>
      <vt:lpstr>v_88_SNO3</vt:lpstr>
      <vt:lpstr>v_88_SO2</vt:lpstr>
      <vt:lpstr>v_88_SORPswitch</vt:lpstr>
      <vt:lpstr>v_88_SP_B</vt:lpstr>
      <vt:lpstr>v_88_SPFOA</vt:lpstr>
      <vt:lpstr>v_88_SPFOS</vt:lpstr>
      <vt:lpstr>v_88_SPO4</vt:lpstr>
      <vt:lpstr>v_88_SU</vt:lpstr>
      <vt:lpstr>v_88_SVFA</vt:lpstr>
      <vt:lpstr>v_88_XACP</vt:lpstr>
      <vt:lpstr>v_88_XALGAE</vt:lpstr>
      <vt:lpstr>v_88_XAMETO</vt:lpstr>
      <vt:lpstr>v_88_XAMX</vt:lpstr>
      <vt:lpstr>v_88_XAOB</vt:lpstr>
      <vt:lpstr>v_88_XB</vt:lpstr>
      <vt:lpstr>v_88_XB_e</vt:lpstr>
      <vt:lpstr>v_88_XBSH</vt:lpstr>
      <vt:lpstr>v_88_XCaCO3</vt:lpstr>
      <vt:lpstr>v_88_XCASTO</vt:lpstr>
      <vt:lpstr>v_88_XE</vt:lpstr>
      <vt:lpstr>v_88_XE_ana</vt:lpstr>
      <vt:lpstr>v_88_XHAO_H</vt:lpstr>
      <vt:lpstr>v_88_XHAO_H_P</vt:lpstr>
      <vt:lpstr>v_88_XHAO_H_P_old</vt:lpstr>
      <vt:lpstr>v_88_XHAO_L</vt:lpstr>
      <vt:lpstr>v_88_XHAO_L_P</vt:lpstr>
      <vt:lpstr>v_88_XHAO_L_P_old</vt:lpstr>
      <vt:lpstr>v_88_XHAO_old</vt:lpstr>
      <vt:lpstr>v_88_XHFO_H</vt:lpstr>
      <vt:lpstr>v_88_XHFO_H_P</vt:lpstr>
      <vt:lpstr>v_88_XHFO_H_P_old</vt:lpstr>
      <vt:lpstr>v_88_XHFO_L</vt:lpstr>
      <vt:lpstr>v_88_XHFO_L_P</vt:lpstr>
      <vt:lpstr>v_88_XHFO_L_P_old</vt:lpstr>
      <vt:lpstr>v_88_XHFO_old</vt:lpstr>
      <vt:lpstr>v_88_XHMETO</vt:lpstr>
      <vt:lpstr>v_88_XINORG</vt:lpstr>
      <vt:lpstr>v_88_XMEOLO</vt:lpstr>
      <vt:lpstr>v_88_XN_B</vt:lpstr>
      <vt:lpstr>v_88_XN_Be</vt:lpstr>
      <vt:lpstr>v_88_XN_U</vt:lpstr>
      <vt:lpstr>v_88_XNOB</vt:lpstr>
      <vt:lpstr>v_88_XOHO</vt:lpstr>
      <vt:lpstr>v_88_XP_B</vt:lpstr>
      <vt:lpstr>v_88_XP_Be</vt:lpstr>
      <vt:lpstr>v_88_XP_U</vt:lpstr>
      <vt:lpstr>v_88_XPFOA</vt:lpstr>
      <vt:lpstr>v_88_XPFOS</vt:lpstr>
      <vt:lpstr>v_88_XPHA_GAO</vt:lpstr>
      <vt:lpstr>v_88_XPHA_PAO</vt:lpstr>
      <vt:lpstr>v_88_XPP</vt:lpstr>
      <vt:lpstr>v_88_XSTR</vt:lpstr>
      <vt:lpstr>v_88_XU</vt:lpstr>
      <vt:lpstr>v_88_XVivi</vt:lpstr>
      <vt:lpstr>v_89_CB</vt:lpstr>
      <vt:lpstr>v_89_CU</vt:lpstr>
      <vt:lpstr>v_89_GCH4</vt:lpstr>
      <vt:lpstr>v_89_GCH4_atm</vt:lpstr>
      <vt:lpstr>v_89_GCO2</vt:lpstr>
      <vt:lpstr>v_89_GCO2_atm</vt:lpstr>
      <vt:lpstr>v_89_GH2</vt:lpstr>
      <vt:lpstr>v_89_GH2_atm</vt:lpstr>
      <vt:lpstr>v_89_GN2</vt:lpstr>
      <vt:lpstr>v_89_GN2_atm</vt:lpstr>
      <vt:lpstr>v_89_GNH3</vt:lpstr>
      <vt:lpstr>v_89_GNH3_atm</vt:lpstr>
      <vt:lpstr>v_89_GO2</vt:lpstr>
      <vt:lpstr>v_89_GO2_atm</vt:lpstr>
      <vt:lpstr>v_89_SALPHA</vt:lpstr>
      <vt:lpstr>v_89_SAN</vt:lpstr>
      <vt:lpstr>v_89_SB</vt:lpstr>
      <vt:lpstr>v_89_SCa</vt:lpstr>
      <vt:lpstr>v_89_SCAT</vt:lpstr>
      <vt:lpstr>v_89_SCH4</vt:lpstr>
      <vt:lpstr>v_89_SCO2</vt:lpstr>
      <vt:lpstr>v_89_SFe2</vt:lpstr>
      <vt:lpstr>v_89_SH</vt:lpstr>
      <vt:lpstr>v_89_SH2</vt:lpstr>
      <vt:lpstr>v_89_SK</vt:lpstr>
      <vt:lpstr>v_89_SMEOL</vt:lpstr>
      <vt:lpstr>v_89_SMg</vt:lpstr>
      <vt:lpstr>v_89_SN_B</vt:lpstr>
      <vt:lpstr>v_89_SN2</vt:lpstr>
      <vt:lpstr>v_89_SNHx</vt:lpstr>
      <vt:lpstr>v_89_SNO2</vt:lpstr>
      <vt:lpstr>v_89_SNO3</vt:lpstr>
      <vt:lpstr>v_89_SO2</vt:lpstr>
      <vt:lpstr>v_89_SORPswitch</vt:lpstr>
      <vt:lpstr>v_89_SP_B</vt:lpstr>
      <vt:lpstr>v_89_SPFOA</vt:lpstr>
      <vt:lpstr>v_89_SPFOS</vt:lpstr>
      <vt:lpstr>v_89_SPO4</vt:lpstr>
      <vt:lpstr>v_89_SU</vt:lpstr>
      <vt:lpstr>v_89_SVFA</vt:lpstr>
      <vt:lpstr>v_89_XACP</vt:lpstr>
      <vt:lpstr>v_89_XALGAE</vt:lpstr>
      <vt:lpstr>v_89_XAMETO</vt:lpstr>
      <vt:lpstr>v_89_XAMX</vt:lpstr>
      <vt:lpstr>v_89_XAOB</vt:lpstr>
      <vt:lpstr>v_89_XB</vt:lpstr>
      <vt:lpstr>v_89_XB_e</vt:lpstr>
      <vt:lpstr>v_89_XBSH</vt:lpstr>
      <vt:lpstr>v_89_XCaCO3</vt:lpstr>
      <vt:lpstr>v_89_XCASTO</vt:lpstr>
      <vt:lpstr>v_89_XE</vt:lpstr>
      <vt:lpstr>v_89_XE_ana</vt:lpstr>
      <vt:lpstr>v_89_XHAO_H</vt:lpstr>
      <vt:lpstr>v_89_XHAO_H_P</vt:lpstr>
      <vt:lpstr>v_89_XHAO_H_P_old</vt:lpstr>
      <vt:lpstr>v_89_XHAO_L</vt:lpstr>
      <vt:lpstr>v_89_XHAO_L_P</vt:lpstr>
      <vt:lpstr>v_89_XHAO_L_P_old</vt:lpstr>
      <vt:lpstr>v_89_XHAO_old</vt:lpstr>
      <vt:lpstr>v_89_XHFO_H</vt:lpstr>
      <vt:lpstr>v_89_XHFO_H_P</vt:lpstr>
      <vt:lpstr>v_89_XHFO_H_P_old</vt:lpstr>
      <vt:lpstr>v_89_XHFO_L</vt:lpstr>
      <vt:lpstr>v_89_XHFO_L_P</vt:lpstr>
      <vt:lpstr>v_89_XHFO_L_P_old</vt:lpstr>
      <vt:lpstr>v_89_XHFO_old</vt:lpstr>
      <vt:lpstr>v_89_XHMETO</vt:lpstr>
      <vt:lpstr>v_89_XINORG</vt:lpstr>
      <vt:lpstr>v_89_XMEOLO</vt:lpstr>
      <vt:lpstr>v_89_XN_B</vt:lpstr>
      <vt:lpstr>v_89_XN_Be</vt:lpstr>
      <vt:lpstr>v_89_XN_U</vt:lpstr>
      <vt:lpstr>v_89_XNOB</vt:lpstr>
      <vt:lpstr>v_89_XOHO</vt:lpstr>
      <vt:lpstr>v_89_XP_B</vt:lpstr>
      <vt:lpstr>v_89_XP_Be</vt:lpstr>
      <vt:lpstr>v_89_XP_U</vt:lpstr>
      <vt:lpstr>v_89_XPFOA</vt:lpstr>
      <vt:lpstr>v_89_XPFOS</vt:lpstr>
      <vt:lpstr>v_89_XPHA_GAO</vt:lpstr>
      <vt:lpstr>v_89_XPHA_PAO</vt:lpstr>
      <vt:lpstr>v_89_XPP</vt:lpstr>
      <vt:lpstr>v_89_XSTR</vt:lpstr>
      <vt:lpstr>v_89_XU</vt:lpstr>
      <vt:lpstr>v_89_XVivi</vt:lpstr>
      <vt:lpstr>v_9_CB</vt:lpstr>
      <vt:lpstr>v_9_CU</vt:lpstr>
      <vt:lpstr>v_9_GCH4</vt:lpstr>
      <vt:lpstr>v_9_GCH4_atm</vt:lpstr>
      <vt:lpstr>v_9_GCO2</vt:lpstr>
      <vt:lpstr>v_9_GCO2_atm</vt:lpstr>
      <vt:lpstr>v_9_GH2</vt:lpstr>
      <vt:lpstr>v_9_GH2_atm</vt:lpstr>
      <vt:lpstr>v_9_GN2</vt:lpstr>
      <vt:lpstr>v_9_GN2_atm</vt:lpstr>
      <vt:lpstr>v_9_GNH3</vt:lpstr>
      <vt:lpstr>v_9_GNH3_atm</vt:lpstr>
      <vt:lpstr>v_9_GO2</vt:lpstr>
      <vt:lpstr>v_9_GO2_atm</vt:lpstr>
      <vt:lpstr>v_9_SALPHA</vt:lpstr>
      <vt:lpstr>v_9_SAN</vt:lpstr>
      <vt:lpstr>v_9_SB</vt:lpstr>
      <vt:lpstr>v_9_SCa</vt:lpstr>
      <vt:lpstr>v_9_SCAT</vt:lpstr>
      <vt:lpstr>v_9_SCH4</vt:lpstr>
      <vt:lpstr>v_9_SCO2</vt:lpstr>
      <vt:lpstr>v_9_SFe2</vt:lpstr>
      <vt:lpstr>v_9_SH</vt:lpstr>
      <vt:lpstr>v_9_SH2</vt:lpstr>
      <vt:lpstr>v_9_SK</vt:lpstr>
      <vt:lpstr>v_9_SMEOL</vt:lpstr>
      <vt:lpstr>v_9_SMg</vt:lpstr>
      <vt:lpstr>v_9_SN_B</vt:lpstr>
      <vt:lpstr>v_9_SN2</vt:lpstr>
      <vt:lpstr>v_9_SNHx</vt:lpstr>
      <vt:lpstr>v_9_SNO2</vt:lpstr>
      <vt:lpstr>v_9_SNO3</vt:lpstr>
      <vt:lpstr>v_9_SO2</vt:lpstr>
      <vt:lpstr>v_9_SORPswitch</vt:lpstr>
      <vt:lpstr>v_9_SP_B</vt:lpstr>
      <vt:lpstr>v_9_SPFOA</vt:lpstr>
      <vt:lpstr>v_9_SPFOS</vt:lpstr>
      <vt:lpstr>v_9_SPO4</vt:lpstr>
      <vt:lpstr>v_9_SU</vt:lpstr>
      <vt:lpstr>v_9_SVFA</vt:lpstr>
      <vt:lpstr>v_9_XACP</vt:lpstr>
      <vt:lpstr>v_9_XALGAE</vt:lpstr>
      <vt:lpstr>v_9_XAMETO</vt:lpstr>
      <vt:lpstr>v_9_XAMX</vt:lpstr>
      <vt:lpstr>v_9_XAOB</vt:lpstr>
      <vt:lpstr>v_9_XB</vt:lpstr>
      <vt:lpstr>v_9_XB_e</vt:lpstr>
      <vt:lpstr>v_9_XBSH</vt:lpstr>
      <vt:lpstr>v_9_XCaCO3</vt:lpstr>
      <vt:lpstr>v_9_XCASTO</vt:lpstr>
      <vt:lpstr>v_9_XE</vt:lpstr>
      <vt:lpstr>v_9_XE_ana</vt:lpstr>
      <vt:lpstr>v_9_XHAO_H</vt:lpstr>
      <vt:lpstr>v_9_XHAO_H_P</vt:lpstr>
      <vt:lpstr>v_9_XHAO_H_P_old</vt:lpstr>
      <vt:lpstr>v_9_XHAO_L</vt:lpstr>
      <vt:lpstr>v_9_XHAO_L_P</vt:lpstr>
      <vt:lpstr>v_9_XHAO_L_P_old</vt:lpstr>
      <vt:lpstr>v_9_XHAO_old</vt:lpstr>
      <vt:lpstr>v_9_XHFO_H</vt:lpstr>
      <vt:lpstr>v_9_XHFO_H_P</vt:lpstr>
      <vt:lpstr>v_9_XHFO_H_P_old</vt:lpstr>
      <vt:lpstr>v_9_XHFO_L</vt:lpstr>
      <vt:lpstr>v_9_XHFO_L_P</vt:lpstr>
      <vt:lpstr>v_9_XHFO_L_P_old</vt:lpstr>
      <vt:lpstr>v_9_XHFO_old</vt:lpstr>
      <vt:lpstr>v_9_XHMETO</vt:lpstr>
      <vt:lpstr>v_9_XINORG</vt:lpstr>
      <vt:lpstr>v_9_XMEOLO</vt:lpstr>
      <vt:lpstr>v_9_XN_B</vt:lpstr>
      <vt:lpstr>v_9_XN_Be</vt:lpstr>
      <vt:lpstr>v_9_XN_U</vt:lpstr>
      <vt:lpstr>v_9_XNOB</vt:lpstr>
      <vt:lpstr>v_9_XOHO</vt:lpstr>
      <vt:lpstr>v_9_XP_B</vt:lpstr>
      <vt:lpstr>v_9_XP_Be</vt:lpstr>
      <vt:lpstr>v_9_XP_U</vt:lpstr>
      <vt:lpstr>v_9_XPFOA</vt:lpstr>
      <vt:lpstr>v_9_XPFOS</vt:lpstr>
      <vt:lpstr>v_9_XPHA_GAO</vt:lpstr>
      <vt:lpstr>v_9_XPHA_PAO</vt:lpstr>
      <vt:lpstr>v_9_XPP</vt:lpstr>
      <vt:lpstr>v_9_XSTR</vt:lpstr>
      <vt:lpstr>v_9_XU</vt:lpstr>
      <vt:lpstr>v_9_XVivi</vt:lpstr>
      <vt:lpstr>v_90_CB</vt:lpstr>
      <vt:lpstr>v_90_CU</vt:lpstr>
      <vt:lpstr>v_90_GCH4</vt:lpstr>
      <vt:lpstr>v_90_GCH4_atm</vt:lpstr>
      <vt:lpstr>v_90_GCO2</vt:lpstr>
      <vt:lpstr>v_90_GCO2_atm</vt:lpstr>
      <vt:lpstr>v_90_GH2</vt:lpstr>
      <vt:lpstr>v_90_GH2_atm</vt:lpstr>
      <vt:lpstr>v_90_GN2</vt:lpstr>
      <vt:lpstr>v_90_GN2_atm</vt:lpstr>
      <vt:lpstr>v_90_GNH3</vt:lpstr>
      <vt:lpstr>v_90_GNH3_atm</vt:lpstr>
      <vt:lpstr>v_90_GO2</vt:lpstr>
      <vt:lpstr>v_90_GO2_atm</vt:lpstr>
      <vt:lpstr>v_90_SALPHA</vt:lpstr>
      <vt:lpstr>v_90_SAN</vt:lpstr>
      <vt:lpstr>v_90_SB</vt:lpstr>
      <vt:lpstr>v_90_SCa</vt:lpstr>
      <vt:lpstr>v_90_SCAT</vt:lpstr>
      <vt:lpstr>v_90_SCH4</vt:lpstr>
      <vt:lpstr>v_90_SCO2</vt:lpstr>
      <vt:lpstr>v_90_SFe2</vt:lpstr>
      <vt:lpstr>v_90_SH</vt:lpstr>
      <vt:lpstr>v_90_SH2</vt:lpstr>
      <vt:lpstr>v_90_SK</vt:lpstr>
      <vt:lpstr>v_90_SMEOL</vt:lpstr>
      <vt:lpstr>v_90_SMg</vt:lpstr>
      <vt:lpstr>v_90_SN_B</vt:lpstr>
      <vt:lpstr>v_90_SN2</vt:lpstr>
      <vt:lpstr>v_90_SNHx</vt:lpstr>
      <vt:lpstr>v_90_SNO2</vt:lpstr>
      <vt:lpstr>v_90_SNO3</vt:lpstr>
      <vt:lpstr>v_90_SO2</vt:lpstr>
      <vt:lpstr>v_90_SORPswitch</vt:lpstr>
      <vt:lpstr>v_90_SP_B</vt:lpstr>
      <vt:lpstr>v_90_SPFOA</vt:lpstr>
      <vt:lpstr>v_90_SPFOS</vt:lpstr>
      <vt:lpstr>v_90_SPO4</vt:lpstr>
      <vt:lpstr>v_90_SU</vt:lpstr>
      <vt:lpstr>v_90_SVFA</vt:lpstr>
      <vt:lpstr>v_90_XACP</vt:lpstr>
      <vt:lpstr>v_90_XALGAE</vt:lpstr>
      <vt:lpstr>v_90_XAMETO</vt:lpstr>
      <vt:lpstr>v_90_XAMX</vt:lpstr>
      <vt:lpstr>v_90_XAOB</vt:lpstr>
      <vt:lpstr>v_90_XB</vt:lpstr>
      <vt:lpstr>v_90_XB_e</vt:lpstr>
      <vt:lpstr>v_90_XBSH</vt:lpstr>
      <vt:lpstr>v_90_XCaCO3</vt:lpstr>
      <vt:lpstr>v_90_XCASTO</vt:lpstr>
      <vt:lpstr>v_90_XE</vt:lpstr>
      <vt:lpstr>v_90_XE_ana</vt:lpstr>
      <vt:lpstr>v_90_XHAO_H</vt:lpstr>
      <vt:lpstr>v_90_XHAO_H_P</vt:lpstr>
      <vt:lpstr>v_90_XHAO_H_P_old</vt:lpstr>
      <vt:lpstr>v_90_XHAO_L</vt:lpstr>
      <vt:lpstr>v_90_XHAO_L_P</vt:lpstr>
      <vt:lpstr>v_90_XHAO_L_P_old</vt:lpstr>
      <vt:lpstr>v_90_XHAO_old</vt:lpstr>
      <vt:lpstr>v_90_XHFO_H</vt:lpstr>
      <vt:lpstr>v_90_XHFO_H_P</vt:lpstr>
      <vt:lpstr>v_90_XHFO_H_P_old</vt:lpstr>
      <vt:lpstr>v_90_XHFO_L</vt:lpstr>
      <vt:lpstr>v_90_XHFO_L_P</vt:lpstr>
      <vt:lpstr>v_90_XHFO_L_P_old</vt:lpstr>
      <vt:lpstr>v_90_XHFO_old</vt:lpstr>
      <vt:lpstr>v_90_XHMETO</vt:lpstr>
      <vt:lpstr>v_90_XINORG</vt:lpstr>
      <vt:lpstr>v_90_XMEOLO</vt:lpstr>
      <vt:lpstr>v_90_XN_B</vt:lpstr>
      <vt:lpstr>v_90_XN_Be</vt:lpstr>
      <vt:lpstr>v_90_XN_U</vt:lpstr>
      <vt:lpstr>v_90_XNOB</vt:lpstr>
      <vt:lpstr>v_90_XOHO</vt:lpstr>
      <vt:lpstr>v_90_XP_B</vt:lpstr>
      <vt:lpstr>v_90_XP_Be</vt:lpstr>
      <vt:lpstr>v_90_XP_U</vt:lpstr>
      <vt:lpstr>v_90_XPFOA</vt:lpstr>
      <vt:lpstr>v_90_XPFOS</vt:lpstr>
      <vt:lpstr>v_90_XPHA_GAO</vt:lpstr>
      <vt:lpstr>v_90_XPHA_PAO</vt:lpstr>
      <vt:lpstr>v_90_XPP</vt:lpstr>
      <vt:lpstr>v_90_XSTR</vt:lpstr>
      <vt:lpstr>v_90_XU</vt:lpstr>
      <vt:lpstr>v_90_XVivi</vt:lpstr>
      <vt:lpstr>v_91_CB</vt:lpstr>
      <vt:lpstr>v_91_CU</vt:lpstr>
      <vt:lpstr>v_91_GCH4</vt:lpstr>
      <vt:lpstr>v_91_GCH4_atm</vt:lpstr>
      <vt:lpstr>v_91_GCO2</vt:lpstr>
      <vt:lpstr>v_91_GCO2_atm</vt:lpstr>
      <vt:lpstr>v_91_GH2</vt:lpstr>
      <vt:lpstr>v_91_GH2_atm</vt:lpstr>
      <vt:lpstr>v_91_GN2</vt:lpstr>
      <vt:lpstr>v_91_GN2_atm</vt:lpstr>
      <vt:lpstr>v_91_GNH3</vt:lpstr>
      <vt:lpstr>v_91_GNH3_atm</vt:lpstr>
      <vt:lpstr>v_91_GO2</vt:lpstr>
      <vt:lpstr>v_91_GO2_atm</vt:lpstr>
      <vt:lpstr>v_91_SALPHA</vt:lpstr>
      <vt:lpstr>v_91_SAN</vt:lpstr>
      <vt:lpstr>v_91_SB</vt:lpstr>
      <vt:lpstr>v_91_SCa</vt:lpstr>
      <vt:lpstr>v_91_SCAT</vt:lpstr>
      <vt:lpstr>v_91_SCH4</vt:lpstr>
      <vt:lpstr>v_91_SCO2</vt:lpstr>
      <vt:lpstr>v_91_SFe2</vt:lpstr>
      <vt:lpstr>v_91_SH</vt:lpstr>
      <vt:lpstr>v_91_SH2</vt:lpstr>
      <vt:lpstr>v_91_SK</vt:lpstr>
      <vt:lpstr>v_91_SMEOL</vt:lpstr>
      <vt:lpstr>v_91_SMg</vt:lpstr>
      <vt:lpstr>v_91_SN_B</vt:lpstr>
      <vt:lpstr>v_91_SN2</vt:lpstr>
      <vt:lpstr>v_91_SNHx</vt:lpstr>
      <vt:lpstr>v_91_SNO2</vt:lpstr>
      <vt:lpstr>v_91_SNO3</vt:lpstr>
      <vt:lpstr>v_91_SO2</vt:lpstr>
      <vt:lpstr>v_91_SORPswitch</vt:lpstr>
      <vt:lpstr>v_91_SP_B</vt:lpstr>
      <vt:lpstr>v_91_SPFOA</vt:lpstr>
      <vt:lpstr>v_91_SPFOS</vt:lpstr>
      <vt:lpstr>v_91_SPO4</vt:lpstr>
      <vt:lpstr>v_91_SU</vt:lpstr>
      <vt:lpstr>v_91_SVFA</vt:lpstr>
      <vt:lpstr>v_91_XACP</vt:lpstr>
      <vt:lpstr>v_91_XALGAE</vt:lpstr>
      <vt:lpstr>v_91_XAMETO</vt:lpstr>
      <vt:lpstr>v_91_XAMX</vt:lpstr>
      <vt:lpstr>v_91_XAOB</vt:lpstr>
      <vt:lpstr>v_91_XB</vt:lpstr>
      <vt:lpstr>v_91_XB_e</vt:lpstr>
      <vt:lpstr>v_91_XBSH</vt:lpstr>
      <vt:lpstr>v_91_XCaCO3</vt:lpstr>
      <vt:lpstr>v_91_XCASTO</vt:lpstr>
      <vt:lpstr>v_91_XE</vt:lpstr>
      <vt:lpstr>v_91_XE_ana</vt:lpstr>
      <vt:lpstr>v_91_XHAO_H</vt:lpstr>
      <vt:lpstr>v_91_XHAO_H_P</vt:lpstr>
      <vt:lpstr>v_91_XHAO_H_P_old</vt:lpstr>
      <vt:lpstr>v_91_XHAO_L</vt:lpstr>
      <vt:lpstr>v_91_XHAO_L_P</vt:lpstr>
      <vt:lpstr>v_91_XHAO_L_P_old</vt:lpstr>
      <vt:lpstr>v_91_XHAO_old</vt:lpstr>
      <vt:lpstr>v_91_XHFO_H</vt:lpstr>
      <vt:lpstr>v_91_XHFO_H_P</vt:lpstr>
      <vt:lpstr>v_91_XHFO_H_P_old</vt:lpstr>
      <vt:lpstr>v_91_XHFO_L</vt:lpstr>
      <vt:lpstr>v_91_XHFO_L_P</vt:lpstr>
      <vt:lpstr>v_91_XHFO_L_P_old</vt:lpstr>
      <vt:lpstr>v_91_XHFO_old</vt:lpstr>
      <vt:lpstr>v_91_XHMETO</vt:lpstr>
      <vt:lpstr>v_91_XINORG</vt:lpstr>
      <vt:lpstr>v_91_XMEOLO</vt:lpstr>
      <vt:lpstr>v_91_XN_B</vt:lpstr>
      <vt:lpstr>v_91_XN_Be</vt:lpstr>
      <vt:lpstr>v_91_XN_U</vt:lpstr>
      <vt:lpstr>v_91_XNOB</vt:lpstr>
      <vt:lpstr>v_91_XOHO</vt:lpstr>
      <vt:lpstr>v_91_XP_B</vt:lpstr>
      <vt:lpstr>v_91_XP_Be</vt:lpstr>
      <vt:lpstr>v_91_XP_U</vt:lpstr>
      <vt:lpstr>v_91_XPFOA</vt:lpstr>
      <vt:lpstr>v_91_XPFOS</vt:lpstr>
      <vt:lpstr>v_91_XPHA_GAO</vt:lpstr>
      <vt:lpstr>v_91_XPHA_PAO</vt:lpstr>
      <vt:lpstr>v_91_XPP</vt:lpstr>
      <vt:lpstr>v_91_XSTR</vt:lpstr>
      <vt:lpstr>v_91_XU</vt:lpstr>
      <vt:lpstr>v_91_XVivi</vt:lpstr>
      <vt:lpstr>v_92_CB</vt:lpstr>
      <vt:lpstr>v_92_CU</vt:lpstr>
      <vt:lpstr>v_92_GCH4</vt:lpstr>
      <vt:lpstr>v_92_GCH4_atm</vt:lpstr>
      <vt:lpstr>v_92_GCO2</vt:lpstr>
      <vt:lpstr>v_92_GCO2_atm</vt:lpstr>
      <vt:lpstr>v_92_GH2</vt:lpstr>
      <vt:lpstr>v_92_GH2_atm</vt:lpstr>
      <vt:lpstr>v_92_GN2</vt:lpstr>
      <vt:lpstr>v_92_GN2_atm</vt:lpstr>
      <vt:lpstr>v_92_GNH3</vt:lpstr>
      <vt:lpstr>v_92_GNH3_atm</vt:lpstr>
      <vt:lpstr>v_92_GO2</vt:lpstr>
      <vt:lpstr>v_92_GO2_atm</vt:lpstr>
      <vt:lpstr>v_92_SALPHA</vt:lpstr>
      <vt:lpstr>v_92_SAN</vt:lpstr>
      <vt:lpstr>v_92_SB</vt:lpstr>
      <vt:lpstr>v_92_SCa</vt:lpstr>
      <vt:lpstr>v_92_SCAT</vt:lpstr>
      <vt:lpstr>v_92_SCH4</vt:lpstr>
      <vt:lpstr>v_92_SCO2</vt:lpstr>
      <vt:lpstr>v_92_SFe2</vt:lpstr>
      <vt:lpstr>v_92_SH</vt:lpstr>
      <vt:lpstr>v_92_SH2</vt:lpstr>
      <vt:lpstr>v_92_SK</vt:lpstr>
      <vt:lpstr>v_92_SMEOL</vt:lpstr>
      <vt:lpstr>v_92_SMg</vt:lpstr>
      <vt:lpstr>v_92_SN_B</vt:lpstr>
      <vt:lpstr>v_92_SN2</vt:lpstr>
      <vt:lpstr>v_92_SNHx</vt:lpstr>
      <vt:lpstr>v_92_SNO2</vt:lpstr>
      <vt:lpstr>v_92_SNO3</vt:lpstr>
      <vt:lpstr>v_92_SO2</vt:lpstr>
      <vt:lpstr>v_92_SORPswitch</vt:lpstr>
      <vt:lpstr>v_92_SP_B</vt:lpstr>
      <vt:lpstr>v_92_SPFOA</vt:lpstr>
      <vt:lpstr>v_92_SPFOS</vt:lpstr>
      <vt:lpstr>v_92_SPO4</vt:lpstr>
      <vt:lpstr>v_92_SU</vt:lpstr>
      <vt:lpstr>v_92_SVFA</vt:lpstr>
      <vt:lpstr>v_92_XACP</vt:lpstr>
      <vt:lpstr>v_92_XALGAE</vt:lpstr>
      <vt:lpstr>v_92_XAMETO</vt:lpstr>
      <vt:lpstr>v_92_XAMX</vt:lpstr>
      <vt:lpstr>v_92_XAOB</vt:lpstr>
      <vt:lpstr>v_92_XB</vt:lpstr>
      <vt:lpstr>v_92_XB_e</vt:lpstr>
      <vt:lpstr>v_92_XBSH</vt:lpstr>
      <vt:lpstr>v_92_XCaCO3</vt:lpstr>
      <vt:lpstr>v_92_XCASTO</vt:lpstr>
      <vt:lpstr>v_92_XE</vt:lpstr>
      <vt:lpstr>v_92_XE_ana</vt:lpstr>
      <vt:lpstr>v_92_XHAO_H</vt:lpstr>
      <vt:lpstr>v_92_XHAO_H_P</vt:lpstr>
      <vt:lpstr>v_92_XHAO_H_P_old</vt:lpstr>
      <vt:lpstr>v_92_XHAO_L</vt:lpstr>
      <vt:lpstr>v_92_XHAO_L_P</vt:lpstr>
      <vt:lpstr>v_92_XHAO_L_P_old</vt:lpstr>
      <vt:lpstr>v_92_XHAO_old</vt:lpstr>
      <vt:lpstr>v_92_XHFO_H</vt:lpstr>
      <vt:lpstr>v_92_XHFO_H_P</vt:lpstr>
      <vt:lpstr>v_92_XHFO_H_P_old</vt:lpstr>
      <vt:lpstr>v_92_XHFO_L</vt:lpstr>
      <vt:lpstr>v_92_XHFO_L_P</vt:lpstr>
      <vt:lpstr>v_92_XHFO_L_P_old</vt:lpstr>
      <vt:lpstr>v_92_XHFO_old</vt:lpstr>
      <vt:lpstr>v_92_XHMETO</vt:lpstr>
      <vt:lpstr>v_92_XINORG</vt:lpstr>
      <vt:lpstr>v_92_XMEOLO</vt:lpstr>
      <vt:lpstr>v_92_XN_B</vt:lpstr>
      <vt:lpstr>v_92_XN_Be</vt:lpstr>
      <vt:lpstr>v_92_XN_U</vt:lpstr>
      <vt:lpstr>v_92_XNOB</vt:lpstr>
      <vt:lpstr>v_92_XOHO</vt:lpstr>
      <vt:lpstr>v_92_XP_B</vt:lpstr>
      <vt:lpstr>v_92_XP_Be</vt:lpstr>
      <vt:lpstr>v_92_XP_U</vt:lpstr>
      <vt:lpstr>v_92_XPFOA</vt:lpstr>
      <vt:lpstr>v_92_XPFOS</vt:lpstr>
      <vt:lpstr>v_92_XPHA_GAO</vt:lpstr>
      <vt:lpstr>v_92_XPHA_PAO</vt:lpstr>
      <vt:lpstr>v_92_XPP</vt:lpstr>
      <vt:lpstr>v_92_XSTR</vt:lpstr>
      <vt:lpstr>v_92_XU</vt:lpstr>
      <vt:lpstr>v_92_XVivi</vt:lpstr>
      <vt:lpstr>v_93_CB</vt:lpstr>
      <vt:lpstr>v_93_CU</vt:lpstr>
      <vt:lpstr>v_93_GCH4</vt:lpstr>
      <vt:lpstr>v_93_GCH4_atm</vt:lpstr>
      <vt:lpstr>v_93_GCO2</vt:lpstr>
      <vt:lpstr>v_93_GCO2_atm</vt:lpstr>
      <vt:lpstr>v_93_GH2</vt:lpstr>
      <vt:lpstr>v_93_GH2_atm</vt:lpstr>
      <vt:lpstr>v_93_GN2</vt:lpstr>
      <vt:lpstr>v_93_GN2_atm</vt:lpstr>
      <vt:lpstr>v_93_GNH3</vt:lpstr>
      <vt:lpstr>v_93_GNH3_atm</vt:lpstr>
      <vt:lpstr>v_93_GO2</vt:lpstr>
      <vt:lpstr>v_93_GO2_atm</vt:lpstr>
      <vt:lpstr>v_93_SALPHA</vt:lpstr>
      <vt:lpstr>v_93_SAN</vt:lpstr>
      <vt:lpstr>v_93_SB</vt:lpstr>
      <vt:lpstr>v_93_SCa</vt:lpstr>
      <vt:lpstr>v_93_SCAT</vt:lpstr>
      <vt:lpstr>v_93_SCH4</vt:lpstr>
      <vt:lpstr>v_93_SCO2</vt:lpstr>
      <vt:lpstr>v_93_SFe2</vt:lpstr>
      <vt:lpstr>v_93_SH</vt:lpstr>
      <vt:lpstr>v_93_SH2</vt:lpstr>
      <vt:lpstr>v_93_SK</vt:lpstr>
      <vt:lpstr>v_93_SMEOL</vt:lpstr>
      <vt:lpstr>v_93_SMg</vt:lpstr>
      <vt:lpstr>v_93_SN_B</vt:lpstr>
      <vt:lpstr>v_93_SN2</vt:lpstr>
      <vt:lpstr>v_93_SNHx</vt:lpstr>
      <vt:lpstr>v_93_SNO2</vt:lpstr>
      <vt:lpstr>v_93_SNO3</vt:lpstr>
      <vt:lpstr>v_93_SO2</vt:lpstr>
      <vt:lpstr>v_93_SORPswitch</vt:lpstr>
      <vt:lpstr>v_93_SP_B</vt:lpstr>
      <vt:lpstr>v_93_SPFOA</vt:lpstr>
      <vt:lpstr>v_93_SPFOS</vt:lpstr>
      <vt:lpstr>v_93_SPO4</vt:lpstr>
      <vt:lpstr>v_93_SU</vt:lpstr>
      <vt:lpstr>v_93_SVFA</vt:lpstr>
      <vt:lpstr>v_93_XACP</vt:lpstr>
      <vt:lpstr>v_93_XALGAE</vt:lpstr>
      <vt:lpstr>v_93_XAMETO</vt:lpstr>
      <vt:lpstr>v_93_XAMX</vt:lpstr>
      <vt:lpstr>v_93_XAOB</vt:lpstr>
      <vt:lpstr>v_93_XB</vt:lpstr>
      <vt:lpstr>v_93_XB_e</vt:lpstr>
      <vt:lpstr>v_93_XBSH</vt:lpstr>
      <vt:lpstr>v_93_XCaCO3</vt:lpstr>
      <vt:lpstr>v_93_XCASTO</vt:lpstr>
      <vt:lpstr>v_93_XE</vt:lpstr>
      <vt:lpstr>v_93_XE_ana</vt:lpstr>
      <vt:lpstr>v_93_XHAO_H</vt:lpstr>
      <vt:lpstr>v_93_XHAO_H_P</vt:lpstr>
      <vt:lpstr>v_93_XHAO_H_P_old</vt:lpstr>
      <vt:lpstr>v_93_XHAO_L</vt:lpstr>
      <vt:lpstr>v_93_XHAO_L_P</vt:lpstr>
      <vt:lpstr>v_93_XHAO_L_P_old</vt:lpstr>
      <vt:lpstr>v_93_XHAO_old</vt:lpstr>
      <vt:lpstr>v_93_XHFO_H</vt:lpstr>
      <vt:lpstr>v_93_XHFO_H_P</vt:lpstr>
      <vt:lpstr>v_93_XHFO_H_P_old</vt:lpstr>
      <vt:lpstr>v_93_XHFO_L</vt:lpstr>
      <vt:lpstr>v_93_XHFO_L_P</vt:lpstr>
      <vt:lpstr>v_93_XHFO_L_P_old</vt:lpstr>
      <vt:lpstr>v_93_XHFO_old</vt:lpstr>
      <vt:lpstr>v_93_XHMETO</vt:lpstr>
      <vt:lpstr>v_93_XINORG</vt:lpstr>
      <vt:lpstr>v_93_XMEOLO</vt:lpstr>
      <vt:lpstr>v_93_XN_B</vt:lpstr>
      <vt:lpstr>v_93_XN_Be</vt:lpstr>
      <vt:lpstr>v_93_XN_U</vt:lpstr>
      <vt:lpstr>v_93_XNOB</vt:lpstr>
      <vt:lpstr>v_93_XOHO</vt:lpstr>
      <vt:lpstr>v_93_XP_B</vt:lpstr>
      <vt:lpstr>v_93_XP_Be</vt:lpstr>
      <vt:lpstr>v_93_XP_U</vt:lpstr>
      <vt:lpstr>v_93_XPFOA</vt:lpstr>
      <vt:lpstr>v_93_XPFOS</vt:lpstr>
      <vt:lpstr>v_93_XPHA_GAO</vt:lpstr>
      <vt:lpstr>v_93_XPHA_PAO</vt:lpstr>
      <vt:lpstr>v_93_XPP</vt:lpstr>
      <vt:lpstr>v_93_XSTR</vt:lpstr>
      <vt:lpstr>v_93_XU</vt:lpstr>
      <vt:lpstr>v_93_XVivi</vt:lpstr>
      <vt:lpstr>v_94_CB</vt:lpstr>
      <vt:lpstr>v_94_CU</vt:lpstr>
      <vt:lpstr>v_94_GCH4</vt:lpstr>
      <vt:lpstr>v_94_GCH4_atm</vt:lpstr>
      <vt:lpstr>v_94_GCO2</vt:lpstr>
      <vt:lpstr>v_94_GCO2_atm</vt:lpstr>
      <vt:lpstr>v_94_GH2</vt:lpstr>
      <vt:lpstr>v_94_GH2_atm</vt:lpstr>
      <vt:lpstr>v_94_GN2</vt:lpstr>
      <vt:lpstr>v_94_GN2_atm</vt:lpstr>
      <vt:lpstr>v_94_GNH3</vt:lpstr>
      <vt:lpstr>v_94_GNH3_atm</vt:lpstr>
      <vt:lpstr>v_94_GO2</vt:lpstr>
      <vt:lpstr>v_94_GO2_atm</vt:lpstr>
      <vt:lpstr>v_94_SALPHA</vt:lpstr>
      <vt:lpstr>v_94_SAN</vt:lpstr>
      <vt:lpstr>v_94_SB</vt:lpstr>
      <vt:lpstr>v_94_SCa</vt:lpstr>
      <vt:lpstr>v_94_SCAT</vt:lpstr>
      <vt:lpstr>v_94_SCH4</vt:lpstr>
      <vt:lpstr>v_94_SCO2</vt:lpstr>
      <vt:lpstr>v_94_SFe2</vt:lpstr>
      <vt:lpstr>v_94_SH</vt:lpstr>
      <vt:lpstr>v_94_SH2</vt:lpstr>
      <vt:lpstr>v_94_SK</vt:lpstr>
      <vt:lpstr>v_94_SMEOL</vt:lpstr>
      <vt:lpstr>v_94_SMg</vt:lpstr>
      <vt:lpstr>v_94_SN_B</vt:lpstr>
      <vt:lpstr>v_94_SN2</vt:lpstr>
      <vt:lpstr>v_94_SNHx</vt:lpstr>
      <vt:lpstr>v_94_SNO2</vt:lpstr>
      <vt:lpstr>v_94_SNO3</vt:lpstr>
      <vt:lpstr>v_94_SO2</vt:lpstr>
      <vt:lpstr>v_94_SORPswitch</vt:lpstr>
      <vt:lpstr>v_94_SP_B</vt:lpstr>
      <vt:lpstr>v_94_SPFOA</vt:lpstr>
      <vt:lpstr>v_94_SPFOS</vt:lpstr>
      <vt:lpstr>v_94_SPO4</vt:lpstr>
      <vt:lpstr>v_94_SU</vt:lpstr>
      <vt:lpstr>v_94_SVFA</vt:lpstr>
      <vt:lpstr>v_94_XACP</vt:lpstr>
      <vt:lpstr>v_94_XALGAE</vt:lpstr>
      <vt:lpstr>v_94_XAMETO</vt:lpstr>
      <vt:lpstr>v_94_XAMX</vt:lpstr>
      <vt:lpstr>v_94_XAOB</vt:lpstr>
      <vt:lpstr>v_94_XB</vt:lpstr>
      <vt:lpstr>v_94_XB_e</vt:lpstr>
      <vt:lpstr>v_94_XBSH</vt:lpstr>
      <vt:lpstr>v_94_XCaCO3</vt:lpstr>
      <vt:lpstr>v_94_XCASTO</vt:lpstr>
      <vt:lpstr>v_94_XE</vt:lpstr>
      <vt:lpstr>v_94_XE_ana</vt:lpstr>
      <vt:lpstr>v_94_XHAO_H</vt:lpstr>
      <vt:lpstr>v_94_XHAO_H_P</vt:lpstr>
      <vt:lpstr>v_94_XHAO_H_P_old</vt:lpstr>
      <vt:lpstr>v_94_XHAO_L</vt:lpstr>
      <vt:lpstr>v_94_XHAO_L_P</vt:lpstr>
      <vt:lpstr>v_94_XHAO_L_P_old</vt:lpstr>
      <vt:lpstr>v_94_XHAO_old</vt:lpstr>
      <vt:lpstr>v_94_XHFO_H</vt:lpstr>
      <vt:lpstr>v_94_XHFO_H_P</vt:lpstr>
      <vt:lpstr>v_94_XHFO_H_P_old</vt:lpstr>
      <vt:lpstr>v_94_XHFO_L</vt:lpstr>
      <vt:lpstr>v_94_XHFO_L_P</vt:lpstr>
      <vt:lpstr>v_94_XHFO_L_P_old</vt:lpstr>
      <vt:lpstr>v_94_XHFO_old</vt:lpstr>
      <vt:lpstr>v_94_XHMETO</vt:lpstr>
      <vt:lpstr>v_94_XINORG</vt:lpstr>
      <vt:lpstr>v_94_XMEOLO</vt:lpstr>
      <vt:lpstr>v_94_XN_B</vt:lpstr>
      <vt:lpstr>v_94_XN_Be</vt:lpstr>
      <vt:lpstr>v_94_XN_U</vt:lpstr>
      <vt:lpstr>v_94_XNOB</vt:lpstr>
      <vt:lpstr>v_94_XOHO</vt:lpstr>
      <vt:lpstr>v_94_XP_B</vt:lpstr>
      <vt:lpstr>v_94_XP_Be</vt:lpstr>
      <vt:lpstr>v_94_XP_U</vt:lpstr>
      <vt:lpstr>v_94_XPFOA</vt:lpstr>
      <vt:lpstr>v_94_XPFOS</vt:lpstr>
      <vt:lpstr>v_94_XPHA_GAO</vt:lpstr>
      <vt:lpstr>v_94_XPHA_PAO</vt:lpstr>
      <vt:lpstr>v_94_XPP</vt:lpstr>
      <vt:lpstr>v_94_XSTR</vt:lpstr>
      <vt:lpstr>v_94_XU</vt:lpstr>
      <vt:lpstr>v_94_XVivi</vt:lpstr>
      <vt:lpstr>v_95_CB</vt:lpstr>
      <vt:lpstr>v_95_CU</vt:lpstr>
      <vt:lpstr>v_95_GCH4</vt:lpstr>
      <vt:lpstr>v_95_GCH4_atm</vt:lpstr>
      <vt:lpstr>v_95_GCO2</vt:lpstr>
      <vt:lpstr>v_95_GCO2_atm</vt:lpstr>
      <vt:lpstr>v_95_GH2</vt:lpstr>
      <vt:lpstr>v_95_GH2_atm</vt:lpstr>
      <vt:lpstr>v_95_GN2</vt:lpstr>
      <vt:lpstr>v_95_GN2_atm</vt:lpstr>
      <vt:lpstr>v_95_GNH3</vt:lpstr>
      <vt:lpstr>v_95_GNH3_atm</vt:lpstr>
      <vt:lpstr>v_95_GO2</vt:lpstr>
      <vt:lpstr>v_95_GO2_atm</vt:lpstr>
      <vt:lpstr>v_95_SALPHA</vt:lpstr>
      <vt:lpstr>v_95_SAN</vt:lpstr>
      <vt:lpstr>v_95_SB</vt:lpstr>
      <vt:lpstr>v_95_SCa</vt:lpstr>
      <vt:lpstr>v_95_SCAT</vt:lpstr>
      <vt:lpstr>v_95_SCH4</vt:lpstr>
      <vt:lpstr>v_95_SCO2</vt:lpstr>
      <vt:lpstr>v_95_SFe2</vt:lpstr>
      <vt:lpstr>v_95_SH</vt:lpstr>
      <vt:lpstr>v_95_SH2</vt:lpstr>
      <vt:lpstr>v_95_SK</vt:lpstr>
      <vt:lpstr>v_95_SMEOL</vt:lpstr>
      <vt:lpstr>v_95_SMg</vt:lpstr>
      <vt:lpstr>v_95_SN_B</vt:lpstr>
      <vt:lpstr>v_95_SN2</vt:lpstr>
      <vt:lpstr>v_95_SNHx</vt:lpstr>
      <vt:lpstr>v_95_SNO2</vt:lpstr>
      <vt:lpstr>v_95_SNO3</vt:lpstr>
      <vt:lpstr>v_95_SO2</vt:lpstr>
      <vt:lpstr>v_95_SORPswitch</vt:lpstr>
      <vt:lpstr>v_95_SP_B</vt:lpstr>
      <vt:lpstr>v_95_SPFOA</vt:lpstr>
      <vt:lpstr>v_95_SPFOS</vt:lpstr>
      <vt:lpstr>v_95_SPO4</vt:lpstr>
      <vt:lpstr>v_95_SU</vt:lpstr>
      <vt:lpstr>v_95_SVFA</vt:lpstr>
      <vt:lpstr>v_95_XACP</vt:lpstr>
      <vt:lpstr>v_95_XALGAE</vt:lpstr>
      <vt:lpstr>v_95_XAMETO</vt:lpstr>
      <vt:lpstr>v_95_XAMX</vt:lpstr>
      <vt:lpstr>v_95_XAOB</vt:lpstr>
      <vt:lpstr>v_95_XB</vt:lpstr>
      <vt:lpstr>v_95_XB_e</vt:lpstr>
      <vt:lpstr>v_95_XBSH</vt:lpstr>
      <vt:lpstr>v_95_XCaCO3</vt:lpstr>
      <vt:lpstr>v_95_XCASTO</vt:lpstr>
      <vt:lpstr>v_95_XE</vt:lpstr>
      <vt:lpstr>v_95_XE_ana</vt:lpstr>
      <vt:lpstr>v_95_XHAO_H</vt:lpstr>
      <vt:lpstr>v_95_XHAO_H_P</vt:lpstr>
      <vt:lpstr>v_95_XHAO_H_P_old</vt:lpstr>
      <vt:lpstr>v_95_XHAO_L</vt:lpstr>
      <vt:lpstr>v_95_XHAO_L_P</vt:lpstr>
      <vt:lpstr>v_95_XHAO_L_P_old</vt:lpstr>
      <vt:lpstr>v_95_XHAO_old</vt:lpstr>
      <vt:lpstr>v_95_XHFO_H</vt:lpstr>
      <vt:lpstr>v_95_XHFO_H_P</vt:lpstr>
      <vt:lpstr>v_95_XHFO_H_P_old</vt:lpstr>
      <vt:lpstr>v_95_XHFO_L</vt:lpstr>
      <vt:lpstr>v_95_XHFO_L_P</vt:lpstr>
      <vt:lpstr>v_95_XHFO_L_P_old</vt:lpstr>
      <vt:lpstr>v_95_XHFO_old</vt:lpstr>
      <vt:lpstr>v_95_XHMETO</vt:lpstr>
      <vt:lpstr>v_95_XINORG</vt:lpstr>
      <vt:lpstr>v_95_XMEOLO</vt:lpstr>
      <vt:lpstr>v_95_XN_B</vt:lpstr>
      <vt:lpstr>v_95_XN_Be</vt:lpstr>
      <vt:lpstr>v_95_XN_U</vt:lpstr>
      <vt:lpstr>v_95_XNOB</vt:lpstr>
      <vt:lpstr>v_95_XOHO</vt:lpstr>
      <vt:lpstr>v_95_XP_B</vt:lpstr>
      <vt:lpstr>v_95_XP_Be</vt:lpstr>
      <vt:lpstr>v_95_XP_U</vt:lpstr>
      <vt:lpstr>v_95_XPFOA</vt:lpstr>
      <vt:lpstr>v_95_XPFOS</vt:lpstr>
      <vt:lpstr>v_95_XPHA_GAO</vt:lpstr>
      <vt:lpstr>v_95_XPHA_PAO</vt:lpstr>
      <vt:lpstr>v_95_XPP</vt:lpstr>
      <vt:lpstr>v_95_XSTR</vt:lpstr>
      <vt:lpstr>v_95_XU</vt:lpstr>
      <vt:lpstr>v_95_XVivi</vt:lpstr>
      <vt:lpstr>v_96_CB</vt:lpstr>
      <vt:lpstr>v_96_CU</vt:lpstr>
      <vt:lpstr>v_96_GCH4</vt:lpstr>
      <vt:lpstr>v_96_GCH4_atm</vt:lpstr>
      <vt:lpstr>v_96_GCO2</vt:lpstr>
      <vt:lpstr>v_96_GCO2_atm</vt:lpstr>
      <vt:lpstr>v_96_GH2</vt:lpstr>
      <vt:lpstr>v_96_GH2_atm</vt:lpstr>
      <vt:lpstr>v_96_GN2</vt:lpstr>
      <vt:lpstr>v_96_GN2_atm</vt:lpstr>
      <vt:lpstr>v_96_GNH3</vt:lpstr>
      <vt:lpstr>v_96_GNH3_atm</vt:lpstr>
      <vt:lpstr>v_96_GO2</vt:lpstr>
      <vt:lpstr>v_96_GO2_atm</vt:lpstr>
      <vt:lpstr>v_96_SALPHA</vt:lpstr>
      <vt:lpstr>v_96_SAN</vt:lpstr>
      <vt:lpstr>v_96_SB</vt:lpstr>
      <vt:lpstr>v_96_SCa</vt:lpstr>
      <vt:lpstr>v_96_SCAT</vt:lpstr>
      <vt:lpstr>v_96_SCH4</vt:lpstr>
      <vt:lpstr>v_96_SCO2</vt:lpstr>
      <vt:lpstr>v_96_SFe2</vt:lpstr>
      <vt:lpstr>v_96_SH</vt:lpstr>
      <vt:lpstr>v_96_SH2</vt:lpstr>
      <vt:lpstr>v_96_SK</vt:lpstr>
      <vt:lpstr>v_96_SMEOL</vt:lpstr>
      <vt:lpstr>v_96_SMg</vt:lpstr>
      <vt:lpstr>v_96_SN_B</vt:lpstr>
      <vt:lpstr>v_96_SN2</vt:lpstr>
      <vt:lpstr>v_96_SNHx</vt:lpstr>
      <vt:lpstr>v_96_SNO2</vt:lpstr>
      <vt:lpstr>v_96_SNO3</vt:lpstr>
      <vt:lpstr>v_96_SO2</vt:lpstr>
      <vt:lpstr>v_96_SORPswitch</vt:lpstr>
      <vt:lpstr>v_96_SP_B</vt:lpstr>
      <vt:lpstr>v_96_SPFOA</vt:lpstr>
      <vt:lpstr>v_96_SPFOS</vt:lpstr>
      <vt:lpstr>v_96_SPO4</vt:lpstr>
      <vt:lpstr>v_96_SU</vt:lpstr>
      <vt:lpstr>v_96_SVFA</vt:lpstr>
      <vt:lpstr>v_96_XACP</vt:lpstr>
      <vt:lpstr>v_96_XALGAE</vt:lpstr>
      <vt:lpstr>v_96_XAMETO</vt:lpstr>
      <vt:lpstr>v_96_XAMX</vt:lpstr>
      <vt:lpstr>v_96_XAOB</vt:lpstr>
      <vt:lpstr>v_96_XB</vt:lpstr>
      <vt:lpstr>v_96_XB_e</vt:lpstr>
      <vt:lpstr>v_96_XBSH</vt:lpstr>
      <vt:lpstr>v_96_XCaCO3</vt:lpstr>
      <vt:lpstr>v_96_XCASTO</vt:lpstr>
      <vt:lpstr>v_96_XE</vt:lpstr>
      <vt:lpstr>v_96_XE_ana</vt:lpstr>
      <vt:lpstr>v_96_XHAO_H</vt:lpstr>
      <vt:lpstr>v_96_XHAO_H_P</vt:lpstr>
      <vt:lpstr>v_96_XHAO_H_P_old</vt:lpstr>
      <vt:lpstr>v_96_XHAO_L</vt:lpstr>
      <vt:lpstr>v_96_XHAO_L_P</vt:lpstr>
      <vt:lpstr>v_96_XHAO_L_P_old</vt:lpstr>
      <vt:lpstr>v_96_XHAO_old</vt:lpstr>
      <vt:lpstr>v_96_XHFO_H</vt:lpstr>
      <vt:lpstr>v_96_XHFO_H_P</vt:lpstr>
      <vt:lpstr>v_96_XHFO_H_P_old</vt:lpstr>
      <vt:lpstr>v_96_XHFO_L</vt:lpstr>
      <vt:lpstr>v_96_XHFO_L_P</vt:lpstr>
      <vt:lpstr>v_96_XHFO_L_P_old</vt:lpstr>
      <vt:lpstr>v_96_XHFO_old</vt:lpstr>
      <vt:lpstr>v_96_XHMETO</vt:lpstr>
      <vt:lpstr>v_96_XINORG</vt:lpstr>
      <vt:lpstr>v_96_XMEOLO</vt:lpstr>
      <vt:lpstr>v_96_XN_B</vt:lpstr>
      <vt:lpstr>v_96_XN_Be</vt:lpstr>
      <vt:lpstr>v_96_XN_U</vt:lpstr>
      <vt:lpstr>v_96_XNOB</vt:lpstr>
      <vt:lpstr>v_96_XOHO</vt:lpstr>
      <vt:lpstr>v_96_XP_B</vt:lpstr>
      <vt:lpstr>v_96_XP_Be</vt:lpstr>
      <vt:lpstr>v_96_XP_U</vt:lpstr>
      <vt:lpstr>v_96_XPFOA</vt:lpstr>
      <vt:lpstr>v_96_XPFOS</vt:lpstr>
      <vt:lpstr>v_96_XPHA_GAO</vt:lpstr>
      <vt:lpstr>v_96_XPHA_PAO</vt:lpstr>
      <vt:lpstr>v_96_XPP</vt:lpstr>
      <vt:lpstr>v_96_XSTR</vt:lpstr>
      <vt:lpstr>v_96_XU</vt:lpstr>
      <vt:lpstr>v_96_XVivi</vt:lpstr>
      <vt:lpstr>v_97_CB</vt:lpstr>
      <vt:lpstr>v_97_CU</vt:lpstr>
      <vt:lpstr>v_97_GCH4</vt:lpstr>
      <vt:lpstr>v_97_GCH4_atm</vt:lpstr>
      <vt:lpstr>v_97_GCO2</vt:lpstr>
      <vt:lpstr>v_97_GCO2_atm</vt:lpstr>
      <vt:lpstr>v_97_GH2</vt:lpstr>
      <vt:lpstr>v_97_GH2_atm</vt:lpstr>
      <vt:lpstr>v_97_GN2</vt:lpstr>
      <vt:lpstr>v_97_GN2_atm</vt:lpstr>
      <vt:lpstr>v_97_GNH3</vt:lpstr>
      <vt:lpstr>v_97_GNH3_atm</vt:lpstr>
      <vt:lpstr>v_97_GO2</vt:lpstr>
      <vt:lpstr>v_97_GO2_atm</vt:lpstr>
      <vt:lpstr>v_97_SALPHA</vt:lpstr>
      <vt:lpstr>v_97_SAN</vt:lpstr>
      <vt:lpstr>v_97_SB</vt:lpstr>
      <vt:lpstr>v_97_SCa</vt:lpstr>
      <vt:lpstr>v_97_SCAT</vt:lpstr>
      <vt:lpstr>v_97_SCH4</vt:lpstr>
      <vt:lpstr>v_97_SCO2</vt:lpstr>
      <vt:lpstr>v_97_SFe2</vt:lpstr>
      <vt:lpstr>v_97_SH</vt:lpstr>
      <vt:lpstr>v_97_SH2</vt:lpstr>
      <vt:lpstr>v_97_SK</vt:lpstr>
      <vt:lpstr>v_97_SMEOL</vt:lpstr>
      <vt:lpstr>v_97_SMg</vt:lpstr>
      <vt:lpstr>v_97_SN_B</vt:lpstr>
      <vt:lpstr>v_97_SN2</vt:lpstr>
      <vt:lpstr>v_97_SNHx</vt:lpstr>
      <vt:lpstr>v_97_SNO2</vt:lpstr>
      <vt:lpstr>v_97_SNO3</vt:lpstr>
      <vt:lpstr>v_97_SO2</vt:lpstr>
      <vt:lpstr>v_97_SORPswitch</vt:lpstr>
      <vt:lpstr>v_97_SP_B</vt:lpstr>
      <vt:lpstr>v_97_SPFOA</vt:lpstr>
      <vt:lpstr>v_97_SPFOS</vt:lpstr>
      <vt:lpstr>v_97_SPO4</vt:lpstr>
      <vt:lpstr>v_97_SU</vt:lpstr>
      <vt:lpstr>v_97_SVFA</vt:lpstr>
      <vt:lpstr>v_97_XACP</vt:lpstr>
      <vt:lpstr>v_97_XALGAE</vt:lpstr>
      <vt:lpstr>v_97_XAMETO</vt:lpstr>
      <vt:lpstr>v_97_XAMX</vt:lpstr>
      <vt:lpstr>v_97_XAOB</vt:lpstr>
      <vt:lpstr>v_97_XB</vt:lpstr>
      <vt:lpstr>v_97_XB_e</vt:lpstr>
      <vt:lpstr>v_97_XBSH</vt:lpstr>
      <vt:lpstr>v_97_XCaCO3</vt:lpstr>
      <vt:lpstr>v_97_XCASTO</vt:lpstr>
      <vt:lpstr>v_97_XE</vt:lpstr>
      <vt:lpstr>v_97_XE_ana</vt:lpstr>
      <vt:lpstr>v_97_XHAO_H</vt:lpstr>
      <vt:lpstr>v_97_XHAO_H_P</vt:lpstr>
      <vt:lpstr>v_97_XHAO_H_P_old</vt:lpstr>
      <vt:lpstr>v_97_XHAO_L</vt:lpstr>
      <vt:lpstr>v_97_XHAO_L_P</vt:lpstr>
      <vt:lpstr>v_97_XHAO_L_P_old</vt:lpstr>
      <vt:lpstr>v_97_XHAO_old</vt:lpstr>
      <vt:lpstr>v_97_XHFO_H</vt:lpstr>
      <vt:lpstr>v_97_XHFO_H_P</vt:lpstr>
      <vt:lpstr>v_97_XHFO_H_P_old</vt:lpstr>
      <vt:lpstr>v_97_XHFO_L</vt:lpstr>
      <vt:lpstr>v_97_XHFO_L_P</vt:lpstr>
      <vt:lpstr>v_97_XHFO_L_P_old</vt:lpstr>
      <vt:lpstr>v_97_XHFO_old</vt:lpstr>
      <vt:lpstr>v_97_XHMETO</vt:lpstr>
      <vt:lpstr>v_97_XINORG</vt:lpstr>
      <vt:lpstr>v_97_XMEOLO</vt:lpstr>
      <vt:lpstr>v_97_XN_B</vt:lpstr>
      <vt:lpstr>v_97_XN_Be</vt:lpstr>
      <vt:lpstr>v_97_XN_U</vt:lpstr>
      <vt:lpstr>v_97_XNOB</vt:lpstr>
      <vt:lpstr>v_97_XOHO</vt:lpstr>
      <vt:lpstr>v_97_XP_B</vt:lpstr>
      <vt:lpstr>v_97_XP_Be</vt:lpstr>
      <vt:lpstr>v_97_XP_U</vt:lpstr>
      <vt:lpstr>v_97_XPFOA</vt:lpstr>
      <vt:lpstr>v_97_XPFOS</vt:lpstr>
      <vt:lpstr>v_97_XPHA_GAO</vt:lpstr>
      <vt:lpstr>v_97_XPHA_PAO</vt:lpstr>
      <vt:lpstr>v_97_XPP</vt:lpstr>
      <vt:lpstr>v_97_XSTR</vt:lpstr>
      <vt:lpstr>v_97_XU</vt:lpstr>
      <vt:lpstr>v_97_XVivi</vt:lpstr>
      <vt:lpstr>v_98_CB</vt:lpstr>
      <vt:lpstr>v_98_CU</vt:lpstr>
      <vt:lpstr>v_98_GCH4</vt:lpstr>
      <vt:lpstr>v_98_GCH4_atm</vt:lpstr>
      <vt:lpstr>v_98_GCO2</vt:lpstr>
      <vt:lpstr>v_98_GCO2_atm</vt:lpstr>
      <vt:lpstr>v_98_GH2</vt:lpstr>
      <vt:lpstr>v_98_GH2_atm</vt:lpstr>
      <vt:lpstr>v_98_GN2</vt:lpstr>
      <vt:lpstr>v_98_GN2_atm</vt:lpstr>
      <vt:lpstr>v_98_GNH3</vt:lpstr>
      <vt:lpstr>v_98_GNH3_atm</vt:lpstr>
      <vt:lpstr>v_98_GO2</vt:lpstr>
      <vt:lpstr>v_98_GO2_atm</vt:lpstr>
      <vt:lpstr>v_98_SALPHA</vt:lpstr>
      <vt:lpstr>v_98_SAN</vt:lpstr>
      <vt:lpstr>v_98_SB</vt:lpstr>
      <vt:lpstr>v_98_SCa</vt:lpstr>
      <vt:lpstr>v_98_SCAT</vt:lpstr>
      <vt:lpstr>v_98_SCH4</vt:lpstr>
      <vt:lpstr>v_98_SCO2</vt:lpstr>
      <vt:lpstr>v_98_SFe2</vt:lpstr>
      <vt:lpstr>v_98_SH</vt:lpstr>
      <vt:lpstr>v_98_SH2</vt:lpstr>
      <vt:lpstr>v_98_SK</vt:lpstr>
      <vt:lpstr>v_98_SMEOL</vt:lpstr>
      <vt:lpstr>v_98_SMg</vt:lpstr>
      <vt:lpstr>v_98_SN_B</vt:lpstr>
      <vt:lpstr>v_98_SN2</vt:lpstr>
      <vt:lpstr>v_98_SNHx</vt:lpstr>
      <vt:lpstr>v_98_SNO2</vt:lpstr>
      <vt:lpstr>v_98_SNO3</vt:lpstr>
      <vt:lpstr>v_98_SO2</vt:lpstr>
      <vt:lpstr>v_98_SORPswitch</vt:lpstr>
      <vt:lpstr>v_98_SP_B</vt:lpstr>
      <vt:lpstr>v_98_SPFOA</vt:lpstr>
      <vt:lpstr>v_98_SPFOS</vt:lpstr>
      <vt:lpstr>v_98_SPO4</vt:lpstr>
      <vt:lpstr>v_98_SU</vt:lpstr>
      <vt:lpstr>v_98_SVFA</vt:lpstr>
      <vt:lpstr>v_98_XACP</vt:lpstr>
      <vt:lpstr>v_98_XALGAE</vt:lpstr>
      <vt:lpstr>v_98_XAMETO</vt:lpstr>
      <vt:lpstr>v_98_XAMX</vt:lpstr>
      <vt:lpstr>v_98_XAOB</vt:lpstr>
      <vt:lpstr>v_98_XB</vt:lpstr>
      <vt:lpstr>v_98_XB_e</vt:lpstr>
      <vt:lpstr>v_98_XBSH</vt:lpstr>
      <vt:lpstr>v_98_XCaCO3</vt:lpstr>
      <vt:lpstr>v_98_XCASTO</vt:lpstr>
      <vt:lpstr>v_98_XE</vt:lpstr>
      <vt:lpstr>v_98_XE_ana</vt:lpstr>
      <vt:lpstr>v_98_XHAO_H</vt:lpstr>
      <vt:lpstr>v_98_XHAO_H_P</vt:lpstr>
      <vt:lpstr>v_98_XHAO_H_P_old</vt:lpstr>
      <vt:lpstr>v_98_XHAO_L</vt:lpstr>
      <vt:lpstr>v_98_XHAO_L_P</vt:lpstr>
      <vt:lpstr>v_98_XHAO_L_P_old</vt:lpstr>
      <vt:lpstr>v_98_XHAO_old</vt:lpstr>
      <vt:lpstr>v_98_XHFO_H</vt:lpstr>
      <vt:lpstr>v_98_XHFO_H_P</vt:lpstr>
      <vt:lpstr>v_98_XHFO_H_P_old</vt:lpstr>
      <vt:lpstr>v_98_XHFO_L</vt:lpstr>
      <vt:lpstr>v_98_XHFO_L_P</vt:lpstr>
      <vt:lpstr>v_98_XHFO_L_P_old</vt:lpstr>
      <vt:lpstr>v_98_XHFO_old</vt:lpstr>
      <vt:lpstr>v_98_XHMETO</vt:lpstr>
      <vt:lpstr>v_98_XINORG</vt:lpstr>
      <vt:lpstr>v_98_XMEOLO</vt:lpstr>
      <vt:lpstr>v_98_XN_B</vt:lpstr>
      <vt:lpstr>v_98_XN_Be</vt:lpstr>
      <vt:lpstr>v_98_XN_U</vt:lpstr>
      <vt:lpstr>v_98_XNOB</vt:lpstr>
      <vt:lpstr>v_98_XOHO</vt:lpstr>
      <vt:lpstr>v_98_XP_B</vt:lpstr>
      <vt:lpstr>v_98_XP_Be</vt:lpstr>
      <vt:lpstr>v_98_XP_U</vt:lpstr>
      <vt:lpstr>v_98_XPFOA</vt:lpstr>
      <vt:lpstr>v_98_XPFOS</vt:lpstr>
      <vt:lpstr>v_98_XPHA_GAO</vt:lpstr>
      <vt:lpstr>v_98_XPHA_PAO</vt:lpstr>
      <vt:lpstr>v_98_XPP</vt:lpstr>
      <vt:lpstr>v_98_XSTR</vt:lpstr>
      <vt:lpstr>v_98_XU</vt:lpstr>
      <vt:lpstr>v_98_XVivi</vt:lpstr>
      <vt:lpstr>v_99_CB</vt:lpstr>
      <vt:lpstr>v_99_CU</vt:lpstr>
      <vt:lpstr>v_99_GCH4</vt:lpstr>
      <vt:lpstr>v_99_GCH4_atm</vt:lpstr>
      <vt:lpstr>v_99_GCO2</vt:lpstr>
      <vt:lpstr>v_99_GCO2_atm</vt:lpstr>
      <vt:lpstr>v_99_GH2</vt:lpstr>
      <vt:lpstr>v_99_GH2_atm</vt:lpstr>
      <vt:lpstr>v_99_GN2</vt:lpstr>
      <vt:lpstr>v_99_GN2_atm</vt:lpstr>
      <vt:lpstr>v_99_GNH3</vt:lpstr>
      <vt:lpstr>v_99_GNH3_atm</vt:lpstr>
      <vt:lpstr>v_99_GO2</vt:lpstr>
      <vt:lpstr>v_99_GO2_atm</vt:lpstr>
      <vt:lpstr>v_99_SALPHA</vt:lpstr>
      <vt:lpstr>v_99_SAN</vt:lpstr>
      <vt:lpstr>v_99_SB</vt:lpstr>
      <vt:lpstr>v_99_SCa</vt:lpstr>
      <vt:lpstr>v_99_SCAT</vt:lpstr>
      <vt:lpstr>v_99_SCH4</vt:lpstr>
      <vt:lpstr>v_99_SCO2</vt:lpstr>
      <vt:lpstr>v_99_SFe2</vt:lpstr>
      <vt:lpstr>v_99_SH</vt:lpstr>
      <vt:lpstr>v_99_SH2</vt:lpstr>
      <vt:lpstr>v_99_SK</vt:lpstr>
      <vt:lpstr>v_99_SMEOL</vt:lpstr>
      <vt:lpstr>v_99_SMg</vt:lpstr>
      <vt:lpstr>v_99_SN_B</vt:lpstr>
      <vt:lpstr>v_99_SN2</vt:lpstr>
      <vt:lpstr>v_99_SNHx</vt:lpstr>
      <vt:lpstr>v_99_SNO2</vt:lpstr>
      <vt:lpstr>v_99_SNO3</vt:lpstr>
      <vt:lpstr>v_99_SO2</vt:lpstr>
      <vt:lpstr>v_99_SORPswitch</vt:lpstr>
      <vt:lpstr>v_99_SP_B</vt:lpstr>
      <vt:lpstr>v_99_SPFOA</vt:lpstr>
      <vt:lpstr>v_99_SPFOS</vt:lpstr>
      <vt:lpstr>v_99_SPO4</vt:lpstr>
      <vt:lpstr>v_99_SU</vt:lpstr>
      <vt:lpstr>v_99_SVFA</vt:lpstr>
      <vt:lpstr>v_99_XACP</vt:lpstr>
      <vt:lpstr>v_99_XALGAE</vt:lpstr>
      <vt:lpstr>v_99_XAMETO</vt:lpstr>
      <vt:lpstr>v_99_XAMX</vt:lpstr>
      <vt:lpstr>v_99_XAOB</vt:lpstr>
      <vt:lpstr>v_99_XB</vt:lpstr>
      <vt:lpstr>v_99_XB_e</vt:lpstr>
      <vt:lpstr>v_99_XBSH</vt:lpstr>
      <vt:lpstr>v_99_XCaCO3</vt:lpstr>
      <vt:lpstr>v_99_XCASTO</vt:lpstr>
      <vt:lpstr>v_99_XE</vt:lpstr>
      <vt:lpstr>v_99_XE_ana</vt:lpstr>
      <vt:lpstr>v_99_XHAO_H</vt:lpstr>
      <vt:lpstr>v_99_XHAO_H_P</vt:lpstr>
      <vt:lpstr>v_99_XHAO_H_P_old</vt:lpstr>
      <vt:lpstr>v_99_XHAO_L</vt:lpstr>
      <vt:lpstr>v_99_XHAO_L_P</vt:lpstr>
      <vt:lpstr>v_99_XHAO_L_P_old</vt:lpstr>
      <vt:lpstr>v_99_XHAO_old</vt:lpstr>
      <vt:lpstr>v_99_XHFO_H</vt:lpstr>
      <vt:lpstr>v_99_XHFO_H_P</vt:lpstr>
      <vt:lpstr>v_99_XHFO_H_P_old</vt:lpstr>
      <vt:lpstr>v_99_XHFO_L</vt:lpstr>
      <vt:lpstr>v_99_XHFO_L_P</vt:lpstr>
      <vt:lpstr>v_99_XHFO_L_P_old</vt:lpstr>
      <vt:lpstr>v_99_XHFO_old</vt:lpstr>
      <vt:lpstr>v_99_XHMETO</vt:lpstr>
      <vt:lpstr>v_99_XINORG</vt:lpstr>
      <vt:lpstr>v_99_XMEOLO</vt:lpstr>
      <vt:lpstr>v_99_XN_B</vt:lpstr>
      <vt:lpstr>v_99_XN_Be</vt:lpstr>
      <vt:lpstr>v_99_XN_U</vt:lpstr>
      <vt:lpstr>v_99_XNOB</vt:lpstr>
      <vt:lpstr>v_99_XOHO</vt:lpstr>
      <vt:lpstr>v_99_XP_B</vt:lpstr>
      <vt:lpstr>v_99_XP_Be</vt:lpstr>
      <vt:lpstr>v_99_XP_U</vt:lpstr>
      <vt:lpstr>v_99_XPFOA</vt:lpstr>
      <vt:lpstr>v_99_XPFOS</vt:lpstr>
      <vt:lpstr>v_99_XPHA_GAO</vt:lpstr>
      <vt:lpstr>v_99_XPHA_PAO</vt:lpstr>
      <vt:lpstr>v_99_XPP</vt:lpstr>
      <vt:lpstr>v_99_XSTR</vt:lpstr>
      <vt:lpstr>v_99_XU</vt:lpstr>
      <vt:lpstr>v_99_XVivi</vt:lpstr>
      <vt:lpstr>V_mol_N</vt:lpstr>
      <vt:lpstr>X_ACP</vt:lpstr>
      <vt:lpstr>X_ALGAE</vt:lpstr>
      <vt:lpstr>X_AMETO</vt:lpstr>
      <vt:lpstr>X_AMX</vt:lpstr>
      <vt:lpstr>X_AOB</vt:lpstr>
      <vt:lpstr>X_B</vt:lpstr>
      <vt:lpstr>X_B_e</vt:lpstr>
      <vt:lpstr>X_BIO</vt:lpstr>
      <vt:lpstr>X_BIO_AS</vt:lpstr>
      <vt:lpstr>X_BOD_5</vt:lpstr>
      <vt:lpstr>X_BOD_ult</vt:lpstr>
      <vt:lpstr>X_BSH</vt:lpstr>
      <vt:lpstr>X_CaCO3</vt:lpstr>
      <vt:lpstr>X_CASTO</vt:lpstr>
      <vt:lpstr>X_COD</vt:lpstr>
      <vt:lpstr>X_CsbCOD</vt:lpstr>
      <vt:lpstr>X_DM</vt:lpstr>
      <vt:lpstr>X_E</vt:lpstr>
      <vt:lpstr>X_E_ana</vt:lpstr>
      <vt:lpstr>X_GAO</vt:lpstr>
      <vt:lpstr>X_HAO</vt:lpstr>
      <vt:lpstr>X_HAO_H</vt:lpstr>
      <vt:lpstr>X_HAO_H_P</vt:lpstr>
      <vt:lpstr>X_HAO_H_P_old</vt:lpstr>
      <vt:lpstr>X_HAO_ISS</vt:lpstr>
      <vt:lpstr>X_HAO_L</vt:lpstr>
      <vt:lpstr>X_HAO_L_P</vt:lpstr>
      <vt:lpstr>X_HAO_L_P_old</vt:lpstr>
      <vt:lpstr>X_HAO_old</vt:lpstr>
      <vt:lpstr>X_HAO_P</vt:lpstr>
      <vt:lpstr>X_HAO_TSS</vt:lpstr>
      <vt:lpstr>X_HET</vt:lpstr>
      <vt:lpstr>X_HET_HYD_lim</vt:lpstr>
      <vt:lpstr>X_HFO</vt:lpstr>
      <vt:lpstr>X_HFO_H</vt:lpstr>
      <vt:lpstr>X_HFO_H_P</vt:lpstr>
      <vt:lpstr>X_HFO_H_P_old</vt:lpstr>
      <vt:lpstr>X_HFO_ISS</vt:lpstr>
      <vt:lpstr>X_HFO_L</vt:lpstr>
      <vt:lpstr>X_HFO_L_P</vt:lpstr>
      <vt:lpstr>X_HFO_L_P_old</vt:lpstr>
      <vt:lpstr>X_HFO_old</vt:lpstr>
      <vt:lpstr>X_HFO_P</vt:lpstr>
      <vt:lpstr>X_HFO_TSS</vt:lpstr>
      <vt:lpstr>X_HMETO</vt:lpstr>
      <vt:lpstr>X_INORG</vt:lpstr>
      <vt:lpstr>X_ISS</vt:lpstr>
      <vt:lpstr>X_KN</vt:lpstr>
      <vt:lpstr>X_Me_H2O_TSS</vt:lpstr>
      <vt:lpstr>X_Me_H2O_VSS</vt:lpstr>
      <vt:lpstr>X_Me_ISS</vt:lpstr>
      <vt:lpstr>X_Me_TSS</vt:lpstr>
      <vt:lpstr>X_MEOLO</vt:lpstr>
      <vt:lpstr>X_N_B</vt:lpstr>
      <vt:lpstr>X_N_Be</vt:lpstr>
      <vt:lpstr>X_N_U</vt:lpstr>
      <vt:lpstr>X_NOB</vt:lpstr>
      <vt:lpstr>X_OHO</vt:lpstr>
      <vt:lpstr>X_P</vt:lpstr>
      <vt:lpstr>X_P_B</vt:lpstr>
      <vt:lpstr>X_P_Be</vt:lpstr>
      <vt:lpstr>X_P_U</vt:lpstr>
      <vt:lpstr>X_PAO</vt:lpstr>
      <vt:lpstr>X_PFOA</vt:lpstr>
      <vt:lpstr>X_PFOS</vt:lpstr>
      <vt:lpstr>X_PHA_CASTO</vt:lpstr>
      <vt:lpstr>X_PHA_GAO</vt:lpstr>
      <vt:lpstr>X_PHA_PAO</vt:lpstr>
      <vt:lpstr>X_PP</vt:lpstr>
      <vt:lpstr>X_PP_PAO_min</vt:lpstr>
      <vt:lpstr>X_precip</vt:lpstr>
      <vt:lpstr>X_STC</vt:lpstr>
      <vt:lpstr>X_STR</vt:lpstr>
      <vt:lpstr>X_TSS</vt:lpstr>
      <vt:lpstr>X_U</vt:lpstr>
      <vt:lpstr>X_Vivi</vt:lpstr>
      <vt:lpstr>X_VS</vt:lpstr>
      <vt:lpstr>X_VS_ult</vt:lpstr>
      <vt:lpstr>X_VSS</vt:lpstr>
      <vt:lpstr>X_VSS_BIO</vt:lpstr>
      <vt:lpstr>Y_AMETO</vt:lpstr>
      <vt:lpstr>Y_AMX_NO2</vt:lpstr>
      <vt:lpstr>Y_AMX_NO3</vt:lpstr>
      <vt:lpstr>Y_AOB</vt:lpstr>
      <vt:lpstr>Y_BOD_ult</vt:lpstr>
      <vt:lpstr>Y_CASTO_H2_ana_high</vt:lpstr>
      <vt:lpstr>Y_CASTO_H2_ana_low</vt:lpstr>
      <vt:lpstr>Y_CASTO_SB_ana</vt:lpstr>
      <vt:lpstr>Y_CASTO_STC_anox</vt:lpstr>
      <vt:lpstr>Y_CASTO_STC_ox</vt:lpstr>
      <vt:lpstr>y_fdi</vt:lpstr>
      <vt:lpstr>y_fmono</vt:lpstr>
      <vt:lpstr>y_ftri</vt:lpstr>
      <vt:lpstr>Y_GAO_PHA_anox</vt:lpstr>
      <vt:lpstr>Y_GAO_PHA_ox</vt:lpstr>
      <vt:lpstr>Y_HMETO</vt:lpstr>
      <vt:lpstr>Y_MEOLO</vt:lpstr>
      <vt:lpstr>Y_NOB</vt:lpstr>
      <vt:lpstr>Y_OHO_H2_ana_high</vt:lpstr>
      <vt:lpstr>Y_OHO_H2_ana_low</vt:lpstr>
      <vt:lpstr>Y_OHO_SB_ana</vt:lpstr>
      <vt:lpstr>Y_OHO_SB_anox</vt:lpstr>
      <vt:lpstr>Y_OHO_SB_ox</vt:lpstr>
      <vt:lpstr>Y_OHO_SMEOL_ox</vt:lpstr>
      <vt:lpstr>Y_OHO_VFA_anox</vt:lpstr>
      <vt:lpstr>Y_OHO_VFA_ox</vt:lpstr>
      <vt:lpstr>y_ORP_GAO_Half_T</vt:lpstr>
      <vt:lpstr>Y_PAO_PHA_anox</vt:lpstr>
      <vt:lpstr>Y_PAO_PHA_ox</vt:lpstr>
      <vt:lpstr>Y_PP_CASTO_anox</vt:lpstr>
      <vt:lpstr>Y_PP_CASTO_ox</vt:lpstr>
      <vt:lpstr>α_pred</vt:lpstr>
      <vt:lpstr>Δ_atm</vt:lpstr>
      <vt:lpstr>ε__</vt:lpstr>
      <vt:lpstr>η_b_ana</vt:lpstr>
      <vt:lpstr>η_b_anox</vt:lpstr>
      <vt:lpstr>η_bCASTO_ana</vt:lpstr>
      <vt:lpstr>η_bCASTO_anox</vt:lpstr>
      <vt:lpstr>η_bPHA_ana</vt:lpstr>
      <vt:lpstr>η_bPP_aer</vt:lpstr>
      <vt:lpstr>η_bPP_anox</vt:lpstr>
      <vt:lpstr>η_bSTC_anox</vt:lpstr>
      <vt:lpstr>η_CASTO_anox</vt:lpstr>
      <vt:lpstr>η_H2O</vt:lpstr>
      <vt:lpstr>η_HYD_ana</vt:lpstr>
      <vt:lpstr>η_HYD_anox</vt:lpstr>
      <vt:lpstr>η_OHO_anox</vt:lpstr>
      <vt:lpstr>η_OHO_anox_NO2red</vt:lpstr>
      <vt:lpstr>θ_µ_ALGAE</vt:lpstr>
      <vt:lpstr>θ_µ_AMETO</vt:lpstr>
      <vt:lpstr>θ_µ_AMX</vt:lpstr>
      <vt:lpstr>θ_µ_AOB</vt:lpstr>
      <vt:lpstr>θ_µ_CASTO</vt:lpstr>
      <vt:lpstr>θ_µ_HMETO</vt:lpstr>
      <vt:lpstr>θ_µ_MEOLO</vt:lpstr>
      <vt:lpstr>θ_µ_NOB</vt:lpstr>
      <vt:lpstr>θ_µ_OHO</vt:lpstr>
      <vt:lpstr>θ_µ_PAO_lim</vt:lpstr>
      <vt:lpstr>θ_b_ALGAE</vt:lpstr>
      <vt:lpstr>θ_b_AMETO</vt:lpstr>
      <vt:lpstr>θ_b_AMX</vt:lpstr>
      <vt:lpstr>θ_b_AOB</vt:lpstr>
      <vt:lpstr>θ_b_CASTO</vt:lpstr>
      <vt:lpstr>θ_b_HMETO</vt:lpstr>
      <vt:lpstr>θ_b_MEOLO</vt:lpstr>
      <vt:lpstr>θ_b_NOB</vt:lpstr>
      <vt:lpstr>θ_b_OHO</vt:lpstr>
      <vt:lpstr>θ_b_PP_ana</vt:lpstr>
      <vt:lpstr>θ_b_STC</vt:lpstr>
      <vt:lpstr>θ_FERM_OHO</vt:lpstr>
      <vt:lpstr>θ_FERM_PAO</vt:lpstr>
      <vt:lpstr>θ_q_AMMON</vt:lpstr>
      <vt:lpstr>θ_q_ASSIM</vt:lpstr>
      <vt:lpstr>θ_q_Fe2_OX</vt:lpstr>
      <vt:lpstr>θ_q_FLOC</vt:lpstr>
      <vt:lpstr>θ_q_FLOC_HAO</vt:lpstr>
      <vt:lpstr>θ_q_FLOC_HFO</vt:lpstr>
      <vt:lpstr>θ_q_GAO_PHA</vt:lpstr>
      <vt:lpstr>θ_q_HFO_RED</vt:lpstr>
      <vt:lpstr>θ_q_HYD</vt:lpstr>
      <vt:lpstr>θ_q_PAO_PHA</vt:lpstr>
      <vt:lpstr>θ_q_PAO_PP</vt:lpstr>
      <vt:lpstr>θ_q_SPB</vt:lpstr>
      <vt:lpstr>θ_q_XE</vt:lpstr>
      <vt:lpstr>θ_q_XU</vt:lpstr>
      <vt:lpstr>κ__</vt:lpstr>
      <vt:lpstr>λ_H</vt:lpstr>
      <vt:lpstr>ρ__</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Dynamita</dc:creator>
  <cp:lastModifiedBy>Helene Hauduc</cp:lastModifiedBy>
  <cp:lastPrinted>2014-02-20T12:15:16Z</cp:lastPrinted>
  <dcterms:created xsi:type="dcterms:W3CDTF">2006-09-16T00:00:00Z</dcterms:created>
  <dcterms:modified xsi:type="dcterms:W3CDTF">2025-01-06T14:17:49Z</dcterms:modified>
</cp:coreProperties>
</file>