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y Drive\D-S Docs\matematica\Lavoro\~ Corsi ~\4 - 2005-2021 - ELPR - Elementi di Probabilità - Calcolo delle Probabilità e Statistica\2022\esami\"/>
    </mc:Choice>
  </mc:AlternateContent>
  <bookViews>
    <workbookView xWindow="0" yWindow="0" windowWidth="25610" windowHeight="11240" activeTab="3"/>
  </bookViews>
  <sheets>
    <sheet name="3.1" sheetId="1" r:id="rId1"/>
    <sheet name="3.2" sheetId="2" r:id="rId2"/>
    <sheet name="3.3" sheetId="3" r:id="rId3"/>
    <sheet name="3.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4" i="4" l="1"/>
  <c r="N23" i="4"/>
  <c r="N21" i="4"/>
  <c r="N2" i="4"/>
  <c r="N13" i="4" a="1"/>
  <c r="N13" i="4" s="1"/>
  <c r="N9" i="4"/>
  <c r="N10" i="4" s="1"/>
  <c r="N8" i="4"/>
  <c r="K25" i="4"/>
  <c r="K26" i="4" s="1"/>
  <c r="K18" i="4"/>
  <c r="K19" i="4" s="1"/>
  <c r="K13" i="4"/>
  <c r="K12" i="4"/>
  <c r="K11" i="4"/>
  <c r="N12" i="4" s="1"/>
  <c r="N18" i="4" s="1"/>
  <c r="N19" i="4" s="1"/>
  <c r="K21" i="4" l="1"/>
  <c r="K22" i="4"/>
  <c r="N20" i="4"/>
  <c r="N14" i="4"/>
  <c r="J21" i="3"/>
  <c r="J22" i="3" s="1"/>
  <c r="L20" i="3"/>
  <c r="L15" i="3"/>
  <c r="J27" i="3"/>
  <c r="N7" i="3" l="1"/>
  <c r="N6" i="3"/>
  <c r="N4" i="3"/>
  <c r="L16" i="3"/>
  <c r="L13" i="3"/>
  <c r="L12" i="3"/>
  <c r="L8" i="3"/>
  <c r="L11" i="3"/>
  <c r="L10" i="3"/>
  <c r="L9" i="3"/>
  <c r="J29" i="3"/>
  <c r="J19" i="3"/>
  <c r="J17" i="3"/>
  <c r="J16" i="3"/>
  <c r="J15" i="3"/>
  <c r="J25" i="3" l="1"/>
  <c r="J24" i="3"/>
  <c r="K36" i="1"/>
  <c r="K35" i="1"/>
  <c r="K34" i="1"/>
  <c r="K33" i="1"/>
  <c r="K32" i="1"/>
  <c r="K30" i="1"/>
  <c r="K29" i="1"/>
  <c r="K18" i="1"/>
  <c r="K20" i="1" s="1"/>
  <c r="K21" i="1" s="1"/>
  <c r="K22" i="1" s="1"/>
  <c r="K7" i="1"/>
  <c r="K6" i="1"/>
  <c r="K9" i="1" l="1"/>
  <c r="K10" i="1" s="1"/>
</calcChain>
</file>

<file path=xl/sharedStrings.xml><?xml version="1.0" encoding="utf-8"?>
<sst xmlns="http://schemas.openxmlformats.org/spreadsheetml/2006/main" count="90" uniqueCount="66">
  <si>
    <t>μg</t>
  </si>
  <si>
    <t>σg</t>
  </si>
  <si>
    <t>n</t>
  </si>
  <si>
    <t>μm</t>
  </si>
  <si>
    <t>σm</t>
  </si>
  <si>
    <t>k</t>
  </si>
  <si>
    <t>z</t>
  </si>
  <si>
    <t>Φ(z)</t>
  </si>
  <si>
    <t>risposta</t>
  </si>
  <si>
    <t>h</t>
  </si>
  <si>
    <t>prob</t>
  </si>
  <si>
    <t>q</t>
  </si>
  <si>
    <t>sqrt(m)</t>
  </si>
  <si>
    <t>m</t>
  </si>
  <si>
    <t>peso 1 b</t>
  </si>
  <si>
    <t>p geom</t>
  </si>
  <si>
    <t>μT</t>
  </si>
  <si>
    <t>σ²T</t>
  </si>
  <si>
    <t>μZ</t>
  </si>
  <si>
    <t>σZ</t>
  </si>
  <si>
    <t>a</t>
  </si>
  <si>
    <t>b</t>
  </si>
  <si>
    <t>conf</t>
  </si>
  <si>
    <t>X bar</t>
  </si>
  <si>
    <t>Sx</t>
  </si>
  <si>
    <t>q_bil</t>
  </si>
  <si>
    <t>gdl</t>
  </si>
  <si>
    <t>r_bil</t>
  </si>
  <si>
    <t>LCL</t>
  </si>
  <si>
    <t>UCL</t>
  </si>
  <si>
    <t>q_unil</t>
  </si>
  <si>
    <t>U</t>
  </si>
  <si>
    <t>Y bar</t>
  </si>
  <si>
    <t>Sy</t>
  </si>
  <si>
    <t>H0: μx-μy ≤ 0</t>
  </si>
  <si>
    <t>H1: μy &lt; μx</t>
  </si>
  <si>
    <t>Δμ</t>
  </si>
  <si>
    <t>Sx²</t>
  </si>
  <si>
    <t>Sy²</t>
  </si>
  <si>
    <t>Sp²</t>
  </si>
  <si>
    <t>Sp</t>
  </si>
  <si>
    <t>stat</t>
  </si>
  <si>
    <t>α*</t>
  </si>
  <si>
    <t>Dico H0</t>
  </si>
  <si>
    <t>α</t>
  </si>
  <si>
    <t>Δ</t>
  </si>
  <si>
    <t>σ</t>
  </si>
  <si>
    <t>power</t>
  </si>
  <si>
    <t>σ0</t>
  </si>
  <si>
    <t>H1:σ&gt;σ0</t>
  </si>
  <si>
    <t>H1</t>
  </si>
  <si>
    <t>r</t>
  </si>
  <si>
    <t>stat T</t>
  </si>
  <si>
    <t>stat W</t>
  </si>
  <si>
    <t>μ0</t>
  </si>
  <si>
    <t>H1:μ&lt;μ0</t>
  </si>
  <si>
    <t>somma 20</t>
  </si>
  <si>
    <t>somma 17</t>
  </si>
  <si>
    <t>X bar 17</t>
  </si>
  <si>
    <t>Sx²*(n-1) = sum X² -n Xbar²</t>
  </si>
  <si>
    <t>s sq diff 20</t>
  </si>
  <si>
    <t>s sq diff 3</t>
  </si>
  <si>
    <t>s sq diff 17</t>
  </si>
  <si>
    <t>s sq X 20</t>
  </si>
  <si>
    <t>s sq X 17</t>
  </si>
  <si>
    <t>Sx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</si>
</sst>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9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279400</xdr:colOff>
      <xdr:row>36</xdr:row>
      <xdr:rowOff>70248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765799" cy="66996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10</xdr:col>
      <xdr:colOff>12700</xdr:colOff>
      <xdr:row>35</xdr:row>
      <xdr:rowOff>141226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"/>
          <a:ext cx="6108699" cy="6586474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590551</xdr:colOff>
      <xdr:row>0</xdr:row>
      <xdr:rowOff>1</xdr:rowOff>
    </xdr:from>
    <xdr:to>
      <xdr:col>16</xdr:col>
      <xdr:colOff>133350</xdr:colOff>
      <xdr:row>36</xdr:row>
      <xdr:rowOff>88640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6951" y="1"/>
          <a:ext cx="3809999" cy="6718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182328</xdr:rowOff>
    </xdr:from>
    <xdr:to>
      <xdr:col>17</xdr:col>
      <xdr:colOff>219472</xdr:colOff>
      <xdr:row>46</xdr:row>
      <xdr:rowOff>12699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27578"/>
          <a:ext cx="10582672" cy="18560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106129</xdr:rowOff>
    </xdr:from>
    <xdr:to>
      <xdr:col>17</xdr:col>
      <xdr:colOff>228600</xdr:colOff>
      <xdr:row>66</xdr:row>
      <xdr:rowOff>8584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392879"/>
          <a:ext cx="10591800" cy="37696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175980</xdr:rowOff>
    </xdr:from>
    <xdr:to>
      <xdr:col>4</xdr:col>
      <xdr:colOff>76200</xdr:colOff>
      <xdr:row>77</xdr:row>
      <xdr:rowOff>20288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45730"/>
          <a:ext cx="2514600" cy="2054108"/>
        </a:xfrm>
        <a:prstGeom prst="rect">
          <a:avLst/>
        </a:prstGeom>
      </xdr:spPr>
    </xdr:pic>
    <xdr:clientData/>
  </xdr:twoCellAnchor>
  <xdr:twoCellAnchor editAs="oneCell">
    <xdr:from>
      <xdr:col>0</xdr:col>
      <xdr:colOff>501650</xdr:colOff>
      <xdr:row>79</xdr:row>
      <xdr:rowOff>136253</xdr:rowOff>
    </xdr:from>
    <xdr:to>
      <xdr:col>18</xdr:col>
      <xdr:colOff>43858</xdr:colOff>
      <xdr:row>94</xdr:row>
      <xdr:rowOff>52813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1650" y="14684103"/>
          <a:ext cx="10515008" cy="2678810"/>
        </a:xfrm>
        <a:prstGeom prst="rect">
          <a:avLst/>
        </a:prstGeom>
      </xdr:spPr>
    </xdr:pic>
    <xdr:clientData/>
  </xdr:twoCellAnchor>
  <xdr:twoCellAnchor editAs="oneCell">
    <xdr:from>
      <xdr:col>5</xdr:col>
      <xdr:colOff>412750</xdr:colOff>
      <xdr:row>70</xdr:row>
      <xdr:rowOff>132004</xdr:rowOff>
    </xdr:from>
    <xdr:to>
      <xdr:col>18</xdr:col>
      <xdr:colOff>462219</xdr:colOff>
      <xdr:row>79</xdr:row>
      <xdr:rowOff>101704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0750" y="13022504"/>
          <a:ext cx="7974269" cy="1627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45614</xdr:colOff>
      <xdr:row>36</xdr:row>
      <xdr:rowOff>50800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22414" cy="668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429459</xdr:colOff>
      <xdr:row>32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915858" cy="6032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:L36"/>
  <sheetViews>
    <sheetView workbookViewId="0">
      <selection activeCell="T11" sqref="T11"/>
    </sheetView>
  </sheetViews>
  <sheetFormatPr defaultRowHeight="14.5" x14ac:dyDescent="0.35"/>
  <sheetData>
    <row r="1" spans="11:12" x14ac:dyDescent="0.35">
      <c r="K1">
        <v>40</v>
      </c>
      <c r="L1" t="s">
        <v>0</v>
      </c>
    </row>
    <row r="2" spans="11:12" x14ac:dyDescent="0.35">
      <c r="K2">
        <v>10</v>
      </c>
      <c r="L2" t="s">
        <v>1</v>
      </c>
    </row>
    <row r="3" spans="11:12" x14ac:dyDescent="0.35">
      <c r="K3">
        <v>30</v>
      </c>
      <c r="L3" t="s">
        <v>2</v>
      </c>
    </row>
    <row r="4" spans="11:12" x14ac:dyDescent="0.35">
      <c r="K4">
        <v>1000</v>
      </c>
      <c r="L4" t="s">
        <v>5</v>
      </c>
    </row>
    <row r="6" spans="11:12" x14ac:dyDescent="0.35">
      <c r="K6">
        <f>K1*K3</f>
        <v>1200</v>
      </c>
      <c r="L6" t="s">
        <v>3</v>
      </c>
    </row>
    <row r="7" spans="11:12" x14ac:dyDescent="0.35">
      <c r="K7">
        <f>K2*SQRT(K3)</f>
        <v>54.772255750516614</v>
      </c>
      <c r="L7" t="s">
        <v>4</v>
      </c>
    </row>
    <row r="9" spans="11:12" x14ac:dyDescent="0.35">
      <c r="K9">
        <f>(K4-K6)/K7</f>
        <v>-3.6514837167011072</v>
      </c>
      <c r="L9" t="s">
        <v>6</v>
      </c>
    </row>
    <row r="10" spans="11:12" x14ac:dyDescent="0.35">
      <c r="K10" s="1">
        <f>_xlfn.NORM.S.DIST(K9,1)</f>
        <v>1.3036481642765844E-4</v>
      </c>
      <c r="L10" t="s">
        <v>7</v>
      </c>
    </row>
    <row r="11" spans="11:12" x14ac:dyDescent="0.35">
      <c r="K11" s="2">
        <v>0.01</v>
      </c>
      <c r="L11" t="s">
        <v>8</v>
      </c>
    </row>
    <row r="16" spans="11:12" x14ac:dyDescent="0.35">
      <c r="K16">
        <v>800</v>
      </c>
      <c r="L16" t="s">
        <v>9</v>
      </c>
    </row>
    <row r="17" spans="11:12" x14ac:dyDescent="0.35">
      <c r="K17" s="2">
        <v>0.8</v>
      </c>
      <c r="L17" t="s">
        <v>10</v>
      </c>
    </row>
    <row r="18" spans="11:12" x14ac:dyDescent="0.35">
      <c r="K18">
        <f>_xlfn.NORM.S.INV(K17)</f>
        <v>0.84162123357291474</v>
      </c>
      <c r="L18" t="s">
        <v>11</v>
      </c>
    </row>
    <row r="20" spans="11:12" x14ac:dyDescent="0.35">
      <c r="K20">
        <f>SQRT(K18^2*K2^2+4*K16*K1)</f>
        <v>357.86985431868953</v>
      </c>
    </row>
    <row r="21" spans="11:12" x14ac:dyDescent="0.35">
      <c r="K21">
        <f>(K20-K18*K2)/2/K1</f>
        <v>4.3681705247870051</v>
      </c>
      <c r="L21" t="s">
        <v>12</v>
      </c>
    </row>
    <row r="22" spans="11:12" x14ac:dyDescent="0.35">
      <c r="K22">
        <f>K21^2</f>
        <v>19.080913733617979</v>
      </c>
      <c r="L22" t="s">
        <v>13</v>
      </c>
    </row>
    <row r="23" spans="11:12" x14ac:dyDescent="0.35">
      <c r="K23">
        <v>20</v>
      </c>
      <c r="L23" t="s">
        <v>8</v>
      </c>
    </row>
    <row r="25" spans="11:12" x14ac:dyDescent="0.35">
      <c r="K25">
        <v>15</v>
      </c>
      <c r="L25" t="s">
        <v>14</v>
      </c>
    </row>
    <row r="26" spans="11:12" x14ac:dyDescent="0.35">
      <c r="K26" s="2">
        <v>0.5</v>
      </c>
      <c r="L26" t="s">
        <v>15</v>
      </c>
    </row>
    <row r="27" spans="11:12" x14ac:dyDescent="0.35">
      <c r="K27" s="2">
        <v>0.9</v>
      </c>
      <c r="L27" t="s">
        <v>10</v>
      </c>
    </row>
    <row r="29" spans="11:12" x14ac:dyDescent="0.35">
      <c r="K29">
        <f>1/K26-1</f>
        <v>1</v>
      </c>
      <c r="L29" t="s">
        <v>16</v>
      </c>
    </row>
    <row r="30" spans="11:12" x14ac:dyDescent="0.35">
      <c r="K30">
        <f>(1-K26)/K26/K26</f>
        <v>2</v>
      </c>
      <c r="L30" t="s">
        <v>17</v>
      </c>
    </row>
    <row r="32" spans="11:12" x14ac:dyDescent="0.35">
      <c r="K32">
        <f>K6+K25*K29*K3</f>
        <v>1650</v>
      </c>
      <c r="L32" t="s">
        <v>18</v>
      </c>
    </row>
    <row r="33" spans="11:12" x14ac:dyDescent="0.35">
      <c r="K33">
        <f>SQRT(K7^2+K3*K30*K25^2)</f>
        <v>128.4523257866513</v>
      </c>
      <c r="L33" t="s">
        <v>19</v>
      </c>
    </row>
    <row r="34" spans="11:12" x14ac:dyDescent="0.35">
      <c r="K34">
        <f>_xlfn.NORM.S.INV(0.5+0.5*K27)</f>
        <v>1.6448536269514715</v>
      </c>
      <c r="L34" t="s">
        <v>11</v>
      </c>
    </row>
    <row r="35" spans="11:12" x14ac:dyDescent="0.35">
      <c r="K35" s="3">
        <f>K32-K34*K33</f>
        <v>1438.7147260394745</v>
      </c>
      <c r="L35" t="s">
        <v>20</v>
      </c>
    </row>
    <row r="36" spans="11:12" x14ac:dyDescent="0.35">
      <c r="K36" s="3">
        <f>K32+K34*K33</f>
        <v>1861.2852739605255</v>
      </c>
      <c r="L36" t="s">
        <v>21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T82" sqref="T8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:O29"/>
  <sheetViews>
    <sheetView workbookViewId="0">
      <selection activeCell="J21" sqref="J21"/>
    </sheetView>
  </sheetViews>
  <sheetFormatPr defaultRowHeight="14.5" x14ac:dyDescent="0.35"/>
  <sheetData>
    <row r="1" spans="10:15" x14ac:dyDescent="0.35">
      <c r="J1">
        <v>59.9</v>
      </c>
      <c r="L1">
        <v>6</v>
      </c>
      <c r="M1" t="s">
        <v>13</v>
      </c>
      <c r="N1" s="2">
        <v>0.05</v>
      </c>
      <c r="O1" t="s">
        <v>44</v>
      </c>
    </row>
    <row r="2" spans="10:15" x14ac:dyDescent="0.35">
      <c r="J2">
        <v>72.099999999999994</v>
      </c>
      <c r="L2">
        <v>57.8</v>
      </c>
      <c r="M2" t="s">
        <v>32</v>
      </c>
      <c r="N2">
        <v>10</v>
      </c>
      <c r="O2" t="s">
        <v>45</v>
      </c>
    </row>
    <row r="3" spans="10:15" x14ac:dyDescent="0.35">
      <c r="J3">
        <v>57.9</v>
      </c>
      <c r="L3">
        <v>10.9</v>
      </c>
      <c r="M3" t="s">
        <v>33</v>
      </c>
      <c r="N3">
        <v>12</v>
      </c>
      <c r="O3" t="s">
        <v>46</v>
      </c>
    </row>
    <row r="4" spans="10:15" x14ac:dyDescent="0.35">
      <c r="J4">
        <v>66.7</v>
      </c>
      <c r="N4">
        <f>_xlfn.T.INV(1-N1,J19+L8)</f>
        <v>1.7396067260750721</v>
      </c>
      <c r="O4" t="s">
        <v>11</v>
      </c>
    </row>
    <row r="5" spans="10:15" x14ac:dyDescent="0.35">
      <c r="J5">
        <v>67</v>
      </c>
      <c r="L5" t="s">
        <v>35</v>
      </c>
    </row>
    <row r="6" spans="10:15" x14ac:dyDescent="0.35">
      <c r="J6">
        <v>65.7</v>
      </c>
      <c r="L6" t="s">
        <v>34</v>
      </c>
      <c r="N6" s="4">
        <f>1-_xlfn.NORM.S.DIST(N4-N2/N3/SQRT(1/J15+1/L1),1)</f>
        <v>0.47960194418361635</v>
      </c>
      <c r="O6" t="s">
        <v>47</v>
      </c>
    </row>
    <row r="7" spans="10:15" x14ac:dyDescent="0.35">
      <c r="J7">
        <v>94.2</v>
      </c>
      <c r="N7" s="4">
        <f>1-_xlfn.T.DIST(N4-N2/N3/SQRT(1/J15+1/L1),J19+L8,1)</f>
        <v>0.47990006593852708</v>
      </c>
    </row>
    <row r="8" spans="10:15" x14ac:dyDescent="0.35">
      <c r="J8">
        <v>47.5</v>
      </c>
      <c r="L8">
        <f>L1-1</f>
        <v>5</v>
      </c>
      <c r="M8" t="s">
        <v>26</v>
      </c>
    </row>
    <row r="9" spans="10:15" x14ac:dyDescent="0.35">
      <c r="J9">
        <v>49.4</v>
      </c>
      <c r="L9">
        <f>J16-L2</f>
        <v>7.0230769230769283</v>
      </c>
      <c r="M9" t="s">
        <v>36</v>
      </c>
    </row>
    <row r="10" spans="10:15" x14ac:dyDescent="0.35">
      <c r="J10">
        <v>67.2</v>
      </c>
      <c r="L10">
        <f>J17^2</f>
        <v>135.2369230769236</v>
      </c>
      <c r="M10" t="s">
        <v>37</v>
      </c>
    </row>
    <row r="11" spans="10:15" x14ac:dyDescent="0.35">
      <c r="J11">
        <v>57.7</v>
      </c>
      <c r="L11">
        <f>L3^2</f>
        <v>118.81</v>
      </c>
      <c r="M11" t="s">
        <v>38</v>
      </c>
    </row>
    <row r="12" spans="10:15" x14ac:dyDescent="0.35">
      <c r="J12">
        <v>67.900000000000006</v>
      </c>
      <c r="L12">
        <f>(L10*J19+L11*L8)/(J19+L8)</f>
        <v>130.40547511312252</v>
      </c>
      <c r="M12" t="s">
        <v>39</v>
      </c>
    </row>
    <row r="13" spans="10:15" x14ac:dyDescent="0.35">
      <c r="J13">
        <v>69.5</v>
      </c>
      <c r="L13">
        <f>SQRT(L12)</f>
        <v>11.4195216674396</v>
      </c>
      <c r="M13" t="s">
        <v>40</v>
      </c>
    </row>
    <row r="15" spans="10:15" x14ac:dyDescent="0.35">
      <c r="J15">
        <f>COUNT(J1:J13)</f>
        <v>13</v>
      </c>
      <c r="K15" t="s">
        <v>2</v>
      </c>
      <c r="L15">
        <f>L9/L13/SQRT(1/J15+1/L1)</f>
        <v>1.2460917285362823</v>
      </c>
      <c r="M15" t="s">
        <v>41</v>
      </c>
    </row>
    <row r="16" spans="10:15" x14ac:dyDescent="0.35">
      <c r="J16">
        <f>AVERAGE(J1:J13)</f>
        <v>64.823076923076925</v>
      </c>
      <c r="K16" t="s">
        <v>23</v>
      </c>
      <c r="L16" s="4">
        <f>_xlfn.T.DIST.RT(L15,J19+L8)</f>
        <v>0.11481506544534936</v>
      </c>
      <c r="M16" t="s">
        <v>42</v>
      </c>
    </row>
    <row r="17" spans="10:12" x14ac:dyDescent="0.35">
      <c r="J17">
        <f>_xlfn.STDEV.S(J1:J13)</f>
        <v>11.629141115186608</v>
      </c>
      <c r="K17" t="s">
        <v>24</v>
      </c>
    </row>
    <row r="18" spans="10:12" x14ac:dyDescent="0.35">
      <c r="L18" t="s">
        <v>43</v>
      </c>
    </row>
    <row r="19" spans="10:12" x14ac:dyDescent="0.35">
      <c r="J19">
        <f>J15-1</f>
        <v>12</v>
      </c>
      <c r="K19" t="s">
        <v>26</v>
      </c>
    </row>
    <row r="20" spans="10:12" x14ac:dyDescent="0.35">
      <c r="J20" s="2">
        <v>0.9</v>
      </c>
      <c r="K20" t="s">
        <v>22</v>
      </c>
      <c r="L20">
        <f>L9/SQRT(L10/J15+L11/L1)</f>
        <v>1.2778843461767775</v>
      </c>
    </row>
    <row r="21" spans="10:12" x14ac:dyDescent="0.35">
      <c r="J21">
        <f>_xlfn.T.INV.2T(1-J20,J19)</f>
        <v>1.7822875556493201</v>
      </c>
      <c r="K21" t="s">
        <v>25</v>
      </c>
    </row>
    <row r="22" spans="10:12" x14ac:dyDescent="0.35">
      <c r="J22">
        <f>J21*J17/SQRT(J15)</f>
        <v>5.74848945666976</v>
      </c>
      <c r="K22" t="s">
        <v>27</v>
      </c>
    </row>
    <row r="24" spans="10:12" x14ac:dyDescent="0.35">
      <c r="J24" s="3">
        <f>J16-J22</f>
        <v>59.074587466407166</v>
      </c>
      <c r="K24" t="s">
        <v>28</v>
      </c>
    </row>
    <row r="25" spans="10:12" x14ac:dyDescent="0.35">
      <c r="J25" s="3">
        <f>J16+J22</f>
        <v>70.571566379746685</v>
      </c>
      <c r="K25" t="s">
        <v>29</v>
      </c>
    </row>
    <row r="27" spans="10:12" x14ac:dyDescent="0.35">
      <c r="J27">
        <f>_xlfn.T.INV(J20,J19)</f>
        <v>1.3562173340232055</v>
      </c>
      <c r="K27" t="s">
        <v>30</v>
      </c>
    </row>
    <row r="29" spans="10:12" x14ac:dyDescent="0.35">
      <c r="J29" s="3">
        <f>J16+J27*J17/SQRT(J15)</f>
        <v>69.197343590020509</v>
      </c>
      <c r="K29" t="s">
        <v>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:O28"/>
  <sheetViews>
    <sheetView tabSelected="1" workbookViewId="0">
      <selection activeCell="N27" sqref="N27"/>
    </sheetView>
  </sheetViews>
  <sheetFormatPr defaultRowHeight="14.5" x14ac:dyDescent="0.35"/>
  <sheetData>
    <row r="1" spans="11:15" x14ac:dyDescent="0.35">
      <c r="K1">
        <v>20</v>
      </c>
      <c r="L1" t="s">
        <v>2</v>
      </c>
      <c r="N1">
        <v>17</v>
      </c>
      <c r="O1" t="s">
        <v>13</v>
      </c>
    </row>
    <row r="2" spans="11:15" x14ac:dyDescent="0.35">
      <c r="K2">
        <v>35.200000000000003</v>
      </c>
      <c r="L2" t="s">
        <v>23</v>
      </c>
      <c r="N2">
        <f>N1-1</f>
        <v>16</v>
      </c>
      <c r="O2" t="s">
        <v>26</v>
      </c>
    </row>
    <row r="3" spans="11:15" x14ac:dyDescent="0.35">
      <c r="K3">
        <v>8.33</v>
      </c>
      <c r="L3" t="s">
        <v>24</v>
      </c>
    </row>
    <row r="4" spans="11:15" x14ac:dyDescent="0.35">
      <c r="N4">
        <v>55</v>
      </c>
    </row>
    <row r="5" spans="11:15" x14ac:dyDescent="0.35">
      <c r="K5">
        <v>39.6</v>
      </c>
      <c r="L5" t="s">
        <v>54</v>
      </c>
      <c r="N5">
        <v>59.6</v>
      </c>
    </row>
    <row r="6" spans="11:15" x14ac:dyDescent="0.35">
      <c r="K6">
        <v>0.751</v>
      </c>
      <c r="L6" t="s">
        <v>48</v>
      </c>
      <c r="N6">
        <v>46.8</v>
      </c>
    </row>
    <row r="8" spans="11:15" x14ac:dyDescent="0.35">
      <c r="K8" s="2">
        <v>0.01</v>
      </c>
      <c r="L8" t="s">
        <v>44</v>
      </c>
      <c r="N8">
        <f>K2*K1</f>
        <v>704</v>
      </c>
      <c r="O8" t="s">
        <v>56</v>
      </c>
    </row>
    <row r="9" spans="11:15" x14ac:dyDescent="0.35">
      <c r="N9">
        <f>N8-SUM(N4:N6)</f>
        <v>542.6</v>
      </c>
      <c r="O9" t="s">
        <v>57</v>
      </c>
    </row>
    <row r="10" spans="11:15" x14ac:dyDescent="0.35">
      <c r="K10" t="s">
        <v>49</v>
      </c>
      <c r="N10">
        <f>N9/N1</f>
        <v>31.91764705882353</v>
      </c>
      <c r="O10" t="s">
        <v>58</v>
      </c>
    </row>
    <row r="11" spans="11:15" x14ac:dyDescent="0.35">
      <c r="K11">
        <f>K1-1</f>
        <v>19</v>
      </c>
      <c r="L11" t="s">
        <v>26</v>
      </c>
    </row>
    <row r="12" spans="11:15" x14ac:dyDescent="0.35">
      <c r="K12">
        <f>(K3/K6)^2*K11</f>
        <v>2337.5651816220179</v>
      </c>
      <c r="L12" t="s">
        <v>53</v>
      </c>
      <c r="N12">
        <f>K3^2*K11</f>
        <v>1318.3891000000001</v>
      </c>
      <c r="O12" t="s">
        <v>60</v>
      </c>
    </row>
    <row r="13" spans="11:15" x14ac:dyDescent="0.35">
      <c r="K13">
        <f>_xlfn.CHISQ.INV.RT(K8,K11)</f>
        <v>36.190869129270048</v>
      </c>
      <c r="L13" t="s">
        <v>21</v>
      </c>
      <c r="N13">
        <f t="array" ref="N13">SUMSQ(N4:N6-K2)</f>
        <v>1121.9599999999998</v>
      </c>
      <c r="O13" t="s">
        <v>61</v>
      </c>
    </row>
    <row r="14" spans="11:15" x14ac:dyDescent="0.35">
      <c r="N14">
        <f>N12-N13</f>
        <v>196.42910000000029</v>
      </c>
      <c r="O14" t="s">
        <v>62</v>
      </c>
    </row>
    <row r="15" spans="11:15" x14ac:dyDescent="0.35">
      <c r="K15" t="s">
        <v>50</v>
      </c>
    </row>
    <row r="16" spans="11:15" x14ac:dyDescent="0.35">
      <c r="N16" t="s">
        <v>59</v>
      </c>
    </row>
    <row r="17" spans="11:15" x14ac:dyDescent="0.35">
      <c r="K17" s="2">
        <v>0.95</v>
      </c>
      <c r="L17" t="s">
        <v>22</v>
      </c>
    </row>
    <row r="18" spans="11:15" x14ac:dyDescent="0.35">
      <c r="K18">
        <f>_xlfn.T.INV.2T(1-K17,K11)</f>
        <v>2.0930240544083087</v>
      </c>
      <c r="L18" t="s">
        <v>11</v>
      </c>
      <c r="N18">
        <f>N12+K1*K2^2</f>
        <v>26099.189100000003</v>
      </c>
      <c r="O18" t="s">
        <v>63</v>
      </c>
    </row>
    <row r="19" spans="11:15" x14ac:dyDescent="0.35">
      <c r="K19">
        <f>K18*K3/SQRT(K1)</f>
        <v>3.8985600054779308</v>
      </c>
      <c r="L19" t="s">
        <v>51</v>
      </c>
      <c r="N19">
        <f>N18-SUMSQ(N4:N6)</f>
        <v>17331.789100000002</v>
      </c>
      <c r="O19" t="s">
        <v>64</v>
      </c>
    </row>
    <row r="20" spans="11:15" x14ac:dyDescent="0.35">
      <c r="N20">
        <f>N19-N1*N10^2</f>
        <v>13.2738058823561</v>
      </c>
    </row>
    <row r="21" spans="11:15" x14ac:dyDescent="0.35">
      <c r="K21">
        <f>K2-K19</f>
        <v>31.30143999452207</v>
      </c>
      <c r="L21" t="s">
        <v>28</v>
      </c>
      <c r="N21">
        <f>SQRT(N20/N2)</f>
        <v>0.91083086665267132</v>
      </c>
      <c r="O21" t="s">
        <v>65</v>
      </c>
    </row>
    <row r="22" spans="11:15" x14ac:dyDescent="0.35">
      <c r="K22">
        <f>K2+K19</f>
        <v>39.098560005477935</v>
      </c>
      <c r="L22" t="s">
        <v>29</v>
      </c>
    </row>
    <row r="23" spans="11:15" x14ac:dyDescent="0.35">
      <c r="N23">
        <f>(N10-K5)/N21*SQRT(N1)</f>
        <v>-34.776108045341232</v>
      </c>
      <c r="O23" t="s">
        <v>52</v>
      </c>
    </row>
    <row r="24" spans="11:15" x14ac:dyDescent="0.35">
      <c r="K24" t="s">
        <v>55</v>
      </c>
      <c r="N24" s="4">
        <f>_xlfn.T.DIST(N23,N2,1)</f>
        <v>8.3445715941066859E-17</v>
      </c>
      <c r="O24" t="s">
        <v>42</v>
      </c>
    </row>
    <row r="25" spans="11:15" x14ac:dyDescent="0.35">
      <c r="K25">
        <f>(K2-K5)/K3*SQRT(K1)</f>
        <v>-2.3622326773107019</v>
      </c>
      <c r="L25" t="s">
        <v>52</v>
      </c>
    </row>
    <row r="26" spans="11:15" x14ac:dyDescent="0.35">
      <c r="K26" s="4">
        <f>_xlfn.T.DIST(K25,K11,1)</f>
        <v>1.4494709582758062E-2</v>
      </c>
      <c r="L26" t="s">
        <v>42</v>
      </c>
      <c r="N26" t="s">
        <v>50</v>
      </c>
    </row>
    <row r="28" spans="11:15" x14ac:dyDescent="0.35">
      <c r="K28" t="s">
        <v>50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3.1</vt:lpstr>
      <vt:lpstr>3.2</vt:lpstr>
      <vt:lpstr>3.3</vt:lpstr>
      <vt:lpstr>3.4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Vandertic</dc:creator>
  <cp:lastModifiedBy>Vandertic</cp:lastModifiedBy>
  <dcterms:created xsi:type="dcterms:W3CDTF">2022-02-27T09:17:20Z</dcterms:created>
  <dcterms:modified xsi:type="dcterms:W3CDTF">2022-02-28T07:34:29Z</dcterms:modified>
</cp:coreProperties>
</file>