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 Drive\D-S Docs\matematica\Lavoro\~ Corsi ~\4 - 2005-2021 - ELPR - Elementi di Probabilità - Calcolo delle Probabilità e Statistica\2022\esami\"/>
    </mc:Choice>
  </mc:AlternateContent>
  <bookViews>
    <workbookView xWindow="0" yWindow="0" windowWidth="25605" windowHeight="11235" activeTab="3"/>
  </bookViews>
  <sheets>
    <sheet name="4.1" sheetId="1" r:id="rId1"/>
    <sheet name="4.2" sheetId="2" r:id="rId2"/>
    <sheet name="4.3" sheetId="3" r:id="rId3"/>
    <sheet name="4.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9" i="4" l="1"/>
  <c r="L20" i="4"/>
  <c r="V24" i="2" l="1"/>
  <c r="N23" i="1"/>
  <c r="N24" i="1" s="1"/>
  <c r="L50" i="4" l="1"/>
  <c r="L21" i="4"/>
  <c r="L17" i="4"/>
  <c r="L42" i="4" s="1" a="1"/>
  <c r="L42" i="4" s="1"/>
  <c r="M27" i="3"/>
  <c r="N27" i="3" s="1"/>
  <c r="M28" i="3"/>
  <c r="N28" i="3" s="1"/>
  <c r="M29" i="3"/>
  <c r="N29" i="3" s="1"/>
  <c r="M30" i="3"/>
  <c r="N30" i="3" s="1"/>
  <c r="M31" i="3"/>
  <c r="N31" i="3" s="1"/>
  <c r="M26" i="3"/>
  <c r="N26" i="3" s="1"/>
  <c r="N25" i="3"/>
  <c r="M25" i="3"/>
  <c r="N42" i="4" l="1"/>
  <c r="L53" i="4"/>
  <c r="L54" i="4" s="1"/>
  <c r="L43" i="4"/>
  <c r="L18" i="4"/>
  <c r="L44" i="4"/>
  <c r="L22" i="4"/>
  <c r="L27" i="4"/>
  <c r="L37" i="4"/>
  <c r="L39" i="4" s="1"/>
  <c r="L7" i="3"/>
  <c r="L8" i="3" s="1"/>
  <c r="L9" i="3" s="1"/>
  <c r="V26" i="2"/>
  <c r="V25" i="2"/>
  <c r="V17" i="2"/>
  <c r="V2" i="2"/>
  <c r="V1" i="2"/>
  <c r="L26" i="1"/>
  <c r="N26" i="1" s="1"/>
  <c r="L25" i="1"/>
  <c r="L30" i="1" s="1"/>
  <c r="L23" i="1"/>
  <c r="N20" i="1"/>
  <c r="N19" i="1"/>
  <c r="N18" i="1"/>
  <c r="M20" i="1"/>
  <c r="M19" i="1"/>
  <c r="M18" i="1"/>
  <c r="L15" i="1"/>
  <c r="L4" i="1"/>
  <c r="L5" i="1" s="1"/>
  <c r="N5" i="1" s="1"/>
  <c r="L3" i="1"/>
  <c r="L38" i="4" l="1"/>
  <c r="L28" i="4"/>
  <c r="L29" i="4"/>
  <c r="L29" i="1"/>
  <c r="L8" i="1"/>
  <c r="L9" i="1"/>
  <c r="L11" i="1"/>
  <c r="L12" i="1" s="1"/>
  <c r="L13" i="3"/>
  <c r="L17" i="3" s="1"/>
  <c r="L14" i="3"/>
  <c r="L16" i="3" s="1"/>
  <c r="L7" i="1"/>
</calcChain>
</file>

<file path=xl/sharedStrings.xml><?xml version="1.0" encoding="utf-8"?>
<sst xmlns="http://schemas.openxmlformats.org/spreadsheetml/2006/main" count="71" uniqueCount="47">
  <si>
    <t>n</t>
  </si>
  <si>
    <t>p</t>
  </si>
  <si>
    <t>k</t>
  </si>
  <si>
    <t>P(X≥k) (binomial)</t>
  </si>
  <si>
    <t>P(X≥k) (Gaussian)</t>
  </si>
  <si>
    <t>no cc</t>
  </si>
  <si>
    <t>avg</t>
  </si>
  <si>
    <t>stdev</t>
  </si>
  <si>
    <t>argument</t>
  </si>
  <si>
    <t>min prob</t>
  </si>
  <si>
    <t>q</t>
  </si>
  <si>
    <t>P(n) (Gauss)</t>
  </si>
  <si>
    <t>P(n) (bin)</t>
  </si>
  <si>
    <t>moda</t>
  </si>
  <si>
    <t>media</t>
  </si>
  <si>
    <t>dev std</t>
  </si>
  <si>
    <t>mediana X</t>
  </si>
  <si>
    <t>mediana Z</t>
  </si>
  <si>
    <t>X bar</t>
  </si>
  <si>
    <t>μ0, AQL</t>
  </si>
  <si>
    <t>stat</t>
  </si>
  <si>
    <t>H1: μ&gt;μ0</t>
  </si>
  <si>
    <t>p-value</t>
  </si>
  <si>
    <t>gdl</t>
  </si>
  <si>
    <t>conf</t>
  </si>
  <si>
    <t>a</t>
  </si>
  <si>
    <t>b</t>
  </si>
  <si>
    <t>LCL</t>
  </si>
  <si>
    <t>UCL</t>
  </si>
  <si>
    <t>μ1</t>
  </si>
  <si>
    <t>potenza</t>
  </si>
  <si>
    <t>α</t>
  </si>
  <si>
    <t>b(n)</t>
  </si>
  <si>
    <t>var</t>
  </si>
  <si>
    <t>ss</t>
  </si>
  <si>
    <t>dico H0</t>
  </si>
  <si>
    <t>σ0, AQL</t>
  </si>
  <si>
    <t>H1: σ&lt;σ0</t>
  </si>
  <si>
    <t>dico H1</t>
  </si>
  <si>
    <t>stat*</t>
  </si>
  <si>
    <t>a*</t>
  </si>
  <si>
    <t>var*</t>
  </si>
  <si>
    <t>LSL</t>
  </si>
  <si>
    <t>p0</t>
  </si>
  <si>
    <t>σ0</t>
  </si>
  <si>
    <t>H1: p&lt;p0 ≡ σ&lt;σ0</t>
  </si>
  <si>
    <t>mediana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</si>
</sst>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1" fillId="2" borderId="0" xfId="1"/>
    <xf numFmtId="0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12700</xdr:colOff>
      <xdr:row>36</xdr:row>
      <xdr:rowOff>54928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6108700" cy="66843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10051</xdr:colOff>
      <xdr:row>31</xdr:row>
      <xdr:rowOff>44450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06051" cy="575310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0</xdr:rowOff>
    </xdr:from>
    <xdr:to>
      <xdr:col>20</xdr:col>
      <xdr:colOff>572235</xdr:colOff>
      <xdr:row>22</xdr:row>
      <xdr:rowOff>166058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15050" y="0"/>
          <a:ext cx="6649185" cy="4217358"/>
        </a:xfrm>
        <a:prstGeom prst="rect">
          <a:avLst/>
        </a:prstGeom>
      </xdr:spPr>
    </xdr:pic>
    <xdr:clientData/>
  </xdr:twoCellAnchor>
  <xdr:twoCellAnchor editAs="oneCell">
    <xdr:from>
      <xdr:col>10</xdr:col>
      <xdr:colOff>68273</xdr:colOff>
      <xdr:row>22</xdr:row>
      <xdr:rowOff>164085</xdr:rowOff>
    </xdr:from>
    <xdr:to>
      <xdr:col>21</xdr:col>
      <xdr:colOff>12700</xdr:colOff>
      <xdr:row>32</xdr:row>
      <xdr:rowOff>94467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64273" y="4215385"/>
          <a:ext cx="6650027" cy="17718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12700</xdr:colOff>
      <xdr:row>15</xdr:row>
      <xdr:rowOff>12267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08700" cy="2774517"/>
        </a:xfrm>
        <a:prstGeom prst="rect">
          <a:avLst/>
        </a:prstGeom>
      </xdr:spPr>
    </xdr:pic>
    <xdr:clientData/>
  </xdr:twoCellAnchor>
  <xdr:twoCellAnchor editAs="oneCell">
    <xdr:from>
      <xdr:col>0</xdr:col>
      <xdr:colOff>101600</xdr:colOff>
      <xdr:row>15</xdr:row>
      <xdr:rowOff>38100</xdr:rowOff>
    </xdr:from>
    <xdr:to>
      <xdr:col>9</xdr:col>
      <xdr:colOff>570428</xdr:colOff>
      <xdr:row>38</xdr:row>
      <xdr:rowOff>148357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600" y="2800350"/>
          <a:ext cx="5955228" cy="434570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10</xdr:col>
      <xdr:colOff>23684</xdr:colOff>
      <xdr:row>59</xdr:row>
      <xdr:rowOff>31751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6119683" cy="1089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N30"/>
  <sheetViews>
    <sheetView workbookViewId="0">
      <selection activeCell="M2" sqref="M2"/>
    </sheetView>
  </sheetViews>
  <sheetFormatPr defaultRowHeight="15" x14ac:dyDescent="0.25"/>
  <cols>
    <col min="12" max="12" width="12.85546875" customWidth="1"/>
  </cols>
  <sheetData>
    <row r="1" spans="12:14" x14ac:dyDescent="0.25">
      <c r="L1">
        <v>225</v>
      </c>
      <c r="M1" t="s">
        <v>2</v>
      </c>
    </row>
    <row r="2" spans="12:14" x14ac:dyDescent="0.25">
      <c r="L2">
        <v>250</v>
      </c>
      <c r="M2" t="s">
        <v>0</v>
      </c>
    </row>
    <row r="3" spans="12:14" x14ac:dyDescent="0.25">
      <c r="L3">
        <f>1-1/15</f>
        <v>0.93333333333333335</v>
      </c>
      <c r="M3" t="s">
        <v>1</v>
      </c>
    </row>
    <row r="4" spans="12:14" x14ac:dyDescent="0.25">
      <c r="L4">
        <f>L2*L3</f>
        <v>233.33333333333334</v>
      </c>
      <c r="M4" t="s">
        <v>6</v>
      </c>
    </row>
    <row r="5" spans="12:14" x14ac:dyDescent="0.25">
      <c r="L5">
        <f>SQRT(L4*(1-L3))</f>
        <v>3.944053188733077</v>
      </c>
      <c r="M5" t="s">
        <v>7</v>
      </c>
      <c r="N5">
        <f>L5^2</f>
        <v>15.555555555555552</v>
      </c>
    </row>
    <row r="7" spans="12:14" x14ac:dyDescent="0.25">
      <c r="L7">
        <f>1-_xlfn.BINOM.DIST(L1-1,L2,L3,1)</f>
        <v>0.98307722625408356</v>
      </c>
      <c r="M7" t="s">
        <v>3</v>
      </c>
    </row>
    <row r="8" spans="12:14" x14ac:dyDescent="0.25">
      <c r="L8">
        <f>1-_xlfn.NORM.DIST(L1-0.5,L4,L5,1)</f>
        <v>0.9874434580770044</v>
      </c>
      <c r="M8" t="s">
        <v>4</v>
      </c>
    </row>
    <row r="9" spans="12:14" x14ac:dyDescent="0.25">
      <c r="L9">
        <f>1-_xlfn.NORM.DIST(L1,L4,L5,1)</f>
        <v>0.98269472124214641</v>
      </c>
      <c r="M9" t="s">
        <v>5</v>
      </c>
    </row>
    <row r="11" spans="12:14" x14ac:dyDescent="0.25">
      <c r="L11">
        <f>(L1-0.5-L4)/L5</f>
        <v>-2.2396587750305716</v>
      </c>
      <c r="M11" t="s">
        <v>8</v>
      </c>
    </row>
    <row r="12" spans="12:14" x14ac:dyDescent="0.25">
      <c r="L12">
        <f>_xlfn.NORM.S.DIST(L11,1)</f>
        <v>1.2556541922995549E-2</v>
      </c>
    </row>
    <row r="14" spans="12:14" x14ac:dyDescent="0.25">
      <c r="L14" s="1">
        <v>0.95</v>
      </c>
      <c r="M14" t="s">
        <v>9</v>
      </c>
    </row>
    <row r="15" spans="12:14" x14ac:dyDescent="0.25">
      <c r="L15">
        <f>_xlfn.NORM.S.INV(L14)</f>
        <v>1.6448536269514715</v>
      </c>
      <c r="M15" t="s">
        <v>10</v>
      </c>
    </row>
    <row r="17" spans="12:14" x14ac:dyDescent="0.25">
      <c r="L17" t="s">
        <v>0</v>
      </c>
      <c r="M17" t="s">
        <v>12</v>
      </c>
      <c r="N17" t="s">
        <v>11</v>
      </c>
    </row>
    <row r="18" spans="12:14" x14ac:dyDescent="0.25">
      <c r="L18">
        <v>274</v>
      </c>
      <c r="M18">
        <f>1-_xlfn.BINOM.DIST($L$2-1,L18,$L$3,1)</f>
        <v>0.92959739170124267</v>
      </c>
      <c r="N18">
        <f>1-_xlfn.NORM.DIST($L$2-0.5,$L$3*L18,SQRT($L$3*(1-$L$3)*L18),1)</f>
        <v>0.93443186504050846</v>
      </c>
    </row>
    <row r="19" spans="12:14" x14ac:dyDescent="0.25">
      <c r="L19" s="2">
        <v>275</v>
      </c>
      <c r="M19" s="2">
        <f t="shared" ref="M19:M20" si="0">1-_xlfn.BINOM.DIST($L$2-1,L19,$L$3,1)</f>
        <v>0.95302263364622863</v>
      </c>
      <c r="N19" s="2">
        <f t="shared" ref="N19:N20" si="1">1-_xlfn.NORM.DIST($L$2-0.5,$L$3*L19,SQRT($L$3*(1-$L$3)*L19),1)</f>
        <v>0.9584094345612818</v>
      </c>
    </row>
    <row r="20" spans="12:14" x14ac:dyDescent="0.25">
      <c r="L20">
        <v>276</v>
      </c>
      <c r="M20">
        <f t="shared" si="0"/>
        <v>0.96954043245359056</v>
      </c>
      <c r="N20">
        <f t="shared" si="1"/>
        <v>0.97468480271895153</v>
      </c>
    </row>
    <row r="23" spans="12:14" x14ac:dyDescent="0.25">
      <c r="L23">
        <f>1-1/10</f>
        <v>0.9</v>
      </c>
      <c r="M23" t="s">
        <v>10</v>
      </c>
      <c r="N23">
        <f>L2/2*L23*(1-L23)</f>
        <v>11.249999999999998</v>
      </c>
    </row>
    <row r="24" spans="12:14" x14ac:dyDescent="0.25">
      <c r="L24" s="1">
        <v>0.9</v>
      </c>
      <c r="M24" t="s">
        <v>9</v>
      </c>
      <c r="N24">
        <f>SQRT(N23)</f>
        <v>3.3541019662496843</v>
      </c>
    </row>
    <row r="25" spans="12:14" x14ac:dyDescent="0.25">
      <c r="L25">
        <f>L3*L2/2+L23*L2/2</f>
        <v>229.16666666666669</v>
      </c>
      <c r="M25" t="s">
        <v>6</v>
      </c>
    </row>
    <row r="26" spans="12:14" x14ac:dyDescent="0.25">
      <c r="L26">
        <f>SQRT(L2/2*L3*(1-L3)+L3/2*L23*(1-L23))</f>
        <v>2.7963865572874176</v>
      </c>
      <c r="M26" t="s">
        <v>7</v>
      </c>
      <c r="N26">
        <f>L26^2</f>
        <v>7.8197777777777757</v>
      </c>
    </row>
    <row r="29" spans="12:14" x14ac:dyDescent="0.25">
      <c r="L29">
        <f>1-_xlfn.NORM.DIST(L1-0.5,L25,L26,1)</f>
        <v>0.95242350128172104</v>
      </c>
      <c r="M29" t="s">
        <v>4</v>
      </c>
    </row>
    <row r="30" spans="12:14" x14ac:dyDescent="0.25">
      <c r="L30" s="3">
        <f>ROUND(_xlfn.NORM.INV(L24,L25,L26)+0.5,0)</f>
        <v>233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1:W26"/>
  <sheetViews>
    <sheetView workbookViewId="0">
      <selection activeCell="W25" sqref="W25"/>
    </sheetView>
  </sheetViews>
  <sheetFormatPr defaultRowHeight="15" x14ac:dyDescent="0.25"/>
  <sheetData>
    <row r="1" spans="22:23" x14ac:dyDescent="0.25">
      <c r="V1">
        <f>1/SQRT(3)</f>
        <v>0.57735026918962584</v>
      </c>
      <c r="W1" t="s">
        <v>13</v>
      </c>
    </row>
    <row r="2" spans="22:23" x14ac:dyDescent="0.25">
      <c r="V2">
        <f>8/15</f>
        <v>0.53333333333333333</v>
      </c>
      <c r="W2" t="s">
        <v>14</v>
      </c>
    </row>
    <row r="17" spans="22:23" x14ac:dyDescent="0.25">
      <c r="V17">
        <f>SQRT(11)/15</f>
        <v>0.22110831935702666</v>
      </c>
      <c r="W17" t="s">
        <v>15</v>
      </c>
    </row>
    <row r="24" spans="22:23" x14ac:dyDescent="0.25">
      <c r="V24">
        <f>1-1/SQRT(2)</f>
        <v>0.29289321881345254</v>
      </c>
      <c r="W24" t="s">
        <v>46</v>
      </c>
    </row>
    <row r="25" spans="22:23" x14ac:dyDescent="0.25">
      <c r="V25">
        <f>SQRT(1-1/SQRT(2))</f>
        <v>0.54119610014619701</v>
      </c>
      <c r="W25" t="s">
        <v>16</v>
      </c>
    </row>
    <row r="26" spans="22:23" x14ac:dyDescent="0.25">
      <c r="V26">
        <f>SQRT(1-1/2^0.25)</f>
        <v>0.39887790706716936</v>
      </c>
      <c r="W26" t="s">
        <v>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N31"/>
  <sheetViews>
    <sheetView workbookViewId="0"/>
  </sheetViews>
  <sheetFormatPr defaultRowHeight="15" x14ac:dyDescent="0.25"/>
  <sheetData>
    <row r="1" spans="12:13" x14ac:dyDescent="0.25">
      <c r="L1">
        <v>200</v>
      </c>
      <c r="M1" t="s">
        <v>19</v>
      </c>
    </row>
    <row r="2" spans="12:13" x14ac:dyDescent="0.25">
      <c r="L2">
        <v>20</v>
      </c>
      <c r="M2" t="s">
        <v>0</v>
      </c>
    </row>
    <row r="3" spans="12:13" x14ac:dyDescent="0.25">
      <c r="L3">
        <v>252</v>
      </c>
      <c r="M3" t="s">
        <v>18</v>
      </c>
    </row>
    <row r="5" spans="12:13" x14ac:dyDescent="0.25">
      <c r="L5" t="s">
        <v>21</v>
      </c>
    </row>
    <row r="7" spans="12:13" x14ac:dyDescent="0.25">
      <c r="L7">
        <f>2*L2</f>
        <v>40</v>
      </c>
      <c r="M7" t="s">
        <v>23</v>
      </c>
    </row>
    <row r="8" spans="12:13" x14ac:dyDescent="0.25">
      <c r="L8">
        <f>L7*L3/L1</f>
        <v>50.4</v>
      </c>
      <c r="M8" t="s">
        <v>20</v>
      </c>
    </row>
    <row r="9" spans="12:13" x14ac:dyDescent="0.25">
      <c r="L9">
        <f>_xlfn.CHISQ.DIST.RT(L8,L7)</f>
        <v>0.12546586760193981</v>
      </c>
      <c r="M9" t="s">
        <v>22</v>
      </c>
    </row>
    <row r="12" spans="12:13" x14ac:dyDescent="0.25">
      <c r="L12" s="1">
        <v>0.98</v>
      </c>
      <c r="M12" t="s">
        <v>24</v>
      </c>
    </row>
    <row r="13" spans="12:13" x14ac:dyDescent="0.25">
      <c r="L13">
        <f>_xlfn.CHISQ.INV(0.5-0.5*L12,L7)</f>
        <v>22.164261252975162</v>
      </c>
      <c r="M13" t="s">
        <v>25</v>
      </c>
    </row>
    <row r="14" spans="12:13" x14ac:dyDescent="0.25">
      <c r="L14">
        <f>_xlfn.CHISQ.INV(0.5+0.5*L12,L7)</f>
        <v>63.690739751564493</v>
      </c>
      <c r="M14" t="s">
        <v>26</v>
      </c>
    </row>
    <row r="16" spans="12:13" x14ac:dyDescent="0.25">
      <c r="L16">
        <f>L7*L3/L14</f>
        <v>158.26476563655231</v>
      </c>
      <c r="M16" t="s">
        <v>27</v>
      </c>
    </row>
    <row r="17" spans="12:14" x14ac:dyDescent="0.25">
      <c r="L17">
        <f>L7*L3/L13</f>
        <v>454.78619318507344</v>
      </c>
      <c r="M17" t="s">
        <v>28</v>
      </c>
    </row>
    <row r="20" spans="12:14" x14ac:dyDescent="0.25">
      <c r="L20">
        <v>250</v>
      </c>
      <c r="M20" t="s">
        <v>29</v>
      </c>
    </row>
    <row r="21" spans="12:14" x14ac:dyDescent="0.25">
      <c r="L21" s="1">
        <v>0.8</v>
      </c>
      <c r="M21" t="s">
        <v>30</v>
      </c>
    </row>
    <row r="22" spans="12:14" x14ac:dyDescent="0.25">
      <c r="L22" s="1">
        <v>0.05</v>
      </c>
      <c r="M22" t="s">
        <v>31</v>
      </c>
    </row>
    <row r="24" spans="12:14" x14ac:dyDescent="0.25">
      <c r="L24" t="s">
        <v>0</v>
      </c>
      <c r="M24" t="s">
        <v>32</v>
      </c>
    </row>
    <row r="25" spans="12:14" x14ac:dyDescent="0.25">
      <c r="L25">
        <v>20</v>
      </c>
      <c r="M25">
        <f>_xlfn.CHISQ.INV.RT($L$22,L25*2)</f>
        <v>55.75847927888703</v>
      </c>
      <c r="N25">
        <f>_xlfn.CHISQ.DIST.RT(M25*$L$1/$L$20,L25*2)</f>
        <v>0.28418706996633081</v>
      </c>
    </row>
    <row r="26" spans="12:14" x14ac:dyDescent="0.25">
      <c r="L26">
        <v>40</v>
      </c>
      <c r="M26">
        <f>_xlfn.CHISQ.INV.RT($L$22,L26*2)</f>
        <v>101.87947396543588</v>
      </c>
      <c r="N26">
        <f>_xlfn.CHISQ.DIST.RT(M26*$L$1/$L$20,L26*2)</f>
        <v>0.43219607421717199</v>
      </c>
    </row>
    <row r="27" spans="12:14" x14ac:dyDescent="0.25">
      <c r="L27">
        <v>80</v>
      </c>
      <c r="M27">
        <f t="shared" ref="M27:M31" si="0">_xlfn.CHISQ.INV.RT($L$22,L27*2)</f>
        <v>190.51645651395853</v>
      </c>
      <c r="N27">
        <f t="shared" ref="N27:N31" si="1">_xlfn.CHISQ.DIST.RT(M27*$L$1/$L$20,L27*2)</f>
        <v>0.65305592272575019</v>
      </c>
    </row>
    <row r="28" spans="12:14" x14ac:dyDescent="0.25">
      <c r="L28">
        <v>120</v>
      </c>
      <c r="M28">
        <f t="shared" si="0"/>
        <v>277.13764954253691</v>
      </c>
      <c r="N28">
        <f t="shared" si="1"/>
        <v>0.79570694429653277</v>
      </c>
    </row>
    <row r="29" spans="12:14" x14ac:dyDescent="0.25">
      <c r="L29">
        <v>121</v>
      </c>
      <c r="M29">
        <f t="shared" si="0"/>
        <v>279.28764426492057</v>
      </c>
      <c r="N29">
        <f t="shared" si="1"/>
        <v>0.79847592047957461</v>
      </c>
    </row>
    <row r="30" spans="12:14" x14ac:dyDescent="0.25">
      <c r="L30" s="2">
        <v>122</v>
      </c>
      <c r="M30" s="2">
        <f t="shared" si="0"/>
        <v>281.43701918033508</v>
      </c>
      <c r="N30" s="2">
        <f t="shared" si="1"/>
        <v>0.80121099334929369</v>
      </c>
    </row>
    <row r="31" spans="12:14" x14ac:dyDescent="0.25">
      <c r="L31">
        <v>130</v>
      </c>
      <c r="M31">
        <f t="shared" si="0"/>
        <v>298.61058847985379</v>
      </c>
      <c r="N31">
        <f t="shared" si="1"/>
        <v>0.82191154996021121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N54"/>
  <sheetViews>
    <sheetView tabSelected="1" topLeftCell="A28" workbookViewId="0">
      <selection activeCell="L4" sqref="L4"/>
    </sheetView>
  </sheetViews>
  <sheetFormatPr defaultRowHeight="15" x14ac:dyDescent="0.25"/>
  <sheetData>
    <row r="1" spans="12:12" x14ac:dyDescent="0.25">
      <c r="L1">
        <v>1014</v>
      </c>
    </row>
    <row r="2" spans="12:12" x14ac:dyDescent="0.25">
      <c r="L2">
        <v>1004</v>
      </c>
    </row>
    <row r="3" spans="12:12" x14ac:dyDescent="0.25">
      <c r="L3">
        <v>1014</v>
      </c>
    </row>
    <row r="4" spans="12:12" x14ac:dyDescent="0.25">
      <c r="L4">
        <v>1003</v>
      </c>
    </row>
    <row r="5" spans="12:12" x14ac:dyDescent="0.25">
      <c r="L5">
        <v>1018</v>
      </c>
    </row>
    <row r="6" spans="12:12" x14ac:dyDescent="0.25">
      <c r="L6">
        <v>1004</v>
      </c>
    </row>
    <row r="7" spans="12:12" x14ac:dyDescent="0.25">
      <c r="L7">
        <v>1009</v>
      </c>
    </row>
    <row r="8" spans="12:12" x14ac:dyDescent="0.25">
      <c r="L8">
        <v>1009</v>
      </c>
    </row>
    <row r="9" spans="12:12" x14ac:dyDescent="0.25">
      <c r="L9">
        <v>1012</v>
      </c>
    </row>
    <row r="10" spans="12:12" x14ac:dyDescent="0.25">
      <c r="L10">
        <v>1013</v>
      </c>
    </row>
    <row r="11" spans="12:12" x14ac:dyDescent="0.25">
      <c r="L11">
        <v>1008</v>
      </c>
    </row>
    <row r="12" spans="12:12" x14ac:dyDescent="0.25">
      <c r="L12">
        <v>1017</v>
      </c>
    </row>
    <row r="13" spans="12:12" x14ac:dyDescent="0.25">
      <c r="L13">
        <v>1019</v>
      </c>
    </row>
    <row r="14" spans="12:12" x14ac:dyDescent="0.25">
      <c r="L14">
        <v>1016</v>
      </c>
    </row>
    <row r="15" spans="12:12" x14ac:dyDescent="0.25">
      <c r="L15">
        <v>1016</v>
      </c>
    </row>
    <row r="17" spans="12:13" x14ac:dyDescent="0.25">
      <c r="L17">
        <f>COUNT(L1:L15)</f>
        <v>15</v>
      </c>
      <c r="M17" t="s">
        <v>0</v>
      </c>
    </row>
    <row r="18" spans="12:13" x14ac:dyDescent="0.25">
      <c r="L18">
        <f>L17-1</f>
        <v>14</v>
      </c>
      <c r="M18" t="s">
        <v>23</v>
      </c>
    </row>
    <row r="19" spans="12:13" x14ac:dyDescent="0.25">
      <c r="L19">
        <f>AVERAGE(L1:L15)</f>
        <v>1011.7333333333333</v>
      </c>
      <c r="M19" t="s">
        <v>6</v>
      </c>
    </row>
    <row r="20" spans="12:13" x14ac:dyDescent="0.25">
      <c r="L20">
        <f>_xlfn.STDEV.S(L1:L15)</f>
        <v>5.2977982848223535</v>
      </c>
      <c r="M20" t="s">
        <v>7</v>
      </c>
    </row>
    <row r="21" spans="12:13" x14ac:dyDescent="0.25">
      <c r="L21">
        <f>L20^2</f>
        <v>28.06666666666667</v>
      </c>
      <c r="M21" t="s">
        <v>33</v>
      </c>
    </row>
    <row r="22" spans="12:13" x14ac:dyDescent="0.25">
      <c r="L22">
        <f>L21*L18</f>
        <v>392.93333333333339</v>
      </c>
      <c r="M22" t="s">
        <v>34</v>
      </c>
    </row>
    <row r="24" spans="12:13" x14ac:dyDescent="0.25">
      <c r="L24">
        <v>1013</v>
      </c>
      <c r="M24" t="s">
        <v>19</v>
      </c>
    </row>
    <row r="25" spans="12:13" x14ac:dyDescent="0.25">
      <c r="L25" s="1">
        <v>0.05</v>
      </c>
      <c r="M25" t="s">
        <v>31</v>
      </c>
    </row>
    <row r="27" spans="12:13" x14ac:dyDescent="0.25">
      <c r="L27">
        <f>(L19-L24)/L20*SQRT(L17)</f>
        <v>-0.92600333977428972</v>
      </c>
      <c r="M27" t="s">
        <v>20</v>
      </c>
    </row>
    <row r="28" spans="12:13" x14ac:dyDescent="0.25">
      <c r="L28">
        <f>_xlfn.T.INV.2T(L25,L18)</f>
        <v>2.1447866879178044</v>
      </c>
      <c r="M28" t="s">
        <v>10</v>
      </c>
    </row>
    <row r="29" spans="12:13" x14ac:dyDescent="0.25">
      <c r="L29">
        <f>_xlfn.T.DIST.2T(ABS(L27),L18)</f>
        <v>0.37013235095200436</v>
      </c>
      <c r="M29" t="s">
        <v>22</v>
      </c>
    </row>
    <row r="30" spans="12:13" x14ac:dyDescent="0.25">
      <c r="L30" t="s">
        <v>35</v>
      </c>
    </row>
    <row r="33" spans="12:14" x14ac:dyDescent="0.25">
      <c r="L33">
        <v>8</v>
      </c>
      <c r="M33" t="s">
        <v>36</v>
      </c>
    </row>
    <row r="34" spans="12:14" x14ac:dyDescent="0.25">
      <c r="L34" s="1">
        <v>0.1</v>
      </c>
      <c r="M34" t="s">
        <v>31</v>
      </c>
    </row>
    <row r="35" spans="12:14" x14ac:dyDescent="0.25">
      <c r="L35" t="s">
        <v>37</v>
      </c>
    </row>
    <row r="37" spans="12:14" x14ac:dyDescent="0.25">
      <c r="L37">
        <f>L21/L33^2*L18</f>
        <v>6.1395833333333343</v>
      </c>
      <c r="M37" t="s">
        <v>20</v>
      </c>
    </row>
    <row r="38" spans="12:14" x14ac:dyDescent="0.25">
      <c r="L38">
        <f>_xlfn.CHISQ.INV(L34,L18)</f>
        <v>7.78953360975237</v>
      </c>
      <c r="M38" t="s">
        <v>25</v>
      </c>
    </row>
    <row r="39" spans="12:14" x14ac:dyDescent="0.25">
      <c r="L39">
        <f>_xlfn.CHISQ.DIST(L37,L18,1)</f>
        <v>3.715038494125586E-2</v>
      </c>
      <c r="M39" t="s">
        <v>22</v>
      </c>
    </row>
    <row r="40" spans="12:14" x14ac:dyDescent="0.25">
      <c r="L40" t="s">
        <v>38</v>
      </c>
    </row>
    <row r="42" spans="12:14" x14ac:dyDescent="0.25">
      <c r="L42">
        <f t="array" ref="L42">SUMSQ(L1:L15-L24)/L17</f>
        <v>27.8</v>
      </c>
      <c r="M42" t="s">
        <v>41</v>
      </c>
      <c r="N42">
        <f>SQRT(L42)</f>
        <v>5.272570530585627</v>
      </c>
    </row>
    <row r="43" spans="12:14" x14ac:dyDescent="0.25">
      <c r="L43">
        <f>L42/L33^2*L17</f>
        <v>6.515625</v>
      </c>
      <c r="M43" t="s">
        <v>39</v>
      </c>
    </row>
    <row r="44" spans="12:14" x14ac:dyDescent="0.25">
      <c r="L44">
        <f>_xlfn.CHISQ.INV(L34,L17)</f>
        <v>8.5467562417045446</v>
      </c>
      <c r="M44" t="s">
        <v>40</v>
      </c>
    </row>
    <row r="45" spans="12:14" x14ac:dyDescent="0.25">
      <c r="L45" t="s">
        <v>38</v>
      </c>
    </row>
    <row r="48" spans="12:14" x14ac:dyDescent="0.25">
      <c r="L48">
        <v>1000</v>
      </c>
      <c r="M48" t="s">
        <v>42</v>
      </c>
    </row>
    <row r="49" spans="12:13" x14ac:dyDescent="0.25">
      <c r="L49" s="1">
        <v>0.05</v>
      </c>
      <c r="M49" t="s">
        <v>43</v>
      </c>
    </row>
    <row r="50" spans="12:13" x14ac:dyDescent="0.25">
      <c r="L50">
        <f>(L48-L24)/_xlfn.NORM.S.INV(L49)</f>
        <v>7.903438814852997</v>
      </c>
      <c r="M50" t="s">
        <v>44</v>
      </c>
    </row>
    <row r="51" spans="12:13" x14ac:dyDescent="0.25">
      <c r="L51" t="s">
        <v>45</v>
      </c>
    </row>
    <row r="53" spans="12:13" x14ac:dyDescent="0.25">
      <c r="L53">
        <f>L42/L50^2*L17</f>
        <v>6.6758084044839512</v>
      </c>
      <c r="M53" t="s">
        <v>39</v>
      </c>
    </row>
    <row r="54" spans="12:13" x14ac:dyDescent="0.25">
      <c r="L54">
        <f>_xlfn.CHISQ.DIST(L53,L17,1)</f>
        <v>3.3970461407678933E-2</v>
      </c>
      <c r="M54" t="s">
        <v>22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4.1</vt:lpstr>
      <vt:lpstr>4.2</vt:lpstr>
      <vt:lpstr>4.3</vt:lpstr>
      <vt:lpstr>4.4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Vandertic</dc:creator>
  <cp:lastModifiedBy>Teppic</cp:lastModifiedBy>
  <dcterms:created xsi:type="dcterms:W3CDTF">2022-04-27T08:09:05Z</dcterms:created>
  <dcterms:modified xsi:type="dcterms:W3CDTF">2022-04-28T09:57:49Z</dcterms:modified>
</cp:coreProperties>
</file>