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D-S Docs\matematica\Lavoro\~ Corsi ~\4 - 2005-2021 - ELPR - Elementi di Probabilità - Calcolo delle Probabilità e Statistica\2022\esami\"/>
    </mc:Choice>
  </mc:AlternateContent>
  <bookViews>
    <workbookView xWindow="0" yWindow="0" windowWidth="25600" windowHeight="11240" activeTab="3"/>
  </bookViews>
  <sheets>
    <sheet name="5.1" sheetId="1" r:id="rId1"/>
    <sheet name="5.2" sheetId="2" r:id="rId2"/>
    <sheet name="5.3" sheetId="3" r:id="rId3"/>
    <sheet name="5.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4" l="1"/>
  <c r="K29" i="4" l="1"/>
  <c r="K28" i="4"/>
  <c r="K27" i="4"/>
  <c r="K26" i="4"/>
  <c r="K24" i="4"/>
  <c r="H28" i="4"/>
  <c r="H25" i="4"/>
  <c r="H29" i="4" s="1"/>
  <c r="K25" i="4" s="1"/>
  <c r="K19" i="4"/>
  <c r="K21" i="4" s="1"/>
  <c r="K15" i="4"/>
  <c r="K13" i="4"/>
  <c r="K5" i="4"/>
  <c r="K6" i="4" s="1"/>
  <c r="K4" i="4"/>
  <c r="K3" i="4"/>
  <c r="K2" i="4"/>
  <c r="K1" i="4"/>
  <c r="M28" i="3"/>
  <c r="M27" i="3"/>
  <c r="M26" i="3"/>
  <c r="M25" i="3"/>
  <c r="I27" i="3"/>
  <c r="I24" i="3"/>
  <c r="I17" i="3"/>
  <c r="I19" i="3" s="1"/>
  <c r="I20" i="3" s="1"/>
  <c r="I26" i="3"/>
  <c r="I13" i="3"/>
  <c r="I4" i="3"/>
  <c r="I12" i="3" s="1"/>
  <c r="I14" i="3" s="1"/>
  <c r="I2" i="3"/>
  <c r="I10" i="3" s="1"/>
  <c r="I28" i="1"/>
  <c r="I27" i="1"/>
  <c r="I26" i="1"/>
  <c r="I25" i="1"/>
  <c r="I17" i="1"/>
  <c r="I18" i="1"/>
  <c r="I19" i="1" s="1"/>
  <c r="I20" i="1" s="1"/>
  <c r="I21" i="1" s="1"/>
  <c r="I11" i="1"/>
  <c r="I10" i="1"/>
  <c r="K1" i="1"/>
  <c r="K5" i="1"/>
  <c r="I7" i="1"/>
  <c r="I6" i="1"/>
  <c r="I5" i="1"/>
  <c r="K20" i="4" l="1"/>
  <c r="I29" i="3"/>
  <c r="I28" i="3"/>
  <c r="I30" i="3" l="1"/>
  <c r="I31" i="3" s="1"/>
</calcChain>
</file>

<file path=xl/sharedStrings.xml><?xml version="1.0" encoding="utf-8"?>
<sst xmlns="http://schemas.openxmlformats.org/spreadsheetml/2006/main" count="77" uniqueCount="56">
  <si>
    <t>μ</t>
  </si>
  <si>
    <t>σ</t>
  </si>
  <si>
    <t>n</t>
  </si>
  <si>
    <t>μT</t>
  </si>
  <si>
    <t>σT</t>
  </si>
  <si>
    <t>σ²T</t>
  </si>
  <si>
    <t>k</t>
  </si>
  <si>
    <t>P(T&gt;k)</t>
  </si>
  <si>
    <t>P(T≤30)</t>
  </si>
  <si>
    <t>q</t>
  </si>
  <si>
    <t>r</t>
  </si>
  <si>
    <t>μ'T</t>
  </si>
  <si>
    <t>μ'</t>
  </si>
  <si>
    <t>k'</t>
  </si>
  <si>
    <t>μ0</t>
  </si>
  <si>
    <t>σ0</t>
  </si>
  <si>
    <t>μ-μ0</t>
  </si>
  <si>
    <t>σ²-σ²0</t>
  </si>
  <si>
    <t>p</t>
  </si>
  <si>
    <t>p0</t>
  </si>
  <si>
    <t>X</t>
  </si>
  <si>
    <t>E[X]</t>
  </si>
  <si>
    <t>α</t>
  </si>
  <si>
    <t>p hat</t>
  </si>
  <si>
    <t>z</t>
  </si>
  <si>
    <t>α*</t>
  </si>
  <si>
    <t>√n</t>
  </si>
  <si>
    <t>sqrt</t>
  </si>
  <si>
    <t>p1</t>
  </si>
  <si>
    <t>delta</t>
  </si>
  <si>
    <t>b</t>
  </si>
  <si>
    <t>a</t>
  </si>
  <si>
    <t>h(p1)</t>
  </si>
  <si>
    <t>n'</t>
  </si>
  <si>
    <t>potenza</t>
  </si>
  <si>
    <t>(per tentativi)</t>
  </si>
  <si>
    <t>potenza richiesta</t>
  </si>
  <si>
    <t>√n'</t>
  </si>
  <si>
    <t>gdl</t>
  </si>
  <si>
    <t>X bar</t>
  </si>
  <si>
    <t>Sx</t>
  </si>
  <si>
    <t>Sx²</t>
  </si>
  <si>
    <t>SSx</t>
  </si>
  <si>
    <t>statW</t>
  </si>
  <si>
    <t>conf</t>
  </si>
  <si>
    <t>n (σ0)</t>
  </si>
  <si>
    <t>n (Sx)</t>
  </si>
  <si>
    <t>m</t>
  </si>
  <si>
    <t>Y bar</t>
  </si>
  <si>
    <t>Sy</t>
  </si>
  <si>
    <t>Sp²</t>
  </si>
  <si>
    <t>Sy²</t>
  </si>
  <si>
    <t>SSy</t>
  </si>
  <si>
    <t>SSp</t>
  </si>
  <si>
    <t>Sp</t>
  </si>
  <si>
    <t>statT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</si>
</sst>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[$-F400]h:mm:ss\ AM/PM"/>
    <numFmt numFmtId="168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0" xfId="0" applyNumberFormat="1"/>
    <xf numFmtId="168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7</xdr:col>
      <xdr:colOff>6350</xdr:colOff>
      <xdr:row>31</xdr:row>
      <xdr:rowOff>47446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"/>
          <a:ext cx="4273549" cy="575609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1</xdr:rowOff>
    </xdr:from>
    <xdr:to>
      <xdr:col>22</xdr:col>
      <xdr:colOff>584200</xdr:colOff>
      <xdr:row>22</xdr:row>
      <xdr:rowOff>122635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1"/>
          <a:ext cx="6680200" cy="41739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596900</xdr:colOff>
      <xdr:row>21</xdr:row>
      <xdr:rowOff>110864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54500" cy="3978014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0</xdr:row>
      <xdr:rowOff>1</xdr:rowOff>
    </xdr:from>
    <xdr:to>
      <xdr:col>15</xdr:col>
      <xdr:colOff>508000</xdr:colOff>
      <xdr:row>26</xdr:row>
      <xdr:rowOff>132895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1" y="1"/>
          <a:ext cx="5384799" cy="4920794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26</xdr:row>
      <xdr:rowOff>50802</xdr:rowOff>
    </xdr:from>
    <xdr:to>
      <xdr:col>15</xdr:col>
      <xdr:colOff>215900</xdr:colOff>
      <xdr:row>34</xdr:row>
      <xdr:rowOff>174794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3200" y="4838702"/>
          <a:ext cx="9156700" cy="1597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102407</xdr:rowOff>
    </xdr:from>
    <xdr:to>
      <xdr:col>13</xdr:col>
      <xdr:colOff>396625</xdr:colOff>
      <xdr:row>41</xdr:row>
      <xdr:rowOff>101987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547657"/>
          <a:ext cx="8321425" cy="1104480"/>
        </a:xfrm>
        <a:prstGeom prst="rect">
          <a:avLst/>
        </a:prstGeom>
      </xdr:spPr>
    </xdr:pic>
    <xdr:clientData/>
  </xdr:twoCellAnchor>
  <xdr:twoCellAnchor editAs="oneCell">
    <xdr:from>
      <xdr:col>3</xdr:col>
      <xdr:colOff>184151</xdr:colOff>
      <xdr:row>41</xdr:row>
      <xdr:rowOff>7157</xdr:rowOff>
    </xdr:from>
    <xdr:to>
      <xdr:col>9</xdr:col>
      <xdr:colOff>508000</xdr:colOff>
      <xdr:row>44</xdr:row>
      <xdr:rowOff>80772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12951" y="7557307"/>
          <a:ext cx="3981449" cy="6260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0</xdr:rowOff>
    </xdr:from>
    <xdr:to>
      <xdr:col>6</xdr:col>
      <xdr:colOff>542425</xdr:colOff>
      <xdr:row>2</xdr:row>
      <xdr:rowOff>141121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0"/>
          <a:ext cx="4187325" cy="5094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120651</xdr:rowOff>
    </xdr:from>
    <xdr:to>
      <xdr:col>6</xdr:col>
      <xdr:colOff>596900</xdr:colOff>
      <xdr:row>27</xdr:row>
      <xdr:rowOff>129675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8951"/>
          <a:ext cx="4254500" cy="4612774"/>
        </a:xfrm>
        <a:prstGeom prst="rect">
          <a:avLst/>
        </a:prstGeom>
      </xdr:spPr>
    </xdr:pic>
    <xdr:clientData/>
  </xdr:twoCellAnchor>
  <xdr:twoCellAnchor editAs="oneCell">
    <xdr:from>
      <xdr:col>0</xdr:col>
      <xdr:colOff>82550</xdr:colOff>
      <xdr:row>31</xdr:row>
      <xdr:rowOff>99571</xdr:rowOff>
    </xdr:from>
    <xdr:to>
      <xdr:col>21</xdr:col>
      <xdr:colOff>187226</xdr:colOff>
      <xdr:row>45</xdr:row>
      <xdr:rowOff>92687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" y="5808221"/>
          <a:ext cx="12906276" cy="25712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603250</xdr:colOff>
      <xdr:row>31</xdr:row>
      <xdr:rowOff>96970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60850" cy="5805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K28"/>
  <sheetViews>
    <sheetView workbookViewId="0">
      <selection activeCell="I11" sqref="I11"/>
    </sheetView>
  </sheetViews>
  <sheetFormatPr defaultRowHeight="14.5" x14ac:dyDescent="0.35"/>
  <sheetData>
    <row r="1" spans="9:11" x14ac:dyDescent="0.35">
      <c r="I1">
        <v>135</v>
      </c>
      <c r="J1" t="s">
        <v>0</v>
      </c>
      <c r="K1" s="1">
        <f>I1/60/60/24</f>
        <v>1.5624999999999999E-3</v>
      </c>
    </row>
    <row r="2" spans="9:11" x14ac:dyDescent="0.35">
      <c r="I2">
        <v>6</v>
      </c>
      <c r="J2" t="s">
        <v>1</v>
      </c>
    </row>
    <row r="3" spans="9:11" x14ac:dyDescent="0.35">
      <c r="I3">
        <v>15</v>
      </c>
      <c r="J3" t="s">
        <v>2</v>
      </c>
    </row>
    <row r="5" spans="9:11" x14ac:dyDescent="0.35">
      <c r="I5">
        <f>I1*I3</f>
        <v>2025</v>
      </c>
      <c r="J5" t="s">
        <v>3</v>
      </c>
      <c r="K5" s="1">
        <f>I5/60/60/24</f>
        <v>2.34375E-2</v>
      </c>
    </row>
    <row r="6" spans="9:11" x14ac:dyDescent="0.35">
      <c r="I6">
        <f>I2*SQRT(I3)</f>
        <v>23.237900077244504</v>
      </c>
      <c r="J6" t="s">
        <v>4</v>
      </c>
    </row>
    <row r="7" spans="9:11" x14ac:dyDescent="0.35">
      <c r="I7">
        <f>I6^2</f>
        <v>540.00000000000011</v>
      </c>
      <c r="J7" t="s">
        <v>5</v>
      </c>
    </row>
    <row r="9" spans="9:11" x14ac:dyDescent="0.35">
      <c r="I9">
        <v>34</v>
      </c>
      <c r="J9" t="s">
        <v>6</v>
      </c>
    </row>
    <row r="10" spans="9:11" x14ac:dyDescent="0.35">
      <c r="I10">
        <f>I9*60</f>
        <v>2040</v>
      </c>
      <c r="J10" t="s">
        <v>6</v>
      </c>
    </row>
    <row r="11" spans="9:11" x14ac:dyDescent="0.35">
      <c r="I11" s="2">
        <f>1-_xlfn.NORM.DIST(I10,I5,I6,1)</f>
        <v>0.25930250821436285</v>
      </c>
      <c r="J11" t="s">
        <v>7</v>
      </c>
    </row>
    <row r="15" spans="9:11" x14ac:dyDescent="0.35">
      <c r="I15" s="3">
        <v>0.25</v>
      </c>
      <c r="J15" t="s">
        <v>8</v>
      </c>
    </row>
    <row r="16" spans="9:11" x14ac:dyDescent="0.35">
      <c r="I16">
        <v>30</v>
      </c>
      <c r="J16" t="s">
        <v>13</v>
      </c>
    </row>
    <row r="17" spans="9:10" x14ac:dyDescent="0.35">
      <c r="I17">
        <f>I16*60</f>
        <v>1800</v>
      </c>
      <c r="J17" t="s">
        <v>13</v>
      </c>
    </row>
    <row r="18" spans="9:10" x14ac:dyDescent="0.35">
      <c r="I18">
        <f>_xlfn.NORM.S.INV(I15)</f>
        <v>-0.67448975019608193</v>
      </c>
      <c r="J18" t="s">
        <v>9</v>
      </c>
    </row>
    <row r="19" spans="9:10" x14ac:dyDescent="0.35">
      <c r="I19">
        <f>I18*I6</f>
        <v>-15.673725418182158</v>
      </c>
      <c r="J19" t="s">
        <v>10</v>
      </c>
    </row>
    <row r="20" spans="9:10" x14ac:dyDescent="0.35">
      <c r="I20">
        <f>I17-I19</f>
        <v>1815.6737254181821</v>
      </c>
      <c r="J20" t="s">
        <v>11</v>
      </c>
    </row>
    <row r="21" spans="9:10" x14ac:dyDescent="0.35">
      <c r="I21">
        <f>I20/I3</f>
        <v>121.04491502787882</v>
      </c>
      <c r="J21" t="s">
        <v>12</v>
      </c>
    </row>
    <row r="23" spans="9:10" x14ac:dyDescent="0.35">
      <c r="I23">
        <v>130</v>
      </c>
      <c r="J23" t="s">
        <v>14</v>
      </c>
    </row>
    <row r="24" spans="9:10" x14ac:dyDescent="0.35">
      <c r="I24">
        <v>1</v>
      </c>
      <c r="J24" t="s">
        <v>15</v>
      </c>
    </row>
    <row r="25" spans="9:10" x14ac:dyDescent="0.35">
      <c r="I25">
        <f>I1-I23</f>
        <v>5</v>
      </c>
      <c r="J25" t="s">
        <v>16</v>
      </c>
    </row>
    <row r="26" spans="9:10" x14ac:dyDescent="0.35">
      <c r="I26">
        <f>I2^2-I24^2</f>
        <v>35</v>
      </c>
      <c r="J26" t="s">
        <v>17</v>
      </c>
    </row>
    <row r="27" spans="9:10" x14ac:dyDescent="0.35">
      <c r="I27">
        <f>I25+I26/I25</f>
        <v>12</v>
      </c>
      <c r="J27" t="s">
        <v>10</v>
      </c>
    </row>
    <row r="28" spans="9:10" x14ac:dyDescent="0.35">
      <c r="I28" s="2">
        <f>I25/I27</f>
        <v>0.41666666666666669</v>
      </c>
      <c r="J28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N31"/>
  <sheetViews>
    <sheetView workbookViewId="0">
      <selection activeCell="M27" sqref="M27"/>
    </sheetView>
  </sheetViews>
  <sheetFormatPr defaultRowHeight="14.5" x14ac:dyDescent="0.35"/>
  <sheetData>
    <row r="1" spans="9:10" x14ac:dyDescent="0.35">
      <c r="I1">
        <v>814</v>
      </c>
      <c r="J1" t="s">
        <v>2</v>
      </c>
    </row>
    <row r="2" spans="9:10" x14ac:dyDescent="0.35">
      <c r="I2">
        <f>5/90</f>
        <v>5.5555555555555552E-2</v>
      </c>
      <c r="J2" t="s">
        <v>19</v>
      </c>
    </row>
    <row r="3" spans="9:10" x14ac:dyDescent="0.35">
      <c r="I3">
        <v>36</v>
      </c>
      <c r="J3" t="s">
        <v>20</v>
      </c>
    </row>
    <row r="4" spans="9:10" x14ac:dyDescent="0.35">
      <c r="I4">
        <f>I3/I1</f>
        <v>4.4226044226044224E-2</v>
      </c>
      <c r="J4" t="s">
        <v>23</v>
      </c>
    </row>
    <row r="10" spans="9:10" x14ac:dyDescent="0.35">
      <c r="I10">
        <f>I2*I1</f>
        <v>45.222222222222221</v>
      </c>
      <c r="J10" t="s">
        <v>21</v>
      </c>
    </row>
    <row r="11" spans="9:10" x14ac:dyDescent="0.35">
      <c r="I11" s="3">
        <v>0.05</v>
      </c>
      <c r="J11" t="s">
        <v>22</v>
      </c>
    </row>
    <row r="12" spans="9:10" x14ac:dyDescent="0.35">
      <c r="I12">
        <f>(I4-I2)/SQRT(I2*(1-I2)/I1)</f>
        <v>-1.4111442968819115</v>
      </c>
      <c r="J12" t="s">
        <v>24</v>
      </c>
    </row>
    <row r="13" spans="9:10" x14ac:dyDescent="0.35">
      <c r="I13">
        <f>_xlfn.NORM.S.INV(1-I11/2)</f>
        <v>1.9599639845400536</v>
      </c>
      <c r="J13" t="s">
        <v>9</v>
      </c>
    </row>
    <row r="14" spans="9:10" x14ac:dyDescent="0.35">
      <c r="I14" s="2">
        <f>_xlfn.NORM.S.DIST(I12,1)*2</f>
        <v>0.15820207085557128</v>
      </c>
      <c r="J14" t="s">
        <v>25</v>
      </c>
    </row>
    <row r="17" spans="9:14" x14ac:dyDescent="0.35">
      <c r="I17">
        <f>_xlfn.NORM.S.INV(1-I11)</f>
        <v>1.6448536269514715</v>
      </c>
      <c r="J17" t="s">
        <v>9</v>
      </c>
    </row>
    <row r="18" spans="9:14" x14ac:dyDescent="0.35">
      <c r="I18">
        <v>0</v>
      </c>
      <c r="J18" t="s">
        <v>23</v>
      </c>
    </row>
    <row r="19" spans="9:14" x14ac:dyDescent="0.35">
      <c r="I19">
        <f>-I17/(I18-I2)*SQRT(I2*(1-I2))</f>
        <v>6.7819052426012254</v>
      </c>
      <c r="J19" t="s">
        <v>26</v>
      </c>
    </row>
    <row r="20" spans="9:14" x14ac:dyDescent="0.35">
      <c r="I20">
        <f>_xlfn.CEILING.MATH(I19^2)</f>
        <v>46</v>
      </c>
      <c r="J20" t="s">
        <v>2</v>
      </c>
    </row>
    <row r="24" spans="9:14" x14ac:dyDescent="0.35">
      <c r="I24">
        <f>1/20</f>
        <v>0.05</v>
      </c>
      <c r="J24" t="s">
        <v>28</v>
      </c>
      <c r="M24" s="3">
        <v>0.8</v>
      </c>
      <c r="N24" t="s">
        <v>36</v>
      </c>
    </row>
    <row r="25" spans="9:14" x14ac:dyDescent="0.35">
      <c r="I25">
        <v>10170</v>
      </c>
      <c r="J25" t="s">
        <v>33</v>
      </c>
      <c r="K25" t="s">
        <v>35</v>
      </c>
      <c r="M25">
        <f>_xlfn.NORM.S.INV(M24)</f>
        <v>0.84162123357291474</v>
      </c>
      <c r="N25" t="s">
        <v>31</v>
      </c>
    </row>
    <row r="26" spans="9:14" x14ac:dyDescent="0.35">
      <c r="I26">
        <f>SQRT(I2*(1-I2)/I24/(1-I24))</f>
        <v>1.051005892141019</v>
      </c>
      <c r="J26" t="s">
        <v>27</v>
      </c>
      <c r="M26">
        <f>M25+I17*I26</f>
        <v>2.5703720872084368</v>
      </c>
      <c r="N26" t="s">
        <v>29</v>
      </c>
    </row>
    <row r="27" spans="9:14" x14ac:dyDescent="0.35">
      <c r="I27">
        <f>(I2-I24)/SQRT(I24*(1-I24)/I25)</f>
        <v>2.5706394407817892</v>
      </c>
      <c r="J27" t="s">
        <v>29</v>
      </c>
      <c r="M27">
        <f>M26/(I2-I24)*SQRT(I24*(1-I24))</f>
        <v>100.83592957895372</v>
      </c>
      <c r="N27" t="s">
        <v>37</v>
      </c>
    </row>
    <row r="28" spans="9:14" x14ac:dyDescent="0.35">
      <c r="I28">
        <f>I17*I26+I27</f>
        <v>4.2993902944173117</v>
      </c>
      <c r="J28" t="s">
        <v>30</v>
      </c>
      <c r="M28">
        <f>M27^2</f>
        <v>10167.884694051714</v>
      </c>
      <c r="N28" t="s">
        <v>33</v>
      </c>
    </row>
    <row r="29" spans="9:14" x14ac:dyDescent="0.35">
      <c r="I29">
        <f>-I17*I26+I27</f>
        <v>0.84188858714626691</v>
      </c>
      <c r="J29" t="s">
        <v>31</v>
      </c>
    </row>
    <row r="30" spans="9:14" x14ac:dyDescent="0.35">
      <c r="I30" s="2">
        <f>_xlfn.NORM.S.DIST(I28,1)-_xlfn.NORM.S.DIST(I29,1)</f>
        <v>0.19991659616989921</v>
      </c>
      <c r="J30" t="s">
        <v>32</v>
      </c>
    </row>
    <row r="31" spans="9:14" x14ac:dyDescent="0.35">
      <c r="I31" s="2">
        <f>1-I30</f>
        <v>0.80008340383010079</v>
      </c>
      <c r="J31" t="s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L29"/>
  <sheetViews>
    <sheetView tabSelected="1" workbookViewId="0">
      <selection activeCell="K14" sqref="K14"/>
    </sheetView>
  </sheetViews>
  <sheetFormatPr defaultRowHeight="14.5" x14ac:dyDescent="0.35"/>
  <sheetData>
    <row r="1" spans="9:12" x14ac:dyDescent="0.35">
      <c r="I1">
        <v>9.6</v>
      </c>
      <c r="K1">
        <f>COUNT(I1:I14)</f>
        <v>14</v>
      </c>
      <c r="L1" t="s">
        <v>2</v>
      </c>
    </row>
    <row r="2" spans="9:12" x14ac:dyDescent="0.35">
      <c r="I2">
        <v>9.1999999999999993</v>
      </c>
      <c r="K2">
        <f>K1-1</f>
        <v>13</v>
      </c>
      <c r="L2" t="s">
        <v>38</v>
      </c>
    </row>
    <row r="3" spans="9:12" x14ac:dyDescent="0.35">
      <c r="I3">
        <v>9.6999999999999993</v>
      </c>
      <c r="K3">
        <f>AVERAGE(I1:I14)</f>
        <v>9.3285714285714274</v>
      </c>
      <c r="L3" t="s">
        <v>39</v>
      </c>
    </row>
    <row r="4" spans="9:12" x14ac:dyDescent="0.35">
      <c r="I4">
        <v>7.5</v>
      </c>
      <c r="K4">
        <f>_xlfn.STDEV.S(I1:I14)</f>
        <v>0.80520286161417021</v>
      </c>
      <c r="L4" t="s">
        <v>40</v>
      </c>
    </row>
    <row r="5" spans="9:12" x14ac:dyDescent="0.35">
      <c r="I5">
        <v>9.1</v>
      </c>
      <c r="K5">
        <f>K4^2</f>
        <v>0.64835164835164849</v>
      </c>
      <c r="L5" t="s">
        <v>41</v>
      </c>
    </row>
    <row r="6" spans="9:12" x14ac:dyDescent="0.35">
      <c r="I6">
        <v>8.1999999999999993</v>
      </c>
      <c r="K6">
        <f>K5*K2</f>
        <v>8.4285714285714306</v>
      </c>
      <c r="L6" t="s">
        <v>42</v>
      </c>
    </row>
    <row r="7" spans="9:12" x14ac:dyDescent="0.35">
      <c r="I7">
        <v>10.199999999999999</v>
      </c>
    </row>
    <row r="8" spans="9:12" x14ac:dyDescent="0.35">
      <c r="I8">
        <v>9.4</v>
      </c>
    </row>
    <row r="9" spans="9:12" x14ac:dyDescent="0.35">
      <c r="I9">
        <v>9.5</v>
      </c>
    </row>
    <row r="10" spans="9:12" x14ac:dyDescent="0.35">
      <c r="I10">
        <v>10</v>
      </c>
    </row>
    <row r="11" spans="9:12" x14ac:dyDescent="0.35">
      <c r="I11">
        <v>10.5</v>
      </c>
      <c r="K11">
        <v>1</v>
      </c>
      <c r="L11" t="s">
        <v>15</v>
      </c>
    </row>
    <row r="12" spans="9:12" x14ac:dyDescent="0.35">
      <c r="I12">
        <v>8.5</v>
      </c>
      <c r="K12">
        <f>(K4/K11)^2*K2</f>
        <v>8.4285714285714306</v>
      </c>
      <c r="L12" t="s">
        <v>43</v>
      </c>
    </row>
    <row r="13" spans="9:12" x14ac:dyDescent="0.35">
      <c r="I13">
        <v>9.8000000000000007</v>
      </c>
      <c r="K13">
        <f>_xlfn.CHISQ.DIST.RT(K12,K2)</f>
        <v>0.8146029500387828</v>
      </c>
      <c r="L13" t="s">
        <v>25</v>
      </c>
    </row>
    <row r="14" spans="9:12" x14ac:dyDescent="0.35">
      <c r="I14">
        <v>9.4</v>
      </c>
      <c r="K14" s="3">
        <v>0.05</v>
      </c>
      <c r="L14" t="s">
        <v>22</v>
      </c>
    </row>
    <row r="15" spans="9:12" x14ac:dyDescent="0.35">
      <c r="K15">
        <f>_xlfn.CHISQ.INV.RT(K14,K2)</f>
        <v>22.362032494826938</v>
      </c>
      <c r="L15" t="s">
        <v>30</v>
      </c>
    </row>
    <row r="17" spans="8:12" x14ac:dyDescent="0.35">
      <c r="K17" s="3">
        <v>0.95</v>
      </c>
      <c r="L17" t="s">
        <v>44</v>
      </c>
    </row>
    <row r="18" spans="8:12" x14ac:dyDescent="0.35">
      <c r="K18">
        <v>0.1</v>
      </c>
      <c r="L18" t="s">
        <v>10</v>
      </c>
    </row>
    <row r="19" spans="8:12" x14ac:dyDescent="0.35">
      <c r="K19">
        <f>_xlfn.NORM.S.INV(0.5+0.5*K17)</f>
        <v>1.9599639845400536</v>
      </c>
      <c r="L19" t="s">
        <v>9</v>
      </c>
    </row>
    <row r="20" spans="8:12" x14ac:dyDescent="0.35">
      <c r="K20">
        <f>(K18/K11/K19)^-2</f>
        <v>384.14588206941232</v>
      </c>
      <c r="L20" t="s">
        <v>45</v>
      </c>
    </row>
    <row r="21" spans="8:12" x14ac:dyDescent="0.35">
      <c r="K21">
        <f>(K18/K4/K19)^-2</f>
        <v>249.06161584720141</v>
      </c>
      <c r="L21" t="s">
        <v>46</v>
      </c>
    </row>
    <row r="24" spans="8:12" x14ac:dyDescent="0.35">
      <c r="H24">
        <v>10</v>
      </c>
      <c r="I24" t="s">
        <v>47</v>
      </c>
      <c r="K24">
        <f>K2+H25</f>
        <v>22</v>
      </c>
      <c r="L24" t="s">
        <v>38</v>
      </c>
    </row>
    <row r="25" spans="8:12" x14ac:dyDescent="0.35">
      <c r="H25">
        <f>H24-1</f>
        <v>9</v>
      </c>
      <c r="I25" t="s">
        <v>38</v>
      </c>
      <c r="K25">
        <f>H29+K6</f>
        <v>16.89667142857143</v>
      </c>
      <c r="L25" t="s">
        <v>53</v>
      </c>
    </row>
    <row r="26" spans="8:12" x14ac:dyDescent="0.35">
      <c r="H26">
        <v>9.0399999999999991</v>
      </c>
      <c r="I26" t="s">
        <v>48</v>
      </c>
      <c r="K26">
        <f>K25/K24</f>
        <v>0.76803051948051959</v>
      </c>
      <c r="L26" t="s">
        <v>50</v>
      </c>
    </row>
    <row r="27" spans="8:12" x14ac:dyDescent="0.35">
      <c r="H27">
        <v>0.97</v>
      </c>
      <c r="I27" t="s">
        <v>49</v>
      </c>
      <c r="K27">
        <f>SQRT(K26)</f>
        <v>0.87637350455186602</v>
      </c>
      <c r="L27" t="s">
        <v>54</v>
      </c>
    </row>
    <row r="28" spans="8:12" x14ac:dyDescent="0.35">
      <c r="H28">
        <f>H27^2</f>
        <v>0.94089999999999996</v>
      </c>
      <c r="I28" t="s">
        <v>51</v>
      </c>
      <c r="K28">
        <f>(K3-H26)/K27/SQRT(1/K1+1/H24)</f>
        <v>0.79528444357999051</v>
      </c>
      <c r="L28" t="s">
        <v>55</v>
      </c>
    </row>
    <row r="29" spans="8:12" x14ac:dyDescent="0.35">
      <c r="H29">
        <f>H28*H25</f>
        <v>8.4680999999999997</v>
      </c>
      <c r="I29" t="s">
        <v>52</v>
      </c>
      <c r="K29" s="2">
        <f>_xlfn.T.DIST.2T(K28,K24)</f>
        <v>0.43494498320298081</v>
      </c>
      <c r="L29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5.1</vt:lpstr>
      <vt:lpstr>5.2</vt:lpstr>
      <vt:lpstr>5.3</vt:lpstr>
      <vt:lpstr>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Vandertic</dc:creator>
  <cp:lastModifiedBy>Vandertic</cp:lastModifiedBy>
  <dcterms:created xsi:type="dcterms:W3CDTF">2022-06-29T09:07:00Z</dcterms:created>
  <dcterms:modified xsi:type="dcterms:W3CDTF">2022-06-30T08:47:23Z</dcterms:modified>
</cp:coreProperties>
</file>