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ag\Downloads\"/>
    </mc:Choice>
  </mc:AlternateContent>
  <xr:revisionPtr revIDLastSave="0" documentId="13_ncr:1_{0ECB2436-D3ED-4F55-BB65-3DE18E6B332D}" xr6:coauthVersionLast="36" xr6:coauthVersionMax="47" xr10:uidLastSave="{00000000-0000-0000-0000-000000000000}"/>
  <bookViews>
    <workbookView xWindow="0" yWindow="0" windowWidth="28800" windowHeight="12225" activeTab="4" xr2:uid="{00000000-000D-0000-FFFF-FFFF00000000}"/>
  </bookViews>
  <sheets>
    <sheet name="ДЗ №1" sheetId="1" r:id="rId1"/>
    <sheet name="ДЗ №2" sheetId="2" r:id="rId2"/>
    <sheet name="Лист1" sheetId="3" r:id="rId3"/>
    <sheet name="Лист3" sheetId="5" r:id="rId4"/>
    <sheet name="Лист5" sheetId="7" r:id="rId5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'ДЗ №2'!$I$5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79021" iterate="1" iterateCount="1" iterateDelta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7" l="1"/>
  <c r="N22" i="7"/>
  <c r="L22" i="7"/>
  <c r="L23" i="7"/>
  <c r="K29" i="5"/>
  <c r="G29" i="5"/>
  <c r="D34" i="5"/>
  <c r="D35" i="5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31" i="5"/>
  <c r="D32" i="5" s="1"/>
  <c r="D33" i="5" s="1"/>
  <c r="D26" i="5"/>
  <c r="F20" i="5"/>
  <c r="E17" i="5"/>
  <c r="D10" i="5"/>
  <c r="D11" i="5" s="1"/>
  <c r="D12" i="5" s="1"/>
  <c r="D13" i="5" s="1"/>
  <c r="D14" i="5" s="1"/>
  <c r="D15" i="5" s="1"/>
  <c r="D16" i="5" s="1"/>
  <c r="D17" i="5" s="1"/>
  <c r="D9" i="5"/>
  <c r="D8" i="5"/>
  <c r="L20" i="3"/>
  <c r="F16" i="3"/>
  <c r="E16" i="3"/>
  <c r="D15" i="3"/>
  <c r="D16" i="3"/>
  <c r="F15" i="3"/>
  <c r="E15" i="3"/>
  <c r="C15" i="3"/>
  <c r="F4" i="3"/>
  <c r="F5" i="3"/>
  <c r="F6" i="3"/>
  <c r="F7" i="3"/>
  <c r="F8" i="3"/>
  <c r="F9" i="3"/>
  <c r="F10" i="3"/>
  <c r="F11" i="3"/>
  <c r="F12" i="3"/>
  <c r="F13" i="3"/>
  <c r="F14" i="3"/>
  <c r="F3" i="3"/>
  <c r="E4" i="3"/>
  <c r="E5" i="3"/>
  <c r="E6" i="3"/>
  <c r="E7" i="3"/>
  <c r="E8" i="3"/>
  <c r="E9" i="3"/>
  <c r="E10" i="3"/>
  <c r="E11" i="3"/>
  <c r="E12" i="3"/>
  <c r="E13" i="3"/>
  <c r="E14" i="3"/>
  <c r="E3" i="3"/>
  <c r="D6" i="3"/>
  <c r="D7" i="3" s="1"/>
  <c r="D8" i="3" s="1"/>
  <c r="D9" i="3" s="1"/>
  <c r="D10" i="3" s="1"/>
  <c r="D11" i="3" s="1"/>
  <c r="D12" i="3" s="1"/>
  <c r="D13" i="3" s="1"/>
  <c r="D14" i="3" s="1"/>
  <c r="D5" i="3"/>
  <c r="D4" i="3"/>
  <c r="C19" i="3"/>
  <c r="G63" i="2"/>
  <c r="G60" i="2"/>
  <c r="G66" i="2"/>
  <c r="D58" i="2"/>
  <c r="D59" i="2"/>
  <c r="D60" i="2"/>
  <c r="D61" i="2"/>
  <c r="D62" i="2"/>
  <c r="D63" i="2"/>
  <c r="D64" i="2"/>
  <c r="D65" i="2"/>
  <c r="D57" i="2"/>
  <c r="C71" i="2"/>
  <c r="G57" i="2"/>
  <c r="M69" i="2"/>
  <c r="J67" i="2"/>
  <c r="I57" i="2"/>
  <c r="J65" i="2"/>
  <c r="J63" i="2"/>
  <c r="J61" i="2"/>
  <c r="J55" i="2"/>
  <c r="O22" i="2"/>
  <c r="AD34" i="2"/>
  <c r="Q46" i="2"/>
  <c r="Q47" i="2"/>
  <c r="Q45" i="2"/>
  <c r="I6" i="2"/>
  <c r="I7" i="2"/>
  <c r="I8" i="2"/>
  <c r="I9" i="2"/>
  <c r="I10" i="2"/>
  <c r="I5" i="2"/>
  <c r="H8" i="2" l="1"/>
  <c r="H9" i="2"/>
  <c r="H10" i="2"/>
  <c r="H7" i="2"/>
  <c r="G6" i="2"/>
  <c r="G7" i="2"/>
  <c r="G8" i="2"/>
  <c r="G9" i="2"/>
  <c r="G10" i="2"/>
  <c r="J52" i="2" l="1"/>
  <c r="I52" i="2"/>
  <c r="G69" i="2"/>
  <c r="G72" i="2" s="1"/>
  <c r="O31" i="2"/>
  <c r="D7" i="2"/>
  <c r="D8" i="2"/>
  <c r="D9" i="2"/>
  <c r="D10" i="2"/>
  <c r="D11" i="2"/>
  <c r="D5" i="2"/>
  <c r="D6" i="2"/>
  <c r="F6" i="2"/>
  <c r="F7" i="2"/>
  <c r="F8" i="2"/>
  <c r="F9" i="2"/>
  <c r="F10" i="2"/>
  <c r="F5" i="2"/>
  <c r="B12" i="2"/>
  <c r="C6" i="2"/>
  <c r="C7" i="2"/>
  <c r="C8" i="2"/>
  <c r="C9" i="2"/>
  <c r="C10" i="2"/>
  <c r="C11" i="2"/>
  <c r="C5" i="2"/>
  <c r="F72" i="2" l="1"/>
  <c r="O25" i="2"/>
  <c r="O28" i="2" s="1"/>
  <c r="O34" i="2" s="1"/>
  <c r="O37" i="2" s="1"/>
  <c r="N37" i="2" l="1"/>
  <c r="C8" i="1" l="1"/>
  <c r="C7" i="1"/>
  <c r="C6" i="1"/>
  <c r="C12" i="1"/>
</calcChain>
</file>

<file path=xl/sharedStrings.xml><?xml version="1.0" encoding="utf-8"?>
<sst xmlns="http://schemas.openxmlformats.org/spreadsheetml/2006/main" count="198" uniqueCount="71">
  <si>
    <t>Стандартная ошибка</t>
  </si>
  <si>
    <t>F</t>
  </si>
  <si>
    <t>А</t>
  </si>
  <si>
    <t>t</t>
  </si>
  <si>
    <t>?</t>
  </si>
  <si>
    <t>t^2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</si>
  <si>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</si>
  <si>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</si>
  <si>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</si>
  <si>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</si>
  <si>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</si>
  <si>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</si>
  <si>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</si>
  <si>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</si>
  <si>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</si>
  <si>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</si>
  <si>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</si>
  <si>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</si>
  <si>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</si>
  <si>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</si>
  <si>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</si>
  <si>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</si>
  <si>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</si>
  <si>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</si>
  <si>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</si>
  <si>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</si>
  <si>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</si>
  <si>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</si>
  <si>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</si>
  <si>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</si>
  <si>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А</t>
  </si>
  <si>
    <t>Остатки</t>
  </si>
  <si>
    <t>Yp</t>
  </si>
  <si>
    <t>Точечный прогноз</t>
  </si>
  <si>
    <t>t-tс</t>
  </si>
  <si>
    <t>Поправочный коэффициент Q</t>
  </si>
  <si>
    <t>Q</t>
  </si>
  <si>
    <t>Средняя ошибка прогноза</t>
  </si>
  <si>
    <t>Sp</t>
  </si>
  <si>
    <t>t^3</t>
  </si>
  <si>
    <t>Критерий Стьюдента</t>
  </si>
  <si>
    <t>Предельная ошибка</t>
  </si>
  <si>
    <t>Интервальный прогноз</t>
  </si>
  <si>
    <t>t-tc</t>
  </si>
  <si>
    <t>tc</t>
  </si>
  <si>
    <t>p</t>
  </si>
  <si>
    <t>Интервал стандартной ошибки</t>
  </si>
  <si>
    <t>-</t>
  </si>
  <si>
    <t>K</t>
  </si>
  <si>
    <t>Коэф опереж</t>
  </si>
  <si>
    <t>ln A</t>
  </si>
  <si>
    <t>Предсказанное ln A</t>
  </si>
  <si>
    <t>a</t>
  </si>
  <si>
    <t>b</t>
  </si>
  <si>
    <t>c</t>
  </si>
  <si>
    <t>mse</t>
  </si>
  <si>
    <t>14 = шесть сигм</t>
  </si>
  <si>
    <t>сигма</t>
  </si>
  <si>
    <t>сигма^2</t>
  </si>
  <si>
    <t>Сумм(y-yср)^2</t>
  </si>
  <si>
    <t>Стандартная ошибка линии тренда</t>
  </si>
  <si>
    <t>y</t>
  </si>
  <si>
    <t>T</t>
  </si>
  <si>
    <t>CosT</t>
  </si>
  <si>
    <t>SinT</t>
  </si>
  <si>
    <t>Предсказанное y</t>
  </si>
  <si>
    <t>Cos2T</t>
  </si>
  <si>
    <t>Sin2T</t>
  </si>
  <si>
    <t>…</t>
  </si>
  <si>
    <t>Точечный прогноз по тренду</t>
  </si>
  <si>
    <t>Точечный прогноз по ряду Фурье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</si>
</sst>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/>
    <xf numFmtId="0" fontId="0" fillId="0" borderId="16" xfId="0" applyFill="1" applyBorder="1" applyAlignment="1"/>
    <xf numFmtId="0" fontId="2" fillId="0" borderId="17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Continuous"/>
    </xf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1" xfId="0" applyFill="1" applyBorder="1"/>
    <xf numFmtId="0" fontId="0" fillId="2" borderId="19" xfId="0" applyFill="1" applyBorder="1"/>
    <xf numFmtId="0" fontId="2" fillId="2" borderId="1" xfId="0" applyFont="1" applyFill="1" applyBorder="1" applyAlignment="1">
      <alignment horizontal="center"/>
    </xf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9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2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4" xfId="0" quotePrefix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26" xfId="0" quotePrefix="1" applyBorder="1"/>
    <xf numFmtId="0" fontId="0" fillId="0" borderId="25" xfId="0" quotePrefix="1" applyBorder="1"/>
    <xf numFmtId="0" fontId="0" fillId="0" borderId="0" xfId="0" applyAlignment="1">
      <alignment horizontal="right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6" xfId="0" applyBorder="1"/>
    <xf numFmtId="0" fontId="0" fillId="0" borderId="32" xfId="0" applyBorder="1"/>
    <xf numFmtId="0" fontId="0" fillId="0" borderId="7" xfId="0" applyBorder="1"/>
    <xf numFmtId="0" fontId="0" fillId="4" borderId="19" xfId="0" applyFill="1" applyBorder="1"/>
    <xf numFmtId="0" fontId="3" fillId="0" borderId="1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0" borderId="33" xfId="0" applyFill="1" applyBorder="1"/>
    <xf numFmtId="0" fontId="0" fillId="0" borderId="11" xfId="0" applyBorder="1"/>
    <xf numFmtId="0" fontId="4" fillId="0" borderId="0" xfId="0" applyFont="1" applyAlignment="1">
      <alignment horizontal="right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5" xfId="0" applyBorder="1"/>
    <xf numFmtId="0" fontId="0" fillId="0" borderId="37" xfId="0" applyBorder="1"/>
    <xf numFmtId="0" fontId="0" fillId="0" borderId="26" xfId="0" applyFill="1" applyBorder="1"/>
    <xf numFmtId="0" fontId="0" fillId="0" borderId="27" xfId="0" applyFill="1" applyBorder="1"/>
    <xf numFmtId="0" fontId="0" fillId="0" borderId="38" xfId="0" applyBorder="1"/>
    <xf numFmtId="0" fontId="0" fillId="0" borderId="39" xfId="0" applyFill="1" applyBorder="1"/>
    <xf numFmtId="0" fontId="0" fillId="0" borderId="40" xfId="0" applyBorder="1"/>
    <xf numFmtId="0" fontId="0" fillId="0" borderId="30" xfId="0" applyBorder="1"/>
    <xf numFmtId="0" fontId="0" fillId="0" borderId="41" xfId="0" applyBorder="1"/>
    <xf numFmtId="0" fontId="0" fillId="0" borderId="31" xfId="0" applyFill="1" applyBorder="1"/>
    <xf numFmtId="0" fontId="0" fillId="4" borderId="0" xfId="0" applyFill="1"/>
    <xf numFmtId="0" fontId="0" fillId="0" borderId="2" xfId="0" applyBorder="1"/>
    <xf numFmtId="0" fontId="0" fillId="0" borderId="12" xfId="0" applyBorder="1"/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</a:t>
            </a:r>
            <a:r>
              <a:rPr lang="en-US"/>
              <a:t>A</a:t>
            </a:r>
            <a:r>
              <a:rPr lang="ru-RU"/>
              <a:t> (объёма продаж)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753718285214342E-2"/>
                  <c:y val="0.11071376494604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285739282589675"/>
                  <c:y val="0.11660214348206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7031496062992129E-2"/>
                  <c:y val="-7.9467045785943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627427821522309"/>
                  <c:y val="-0.12561132983377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1594094488188978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'ДЗ №2'!$E$5:$E$10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31</c:v>
                </c:pt>
                <c:pt idx="4">
                  <c:v>117</c:v>
                </c:pt>
                <c:pt idx="5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6-44B6-9137-13D10535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142160"/>
        <c:axId val="1565144240"/>
      </c:lineChart>
      <c:catAx>
        <c:axId val="15651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5144240"/>
        <c:crosses val="autoZero"/>
        <c:auto val="1"/>
        <c:lblAlgn val="ctr"/>
        <c:lblOffset val="100"/>
        <c:noMultiLvlLbl val="0"/>
      </c:catAx>
      <c:valAx>
        <c:axId val="15651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51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Лист1!$C$3:$C$14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9-4FE0-B13C-08BCE03A0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8064"/>
        <c:axId val="95811344"/>
      </c:scatterChart>
      <c:valAx>
        <c:axId val="958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11344"/>
        <c:crosses val="autoZero"/>
        <c:crossBetween val="midCat"/>
      </c:valAx>
      <c:valAx>
        <c:axId val="958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57149</xdr:rowOff>
    </xdr:from>
    <xdr:to>
      <xdr:col>17</xdr:col>
      <xdr:colOff>200025</xdr:colOff>
      <xdr:row>15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C97988-6695-4BD9-8983-A06C0FAF5352}"/>
            </a:ext>
          </a:extLst>
        </xdr:cNvPr>
        <xdr:cNvSpPr txBox="1"/>
      </xdr:nvSpPr>
      <xdr:spPr>
        <a:xfrm>
          <a:off x="3667125" y="57149"/>
          <a:ext cx="6896100" cy="2876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1"/>
            <a:t>Задание</a:t>
          </a:r>
        </a:p>
        <a:p>
          <a:endParaRPr lang="ru-RU" sz="1300" b="1"/>
        </a:p>
        <a:p>
          <a:r>
            <a:rPr lang="ru-RU" sz="1300" b="0"/>
            <a:t>Построено</a:t>
          </a:r>
          <a:r>
            <a:rPr lang="ru-RU" sz="1300" b="0" baseline="0"/>
            <a:t> уравнение тренда инфляции за 16 месяцев.</a:t>
          </a:r>
        </a:p>
        <a:p>
          <a:endParaRPr lang="ru-RU" sz="1300" b="0" baseline="0"/>
        </a:p>
        <a:p>
          <a:r>
            <a:rPr lang="en-US" sz="1300" b="0" baseline="0"/>
            <a:t>y = 2.25 - 0.36t + 0.02t^2</a:t>
          </a:r>
        </a:p>
        <a:p>
          <a:r>
            <a:rPr lang="en-US" sz="1300" b="0" baseline="0"/>
            <a:t>R^2 = 0.439</a:t>
          </a:r>
        </a:p>
        <a:p>
          <a:endParaRPr lang="en-US" sz="1300" b="0" baseline="0"/>
        </a:p>
        <a:p>
          <a:r>
            <a:rPr lang="ru-RU" sz="1300" b="0" baseline="0"/>
            <a:t>Дана стандартная ошибка параметра</a:t>
          </a:r>
          <a:r>
            <a:rPr lang="en-US" sz="1300" b="0" baseline="0"/>
            <a:t> </a:t>
          </a:r>
          <a:r>
            <a:rPr lang="ru-RU" sz="1300" b="0" baseline="0"/>
            <a:t>и значение </a:t>
          </a:r>
          <a:r>
            <a:rPr lang="en-US" sz="1300" b="0" baseline="0"/>
            <a:t>F-</a:t>
          </a:r>
          <a:r>
            <a:rPr lang="ru-RU" sz="1300" b="0" baseline="0"/>
            <a:t>критерия Фишера</a:t>
          </a:r>
          <a:endParaRPr lang="en-US" sz="1300" b="0" baseline="0"/>
        </a:p>
        <a:p>
          <a:endParaRPr lang="en-US" sz="1300" b="0" baseline="0"/>
        </a:p>
        <a:p>
          <a:r>
            <a:rPr lang="en-US" sz="1300" b="0" baseline="0"/>
            <a:t>1) </a:t>
          </a:r>
          <a:r>
            <a:rPr lang="ru-RU" sz="1300" b="0" baseline="0"/>
            <a:t>Сделайте вывод о качестве уравнения тренда</a:t>
          </a:r>
          <a:endParaRPr lang="en-US" sz="1300" b="0" baseline="0"/>
        </a:p>
        <a:p>
          <a:r>
            <a:rPr lang="ru-RU" sz="1300" b="0" baseline="0"/>
            <a:t>2) Оцените автокорреляцию в остатках, если фактическое значение критерия Дарбина-Уотсона составило 1.214</a:t>
          </a:r>
        </a:p>
        <a:p>
          <a:r>
            <a:rPr lang="ru-RU" sz="1300" b="0" baseline="0"/>
            <a:t>3) Надежны ли выводы, сделанные в п.1 ?</a:t>
          </a:r>
          <a:endParaRPr lang="en-US" sz="1300" b="0" baseline="0"/>
        </a:p>
      </xdr:txBody>
    </xdr:sp>
    <xdr:clientData/>
  </xdr:twoCellAnchor>
  <xdr:twoCellAnchor>
    <xdr:from>
      <xdr:col>2</xdr:col>
      <xdr:colOff>161925</xdr:colOff>
      <xdr:row>16</xdr:row>
      <xdr:rowOff>85725</xdr:rowOff>
    </xdr:from>
    <xdr:to>
      <xdr:col>13</xdr:col>
      <xdr:colOff>352425</xdr:colOff>
      <xdr:row>31</xdr:row>
      <xdr:rowOff>104776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6147DD-813B-4FB4-9745-2C3C68D9457D}"/>
            </a:ext>
          </a:extLst>
        </xdr:cNvPr>
        <xdr:cNvSpPr txBox="1"/>
      </xdr:nvSpPr>
      <xdr:spPr>
        <a:xfrm>
          <a:off x="1381125" y="3133725"/>
          <a:ext cx="6896100" cy="2876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0" baseline="0"/>
            <a:t>1) Глядя на значение коэффициента детерминации можно сделать вывод о том, что уравнение тренда плохо описывает данную модель.</a:t>
          </a:r>
          <a:endParaRPr lang="en-US" sz="1300" b="0" baseline="0"/>
        </a:p>
        <a:p>
          <a:endParaRPr lang="ru-RU" sz="1300" b="0" baseline="0"/>
        </a:p>
        <a:p>
          <a:r>
            <a:rPr lang="ru-RU" sz="1300" b="0" baseline="0"/>
            <a:t>2) 16-2 = 14</a:t>
          </a:r>
        </a:p>
        <a:p>
          <a:r>
            <a:rPr lang="ru-RU" sz="1300" b="0" baseline="0"/>
            <a:t>Получается что ничего сказать нельзя</a:t>
          </a:r>
        </a:p>
        <a:p>
          <a:r>
            <a:rPr lang="ru-RU" sz="1300" b="0" baseline="0"/>
            <a:t>1.05 </a:t>
          </a:r>
          <a:r>
            <a:rPr lang="en-US" sz="1300" b="0" baseline="0"/>
            <a:t>&lt;= 1.214 &lt;= 1.35</a:t>
          </a:r>
        </a:p>
        <a:p>
          <a:endParaRPr lang="en-US" sz="1300" b="0" baseline="0"/>
        </a:p>
        <a:p>
          <a:r>
            <a:rPr lang="en-US" sz="1300" b="0" baseline="0"/>
            <a:t>3) </a:t>
          </a:r>
          <a:r>
            <a:rPr lang="ru-RU" sz="1300" b="0" baseline="0"/>
            <a:t>Получается что в 1 случае мы сказали что уравнение тренда плохо описывает данную модель, а во второв пункте сказали что ничего сказать нельзя, получается что ничего сказать нельязя про данное уравнение тенденции.</a:t>
          </a:r>
          <a:endParaRPr lang="en-US" sz="1300" b="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9524</xdr:rowOff>
    </xdr:from>
    <xdr:to>
      <xdr:col>29</xdr:col>
      <xdr:colOff>190500</xdr:colOff>
      <xdr:row>21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987269-484C-472E-A3DA-C2E70AAA529F}"/>
            </a:ext>
          </a:extLst>
        </xdr:cNvPr>
        <xdr:cNvSpPr txBox="1"/>
      </xdr:nvSpPr>
      <xdr:spPr>
        <a:xfrm>
          <a:off x="11772900" y="200024"/>
          <a:ext cx="6896100" cy="3981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1" baseline="0"/>
            <a:t>ДЗ №1</a:t>
          </a:r>
        </a:p>
        <a:p>
          <a:endParaRPr lang="ru-RU" sz="1300" b="0" baseline="0"/>
        </a:p>
        <a:p>
          <a:r>
            <a:rPr lang="ru-RU" sz="1300" b="0" baseline="0"/>
            <a:t>Объём продаж товара А (тыс. ед) за 6 кварталов составил ...</a:t>
          </a:r>
        </a:p>
        <a:p>
          <a:endParaRPr lang="ru-RU" sz="1300" b="0" baseline="0"/>
        </a:p>
        <a:p>
          <a:r>
            <a:rPr lang="ru-RU" sz="1300" b="0" i="1" baseline="0"/>
            <a:t>Требуется</a:t>
          </a:r>
          <a:r>
            <a:rPr lang="en-US" sz="1300" b="0" i="1" baseline="0"/>
            <a:t>:</a:t>
          </a:r>
          <a:endParaRPr lang="ru-RU" sz="1300" b="0" i="1" baseline="0"/>
        </a:p>
        <a:p>
          <a:r>
            <a:rPr lang="en-US" sz="1300" b="0" baseline="0"/>
            <a:t>1) </a:t>
          </a:r>
          <a:r>
            <a:rPr lang="ru-RU" sz="1300" b="0" baseline="0"/>
            <a:t>Обосновать выбор функции тренда, дать интерпретацию параметров.</a:t>
          </a:r>
        </a:p>
        <a:p>
          <a:r>
            <a:rPr lang="ru-RU" sz="1300" b="0" i="1" baseline="0"/>
            <a:t>Данная модель хорошо описывается параболой 2-го поряда, потому что у неё больше всего коэффициент детерминации. Также можно взять и параболу 3-го порядка, потому что там коэффцициент детерминации ещё больше, но это больше переменных в регрессии, поэтому оптимально стоит взять параболу 2-го порядка.</a:t>
          </a:r>
          <a:endParaRPr lang="en-US" sz="1300" b="0" i="1" baseline="0"/>
        </a:p>
        <a:p>
          <a:endParaRPr lang="en-US" sz="1300" b="0" i="1" baseline="0"/>
        </a:p>
        <a:p>
          <a:r>
            <a:rPr lang="ru-RU" sz="1300" b="0" i="1" baseline="0"/>
            <a:t>При равных коэф опережения нужно применять логарифмическую параболу</a:t>
          </a:r>
          <a:r>
            <a:rPr lang="en-US" sz="1300" b="0" i="1" baseline="0"/>
            <a:t>:</a:t>
          </a:r>
        </a:p>
        <a:p>
          <a:endParaRPr lang="en-US" sz="1300" b="0" baseline="0"/>
        </a:p>
        <a:p>
          <a:r>
            <a:rPr lang="en-US" sz="1300" b="0" i="1" baseline="0"/>
            <a:t>y = a b^t c^(t^2)</a:t>
          </a:r>
        </a:p>
        <a:p>
          <a:r>
            <a:rPr lang="en-US" sz="1300" b="0" i="1" baseline="0"/>
            <a:t>lny = lna + t lnb + t^2 lnc</a:t>
          </a:r>
        </a:p>
        <a:p>
          <a:endParaRPr lang="en-US" sz="1300" b="0" i="1" baseline="0"/>
        </a:p>
        <a:p>
          <a:r>
            <a:rPr lang="en-US" sz="1300" b="0" i="1" baseline="0"/>
            <a:t>y = 1.22 * 1.4681^t * 1.1115^(t^2)</a:t>
          </a:r>
        </a:p>
        <a:p>
          <a:endParaRPr lang="ru-RU" sz="1300" b="0" baseline="0"/>
        </a:p>
        <a:p>
          <a:r>
            <a:rPr lang="ru-RU" sz="1300" b="0" baseline="0"/>
            <a:t>2) Дать прогноз на 7 квартал.</a:t>
          </a:r>
        </a:p>
        <a:p>
          <a:endParaRPr lang="ru-RU" sz="1300" b="0" baseline="0"/>
        </a:p>
        <a:p>
          <a:endParaRPr lang="ru-RU" sz="1300" b="0" baseline="0"/>
        </a:p>
      </xdr:txBody>
    </xdr:sp>
    <xdr:clientData/>
  </xdr:twoCellAnchor>
  <xdr:twoCellAnchor>
    <xdr:from>
      <xdr:col>11</xdr:col>
      <xdr:colOff>600074</xdr:colOff>
      <xdr:row>50</xdr:row>
      <xdr:rowOff>19050</xdr:rowOff>
    </xdr:from>
    <xdr:to>
      <xdr:col>23</xdr:col>
      <xdr:colOff>257175</xdr:colOff>
      <xdr:row>62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53D4112-6BD0-42E8-A211-C3E47E375D90}"/>
            </a:ext>
          </a:extLst>
        </xdr:cNvPr>
        <xdr:cNvSpPr txBox="1"/>
      </xdr:nvSpPr>
      <xdr:spPr>
        <a:xfrm>
          <a:off x="7800974" y="9782175"/>
          <a:ext cx="6972301" cy="2524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ДЗ №2</a:t>
          </a:r>
          <a:endParaRPr lang="en-US" sz="1300">
            <a:effectLst/>
          </a:endParaRPr>
        </a:p>
        <a:p>
          <a:r>
            <a:rPr lang="ru-RU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Динамика числа учтённых страховых организаций в СПб за 1998-2006 годы характеризовалось уравнением тренда</a:t>
          </a:r>
          <a:r>
            <a:rPr lang="en-US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300">
            <a:effectLst/>
          </a:endParaRPr>
        </a:p>
        <a:p>
          <a:r>
            <a:rPr lang="en-US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-2,25 t + 79,58</a:t>
          </a:r>
          <a:endParaRPr lang="en-US" sz="1300">
            <a:effectLst/>
          </a:endParaRPr>
        </a:p>
        <a:p>
          <a:r>
            <a:rPr lang="en-US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R^2 = 0,7198</a:t>
          </a:r>
          <a:endParaRPr lang="en-US" sz="1300">
            <a:effectLst/>
          </a:endParaRPr>
        </a:p>
        <a:p>
          <a:r>
            <a:rPr lang="ru-RU" sz="13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Требуется</a:t>
          </a:r>
          <a:r>
            <a:rPr lang="en-US" sz="13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300">
            <a:effectLst/>
          </a:endParaRPr>
        </a:p>
        <a:p>
          <a:r>
            <a:rPr lang="ru-RU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Интерпретировать результат линии тренда.</a:t>
          </a:r>
        </a:p>
        <a:p>
          <a:r>
            <a:rPr lang="ru-RU" sz="13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Ежегодно число учтённых страховых организаций падали в среднем на 2.25 ед.</a:t>
          </a:r>
        </a:p>
        <a:p>
          <a:endParaRPr lang="en-US" sz="1300">
            <a:effectLst/>
          </a:endParaRPr>
        </a:p>
        <a:p>
          <a:r>
            <a:rPr lang="ru-RU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Оценить стандартную ошибку линии тренда, если размах вариации составлял от </a:t>
          </a:r>
          <a:r>
            <a:rPr lang="en-US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72 </a:t>
          </a:r>
          <a:r>
            <a:rPr lang="ru-RU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 58.</a:t>
          </a:r>
        </a:p>
        <a:p>
          <a:endParaRPr lang="en-US" sz="1300">
            <a:effectLst/>
          </a:endParaRPr>
        </a:p>
        <a:p>
          <a:r>
            <a:rPr lang="ru-RU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Дайте интервальный прогноз на 2010 год.</a:t>
          </a:r>
          <a:endParaRPr lang="en-US" sz="1300">
            <a:effectLst/>
          </a:endParaRPr>
        </a:p>
        <a:p>
          <a:endParaRPr lang="en-US" sz="1300"/>
        </a:p>
      </xdr:txBody>
    </xdr:sp>
    <xdr:clientData/>
  </xdr:twoCellAnchor>
  <xdr:twoCellAnchor>
    <xdr:from>
      <xdr:col>10</xdr:col>
      <xdr:colOff>19050</xdr:colOff>
      <xdr:row>1</xdr:row>
      <xdr:rowOff>14287</xdr:rowOff>
    </xdr:from>
    <xdr:to>
      <xdr:col>17</xdr:col>
      <xdr:colOff>323850</xdr:colOff>
      <xdr:row>15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D033513-47B4-4E69-81E7-3A5B77E7F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171450</xdr:rowOff>
    </xdr:from>
    <xdr:to>
      <xdr:col>10</xdr:col>
      <xdr:colOff>314325</xdr:colOff>
      <xdr:row>26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4725BF3-FBBE-42A5-AD11-59BBD6D835D7}"/>
            </a:ext>
          </a:extLst>
        </xdr:cNvPr>
        <xdr:cNvSpPr txBox="1"/>
      </xdr:nvSpPr>
      <xdr:spPr>
        <a:xfrm>
          <a:off x="4391025" y="4810125"/>
          <a:ext cx="2143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y = 44.196</a:t>
          </a:r>
          <a:r>
            <a:rPr lang="en-US" sz="1100" i="1" baseline="0"/>
            <a:t> x^2 - 220.804 x + 221.5</a:t>
          </a:r>
          <a:endParaRPr lang="en-US" sz="1100" i="1"/>
        </a:p>
      </xdr:txBody>
    </xdr:sp>
    <xdr:clientData/>
  </xdr:twoCellAnchor>
  <xdr:twoCellAnchor editAs="oneCell">
    <xdr:from>
      <xdr:col>13</xdr:col>
      <xdr:colOff>600075</xdr:colOff>
      <xdr:row>64</xdr:row>
      <xdr:rowOff>1647</xdr:rowOff>
    </xdr:from>
    <xdr:to>
      <xdr:col>22</xdr:col>
      <xdr:colOff>153469</xdr:colOff>
      <xdr:row>69</xdr:row>
      <xdr:rowOff>95480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7401B8DE-CA7A-47CF-B772-128D5A021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4975" y="12517497"/>
          <a:ext cx="5039794" cy="10844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28</xdr:col>
      <xdr:colOff>428625</xdr:colOff>
      <xdr:row>18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F8D48F-5EE0-496D-93EC-3B329E1ABA8E}"/>
            </a:ext>
          </a:extLst>
        </xdr:cNvPr>
        <xdr:cNvSpPr txBox="1"/>
      </xdr:nvSpPr>
      <xdr:spPr>
        <a:xfrm>
          <a:off x="11163300" y="200025"/>
          <a:ext cx="6524625" cy="331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Задача</a:t>
          </a:r>
          <a:r>
            <a:rPr lang="en-US" sz="1400"/>
            <a:t>:</a:t>
          </a:r>
        </a:p>
        <a:p>
          <a:r>
            <a:rPr lang="ru-RU" sz="1400"/>
            <a:t>Затраты</a:t>
          </a:r>
          <a:r>
            <a:rPr lang="ru-RU" sz="1400" baseline="0"/>
            <a:t> на рекламу за 12 месяцев года составили 1 тыс руб</a:t>
          </a:r>
          <a:endParaRPr lang="en-US" sz="1400" baseline="0"/>
        </a:p>
        <a:p>
          <a:endParaRPr lang="en-US" sz="1400" baseline="0"/>
        </a:p>
        <a:p>
          <a:r>
            <a:rPr lang="ru-RU" sz="1400" baseline="0"/>
            <a:t>График показывает что тенденций нет, но есть периодические колебания, которые можно представить в виде ряда Фурье.</a:t>
          </a:r>
        </a:p>
        <a:p>
          <a:endParaRPr lang="ru-RU" sz="1400" baseline="0"/>
        </a:p>
        <a:p>
          <a:r>
            <a:rPr lang="ru-RU" sz="1400" baseline="0"/>
            <a:t>График показывает что ряд Фурье с одной гормникой</a:t>
          </a:r>
        </a:p>
        <a:p>
          <a:endParaRPr lang="ru-RU" sz="1400" baseline="0"/>
        </a:p>
        <a:p>
          <a:endParaRPr lang="ru-RU" sz="1400" baseline="0"/>
        </a:p>
        <a:p>
          <a:r>
            <a:rPr lang="en-US" sz="1400" baseline="0"/>
            <a:t>y = a + b1*Cost + c1Sint</a:t>
          </a:r>
        </a:p>
        <a:p>
          <a:endParaRPr lang="en-US" sz="1400" baseline="0"/>
        </a:p>
        <a:p>
          <a:r>
            <a:rPr lang="en-US" sz="1400" baseline="0"/>
            <a:t>y = 11.833 - 0.8235 Cost - 1.388 Sint</a:t>
          </a:r>
        </a:p>
        <a:p>
          <a:endParaRPr lang="en-US" sz="1400" baseline="0"/>
        </a:p>
        <a:p>
          <a:r>
            <a:rPr lang="ru-RU" sz="1400" baseline="0"/>
            <a:t>Дать прогноз на февраль след. года (14)</a:t>
          </a:r>
          <a:endParaRPr lang="en-US" sz="1400" baseline="0"/>
        </a:p>
      </xdr:txBody>
    </xdr:sp>
    <xdr:clientData/>
  </xdr:twoCellAnchor>
  <xdr:twoCellAnchor>
    <xdr:from>
      <xdr:col>10</xdr:col>
      <xdr:colOff>66675</xdr:colOff>
      <xdr:row>1</xdr:row>
      <xdr:rowOff>4762</xdr:rowOff>
    </xdr:from>
    <xdr:to>
      <xdr:col>17</xdr:col>
      <xdr:colOff>371475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3F58ADB-A609-41CF-B7DE-8E176B527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133350</xdr:rowOff>
    </xdr:from>
    <xdr:to>
      <xdr:col>18</xdr:col>
      <xdr:colOff>495300</xdr:colOff>
      <xdr:row>25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912328-74FF-486D-BC02-05BE5E3AA5DE}"/>
            </a:ext>
          </a:extLst>
        </xdr:cNvPr>
        <xdr:cNvSpPr txBox="1"/>
      </xdr:nvSpPr>
      <xdr:spPr>
        <a:xfrm>
          <a:off x="6324600" y="323850"/>
          <a:ext cx="5314950" cy="460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/>
            <a:t>Задача</a:t>
          </a:r>
        </a:p>
        <a:p>
          <a:r>
            <a:rPr lang="ru-RU" sz="1400"/>
            <a:t>За 10 месяцев</a:t>
          </a:r>
          <a:r>
            <a:rPr lang="ru-RU" sz="1400" baseline="0"/>
            <a:t> года средний объём продаж составил 400 ед.</a:t>
          </a:r>
        </a:p>
        <a:p>
          <a:r>
            <a:rPr lang="ru-RU" sz="1400"/>
            <a:t>Первая гормоника</a:t>
          </a:r>
          <a:r>
            <a:rPr lang="en-US" sz="1400"/>
            <a:t>:</a:t>
          </a:r>
          <a:r>
            <a:rPr lang="ru-RU" sz="1400"/>
            <a:t> 0,7</a:t>
          </a:r>
          <a:r>
            <a:rPr lang="ru-RU" sz="1400" baseline="0"/>
            <a:t> </a:t>
          </a:r>
          <a:r>
            <a:rPr lang="en-US" sz="1400" baseline="0"/>
            <a:t>Cost - 1,8 Sint</a:t>
          </a:r>
        </a:p>
        <a:p>
          <a:r>
            <a:rPr lang="ru-RU" sz="1400" baseline="0"/>
            <a:t>Вторая гормоника</a:t>
          </a:r>
          <a:r>
            <a:rPr lang="en-US" sz="1400" baseline="0"/>
            <a:t>: 9,3 Cos2t - 2,7 Sin2t</a:t>
          </a:r>
        </a:p>
        <a:p>
          <a:r>
            <a:rPr lang="ru-RU" sz="1400" baseline="0"/>
            <a:t>Написать уравнение тренда и дать прогноз на 11 месяц</a:t>
          </a:r>
        </a:p>
        <a:p>
          <a:endParaRPr lang="ru-RU" sz="1400" baseline="0"/>
        </a:p>
        <a:p>
          <a:r>
            <a:rPr lang="en-US" sz="1400" baseline="0"/>
            <a:t>y = 400 + 0,7 Cost - 1,8 Sint + 9,3 Cos2t - 2,7 Sin2t</a:t>
          </a:r>
        </a:p>
        <a:p>
          <a:endParaRPr lang="en-US" sz="1400"/>
        </a:p>
        <a:p>
          <a:r>
            <a:rPr lang="en-US" sz="1400"/>
            <a:t>T = 6,28 = 2 Pi</a:t>
          </a:r>
          <a:endParaRPr lang="ru-RU" sz="1400"/>
        </a:p>
        <a:p>
          <a:endParaRPr lang="ru-RU" sz="1400"/>
        </a:p>
        <a:p>
          <a:endParaRPr lang="ru-RU" sz="1400"/>
        </a:p>
        <a:p>
          <a:r>
            <a:rPr lang="ru-RU" sz="1400" b="1"/>
            <a:t>Задача</a:t>
          </a:r>
        </a:p>
        <a:p>
          <a:endParaRPr lang="ru-RU" sz="1400"/>
        </a:p>
        <a:p>
          <a:r>
            <a:rPr lang="ru-RU" sz="1400"/>
            <a:t>За</a:t>
          </a:r>
          <a:r>
            <a:rPr lang="ru-RU" sz="1400" baseline="0"/>
            <a:t> 20 кварталов оъём продаж характеризовался трендом</a:t>
          </a:r>
          <a:r>
            <a:rPr lang="en-US" sz="1400" baseline="0"/>
            <a:t>:</a:t>
          </a:r>
          <a:endParaRPr lang="ru-RU" sz="1400" baseline="0"/>
        </a:p>
        <a:p>
          <a:r>
            <a:rPr lang="en-US" sz="1400" i="1"/>
            <a:t>y = 7</a:t>
          </a:r>
          <a:r>
            <a:rPr lang="en-US" sz="1400" i="1" baseline="0"/>
            <a:t> + 0,5 t</a:t>
          </a:r>
        </a:p>
        <a:p>
          <a:endParaRPr lang="en-US" sz="1400"/>
        </a:p>
        <a:p>
          <a:r>
            <a:rPr lang="ru-RU" sz="1400"/>
            <a:t>Остатки</a:t>
          </a:r>
          <a:r>
            <a:rPr lang="ru-RU" sz="1400" baseline="0"/>
            <a:t> подчиняются ряду Фурье</a:t>
          </a:r>
          <a:r>
            <a:rPr lang="en-US" sz="1400" baseline="0"/>
            <a:t>:</a:t>
          </a:r>
        </a:p>
        <a:p>
          <a:r>
            <a:rPr lang="en-US" sz="1400" i="1" baseline="0"/>
            <a:t>et = 0,1 Cost + 0,3 Sint + 0,2 Cos2t + 1,1 Sin2t</a:t>
          </a:r>
        </a:p>
        <a:p>
          <a:endParaRPr lang="en-US" sz="1400" baseline="0"/>
        </a:p>
        <a:p>
          <a:r>
            <a:rPr lang="ru-RU" sz="1400" baseline="0"/>
            <a:t>Дать прогноз на следующий квартал.</a:t>
          </a:r>
          <a:endParaRPr lang="ru-RU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4</xdr:row>
      <xdr:rowOff>171450</xdr:rowOff>
    </xdr:from>
    <xdr:to>
      <xdr:col>21</xdr:col>
      <xdr:colOff>76200</xdr:colOff>
      <xdr:row>10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3914C8-9C99-4FCE-8753-C49E44B7EEE8}"/>
            </a:ext>
          </a:extLst>
        </xdr:cNvPr>
        <xdr:cNvSpPr txBox="1"/>
      </xdr:nvSpPr>
      <xdr:spPr>
        <a:xfrm>
          <a:off x="9248775" y="942975"/>
          <a:ext cx="3629025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 = 0,714+</a:t>
          </a:r>
          <a:r>
            <a:rPr lang="en-US" sz="1100" baseline="0"/>
            <a:t>1,714 t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 </a:t>
          </a:r>
          <a:r>
            <a:rPr lang="ru-RU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Ежегодно число учтённых страховых организаций падали в среднем на 2.25 ед.</a:t>
          </a: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))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Найдём предельную ошибку коэф регрессии</a:t>
          </a:r>
          <a:endParaRPr lang="en-US" sz="1100" b="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D12"/>
  <sheetViews>
    <sheetView zoomScaleNormal="100" workbookViewId="0">
      <selection activeCell="P17" sqref="P17"/>
    </sheetView>
  </sheetViews>
  <sheetFormatPr defaultRowHeight="15" x14ac:dyDescent="0.25"/>
  <sheetData>
    <row r="5" spans="2:4" x14ac:dyDescent="0.25">
      <c r="B5" s="1" t="s">
        <v>0</v>
      </c>
      <c r="C5" s="1"/>
      <c r="D5" s="1"/>
    </row>
    <row r="6" spans="2:4" x14ac:dyDescent="0.25">
      <c r="B6">
        <v>0.42</v>
      </c>
      <c r="C6">
        <f>2.25/B6</f>
        <v>5.3571428571428577</v>
      </c>
    </row>
    <row r="7" spans="2:4" x14ac:dyDescent="0.25">
      <c r="B7">
        <v>0.11</v>
      </c>
      <c r="C7">
        <f>-0.36/B7</f>
        <v>-3.2727272727272725</v>
      </c>
    </row>
    <row r="8" spans="2:4" x14ac:dyDescent="0.25">
      <c r="B8">
        <v>6.0000000000000001E-3</v>
      </c>
      <c r="C8">
        <f>0.02/B8</f>
        <v>3.3333333333333335</v>
      </c>
    </row>
    <row r="10" spans="2:4" x14ac:dyDescent="0.25">
      <c r="B10" t="s">
        <v>1</v>
      </c>
      <c r="C10">
        <v>5.09</v>
      </c>
    </row>
    <row r="12" spans="2:4" x14ac:dyDescent="0.25">
      <c r="C12">
        <f>_xlfn.F.INV(0.05,13,2)</f>
        <v>0.26277305302213566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91B4-CFBF-41FA-8B21-FF23AFEAB06C}">
  <dimension ref="A3:AE72"/>
  <sheetViews>
    <sheetView topLeftCell="A25" workbookViewId="0">
      <selection activeCell="M70" sqref="M70"/>
    </sheetView>
  </sheetViews>
  <sheetFormatPr defaultRowHeight="15" x14ac:dyDescent="0.25"/>
  <cols>
    <col min="4" max="4" width="11" bestFit="1" customWidth="1"/>
    <col min="7" max="7" width="10.28515625" bestFit="1" customWidth="1"/>
    <col min="8" max="8" width="13.5703125" customWidth="1"/>
    <col min="9" max="9" width="13.7109375" customWidth="1"/>
  </cols>
  <sheetData>
    <row r="3" spans="1:9" ht="15.75" thickBot="1" x14ac:dyDescent="0.3">
      <c r="B3" s="2"/>
    </row>
    <row r="4" spans="1:9" ht="15.75" thickBot="1" x14ac:dyDescent="0.3">
      <c r="B4" s="7" t="s">
        <v>3</v>
      </c>
      <c r="C4" s="13" t="s">
        <v>5</v>
      </c>
      <c r="D4" s="13" t="s">
        <v>39</v>
      </c>
      <c r="E4" s="8" t="s">
        <v>2</v>
      </c>
      <c r="F4" s="42" t="s">
        <v>34</v>
      </c>
      <c r="G4" s="42" t="s">
        <v>48</v>
      </c>
      <c r="H4" s="23" t="s">
        <v>49</v>
      </c>
      <c r="I4" s="41" t="s">
        <v>50</v>
      </c>
    </row>
    <row r="5" spans="1:9" x14ac:dyDescent="0.25">
      <c r="B5" s="11">
        <v>1</v>
      </c>
      <c r="C5" s="14">
        <f>B5^2</f>
        <v>1</v>
      </c>
      <c r="D5" s="14">
        <f>B5^2</f>
        <v>1</v>
      </c>
      <c r="E5" s="12">
        <v>2</v>
      </c>
      <c r="F5" s="43">
        <f>($B$12-B5)^2</f>
        <v>6.25</v>
      </c>
      <c r="G5" s="47" t="s">
        <v>47</v>
      </c>
      <c r="H5" s="51" t="s">
        <v>47</v>
      </c>
      <c r="I5">
        <f>LN(E5)</f>
        <v>0.69314718055994529</v>
      </c>
    </row>
    <row r="6" spans="1:9" x14ac:dyDescent="0.25">
      <c r="B6" s="10">
        <v>2</v>
      </c>
      <c r="C6" s="15">
        <f t="shared" ref="C6:C11" si="0">B6^2</f>
        <v>4</v>
      </c>
      <c r="D6" s="15">
        <f>B6^3</f>
        <v>8</v>
      </c>
      <c r="E6" s="4">
        <v>4</v>
      </c>
      <c r="F6" s="43">
        <f>($B$12-B6)^2</f>
        <v>2.25</v>
      </c>
      <c r="G6" s="48">
        <f>E6/E5</f>
        <v>2</v>
      </c>
      <c r="H6" s="50" t="s">
        <v>47</v>
      </c>
      <c r="I6">
        <f t="shared" ref="I6:I10" si="1">LN(E6)</f>
        <v>1.3862943611198906</v>
      </c>
    </row>
    <row r="7" spans="1:9" x14ac:dyDescent="0.25">
      <c r="B7" s="9">
        <v>3</v>
      </c>
      <c r="C7" s="15">
        <f t="shared" si="0"/>
        <v>9</v>
      </c>
      <c r="D7" s="15">
        <f t="shared" ref="D7:D11" si="2">B7^3</f>
        <v>27</v>
      </c>
      <c r="E7" s="4">
        <v>10</v>
      </c>
      <c r="F7" s="43">
        <f>(B15-B7)^2</f>
        <v>9</v>
      </c>
      <c r="G7" s="48">
        <f t="shared" ref="G7:G10" si="3">E7/E6</f>
        <v>2.5</v>
      </c>
      <c r="H7" s="45">
        <f>G7/G6</f>
        <v>1.25</v>
      </c>
      <c r="I7">
        <f t="shared" si="1"/>
        <v>2.3025850929940459</v>
      </c>
    </row>
    <row r="8" spans="1:9" x14ac:dyDescent="0.25">
      <c r="B8" s="10">
        <v>4</v>
      </c>
      <c r="C8" s="15">
        <f t="shared" si="0"/>
        <v>16</v>
      </c>
      <c r="D8" s="15">
        <f t="shared" si="2"/>
        <v>64</v>
      </c>
      <c r="E8" s="4">
        <v>31</v>
      </c>
      <c r="F8" s="43">
        <f>(B16-B8)^2</f>
        <v>16</v>
      </c>
      <c r="G8" s="48">
        <f t="shared" si="3"/>
        <v>3.1</v>
      </c>
      <c r="H8" s="45">
        <f t="shared" ref="H8:H10" si="4">G8/G7</f>
        <v>1.24</v>
      </c>
      <c r="I8">
        <f t="shared" si="1"/>
        <v>3.4339872044851463</v>
      </c>
    </row>
    <row r="9" spans="1:9" x14ac:dyDescent="0.25">
      <c r="B9" s="9">
        <v>5</v>
      </c>
      <c r="C9" s="15">
        <f t="shared" si="0"/>
        <v>25</v>
      </c>
      <c r="D9" s="15">
        <f t="shared" si="2"/>
        <v>125</v>
      </c>
      <c r="E9" s="4">
        <v>117</v>
      </c>
      <c r="F9" s="43">
        <f>(B17-B9)^2</f>
        <v>25</v>
      </c>
      <c r="G9" s="48">
        <f t="shared" si="3"/>
        <v>3.774193548387097</v>
      </c>
      <c r="H9" s="45">
        <f t="shared" si="4"/>
        <v>1.2174817898022894</v>
      </c>
      <c r="I9">
        <f t="shared" si="1"/>
        <v>4.7621739347977563</v>
      </c>
    </row>
    <row r="10" spans="1:9" ht="15.75" thickBot="1" x14ac:dyDescent="0.3">
      <c r="B10" s="10">
        <v>6</v>
      </c>
      <c r="C10" s="15">
        <f t="shared" si="0"/>
        <v>36</v>
      </c>
      <c r="D10" s="15">
        <f t="shared" si="2"/>
        <v>216</v>
      </c>
      <c r="E10" s="4">
        <v>550</v>
      </c>
      <c r="F10" s="43">
        <f>(B18-B10)^2</f>
        <v>36</v>
      </c>
      <c r="G10" s="49">
        <f t="shared" si="3"/>
        <v>4.700854700854701</v>
      </c>
      <c r="H10" s="46">
        <f t="shared" si="4"/>
        <v>1.2455256044999634</v>
      </c>
      <c r="I10">
        <f t="shared" si="1"/>
        <v>6.3099182782265162</v>
      </c>
    </row>
    <row r="11" spans="1:9" ht="15.75" thickBot="1" x14ac:dyDescent="0.3">
      <c r="B11" s="38">
        <v>7</v>
      </c>
      <c r="C11" s="16">
        <f t="shared" si="0"/>
        <v>49</v>
      </c>
      <c r="D11" s="16">
        <f t="shared" si="2"/>
        <v>343</v>
      </c>
      <c r="E11" s="5" t="s">
        <v>4</v>
      </c>
      <c r="F11" s="24"/>
    </row>
    <row r="12" spans="1:9" ht="15.75" thickBot="1" x14ac:dyDescent="0.3">
      <c r="A12" s="39" t="s">
        <v>44</v>
      </c>
      <c r="B12" s="27">
        <f>AVERAGE(B5:B10)</f>
        <v>3.5</v>
      </c>
    </row>
    <row r="19" spans="2:20" x14ac:dyDescent="0.25">
      <c r="B19" t="s">
        <v>6</v>
      </c>
    </row>
    <row r="20" spans="2:20" ht="15.75" thickBot="1" x14ac:dyDescent="0.3"/>
    <row r="21" spans="2:20" ht="15.75" thickBot="1" x14ac:dyDescent="0.3">
      <c r="B21" s="20" t="s">
        <v>7</v>
      </c>
      <c r="C21" s="20"/>
      <c r="N21" s="40" t="s">
        <v>33</v>
      </c>
      <c r="O21" s="40"/>
    </row>
    <row r="22" spans="2:20" ht="15.75" thickBot="1" x14ac:dyDescent="0.3">
      <c r="B22" s="17" t="s">
        <v>8</v>
      </c>
      <c r="C22" s="17">
        <v>0.95125763972427835</v>
      </c>
      <c r="N22" s="23" t="s">
        <v>32</v>
      </c>
      <c r="O22" s="55">
        <f>Q45*Q46^7*Q47^49</f>
        <v>3194.1265275704677</v>
      </c>
    </row>
    <row r="23" spans="2:20" x14ac:dyDescent="0.25">
      <c r="B23" s="17" t="s">
        <v>9</v>
      </c>
      <c r="C23" s="17">
        <v>0.90489109713380489</v>
      </c>
    </row>
    <row r="24" spans="2:20" ht="15.75" thickBot="1" x14ac:dyDescent="0.3">
      <c r="B24" s="17" t="s">
        <v>10</v>
      </c>
      <c r="C24" s="17">
        <v>0.84148516188967493</v>
      </c>
      <c r="N24" s="2" t="s">
        <v>35</v>
      </c>
    </row>
    <row r="25" spans="2:20" ht="15.75" thickBot="1" x14ac:dyDescent="0.3">
      <c r="B25" s="17" t="s">
        <v>0</v>
      </c>
      <c r="C25" s="17">
        <v>85.817982908456827</v>
      </c>
      <c r="N25" s="23" t="s">
        <v>36</v>
      </c>
      <c r="O25" s="22">
        <f>SQRT(1+1/$B$10+($B$11-$B$12)^2/SUM(F5:F10))</f>
        <v>1.1385500851066221</v>
      </c>
    </row>
    <row r="26" spans="2:20" ht="15.75" thickBot="1" x14ac:dyDescent="0.3">
      <c r="B26" s="18" t="s">
        <v>11</v>
      </c>
      <c r="C26" s="18">
        <v>6</v>
      </c>
    </row>
    <row r="27" spans="2:20" ht="15.75" thickBot="1" x14ac:dyDescent="0.3">
      <c r="N27" s="2" t="s">
        <v>37</v>
      </c>
    </row>
    <row r="28" spans="2:20" ht="15.75" thickBot="1" x14ac:dyDescent="0.3">
      <c r="B28" t="s">
        <v>12</v>
      </c>
      <c r="N28" s="23" t="s">
        <v>38</v>
      </c>
      <c r="O28" s="22">
        <f>O25*C25</f>
        <v>97.70807174410217</v>
      </c>
    </row>
    <row r="29" spans="2:20" x14ac:dyDescent="0.25">
      <c r="B29" s="19"/>
      <c r="C29" s="19" t="s">
        <v>17</v>
      </c>
      <c r="D29" s="19" t="s">
        <v>18</v>
      </c>
      <c r="E29" s="19" t="s">
        <v>19</v>
      </c>
      <c r="F29" s="19" t="s">
        <v>1</v>
      </c>
      <c r="G29" s="19" t="s">
        <v>20</v>
      </c>
      <c r="S29" t="s">
        <v>6</v>
      </c>
    </row>
    <row r="30" spans="2:20" ht="15.75" thickBot="1" x14ac:dyDescent="0.3">
      <c r="B30" s="17" t="s">
        <v>13</v>
      </c>
      <c r="C30" s="17">
        <v>2</v>
      </c>
      <c r="D30" s="17">
        <v>210209.82142857142</v>
      </c>
      <c r="E30" s="17">
        <v>105104.91071428571</v>
      </c>
      <c r="F30" s="17">
        <v>14.271394210174954</v>
      </c>
      <c r="G30" s="17">
        <v>2.9331330117240935E-2</v>
      </c>
      <c r="N30" s="2" t="s">
        <v>40</v>
      </c>
    </row>
    <row r="31" spans="2:20" ht="15.75" thickBot="1" x14ac:dyDescent="0.3">
      <c r="B31" s="17" t="s">
        <v>14</v>
      </c>
      <c r="C31" s="17">
        <v>3</v>
      </c>
      <c r="D31" s="17">
        <v>22094.178571428565</v>
      </c>
      <c r="E31" s="17">
        <v>7364.7261904761881</v>
      </c>
      <c r="F31" s="17"/>
      <c r="G31" s="17"/>
      <c r="N31" s="23" t="s">
        <v>3</v>
      </c>
      <c r="O31" s="22">
        <f>_xlfn.T.INV.2T(0.05,C31)</f>
        <v>3.1824463052837091</v>
      </c>
      <c r="S31" s="20" t="s">
        <v>7</v>
      </c>
      <c r="T31" s="20"/>
    </row>
    <row r="32" spans="2:20" ht="15.75" thickBot="1" x14ac:dyDescent="0.3">
      <c r="B32" s="18" t="s">
        <v>15</v>
      </c>
      <c r="C32" s="18">
        <v>5</v>
      </c>
      <c r="D32" s="18">
        <v>232304</v>
      </c>
      <c r="E32" s="18"/>
      <c r="F32" s="18"/>
      <c r="G32" s="18"/>
      <c r="S32" s="17" t="s">
        <v>8</v>
      </c>
      <c r="T32" s="17">
        <v>0.99999835981753316</v>
      </c>
    </row>
    <row r="33" spans="2:31" ht="15.75" thickBot="1" x14ac:dyDescent="0.3">
      <c r="N33" s="2" t="s">
        <v>41</v>
      </c>
      <c r="S33" s="17" t="s">
        <v>9</v>
      </c>
      <c r="T33" s="17">
        <v>0.99999671963775649</v>
      </c>
      <c r="AD33" s="53" t="s">
        <v>33</v>
      </c>
      <c r="AE33" s="54"/>
    </row>
    <row r="34" spans="2:31" ht="15.75" thickBot="1" x14ac:dyDescent="0.3">
      <c r="B34" s="19"/>
      <c r="C34" s="19" t="s">
        <v>21</v>
      </c>
      <c r="D34" s="19" t="s">
        <v>0</v>
      </c>
      <c r="E34" s="19" t="s">
        <v>22</v>
      </c>
      <c r="F34" s="19" t="s">
        <v>23</v>
      </c>
      <c r="G34" s="19" t="s">
        <v>24</v>
      </c>
      <c r="H34" s="19" t="s">
        <v>25</v>
      </c>
      <c r="I34" s="19" t="s">
        <v>26</v>
      </c>
      <c r="J34" s="19" t="s">
        <v>27</v>
      </c>
      <c r="N34" s="23" t="s">
        <v>45</v>
      </c>
      <c r="O34" s="22">
        <f>O28*O31</f>
        <v>310.95069191841355</v>
      </c>
      <c r="S34" s="17" t="s">
        <v>10</v>
      </c>
      <c r="T34" s="17">
        <v>0.99999453272959415</v>
      </c>
      <c r="AD34">
        <f>Q45*Q46^7*Q47^49</f>
        <v>3194.1265275704677</v>
      </c>
    </row>
    <row r="35" spans="2:31" x14ac:dyDescent="0.25">
      <c r="B35" s="17" t="s">
        <v>16</v>
      </c>
      <c r="C35" s="17">
        <v>221.49999999999977</v>
      </c>
      <c r="D35" s="17">
        <v>153.51587478017962</v>
      </c>
      <c r="E35" s="17">
        <v>1.4428475251642026</v>
      </c>
      <c r="F35" s="17">
        <v>0.24475944890737267</v>
      </c>
      <c r="G35" s="17">
        <v>-267.05602849657936</v>
      </c>
      <c r="H35" s="17">
        <v>710.05602849657885</v>
      </c>
      <c r="I35" s="17">
        <v>-267.05602849657936</v>
      </c>
      <c r="J35" s="17">
        <v>710.05602849657885</v>
      </c>
      <c r="S35" s="17" t="s">
        <v>0</v>
      </c>
      <c r="T35" s="17">
        <v>4.9633861523421209E-3</v>
      </c>
    </row>
    <row r="36" spans="2:31" ht="15.75" thickBot="1" x14ac:dyDescent="0.3">
      <c r="B36" s="17" t="s">
        <v>3</v>
      </c>
      <c r="C36" s="17">
        <v>-220.80357142857133</v>
      </c>
      <c r="D36" s="17">
        <v>100.43428011191513</v>
      </c>
      <c r="E36" s="17">
        <v>-2.1984881176280373</v>
      </c>
      <c r="F36" s="17">
        <v>0.11533482398489427</v>
      </c>
      <c r="G36" s="17">
        <v>-540.43027509456476</v>
      </c>
      <c r="H36" s="17">
        <v>98.823132237422101</v>
      </c>
      <c r="I36" s="17">
        <v>-540.43027509456476</v>
      </c>
      <c r="J36" s="17">
        <v>98.823132237422101</v>
      </c>
      <c r="N36" s="2" t="s">
        <v>42</v>
      </c>
      <c r="S36" s="18" t="s">
        <v>11</v>
      </c>
      <c r="T36" s="18">
        <v>6</v>
      </c>
    </row>
    <row r="37" spans="2:31" ht="15.75" thickBot="1" x14ac:dyDescent="0.3">
      <c r="B37" s="18" t="s">
        <v>5</v>
      </c>
      <c r="C37" s="18">
        <v>44.196428571428562</v>
      </c>
      <c r="D37" s="18">
        <v>14.045264380943923</v>
      </c>
      <c r="E37" s="18">
        <v>3.146713893929443</v>
      </c>
      <c r="F37" s="18">
        <v>5.1395791499558419E-2</v>
      </c>
      <c r="G37" s="18">
        <v>-0.5018711644393079</v>
      </c>
      <c r="H37" s="18">
        <v>88.894728307296432</v>
      </c>
      <c r="I37" s="18">
        <v>-0.5018711644393079</v>
      </c>
      <c r="J37" s="18">
        <v>88.894728307296432</v>
      </c>
      <c r="N37" s="25">
        <f>O22-O34</f>
        <v>2883.175835652054</v>
      </c>
      <c r="O37" s="26">
        <f>O22+O34</f>
        <v>3505.0772194888814</v>
      </c>
    </row>
    <row r="38" spans="2:31" ht="15.75" thickBot="1" x14ac:dyDescent="0.3">
      <c r="S38" t="s">
        <v>12</v>
      </c>
    </row>
    <row r="39" spans="2:31" x14ac:dyDescent="0.25">
      <c r="S39" s="19"/>
      <c r="T39" s="19" t="s">
        <v>17</v>
      </c>
      <c r="U39" s="19" t="s">
        <v>18</v>
      </c>
      <c r="V39" s="19" t="s">
        <v>19</v>
      </c>
      <c r="W39" s="19" t="s">
        <v>1</v>
      </c>
      <c r="X39" s="19" t="s">
        <v>20</v>
      </c>
    </row>
    <row r="40" spans="2:31" x14ac:dyDescent="0.25">
      <c r="S40" s="17" t="s">
        <v>13</v>
      </c>
      <c r="T40" s="17">
        <v>2</v>
      </c>
      <c r="U40" s="17">
        <v>22.529634951774476</v>
      </c>
      <c r="V40" s="17">
        <v>11.264817475887238</v>
      </c>
      <c r="W40" s="17">
        <v>457265.07261490851</v>
      </c>
      <c r="X40" s="17">
        <v>5.9413167539875235E-9</v>
      </c>
    </row>
    <row r="41" spans="2:31" x14ac:dyDescent="0.25">
      <c r="B41" t="s">
        <v>28</v>
      </c>
      <c r="S41" s="17" t="s">
        <v>14</v>
      </c>
      <c r="T41" s="17">
        <v>3</v>
      </c>
      <c r="U41" s="17">
        <v>7.3905606291784577E-5</v>
      </c>
      <c r="V41" s="17">
        <v>2.4635202097261527E-5</v>
      </c>
      <c r="W41" s="17"/>
      <c r="X41" s="17"/>
    </row>
    <row r="42" spans="2:31" ht="15.75" thickBot="1" x14ac:dyDescent="0.3">
      <c r="S42" s="18" t="s">
        <v>15</v>
      </c>
      <c r="T42" s="18">
        <v>5</v>
      </c>
      <c r="U42" s="18">
        <v>22.529708857380768</v>
      </c>
      <c r="V42" s="18"/>
      <c r="W42" s="18"/>
      <c r="X42" s="18"/>
    </row>
    <row r="43" spans="2:31" ht="15.75" thickBot="1" x14ac:dyDescent="0.3">
      <c r="B43" s="19" t="s">
        <v>29</v>
      </c>
      <c r="C43" s="19" t="s">
        <v>30</v>
      </c>
      <c r="D43" s="19" t="s">
        <v>31</v>
      </c>
    </row>
    <row r="44" spans="2:31" x14ac:dyDescent="0.25">
      <c r="B44" s="17">
        <v>1</v>
      </c>
      <c r="C44" s="17">
        <v>44.892857142857004</v>
      </c>
      <c r="D44" s="17">
        <v>-42.892857142857004</v>
      </c>
      <c r="S44" s="19"/>
      <c r="T44" s="19" t="s">
        <v>21</v>
      </c>
      <c r="U44" s="19" t="s">
        <v>0</v>
      </c>
      <c r="V44" s="19" t="s">
        <v>22</v>
      </c>
      <c r="W44" s="19" t="s">
        <v>23</v>
      </c>
      <c r="X44" s="19" t="s">
        <v>24</v>
      </c>
      <c r="Y44" s="19" t="s">
        <v>25</v>
      </c>
      <c r="Z44" s="19" t="s">
        <v>26</v>
      </c>
      <c r="AA44" s="19" t="s">
        <v>27</v>
      </c>
    </row>
    <row r="45" spans="2:31" x14ac:dyDescent="0.25">
      <c r="B45" s="17">
        <v>2</v>
      </c>
      <c r="C45" s="17">
        <v>-43.32142857142864</v>
      </c>
      <c r="D45" s="17">
        <v>47.32142857142864</v>
      </c>
      <c r="P45" s="52" t="s">
        <v>52</v>
      </c>
      <c r="Q45">
        <f>EXP(T45)</f>
        <v>1.2220009986331155</v>
      </c>
      <c r="S45" s="17" t="s">
        <v>16</v>
      </c>
      <c r="T45" s="17">
        <v>0.20048967796111183</v>
      </c>
      <c r="U45" s="17">
        <v>8.8787750681744871E-3</v>
      </c>
      <c r="V45" s="17">
        <v>22.580781292653395</v>
      </c>
      <c r="W45" s="17">
        <v>1.9019367322906141E-4</v>
      </c>
      <c r="X45" s="17">
        <v>0.17223345304995483</v>
      </c>
      <c r="Y45" s="17">
        <v>0.22874590287226884</v>
      </c>
      <c r="Z45" s="17">
        <v>0.17223345304995483</v>
      </c>
      <c r="AA45" s="17">
        <v>0.22874590287226884</v>
      </c>
    </row>
    <row r="46" spans="2:31" x14ac:dyDescent="0.25">
      <c r="B46" s="17">
        <v>3</v>
      </c>
      <c r="C46" s="17">
        <v>-43.142857142857167</v>
      </c>
      <c r="D46" s="17">
        <v>53.142857142857167</v>
      </c>
      <c r="P46" s="52" t="s">
        <v>53</v>
      </c>
      <c r="Q46">
        <f t="shared" ref="Q46:Q47" si="5">EXP(T46)</f>
        <v>1.4681623636418772</v>
      </c>
      <c r="S46" s="17" t="s">
        <v>3</v>
      </c>
      <c r="T46" s="17">
        <v>0.38401152601226435</v>
      </c>
      <c r="U46" s="17">
        <v>5.8087372626746481E-3</v>
      </c>
      <c r="V46" s="17">
        <v>66.109295126811304</v>
      </c>
      <c r="W46" s="17">
        <v>7.6265047754574052E-6</v>
      </c>
      <c r="X46" s="17">
        <v>0.36552553157230161</v>
      </c>
      <c r="Y46" s="17">
        <v>0.40249752045222709</v>
      </c>
      <c r="Z46" s="17">
        <v>0.36552553157230161</v>
      </c>
      <c r="AA46" s="17">
        <v>0.40249752045222709</v>
      </c>
    </row>
    <row r="47" spans="2:31" ht="15.75" thickBot="1" x14ac:dyDescent="0.3">
      <c r="B47" s="17">
        <v>4</v>
      </c>
      <c r="C47" s="17">
        <v>45.428571428571445</v>
      </c>
      <c r="D47" s="17">
        <v>-14.428571428571445</v>
      </c>
      <c r="P47" s="52" t="s">
        <v>54</v>
      </c>
      <c r="Q47">
        <f t="shared" si="5"/>
        <v>1.1115155682635052</v>
      </c>
      <c r="S47" s="18" t="s">
        <v>5</v>
      </c>
      <c r="T47" s="18">
        <v>0.10572446085889098</v>
      </c>
      <c r="U47" s="18">
        <v>8.1232474094297799E-4</v>
      </c>
      <c r="V47" s="18">
        <v>130.15048727453743</v>
      </c>
      <c r="W47" s="18">
        <v>1.0000945482122962E-6</v>
      </c>
      <c r="X47" s="18">
        <v>0.10313928098838646</v>
      </c>
      <c r="Y47" s="18">
        <v>0.1083096407293955</v>
      </c>
      <c r="Z47" s="18">
        <v>0.10313928098838646</v>
      </c>
      <c r="AA47" s="18">
        <v>0.1083096407293955</v>
      </c>
    </row>
    <row r="48" spans="2:31" x14ac:dyDescent="0.25">
      <c r="B48" s="17">
        <v>5</v>
      </c>
      <c r="C48" s="17">
        <v>222.39285714285711</v>
      </c>
      <c r="D48" s="17">
        <v>-105.39285714285711</v>
      </c>
    </row>
    <row r="49" spans="2:21" ht="15.75" thickBot="1" x14ac:dyDescent="0.3">
      <c r="B49" s="18">
        <v>6</v>
      </c>
      <c r="C49" s="18">
        <v>487.75</v>
      </c>
      <c r="D49" s="18">
        <v>62.25</v>
      </c>
    </row>
    <row r="51" spans="2:21" ht="15.75" thickBot="1" x14ac:dyDescent="0.3">
      <c r="I51" s="2" t="s">
        <v>46</v>
      </c>
      <c r="S51" t="s">
        <v>28</v>
      </c>
    </row>
    <row r="52" spans="2:21" ht="15.75" thickBot="1" x14ac:dyDescent="0.3">
      <c r="I52" s="25">
        <f>SQRT(72)</f>
        <v>8.4852813742385695</v>
      </c>
      <c r="J52" s="26">
        <f>SQRT(58)</f>
        <v>7.6157731058639087</v>
      </c>
    </row>
    <row r="53" spans="2:21" x14ac:dyDescent="0.25">
      <c r="S53" s="19" t="s">
        <v>29</v>
      </c>
      <c r="T53" s="19" t="s">
        <v>51</v>
      </c>
      <c r="U53" s="19" t="s">
        <v>31</v>
      </c>
    </row>
    <row r="54" spans="2:21" x14ac:dyDescent="0.25">
      <c r="S54" s="17">
        <v>1</v>
      </c>
      <c r="T54" s="17">
        <v>0.69022566483226711</v>
      </c>
      <c r="U54" s="17">
        <v>2.9215157276781811E-3</v>
      </c>
    </row>
    <row r="55" spans="2:21" ht="15.75" thickBot="1" x14ac:dyDescent="0.3">
      <c r="I55" s="56" t="s">
        <v>1</v>
      </c>
      <c r="J55">
        <f>(0.7198/(1-0.7198))*(7/1)</f>
        <v>17.982155603140615</v>
      </c>
      <c r="S55" s="17">
        <v>2</v>
      </c>
      <c r="T55" s="17">
        <v>1.3914105734212043</v>
      </c>
      <c r="U55" s="17">
        <v>-5.1162123013137606E-3</v>
      </c>
    </row>
    <row r="56" spans="2:21" ht="15.75" thickBot="1" x14ac:dyDescent="0.3">
      <c r="C56" s="7" t="s">
        <v>3</v>
      </c>
      <c r="D56" s="8" t="s">
        <v>43</v>
      </c>
      <c r="F56" s="40" t="s">
        <v>33</v>
      </c>
      <c r="G56" s="40"/>
      <c r="S56" s="17">
        <v>3</v>
      </c>
      <c r="T56" s="17">
        <v>2.3040444037279237</v>
      </c>
      <c r="U56" s="17">
        <v>-1.4593107338778388E-3</v>
      </c>
    </row>
    <row r="57" spans="2:21" ht="15.75" thickBot="1" x14ac:dyDescent="0.3">
      <c r="B57">
        <v>1</v>
      </c>
      <c r="C57" s="6">
        <v>1998</v>
      </c>
      <c r="D57" s="31">
        <f>(B57-$C$71)^2</f>
        <v>16</v>
      </c>
      <c r="F57" s="23" t="s">
        <v>32</v>
      </c>
      <c r="G57" s="22">
        <f>-2.25*B69+79.58</f>
        <v>50.33</v>
      </c>
      <c r="I57">
        <f>72-58</f>
        <v>14</v>
      </c>
      <c r="S57" s="17">
        <v>4</v>
      </c>
      <c r="T57" s="17">
        <v>3.4281271557524251</v>
      </c>
      <c r="U57" s="17">
        <v>5.8600487327211681E-3</v>
      </c>
    </row>
    <row r="58" spans="2:21" x14ac:dyDescent="0.25">
      <c r="B58">
        <v>2</v>
      </c>
      <c r="C58" s="3">
        <v>1999</v>
      </c>
      <c r="D58" s="31">
        <f t="shared" ref="D58:D65" si="6">(B58-$C$71)^2</f>
        <v>9</v>
      </c>
      <c r="S58" s="17">
        <v>5</v>
      </c>
      <c r="T58" s="17">
        <v>4.763658829494708</v>
      </c>
      <c r="U58" s="17">
        <v>-1.4848946969516774E-3</v>
      </c>
    </row>
    <row r="59" spans="2:21" ht="15.75" thickBot="1" x14ac:dyDescent="0.3">
      <c r="B59">
        <v>3</v>
      </c>
      <c r="C59" s="3">
        <v>2000</v>
      </c>
      <c r="D59" s="31">
        <f t="shared" si="6"/>
        <v>4</v>
      </c>
      <c r="F59" s="2" t="s">
        <v>35</v>
      </c>
      <c r="I59" t="s">
        <v>56</v>
      </c>
      <c r="S59" s="18">
        <v>6</v>
      </c>
      <c r="T59" s="18">
        <v>6.3106394249547737</v>
      </c>
      <c r="U59" s="18">
        <v>-7.2114672825751569E-4</v>
      </c>
    </row>
    <row r="60" spans="2:21" ht="15.75" thickBot="1" x14ac:dyDescent="0.3">
      <c r="B60">
        <v>4</v>
      </c>
      <c r="C60" s="3">
        <v>2001</v>
      </c>
      <c r="D60" s="31">
        <f t="shared" si="6"/>
        <v>1</v>
      </c>
      <c r="F60" s="23" t="s">
        <v>36</v>
      </c>
      <c r="G60" s="22">
        <f>SQRT(1+1/$B$65+($B$69-$C$71)^2/SUM(D57:D65))</f>
        <v>1.4757295747452437</v>
      </c>
    </row>
    <row r="61" spans="2:21" x14ac:dyDescent="0.25">
      <c r="B61">
        <v>5</v>
      </c>
      <c r="C61" s="3">
        <v>2002</v>
      </c>
      <c r="D61" s="31">
        <f t="shared" si="6"/>
        <v>0</v>
      </c>
      <c r="I61" t="s">
        <v>57</v>
      </c>
      <c r="J61">
        <f>14/6</f>
        <v>2.3333333333333335</v>
      </c>
    </row>
    <row r="62" spans="2:21" ht="15.75" thickBot="1" x14ac:dyDescent="0.3">
      <c r="B62">
        <v>6</v>
      </c>
      <c r="C62" s="3">
        <v>2003</v>
      </c>
      <c r="D62" s="31">
        <f t="shared" si="6"/>
        <v>1</v>
      </c>
      <c r="F62" s="2" t="s">
        <v>37</v>
      </c>
    </row>
    <row r="63" spans="2:21" ht="15.75" thickBot="1" x14ac:dyDescent="0.3">
      <c r="B63">
        <v>7</v>
      </c>
      <c r="C63" s="3">
        <v>2004</v>
      </c>
      <c r="D63" s="31">
        <f t="shared" si="6"/>
        <v>4</v>
      </c>
      <c r="F63" s="23" t="s">
        <v>38</v>
      </c>
      <c r="G63" s="22">
        <f>G60*SQRT(M69)</f>
        <v>1.7464185017923819</v>
      </c>
      <c r="I63" t="s">
        <v>58</v>
      </c>
      <c r="J63">
        <f>J61^2</f>
        <v>5.4444444444444455</v>
      </c>
    </row>
    <row r="64" spans="2:21" x14ac:dyDescent="0.25">
      <c r="B64">
        <v>8</v>
      </c>
      <c r="C64" s="3">
        <v>2005</v>
      </c>
      <c r="D64" s="31">
        <f t="shared" si="6"/>
        <v>9</v>
      </c>
    </row>
    <row r="65" spans="2:13" ht="15.75" thickBot="1" x14ac:dyDescent="0.3">
      <c r="B65">
        <v>9</v>
      </c>
      <c r="C65" s="29">
        <v>2006</v>
      </c>
      <c r="D65" s="31">
        <f t="shared" si="6"/>
        <v>16</v>
      </c>
      <c r="F65" s="2" t="s">
        <v>40</v>
      </c>
      <c r="I65" t="s">
        <v>59</v>
      </c>
      <c r="J65">
        <f>J63*9</f>
        <v>49.000000000000007</v>
      </c>
    </row>
    <row r="66" spans="2:13" ht="15.75" thickBot="1" x14ac:dyDescent="0.3">
      <c r="B66">
        <v>10</v>
      </c>
      <c r="C66" s="32">
        <v>2007</v>
      </c>
      <c r="D66" s="33"/>
      <c r="F66" s="23" t="s">
        <v>3</v>
      </c>
      <c r="G66" s="22">
        <f>_xlfn.T.INV.2T(0.05,7)</f>
        <v>2.3646242515927849</v>
      </c>
    </row>
    <row r="67" spans="2:13" x14ac:dyDescent="0.25">
      <c r="B67">
        <v>11</v>
      </c>
      <c r="C67" s="34">
        <v>2008</v>
      </c>
      <c r="D67" s="35"/>
      <c r="I67" t="s">
        <v>55</v>
      </c>
      <c r="J67">
        <f>(1-0.7198)*J65/7</f>
        <v>1.9614000000000005</v>
      </c>
    </row>
    <row r="68" spans="2:13" ht="15.75" thickBot="1" x14ac:dyDescent="0.3">
      <c r="B68">
        <v>12</v>
      </c>
      <c r="C68" s="34">
        <v>2009</v>
      </c>
      <c r="D68" s="35"/>
      <c r="F68" s="2" t="s">
        <v>41</v>
      </c>
    </row>
    <row r="69" spans="2:13" ht="15.75" thickBot="1" x14ac:dyDescent="0.3">
      <c r="B69">
        <v>13</v>
      </c>
      <c r="C69" s="36">
        <v>2010</v>
      </c>
      <c r="D69" s="37"/>
      <c r="F69" s="23" t="s">
        <v>45</v>
      </c>
      <c r="G69" s="22">
        <f>G63*G66</f>
        <v>4.1296235427686039</v>
      </c>
      <c r="I69" t="s">
        <v>60</v>
      </c>
      <c r="M69">
        <f>SQRT(J67)</f>
        <v>1.4004999107461593</v>
      </c>
    </row>
    <row r="70" spans="2:13" ht="15.75" thickBot="1" x14ac:dyDescent="0.3"/>
    <row r="71" spans="2:13" ht="15.75" thickBot="1" x14ac:dyDescent="0.3">
      <c r="B71" s="21" t="s">
        <v>44</v>
      </c>
      <c r="C71" s="27">
        <f>AVERAGE(B57:B65)</f>
        <v>5</v>
      </c>
      <c r="F71" s="2" t="s">
        <v>42</v>
      </c>
    </row>
    <row r="72" spans="2:13" ht="15.75" thickBot="1" x14ac:dyDescent="0.3">
      <c r="F72" s="25">
        <f>G57-G69</f>
        <v>46.200376457231393</v>
      </c>
      <c r="G72" s="26">
        <f>G57+G69</f>
        <v>54.459623542768604</v>
      </c>
    </row>
  </sheetData>
  <mergeCells count="3">
    <mergeCell ref="N21:O21"/>
    <mergeCell ref="F56:G56"/>
    <mergeCell ref="AD33:AE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CED6-8A77-4828-832C-ED6E61706C02}">
  <dimension ref="A1:L57"/>
  <sheetViews>
    <sheetView workbookViewId="0">
      <selection activeCell="L20" sqref="L20"/>
    </sheetView>
  </sheetViews>
  <sheetFormatPr defaultRowHeight="15" x14ac:dyDescent="0.25"/>
  <cols>
    <col min="6" max="6" width="12" bestFit="1" customWidth="1"/>
  </cols>
  <sheetData>
    <row r="1" spans="1:6" ht="15.75" thickBot="1" x14ac:dyDescent="0.3"/>
    <row r="2" spans="1:6" ht="15.75" thickBot="1" x14ac:dyDescent="0.3">
      <c r="B2" s="63" t="s">
        <v>3</v>
      </c>
      <c r="C2" s="64" t="s">
        <v>61</v>
      </c>
      <c r="D2" s="64" t="s">
        <v>62</v>
      </c>
      <c r="E2" s="64" t="s">
        <v>63</v>
      </c>
      <c r="F2" s="65" t="s">
        <v>64</v>
      </c>
    </row>
    <row r="3" spans="1:6" x14ac:dyDescent="0.25">
      <c r="B3" s="72">
        <v>1</v>
      </c>
      <c r="C3" s="78">
        <v>12</v>
      </c>
      <c r="D3" s="72">
        <v>0</v>
      </c>
      <c r="E3" s="69">
        <f>COS(D3)</f>
        <v>1</v>
      </c>
      <c r="F3" s="31">
        <f>SIN(D3)</f>
        <v>0</v>
      </c>
    </row>
    <row r="4" spans="1:6" x14ac:dyDescent="0.25">
      <c r="B4" s="45">
        <v>2</v>
      </c>
      <c r="C4" s="79">
        <v>11</v>
      </c>
      <c r="D4" s="45">
        <f>2*PI()/$B$14</f>
        <v>0.52359877559829882</v>
      </c>
      <c r="E4" s="70">
        <f t="shared" ref="E4:E14" si="0">COS(D4)</f>
        <v>0.86602540378443871</v>
      </c>
      <c r="F4" s="28">
        <f t="shared" ref="F4:F14" si="1">SIN(D4)</f>
        <v>0.49999999999999994</v>
      </c>
    </row>
    <row r="5" spans="1:6" x14ac:dyDescent="0.25">
      <c r="B5" s="45">
        <v>3</v>
      </c>
      <c r="C5" s="79">
        <v>10</v>
      </c>
      <c r="D5" s="45">
        <f>D4+$D$4</f>
        <v>1.0471975511965976</v>
      </c>
      <c r="E5" s="70">
        <f t="shared" si="0"/>
        <v>0.50000000000000011</v>
      </c>
      <c r="F5" s="28">
        <f t="shared" si="1"/>
        <v>0.8660254037844386</v>
      </c>
    </row>
    <row r="6" spans="1:6" x14ac:dyDescent="0.25">
      <c r="B6" s="45">
        <v>4</v>
      </c>
      <c r="C6" s="79">
        <v>10</v>
      </c>
      <c r="D6" s="45">
        <f t="shared" ref="D6:D16" si="2">D5+$D$4</f>
        <v>1.5707963267948966</v>
      </c>
      <c r="E6" s="70">
        <f t="shared" si="0"/>
        <v>6.1257422745431001E-17</v>
      </c>
      <c r="F6" s="28">
        <f t="shared" si="1"/>
        <v>1</v>
      </c>
    </row>
    <row r="7" spans="1:6" x14ac:dyDescent="0.25">
      <c r="B7" s="45">
        <v>5</v>
      </c>
      <c r="C7" s="79">
        <v>11</v>
      </c>
      <c r="D7" s="45">
        <f t="shared" si="2"/>
        <v>2.0943951023931953</v>
      </c>
      <c r="E7" s="70">
        <f t="shared" si="0"/>
        <v>-0.49999999999999978</v>
      </c>
      <c r="F7" s="28">
        <f t="shared" si="1"/>
        <v>0.86602540378443871</v>
      </c>
    </row>
    <row r="8" spans="1:6" x14ac:dyDescent="0.25">
      <c r="B8" s="45">
        <v>6</v>
      </c>
      <c r="C8" s="79">
        <v>12</v>
      </c>
      <c r="D8" s="45">
        <f t="shared" si="2"/>
        <v>2.617993877991494</v>
      </c>
      <c r="E8" s="70">
        <f t="shared" si="0"/>
        <v>-0.86602540378443849</v>
      </c>
      <c r="F8" s="28">
        <f t="shared" si="1"/>
        <v>0.50000000000000033</v>
      </c>
    </row>
    <row r="9" spans="1:6" x14ac:dyDescent="0.25">
      <c r="B9" s="45">
        <v>7</v>
      </c>
      <c r="C9" s="79">
        <v>12</v>
      </c>
      <c r="D9" s="45">
        <f t="shared" si="2"/>
        <v>3.1415926535897927</v>
      </c>
      <c r="E9" s="70">
        <f t="shared" si="0"/>
        <v>-1</v>
      </c>
      <c r="F9" s="28">
        <f t="shared" si="1"/>
        <v>5.6660405534092462E-16</v>
      </c>
    </row>
    <row r="10" spans="1:6" x14ac:dyDescent="0.25">
      <c r="B10" s="45">
        <v>8</v>
      </c>
      <c r="C10" s="79">
        <v>14</v>
      </c>
      <c r="D10" s="45">
        <f t="shared" si="2"/>
        <v>3.6651914291880914</v>
      </c>
      <c r="E10" s="70">
        <f t="shared" si="0"/>
        <v>-0.86602540378443904</v>
      </c>
      <c r="F10" s="28">
        <f t="shared" si="1"/>
        <v>-0.49999999999999939</v>
      </c>
    </row>
    <row r="11" spans="1:6" x14ac:dyDescent="0.25">
      <c r="B11" s="45">
        <v>9</v>
      </c>
      <c r="C11" s="79">
        <v>14</v>
      </c>
      <c r="D11" s="45">
        <f t="shared" si="2"/>
        <v>4.1887902047863905</v>
      </c>
      <c r="E11" s="70">
        <f t="shared" si="0"/>
        <v>-0.50000000000000044</v>
      </c>
      <c r="F11" s="28">
        <f t="shared" si="1"/>
        <v>-0.86602540378443837</v>
      </c>
    </row>
    <row r="12" spans="1:6" x14ac:dyDescent="0.25">
      <c r="B12" s="45">
        <v>10</v>
      </c>
      <c r="C12" s="79">
        <v>13</v>
      </c>
      <c r="D12" s="45">
        <f t="shared" si="2"/>
        <v>4.7123889803846897</v>
      </c>
      <c r="E12" s="70">
        <f t="shared" si="0"/>
        <v>-1.83772268236293E-16</v>
      </c>
      <c r="F12" s="28">
        <f t="shared" si="1"/>
        <v>-1</v>
      </c>
    </row>
    <row r="13" spans="1:6" x14ac:dyDescent="0.25">
      <c r="B13" s="45">
        <v>11</v>
      </c>
      <c r="C13" s="79">
        <v>12</v>
      </c>
      <c r="D13" s="45">
        <f t="shared" si="2"/>
        <v>5.2359877559829888</v>
      </c>
      <c r="E13" s="70">
        <f t="shared" si="0"/>
        <v>0.50000000000000011</v>
      </c>
      <c r="F13" s="28">
        <f t="shared" si="1"/>
        <v>-0.8660254037844386</v>
      </c>
    </row>
    <row r="14" spans="1:6" ht="15.75" thickBot="1" x14ac:dyDescent="0.3">
      <c r="B14" s="73">
        <v>12</v>
      </c>
      <c r="C14" s="80">
        <v>11</v>
      </c>
      <c r="D14" s="73">
        <f t="shared" si="2"/>
        <v>5.759586531581288</v>
      </c>
      <c r="E14" s="71">
        <f t="shared" si="0"/>
        <v>0.86602540378443882</v>
      </c>
      <c r="F14" s="30">
        <f t="shared" si="1"/>
        <v>-0.49999999999999967</v>
      </c>
    </row>
    <row r="15" spans="1:6" ht="15.75" thickBot="1" x14ac:dyDescent="0.3">
      <c r="A15" s="68" t="s">
        <v>15</v>
      </c>
      <c r="B15" s="74">
        <v>13</v>
      </c>
      <c r="C15" s="76">
        <f>SUM(C3:C14)</f>
        <v>142</v>
      </c>
      <c r="D15" s="45">
        <f t="shared" si="2"/>
        <v>6.2831853071795871</v>
      </c>
      <c r="E15" s="77">
        <f>SUM(E3:E14)</f>
        <v>0</v>
      </c>
      <c r="F15" s="67">
        <f>SUM(F3:F14)</f>
        <v>1.8873791418627661E-15</v>
      </c>
    </row>
    <row r="16" spans="1:6" ht="15.75" thickBot="1" x14ac:dyDescent="0.3">
      <c r="B16" s="75">
        <v>14</v>
      </c>
      <c r="D16" s="46">
        <f t="shared" si="2"/>
        <v>6.8067840827778863</v>
      </c>
      <c r="E16" s="81">
        <f>COS(D16)</f>
        <v>0.86602540378443815</v>
      </c>
      <c r="F16" s="66">
        <f>SIN(D16)</f>
        <v>0.50000000000000078</v>
      </c>
    </row>
    <row r="18" spans="2:12" ht="15.75" thickBot="1" x14ac:dyDescent="0.3"/>
    <row r="19" spans="2:12" ht="15.75" thickBot="1" x14ac:dyDescent="0.3">
      <c r="B19" s="62" t="s">
        <v>52</v>
      </c>
      <c r="C19" s="61">
        <f>AVERAGE(C3:C14)</f>
        <v>11.833333333333334</v>
      </c>
      <c r="L19" t="s">
        <v>33</v>
      </c>
    </row>
    <row r="20" spans="2:12" x14ac:dyDescent="0.25">
      <c r="L20" s="82">
        <f>C37+C38*E16+C39*F16</f>
        <v>10.422649730810374</v>
      </c>
    </row>
    <row r="21" spans="2:12" x14ac:dyDescent="0.25">
      <c r="B21" t="s">
        <v>6</v>
      </c>
    </row>
    <row r="22" spans="2:12" ht="15.75" thickBot="1" x14ac:dyDescent="0.3"/>
    <row r="23" spans="2:12" x14ac:dyDescent="0.25">
      <c r="B23" s="20" t="s">
        <v>7</v>
      </c>
      <c r="C23" s="20"/>
    </row>
    <row r="24" spans="2:12" x14ac:dyDescent="0.25">
      <c r="B24" s="17" t="s">
        <v>8</v>
      </c>
      <c r="C24" s="17">
        <v>0.89268838393935712</v>
      </c>
    </row>
    <row r="25" spans="2:12" x14ac:dyDescent="0.25">
      <c r="B25" s="17" t="s">
        <v>9</v>
      </c>
      <c r="C25" s="17">
        <v>0.79689255082026111</v>
      </c>
    </row>
    <row r="26" spans="2:12" x14ac:dyDescent="0.25">
      <c r="B26" s="17" t="s">
        <v>10</v>
      </c>
      <c r="C26" s="17">
        <v>0.75175756211365252</v>
      </c>
    </row>
    <row r="27" spans="2:12" x14ac:dyDescent="0.25">
      <c r="B27" s="17" t="s">
        <v>0</v>
      </c>
      <c r="C27" s="17">
        <v>0.66620371430090242</v>
      </c>
    </row>
    <row r="28" spans="2:12" ht="15.75" thickBot="1" x14ac:dyDescent="0.3">
      <c r="B28" s="18" t="s">
        <v>11</v>
      </c>
      <c r="C28" s="18">
        <v>12</v>
      </c>
    </row>
    <row r="30" spans="2:12" ht="15.75" thickBot="1" x14ac:dyDescent="0.3">
      <c r="B30" t="s">
        <v>12</v>
      </c>
    </row>
    <row r="31" spans="2:12" x14ac:dyDescent="0.25">
      <c r="B31" s="19"/>
      <c r="C31" s="19" t="s">
        <v>17</v>
      </c>
      <c r="D31" s="19" t="s">
        <v>18</v>
      </c>
      <c r="E31" s="19" t="s">
        <v>19</v>
      </c>
      <c r="F31" s="19" t="s">
        <v>1</v>
      </c>
      <c r="G31" s="19" t="s">
        <v>20</v>
      </c>
    </row>
    <row r="32" spans="2:12" x14ac:dyDescent="0.25">
      <c r="B32" s="17" t="s">
        <v>13</v>
      </c>
      <c r="C32" s="17">
        <v>2</v>
      </c>
      <c r="D32" s="17">
        <v>15.672220166131803</v>
      </c>
      <c r="E32" s="17">
        <v>7.8361100830659014</v>
      </c>
      <c r="F32" s="17">
        <v>17.655760501023021</v>
      </c>
      <c r="G32" s="17">
        <v>7.6694873166355466E-4</v>
      </c>
    </row>
    <row r="33" spans="2:10" x14ac:dyDescent="0.25">
      <c r="B33" s="17" t="s">
        <v>14</v>
      </c>
      <c r="C33" s="17">
        <v>9</v>
      </c>
      <c r="D33" s="17">
        <v>3.9944465005348651</v>
      </c>
      <c r="E33" s="17">
        <v>0.44382738894831836</v>
      </c>
      <c r="F33" s="17"/>
      <c r="G33" s="17"/>
    </row>
    <row r="34" spans="2:10" ht="15.75" thickBot="1" x14ac:dyDescent="0.3">
      <c r="B34" s="18" t="s">
        <v>15</v>
      </c>
      <c r="C34" s="18">
        <v>11</v>
      </c>
      <c r="D34" s="18">
        <v>19.666666666666668</v>
      </c>
      <c r="E34" s="18"/>
      <c r="F34" s="18"/>
      <c r="G34" s="18"/>
    </row>
    <row r="35" spans="2:10" ht="15.75" thickBot="1" x14ac:dyDescent="0.3"/>
    <row r="36" spans="2:10" x14ac:dyDescent="0.25">
      <c r="B36" s="19"/>
      <c r="C36" s="19" t="s">
        <v>21</v>
      </c>
      <c r="D36" s="19" t="s">
        <v>0</v>
      </c>
      <c r="E36" s="19" t="s">
        <v>22</v>
      </c>
      <c r="F36" s="19" t="s">
        <v>23</v>
      </c>
      <c r="G36" s="19" t="s">
        <v>24</v>
      </c>
      <c r="H36" s="19" t="s">
        <v>25</v>
      </c>
      <c r="I36" s="19" t="s">
        <v>26</v>
      </c>
      <c r="J36" s="19" t="s">
        <v>27</v>
      </c>
    </row>
    <row r="37" spans="2:10" x14ac:dyDescent="0.25">
      <c r="B37" s="17" t="s">
        <v>16</v>
      </c>
      <c r="C37" s="17">
        <v>11.833333333333334</v>
      </c>
      <c r="D37" s="17">
        <v>0.19231644689337729</v>
      </c>
      <c r="E37" s="17">
        <v>61.530532226886898</v>
      </c>
      <c r="F37" s="17">
        <v>3.9887452330378601E-13</v>
      </c>
      <c r="G37" s="17">
        <v>11.39828330546958</v>
      </c>
      <c r="H37" s="17">
        <v>12.268383361197088</v>
      </c>
      <c r="I37" s="17">
        <v>11.39828330546958</v>
      </c>
      <c r="J37" s="17">
        <v>12.268383361197088</v>
      </c>
    </row>
    <row r="38" spans="2:10" x14ac:dyDescent="0.25">
      <c r="B38" s="17" t="s">
        <v>63</v>
      </c>
      <c r="C38" s="17">
        <v>-0.82735026918962618</v>
      </c>
      <c r="D38" s="17">
        <v>0.27197652746401924</v>
      </c>
      <c r="E38" s="17">
        <v>-3.041991442805958</v>
      </c>
      <c r="F38" s="17">
        <v>1.3972798444029964E-2</v>
      </c>
      <c r="G38" s="17">
        <v>-1.4426039189053401</v>
      </c>
      <c r="H38" s="17">
        <v>-0.21209661947391223</v>
      </c>
      <c r="I38" s="17">
        <v>-1.4426039189053401</v>
      </c>
      <c r="J38" s="17">
        <v>-0.21209661947391223</v>
      </c>
    </row>
    <row r="39" spans="2:10" ht="15.75" thickBot="1" x14ac:dyDescent="0.3">
      <c r="B39" s="18" t="s">
        <v>64</v>
      </c>
      <c r="C39" s="18">
        <v>-1.3883545031536992</v>
      </c>
      <c r="D39" s="18">
        <v>0.27197652746401924</v>
      </c>
      <c r="E39" s="18">
        <v>-5.1046850112363824</v>
      </c>
      <c r="F39" s="18">
        <v>6.4108469385268038E-4</v>
      </c>
      <c r="G39" s="18">
        <v>-2.003608152869413</v>
      </c>
      <c r="H39" s="18">
        <v>-0.77310085343798529</v>
      </c>
      <c r="I39" s="18">
        <v>-2.003608152869413</v>
      </c>
      <c r="J39" s="18">
        <v>-0.77310085343798529</v>
      </c>
    </row>
    <row r="43" spans="2:10" x14ac:dyDescent="0.25">
      <c r="B43" t="s">
        <v>28</v>
      </c>
    </row>
    <row r="44" spans="2:10" ht="15.75" thickBot="1" x14ac:dyDescent="0.3"/>
    <row r="45" spans="2:10" x14ac:dyDescent="0.25">
      <c r="B45" s="19" t="s">
        <v>29</v>
      </c>
      <c r="C45" s="19" t="s">
        <v>65</v>
      </c>
      <c r="D45" s="19" t="s">
        <v>31</v>
      </c>
    </row>
    <row r="46" spans="2:10" x14ac:dyDescent="0.25">
      <c r="B46" s="17">
        <v>1</v>
      </c>
      <c r="C46" s="17">
        <v>11.005983064143708</v>
      </c>
      <c r="D46" s="17">
        <v>0.99401693585629225</v>
      </c>
    </row>
    <row r="47" spans="2:10" x14ac:dyDescent="0.25">
      <c r="B47" s="17">
        <v>2</v>
      </c>
      <c r="C47" s="17">
        <v>10.422649730810374</v>
      </c>
      <c r="D47" s="17">
        <v>0.57735026918962618</v>
      </c>
    </row>
    <row r="48" spans="2:10" x14ac:dyDescent="0.25">
      <c r="B48" s="17">
        <v>3</v>
      </c>
      <c r="C48" s="17">
        <v>10.217307929548895</v>
      </c>
      <c r="D48" s="17">
        <v>-0.21730792954889466</v>
      </c>
    </row>
    <row r="49" spans="2:4" x14ac:dyDescent="0.25">
      <c r="B49" s="17">
        <v>4</v>
      </c>
      <c r="C49" s="17">
        <v>10.444978830179634</v>
      </c>
      <c r="D49" s="17">
        <v>-0.44497883017963424</v>
      </c>
    </row>
    <row r="50" spans="2:4" x14ac:dyDescent="0.25">
      <c r="B50" s="17">
        <v>5</v>
      </c>
      <c r="C50" s="17">
        <v>11.044658198738521</v>
      </c>
      <c r="D50" s="17">
        <v>-4.4658198738520838E-2</v>
      </c>
    </row>
    <row r="51" spans="2:4" x14ac:dyDescent="0.25">
      <c r="B51" s="17">
        <v>6</v>
      </c>
      <c r="C51" s="17">
        <v>11.855662432702594</v>
      </c>
      <c r="D51" s="17">
        <v>0.14433756729740566</v>
      </c>
    </row>
    <row r="52" spans="2:4" x14ac:dyDescent="0.25">
      <c r="B52" s="17">
        <v>7</v>
      </c>
      <c r="C52" s="17">
        <v>12.66068360252296</v>
      </c>
      <c r="D52" s="17">
        <v>-0.6606836025229601</v>
      </c>
    </row>
    <row r="53" spans="2:4" x14ac:dyDescent="0.25">
      <c r="B53" s="17">
        <v>8</v>
      </c>
      <c r="C53" s="17">
        <v>13.244016935856292</v>
      </c>
      <c r="D53" s="17">
        <v>0.75598306414370775</v>
      </c>
    </row>
    <row r="54" spans="2:4" x14ac:dyDescent="0.25">
      <c r="B54" s="17">
        <v>9</v>
      </c>
      <c r="C54" s="17">
        <v>13.449358737117773</v>
      </c>
      <c r="D54" s="17">
        <v>0.55064126288222681</v>
      </c>
    </row>
    <row r="55" spans="2:4" x14ac:dyDescent="0.25">
      <c r="B55" s="17">
        <v>10</v>
      </c>
      <c r="C55" s="17">
        <v>13.221687836487034</v>
      </c>
      <c r="D55" s="17">
        <v>-0.22168783648703361</v>
      </c>
    </row>
    <row r="56" spans="2:4" x14ac:dyDescent="0.25">
      <c r="B56" s="17">
        <v>11</v>
      </c>
      <c r="C56" s="17">
        <v>12.622008467928147</v>
      </c>
      <c r="D56" s="17">
        <v>-0.62200846792814701</v>
      </c>
    </row>
    <row r="57" spans="2:4" ht="15.75" thickBot="1" x14ac:dyDescent="0.3">
      <c r="B57" s="18">
        <v>12</v>
      </c>
      <c r="C57" s="18">
        <v>11.811004233964074</v>
      </c>
      <c r="D57" s="18">
        <v>-0.81100423396407351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A536E-27F1-40B9-86FE-6C5F5B7D5857}">
  <dimension ref="C5:K50"/>
  <sheetViews>
    <sheetView workbookViewId="0">
      <selection activeCell="K28" sqref="K28"/>
    </sheetView>
  </sheetViews>
  <sheetFormatPr defaultRowHeight="15" x14ac:dyDescent="0.25"/>
  <cols>
    <col min="6" max="6" width="11.7109375" bestFit="1" customWidth="1"/>
  </cols>
  <sheetData>
    <row r="5" spans="3:8" ht="15.75" thickBot="1" x14ac:dyDescent="0.3"/>
    <row r="6" spans="3:8" ht="15.75" thickBot="1" x14ac:dyDescent="0.3">
      <c r="C6" s="85" t="s">
        <v>3</v>
      </c>
      <c r="D6" s="86" t="s">
        <v>62</v>
      </c>
      <c r="E6" s="86" t="s">
        <v>63</v>
      </c>
      <c r="F6" s="86" t="s">
        <v>64</v>
      </c>
      <c r="G6" s="86" t="s">
        <v>66</v>
      </c>
      <c r="H6" s="87" t="s">
        <v>67</v>
      </c>
    </row>
    <row r="7" spans="3:8" x14ac:dyDescent="0.25">
      <c r="C7" s="83">
        <v>1</v>
      </c>
      <c r="D7" s="84">
        <v>0</v>
      </c>
      <c r="E7" s="89" t="s">
        <v>68</v>
      </c>
      <c r="F7" s="89"/>
      <c r="G7" s="89"/>
      <c r="H7" s="90"/>
    </row>
    <row r="8" spans="3:8" x14ac:dyDescent="0.25">
      <c r="C8" s="3">
        <v>2</v>
      </c>
      <c r="D8" s="44">
        <f>2*PI()/C16</f>
        <v>0.62831853071795862</v>
      </c>
      <c r="E8" s="88"/>
      <c r="F8" s="88"/>
      <c r="G8" s="88"/>
      <c r="H8" s="91"/>
    </row>
    <row r="9" spans="3:8" x14ac:dyDescent="0.25">
      <c r="C9" s="3">
        <v>3</v>
      </c>
      <c r="D9" s="44">
        <f>D8+$D$8</f>
        <v>1.2566370614359172</v>
      </c>
      <c r="E9" s="88"/>
      <c r="F9" s="88"/>
      <c r="G9" s="88"/>
      <c r="H9" s="91"/>
    </row>
    <row r="10" spans="3:8" x14ac:dyDescent="0.25">
      <c r="C10" s="3">
        <v>4</v>
      </c>
      <c r="D10" s="44">
        <f t="shared" ref="D10:D17" si="0">D9+$D$8</f>
        <v>1.8849555921538759</v>
      </c>
      <c r="E10" s="88"/>
      <c r="F10" s="88"/>
      <c r="G10" s="88"/>
      <c r="H10" s="91"/>
    </row>
    <row r="11" spans="3:8" x14ac:dyDescent="0.25">
      <c r="C11" s="3">
        <v>5</v>
      </c>
      <c r="D11" s="44">
        <f t="shared" si="0"/>
        <v>2.5132741228718345</v>
      </c>
      <c r="E11" s="88"/>
      <c r="F11" s="88"/>
      <c r="G11" s="88"/>
      <c r="H11" s="91"/>
    </row>
    <row r="12" spans="3:8" x14ac:dyDescent="0.25">
      <c r="C12" s="3">
        <v>6</v>
      </c>
      <c r="D12" s="44">
        <f t="shared" si="0"/>
        <v>3.1415926535897931</v>
      </c>
      <c r="E12" s="88"/>
      <c r="F12" s="88"/>
      <c r="G12" s="88"/>
      <c r="H12" s="91"/>
    </row>
    <row r="13" spans="3:8" x14ac:dyDescent="0.25">
      <c r="C13" s="3">
        <v>7</v>
      </c>
      <c r="D13" s="44">
        <f t="shared" si="0"/>
        <v>3.7699111843077517</v>
      </c>
      <c r="E13" s="88"/>
      <c r="F13" s="88"/>
      <c r="G13" s="88"/>
      <c r="H13" s="91"/>
    </row>
    <row r="14" spans="3:8" x14ac:dyDescent="0.25">
      <c r="C14" s="3">
        <v>8</v>
      </c>
      <c r="D14" s="44">
        <f t="shared" si="0"/>
        <v>4.3982297150257104</v>
      </c>
      <c r="E14" s="88"/>
      <c r="F14" s="88"/>
      <c r="G14" s="88"/>
      <c r="H14" s="91"/>
    </row>
    <row r="15" spans="3:8" x14ac:dyDescent="0.25">
      <c r="C15" s="3">
        <v>9</v>
      </c>
      <c r="D15" s="44">
        <f t="shared" si="0"/>
        <v>5.026548245743669</v>
      </c>
      <c r="E15" s="88"/>
      <c r="F15" s="88"/>
      <c r="G15" s="88"/>
      <c r="H15" s="91"/>
    </row>
    <row r="16" spans="3:8" x14ac:dyDescent="0.25">
      <c r="C16" s="3">
        <v>10</v>
      </c>
      <c r="D16" s="44">
        <f t="shared" si="0"/>
        <v>5.6548667764616276</v>
      </c>
      <c r="E16" s="88"/>
      <c r="F16" s="88"/>
      <c r="G16" s="88"/>
      <c r="H16" s="91"/>
    </row>
    <row r="17" spans="3:11" ht="15.75" thickBot="1" x14ac:dyDescent="0.3">
      <c r="C17" s="58">
        <v>11</v>
      </c>
      <c r="D17" s="59">
        <f t="shared" si="0"/>
        <v>6.2831853071795862</v>
      </c>
      <c r="E17" s="59">
        <f>COS(D17)</f>
        <v>1</v>
      </c>
      <c r="F17" s="59">
        <v>0</v>
      </c>
      <c r="G17" s="59">
        <v>1</v>
      </c>
      <c r="H17" s="60">
        <v>0</v>
      </c>
    </row>
    <row r="20" spans="3:11" x14ac:dyDescent="0.25">
      <c r="E20" s="56" t="s">
        <v>32</v>
      </c>
      <c r="F20">
        <f>400+0.7+9.3</f>
        <v>410</v>
      </c>
    </row>
    <row r="25" spans="3:11" x14ac:dyDescent="0.25">
      <c r="D25" s="57" t="s">
        <v>69</v>
      </c>
    </row>
    <row r="26" spans="3:11" x14ac:dyDescent="0.25">
      <c r="D26">
        <f>7+0.5*21</f>
        <v>17.5</v>
      </c>
    </row>
    <row r="28" spans="3:11" x14ac:dyDescent="0.25">
      <c r="G28" s="57" t="s">
        <v>70</v>
      </c>
      <c r="K28" s="57" t="s">
        <v>33</v>
      </c>
    </row>
    <row r="29" spans="3:11" ht="15.75" thickBot="1" x14ac:dyDescent="0.3">
      <c r="C29" t="s">
        <v>3</v>
      </c>
      <c r="D29" t="s">
        <v>62</v>
      </c>
      <c r="G29">
        <f>0.1+0.2</f>
        <v>0.30000000000000004</v>
      </c>
      <c r="K29">
        <f>D26+G29</f>
        <v>17.8</v>
      </c>
    </row>
    <row r="30" spans="3:11" x14ac:dyDescent="0.25">
      <c r="C30">
        <v>1</v>
      </c>
      <c r="D30" s="84">
        <v>0</v>
      </c>
    </row>
    <row r="31" spans="3:11" x14ac:dyDescent="0.25">
      <c r="C31">
        <v>2</v>
      </c>
      <c r="D31">
        <f>2*PI()/C48</f>
        <v>0.33069396353576769</v>
      </c>
    </row>
    <row r="32" spans="3:11" x14ac:dyDescent="0.25">
      <c r="C32">
        <v>3</v>
      </c>
      <c r="D32">
        <f>D31+$D$31</f>
        <v>0.66138792707153538</v>
      </c>
    </row>
    <row r="33" spans="3:4" x14ac:dyDescent="0.25">
      <c r="C33">
        <v>4</v>
      </c>
      <c r="D33">
        <f t="shared" ref="D33:D50" si="1">D32+$D$31</f>
        <v>0.99208189060730301</v>
      </c>
    </row>
    <row r="34" spans="3:4" x14ac:dyDescent="0.25">
      <c r="C34">
        <v>5</v>
      </c>
      <c r="D34">
        <f t="shared" si="1"/>
        <v>1.3227758541430708</v>
      </c>
    </row>
    <row r="35" spans="3:4" x14ac:dyDescent="0.25">
      <c r="C35">
        <v>6</v>
      </c>
      <c r="D35">
        <f t="shared" si="1"/>
        <v>1.6534698176788385</v>
      </c>
    </row>
    <row r="36" spans="3:4" x14ac:dyDescent="0.25">
      <c r="C36">
        <v>7</v>
      </c>
      <c r="D36">
        <f t="shared" si="1"/>
        <v>1.9841637812146062</v>
      </c>
    </row>
    <row r="37" spans="3:4" x14ac:dyDescent="0.25">
      <c r="C37">
        <v>8</v>
      </c>
      <c r="D37">
        <f t="shared" si="1"/>
        <v>2.3148577447503738</v>
      </c>
    </row>
    <row r="38" spans="3:4" x14ac:dyDescent="0.25">
      <c r="C38">
        <v>9</v>
      </c>
      <c r="D38">
        <f t="shared" si="1"/>
        <v>2.6455517082861415</v>
      </c>
    </row>
    <row r="39" spans="3:4" x14ac:dyDescent="0.25">
      <c r="C39">
        <v>10</v>
      </c>
      <c r="D39">
        <f t="shared" si="1"/>
        <v>2.9762456718219092</v>
      </c>
    </row>
    <row r="40" spans="3:4" x14ac:dyDescent="0.25">
      <c r="C40">
        <v>11</v>
      </c>
      <c r="D40">
        <f t="shared" si="1"/>
        <v>3.306939635357677</v>
      </c>
    </row>
    <row r="41" spans="3:4" x14ac:dyDescent="0.25">
      <c r="C41">
        <v>12</v>
      </c>
      <c r="D41">
        <f t="shared" si="1"/>
        <v>3.6376335988934447</v>
      </c>
    </row>
    <row r="42" spans="3:4" x14ac:dyDescent="0.25">
      <c r="C42">
        <v>13</v>
      </c>
      <c r="D42">
        <f t="shared" si="1"/>
        <v>3.9683275624292125</v>
      </c>
    </row>
    <row r="43" spans="3:4" x14ac:dyDescent="0.25">
      <c r="C43">
        <v>14</v>
      </c>
      <c r="D43">
        <f t="shared" si="1"/>
        <v>4.2990215259649798</v>
      </c>
    </row>
    <row r="44" spans="3:4" x14ac:dyDescent="0.25">
      <c r="C44">
        <v>15</v>
      </c>
      <c r="D44">
        <f t="shared" si="1"/>
        <v>4.6297154895007475</v>
      </c>
    </row>
    <row r="45" spans="3:4" x14ac:dyDescent="0.25">
      <c r="C45">
        <v>16</v>
      </c>
      <c r="D45">
        <f t="shared" si="1"/>
        <v>4.9604094530365153</v>
      </c>
    </row>
    <row r="46" spans="3:4" x14ac:dyDescent="0.25">
      <c r="C46">
        <v>17</v>
      </c>
      <c r="D46">
        <f t="shared" si="1"/>
        <v>5.291103416572283</v>
      </c>
    </row>
    <row r="47" spans="3:4" x14ac:dyDescent="0.25">
      <c r="C47">
        <v>18</v>
      </c>
      <c r="D47">
        <f t="shared" si="1"/>
        <v>5.6217973801080507</v>
      </c>
    </row>
    <row r="48" spans="3:4" x14ac:dyDescent="0.25">
      <c r="C48">
        <v>19</v>
      </c>
      <c r="D48">
        <f t="shared" si="1"/>
        <v>5.9524913436438185</v>
      </c>
    </row>
    <row r="49" spans="3:4" x14ac:dyDescent="0.25">
      <c r="C49">
        <v>20</v>
      </c>
      <c r="D49">
        <f t="shared" si="1"/>
        <v>6.2831853071795862</v>
      </c>
    </row>
    <row r="50" spans="3:4" x14ac:dyDescent="0.25">
      <c r="C50">
        <v>21</v>
      </c>
      <c r="D50">
        <f t="shared" si="1"/>
        <v>6.613879270715354</v>
      </c>
    </row>
  </sheetData>
  <mergeCells count="1">
    <mergeCell ref="E7:H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0091-F4C3-4F65-8C34-C6C7EC533D71}">
  <dimension ref="C3:P33"/>
  <sheetViews>
    <sheetView tabSelected="1" workbookViewId="0">
      <selection activeCell="P22" sqref="P22"/>
    </sheetView>
  </sheetViews>
  <sheetFormatPr defaultRowHeight="15" x14ac:dyDescent="0.25"/>
  <cols>
    <col min="10" max="10" width="24" customWidth="1"/>
    <col min="11" max="12" width="14.140625" customWidth="1"/>
    <col min="13" max="13" width="15.28515625" customWidth="1"/>
    <col min="14" max="14" width="13.140625" customWidth="1"/>
    <col min="15" max="15" width="14.7109375" customWidth="1"/>
    <col min="16" max="16" width="15.28515625" customWidth="1"/>
  </cols>
  <sheetData>
    <row r="3" spans="3:13" x14ac:dyDescent="0.25">
      <c r="C3" t="s">
        <v>3</v>
      </c>
      <c r="D3" t="s">
        <v>61</v>
      </c>
      <c r="H3" t="s">
        <v>6</v>
      </c>
    </row>
    <row r="4" spans="3:13" ht="15.75" thickBot="1" x14ac:dyDescent="0.3">
      <c r="C4">
        <v>1</v>
      </c>
      <c r="D4">
        <v>2</v>
      </c>
    </row>
    <row r="5" spans="3:13" x14ac:dyDescent="0.25">
      <c r="C5">
        <v>2</v>
      </c>
      <c r="D5">
        <v>6</v>
      </c>
      <c r="H5" s="20" t="s">
        <v>7</v>
      </c>
      <c r="I5" s="20"/>
    </row>
    <row r="6" spans="3:13" x14ac:dyDescent="0.25">
      <c r="C6">
        <v>3</v>
      </c>
      <c r="D6">
        <v>7</v>
      </c>
      <c r="H6" s="17" t="s">
        <v>8</v>
      </c>
      <c r="I6" s="17">
        <v>0.8660254037844386</v>
      </c>
    </row>
    <row r="7" spans="3:13" x14ac:dyDescent="0.25">
      <c r="C7">
        <v>4</v>
      </c>
      <c r="D7">
        <v>3</v>
      </c>
      <c r="H7" s="17" t="s">
        <v>9</v>
      </c>
      <c r="I7" s="17">
        <v>0.75</v>
      </c>
    </row>
    <row r="8" spans="3:13" x14ac:dyDescent="0.25">
      <c r="C8">
        <v>5</v>
      </c>
      <c r="D8">
        <v>10</v>
      </c>
      <c r="H8" s="17" t="s">
        <v>10</v>
      </c>
      <c r="I8" s="17">
        <v>0.7</v>
      </c>
    </row>
    <row r="9" spans="3:13" x14ac:dyDescent="0.25">
      <c r="C9">
        <v>6</v>
      </c>
      <c r="D9">
        <v>12</v>
      </c>
      <c r="H9" s="17" t="s">
        <v>0</v>
      </c>
      <c r="I9" s="17">
        <v>2.3421601750764798</v>
      </c>
    </row>
    <row r="10" spans="3:13" ht="15.75" thickBot="1" x14ac:dyDescent="0.3">
      <c r="C10">
        <v>7</v>
      </c>
      <c r="D10">
        <v>13</v>
      </c>
      <c r="H10" s="18" t="s">
        <v>11</v>
      </c>
      <c r="I10" s="18">
        <v>7</v>
      </c>
    </row>
    <row r="12" spans="3:13" ht="15.75" thickBot="1" x14ac:dyDescent="0.3">
      <c r="H12" t="s">
        <v>12</v>
      </c>
    </row>
    <row r="13" spans="3:13" x14ac:dyDescent="0.25">
      <c r="H13" s="19"/>
      <c r="I13" s="19" t="s">
        <v>17</v>
      </c>
      <c r="J13" s="19" t="s">
        <v>18</v>
      </c>
      <c r="K13" s="19" t="s">
        <v>19</v>
      </c>
      <c r="L13" s="19" t="s">
        <v>1</v>
      </c>
      <c r="M13" s="19" t="s">
        <v>20</v>
      </c>
    </row>
    <row r="14" spans="3:13" x14ac:dyDescent="0.25">
      <c r="H14" s="17" t="s">
        <v>13</v>
      </c>
      <c r="I14" s="17">
        <v>1</v>
      </c>
      <c r="J14" s="17">
        <v>82.285714285714292</v>
      </c>
      <c r="K14" s="17">
        <v>82.285714285714292</v>
      </c>
      <c r="L14" s="17">
        <v>15.000000000000002</v>
      </c>
      <c r="M14" s="17">
        <v>1.1724811003954635E-2</v>
      </c>
    </row>
    <row r="15" spans="3:13" x14ac:dyDescent="0.25">
      <c r="H15" s="17" t="s">
        <v>14</v>
      </c>
      <c r="I15" s="17">
        <v>5</v>
      </c>
      <c r="J15" s="17">
        <v>27.428571428571431</v>
      </c>
      <c r="K15" s="17">
        <v>5.4857142857142858</v>
      </c>
      <c r="L15" s="17"/>
      <c r="M15" s="17"/>
    </row>
    <row r="16" spans="3:13" ht="15.75" thickBot="1" x14ac:dyDescent="0.3">
      <c r="H16" s="18" t="s">
        <v>15</v>
      </c>
      <c r="I16" s="18">
        <v>6</v>
      </c>
      <c r="J16" s="18">
        <v>109.71428571428572</v>
      </c>
      <c r="K16" s="18"/>
      <c r="L16" s="18"/>
      <c r="M16" s="18"/>
    </row>
    <row r="17" spans="8:16" ht="15.75" thickBot="1" x14ac:dyDescent="0.3"/>
    <row r="18" spans="8:16" x14ac:dyDescent="0.25">
      <c r="H18" s="19"/>
      <c r="I18" s="19" t="s">
        <v>21</v>
      </c>
      <c r="J18" s="19" t="s">
        <v>0</v>
      </c>
      <c r="K18" s="19" t="s">
        <v>22</v>
      </c>
      <c r="L18" s="19" t="s">
        <v>23</v>
      </c>
      <c r="M18" s="19" t="s">
        <v>24</v>
      </c>
      <c r="N18" s="19" t="s">
        <v>25</v>
      </c>
      <c r="O18" s="19" t="s">
        <v>26</v>
      </c>
      <c r="P18" s="19" t="s">
        <v>27</v>
      </c>
    </row>
    <row r="19" spans="8:16" x14ac:dyDescent="0.25">
      <c r="H19" s="17" t="s">
        <v>16</v>
      </c>
      <c r="I19" s="17">
        <v>0.71428571428571441</v>
      </c>
      <c r="J19" s="17">
        <v>1.9794866372215736</v>
      </c>
      <c r="K19" s="17">
        <v>0.36084391824351625</v>
      </c>
      <c r="L19" s="17">
        <v>0.73296054068885352</v>
      </c>
      <c r="M19" s="17">
        <v>-4.3741466792408747</v>
      </c>
      <c r="N19" s="17">
        <v>5.8027181078123036</v>
      </c>
      <c r="O19" s="17">
        <v>-4.3741466792408747</v>
      </c>
      <c r="P19" s="17">
        <v>5.8027181078123036</v>
      </c>
    </row>
    <row r="20" spans="8:16" ht="15.75" thickBot="1" x14ac:dyDescent="0.3">
      <c r="H20" s="18" t="s">
        <v>3</v>
      </c>
      <c r="I20" s="18">
        <v>1.7142857142857142</v>
      </c>
      <c r="J20" s="18">
        <v>0.44262666813799045</v>
      </c>
      <c r="K20" s="18">
        <v>3.872983346207417</v>
      </c>
      <c r="L20" s="18">
        <v>1.1724811003954635E-2</v>
      </c>
      <c r="M20" s="18">
        <v>0.57647764120197276</v>
      </c>
      <c r="N20" s="18">
        <v>2.8520937873694558</v>
      </c>
      <c r="O20" s="18">
        <v>0.57647764120197276</v>
      </c>
      <c r="P20" s="18">
        <v>2.8520937873694558</v>
      </c>
    </row>
    <row r="22" spans="8:16" x14ac:dyDescent="0.25">
      <c r="L22">
        <f>J20*L23</f>
        <v>1.1378080730837414</v>
      </c>
      <c r="N22">
        <f>I20-L22</f>
        <v>0.57647764120197276</v>
      </c>
      <c r="O22">
        <f>I20+L22</f>
        <v>2.8520937873694558</v>
      </c>
    </row>
    <row r="23" spans="8:16" x14ac:dyDescent="0.25">
      <c r="L23">
        <f>_xlfn.T.INV.2T(0.05,I15)</f>
        <v>2.570581835636315</v>
      </c>
    </row>
    <row r="24" spans="8:16" x14ac:dyDescent="0.25">
      <c r="H24" t="s">
        <v>28</v>
      </c>
    </row>
    <row r="25" spans="8:16" ht="15.75" thickBot="1" x14ac:dyDescent="0.3"/>
    <row r="26" spans="8:16" x14ac:dyDescent="0.25">
      <c r="H26" s="19" t="s">
        <v>29</v>
      </c>
      <c r="I26" s="19" t="s">
        <v>65</v>
      </c>
      <c r="J26" s="19" t="s">
        <v>31</v>
      </c>
    </row>
    <row r="27" spans="8:16" x14ac:dyDescent="0.25">
      <c r="H27" s="17">
        <v>1</v>
      </c>
      <c r="I27" s="17">
        <v>2.4285714285714288</v>
      </c>
      <c r="J27" s="17">
        <v>-0.42857142857142883</v>
      </c>
    </row>
    <row r="28" spans="8:16" x14ac:dyDescent="0.25">
      <c r="H28" s="17">
        <v>2</v>
      </c>
      <c r="I28" s="17">
        <v>4.1428571428571423</v>
      </c>
      <c r="J28" s="17">
        <v>1.8571428571428577</v>
      </c>
    </row>
    <row r="29" spans="8:16" x14ac:dyDescent="0.25">
      <c r="H29" s="17">
        <v>3</v>
      </c>
      <c r="I29" s="17">
        <v>5.8571428571428568</v>
      </c>
      <c r="J29" s="17">
        <v>1.1428571428571432</v>
      </c>
    </row>
    <row r="30" spans="8:16" x14ac:dyDescent="0.25">
      <c r="H30" s="17">
        <v>4</v>
      </c>
      <c r="I30" s="17">
        <v>7.5714285714285712</v>
      </c>
      <c r="J30" s="17">
        <v>-4.5714285714285712</v>
      </c>
    </row>
    <row r="31" spans="8:16" x14ac:dyDescent="0.25">
      <c r="H31" s="17">
        <v>5</v>
      </c>
      <c r="I31" s="17">
        <v>9.2857142857142847</v>
      </c>
      <c r="J31" s="17">
        <v>0.7142857142857153</v>
      </c>
    </row>
    <row r="32" spans="8:16" x14ac:dyDescent="0.25">
      <c r="H32" s="17">
        <v>6</v>
      </c>
      <c r="I32" s="17">
        <v>11</v>
      </c>
      <c r="J32" s="17">
        <v>1</v>
      </c>
    </row>
    <row r="33" spans="8:10" ht="15.75" thickBot="1" x14ac:dyDescent="0.3">
      <c r="H33" s="18">
        <v>7</v>
      </c>
      <c r="I33" s="18">
        <v>12.714285714285715</v>
      </c>
      <c r="J33" s="18">
        <v>0.2857142857142847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ДЗ №1</vt:lpstr>
      <vt:lpstr>ДЗ №2</vt:lpstr>
      <vt:lpstr>Лист1</vt:lpstr>
      <vt:lpstr>Лист3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Студент</cp:lastModifiedBy>
  <dcterms:created xsi:type="dcterms:W3CDTF">2015-06-05T18:17:20Z</dcterms:created>
  <dcterms:modified xsi:type="dcterms:W3CDTF">2022-04-26T09:25:37Z</dcterms:modified>
</cp:coreProperties>
</file>