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financial-mathematics\task-6\"/>
    </mc:Choice>
  </mc:AlternateContent>
  <xr:revisionPtr revIDLastSave="0" documentId="13_ncr:1_{C198883E-0FA4-4126-B4F3-032D7E5D993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 (2)" sheetId="2" r:id="rId1"/>
    <sheet name="Sheet1" sheetId="1" r:id="rId2"/>
    <sheet name="Лист2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G32" i="2"/>
  <c r="Q22" i="1"/>
  <c r="Q23" i="1"/>
  <c r="Q24" i="1"/>
  <c r="Q25" i="1"/>
  <c r="Q26" i="1"/>
  <c r="Q27" i="1"/>
  <c r="Q28" i="1"/>
  <c r="Q29" i="1"/>
  <c r="Q21" i="1"/>
  <c r="R22" i="1"/>
  <c r="R23" i="1"/>
  <c r="R24" i="1"/>
  <c r="R25" i="1"/>
  <c r="R26" i="1"/>
  <c r="R27" i="1"/>
  <c r="R28" i="1"/>
  <c r="R29" i="1"/>
  <c r="R21" i="1"/>
  <c r="O22" i="1"/>
  <c r="O23" i="1"/>
  <c r="O24" i="1"/>
  <c r="O25" i="1"/>
  <c r="O26" i="1"/>
  <c r="O27" i="1"/>
  <c r="O28" i="1"/>
  <c r="O29" i="1"/>
  <c r="O21" i="1"/>
  <c r="N21" i="1" l="1"/>
  <c r="H34" i="4"/>
  <c r="B36" i="4"/>
  <c r="B22" i="4"/>
  <c r="D18" i="4"/>
  <c r="C17" i="4"/>
  <c r="D11" i="3"/>
  <c r="J19" i="3"/>
  <c r="G11" i="3"/>
  <c r="M8" i="3"/>
  <c r="M9" i="3"/>
  <c r="N23" i="1"/>
  <c r="N24" i="1"/>
  <c r="N25" i="1"/>
  <c r="N26" i="1"/>
  <c r="N27" i="1"/>
  <c r="N28" i="1"/>
  <c r="N29" i="1"/>
  <c r="N22" i="1"/>
  <c r="L33" i="2"/>
  <c r="F33" i="2"/>
  <c r="K32" i="2"/>
  <c r="J32" i="2"/>
  <c r="I32" i="2"/>
  <c r="E29" i="2"/>
  <c r="K29" i="2" s="1"/>
  <c r="H28" i="2"/>
  <c r="F28" i="2"/>
  <c r="E28" i="2"/>
  <c r="K28" i="2" s="1"/>
  <c r="J27" i="2"/>
  <c r="H27" i="2"/>
  <c r="F27" i="2"/>
  <c r="E27" i="2"/>
  <c r="K27" i="2" s="1"/>
  <c r="J26" i="2"/>
  <c r="E26" i="2"/>
  <c r="K26" i="2" s="1"/>
  <c r="E25" i="2"/>
  <c r="K25" i="2" s="1"/>
  <c r="H24" i="2"/>
  <c r="F24" i="2"/>
  <c r="E24" i="2"/>
  <c r="K24" i="2" s="1"/>
  <c r="J23" i="2"/>
  <c r="H23" i="2"/>
  <c r="F23" i="2"/>
  <c r="E23" i="2"/>
  <c r="K23" i="2" s="1"/>
  <c r="J22" i="2"/>
  <c r="E22" i="2"/>
  <c r="K22" i="2" s="1"/>
  <c r="E21" i="2"/>
  <c r="K21" i="2" s="1"/>
  <c r="I22" i="1"/>
  <c r="I23" i="1"/>
  <c r="I24" i="1"/>
  <c r="I25" i="1"/>
  <c r="I26" i="1"/>
  <c r="I27" i="1"/>
  <c r="I28" i="1"/>
  <c r="I29" i="1"/>
  <c r="I21" i="1"/>
  <c r="J22" i="1"/>
  <c r="J23" i="1"/>
  <c r="J24" i="1"/>
  <c r="J25" i="1"/>
  <c r="J26" i="1"/>
  <c r="J27" i="1"/>
  <c r="J28" i="1"/>
  <c r="J29" i="1"/>
  <c r="J21" i="1"/>
  <c r="H22" i="1"/>
  <c r="H23" i="1"/>
  <c r="H24" i="1"/>
  <c r="H25" i="1"/>
  <c r="H26" i="1"/>
  <c r="H27" i="1"/>
  <c r="H28" i="1"/>
  <c r="H29" i="1"/>
  <c r="H21" i="1"/>
  <c r="G21" i="1"/>
  <c r="E22" i="1"/>
  <c r="K22" i="1" s="1"/>
  <c r="E23" i="1"/>
  <c r="F23" i="1" s="1"/>
  <c r="E24" i="1"/>
  <c r="L24" i="1" s="1"/>
  <c r="E25" i="1"/>
  <c r="G25" i="1" s="1"/>
  <c r="E26" i="1"/>
  <c r="K26" i="1" s="1"/>
  <c r="E27" i="1"/>
  <c r="F27" i="1" s="1"/>
  <c r="E28" i="1"/>
  <c r="L28" i="1" s="1"/>
  <c r="E29" i="1"/>
  <c r="G29" i="1" s="1"/>
  <c r="E21" i="1"/>
  <c r="K21" i="1" s="1"/>
  <c r="L21" i="2" l="1"/>
  <c r="L25" i="2"/>
  <c r="F25" i="2"/>
  <c r="F29" i="2"/>
  <c r="H21" i="2"/>
  <c r="F22" i="2"/>
  <c r="L23" i="2"/>
  <c r="J24" i="2"/>
  <c r="H25" i="2"/>
  <c r="F26" i="2"/>
  <c r="L27" i="2"/>
  <c r="J28" i="2"/>
  <c r="H29" i="2"/>
  <c r="F21" i="2"/>
  <c r="L22" i="2"/>
  <c r="L26" i="2"/>
  <c r="J21" i="2"/>
  <c r="H22" i="2"/>
  <c r="L24" i="2"/>
  <c r="J25" i="2"/>
  <c r="H26" i="2"/>
  <c r="L28" i="2"/>
  <c r="L29" i="2"/>
  <c r="I21" i="2"/>
  <c r="I22" i="2"/>
  <c r="I23" i="2"/>
  <c r="I24" i="2"/>
  <c r="I25" i="2"/>
  <c r="I26" i="2"/>
  <c r="I27" i="2"/>
  <c r="I28" i="2"/>
  <c r="I29" i="2"/>
  <c r="J29" i="2"/>
  <c r="G21" i="2"/>
  <c r="G22" i="2"/>
  <c r="G23" i="2"/>
  <c r="G24" i="2"/>
  <c r="G25" i="2"/>
  <c r="G26" i="2"/>
  <c r="G27" i="2"/>
  <c r="G28" i="2"/>
  <c r="G29" i="2"/>
  <c r="F21" i="1"/>
  <c r="L26" i="1"/>
  <c r="F26" i="1"/>
  <c r="G28" i="1"/>
  <c r="F22" i="1"/>
  <c r="G27" i="1"/>
  <c r="L27" i="1"/>
  <c r="K24" i="1"/>
  <c r="L23" i="1"/>
  <c r="G24" i="1"/>
  <c r="L21" i="1"/>
  <c r="L22" i="1"/>
  <c r="G23" i="1"/>
  <c r="K25" i="1"/>
  <c r="K28" i="1"/>
  <c r="F28" i="1"/>
  <c r="F24" i="1"/>
  <c r="L29" i="1"/>
  <c r="L25" i="1"/>
  <c r="G26" i="1"/>
  <c r="G22" i="1"/>
  <c r="K27" i="1"/>
  <c r="K23" i="1"/>
  <c r="K29" i="1"/>
  <c r="F29" i="1"/>
  <c r="F25" i="1"/>
</calcChain>
</file>

<file path=xl/sharedStrings.xml><?xml version="1.0" encoding="utf-8"?>
<sst xmlns="http://schemas.openxmlformats.org/spreadsheetml/2006/main" count="125" uniqueCount="65">
  <si>
    <t>Бронников Егор</t>
  </si>
  <si>
    <t>Дано:</t>
  </si>
  <si>
    <t>Кредит P (усл) =</t>
  </si>
  <si>
    <t>руб</t>
  </si>
  <si>
    <t>года</t>
  </si>
  <si>
    <t>Срок N =</t>
  </si>
  <si>
    <t>Частота m =</t>
  </si>
  <si>
    <t>раза / год</t>
  </si>
  <si>
    <t>№</t>
  </si>
  <si>
    <t>Срок</t>
  </si>
  <si>
    <t>t</t>
  </si>
  <si>
    <t>N(t)=t*(1/m)</t>
  </si>
  <si>
    <t>сложные</t>
  </si>
  <si>
    <t>ежегодно</t>
  </si>
  <si>
    <t>простая</t>
  </si>
  <si>
    <t>практика учёта</t>
  </si>
  <si>
    <t>практика кредита</t>
  </si>
  <si>
    <t>Задачи</t>
  </si>
  <si>
    <t>is</t>
  </si>
  <si>
    <t>i</t>
  </si>
  <si>
    <t>j</t>
  </si>
  <si>
    <t>f</t>
  </si>
  <si>
    <t>d</t>
  </si>
  <si>
    <t>ds</t>
  </si>
  <si>
    <t>1. прибл. описание практики кредита 2. оценка стоимости</t>
  </si>
  <si>
    <t>расчёт ставок учёта в зависимости от срока</t>
  </si>
  <si>
    <t>σ</t>
  </si>
  <si>
    <t>S-?</t>
  </si>
  <si>
    <t>номинальная</t>
  </si>
  <si>
    <t>непрерывно</t>
  </si>
  <si>
    <t>∞</t>
  </si>
  <si>
    <t>m =</t>
  </si>
  <si>
    <t>Ставки</t>
  </si>
  <si>
    <t>Ставка:</t>
  </si>
  <si>
    <t>-</t>
  </si>
  <si>
    <t>БС</t>
  </si>
  <si>
    <t>P</t>
  </si>
  <si>
    <t>N</t>
  </si>
  <si>
    <t>S = P * (1+i)^N</t>
  </si>
  <si>
    <t>БС=</t>
  </si>
  <si>
    <t>СТАВКА=</t>
  </si>
  <si>
    <t>кпер=</t>
  </si>
  <si>
    <t>ПС=</t>
  </si>
  <si>
    <t>тыс. руб</t>
  </si>
  <si>
    <t>Ставка =</t>
  </si>
  <si>
    <t>Кредит P =</t>
  </si>
  <si>
    <t>/ год</t>
  </si>
  <si>
    <t>Оговарённый (залогом) предел долга S =</t>
  </si>
  <si>
    <t>S</t>
  </si>
  <si>
    <t>N-?</t>
  </si>
  <si>
    <t>S = P * (1 + i)^N</t>
  </si>
  <si>
    <t>N = кпер() =</t>
  </si>
  <si>
    <t>Дробная часть года =</t>
  </si>
  <si>
    <t>дней</t>
  </si>
  <si>
    <t>Ответ: марджин колл через 3 года 38 дней</t>
  </si>
  <si>
    <t>т.е</t>
  </si>
  <si>
    <t>i -&gt; j</t>
  </si>
  <si>
    <t>S = P * (1 + j/m) ^ (m*N)</t>
  </si>
  <si>
    <t>S =</t>
  </si>
  <si>
    <t>Пусть m =</t>
  </si>
  <si>
    <t>раз/год</t>
  </si>
  <si>
    <t>т.е. каждые</t>
  </si>
  <si>
    <t>дней.</t>
  </si>
  <si>
    <t>Ответ надо округлить: либо 1, либо 2.</t>
  </si>
  <si>
    <t>И определить соответствующие сроки.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</si>
</sst>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43" formatCode="_-* #,##0.00_-;\-* #,##0.00_-;_-* &quot;-&quot;??_-;_-@_-"/>
    <numFmt numFmtId="164" formatCode="_-* #,##0_-;\-* #,##0_-;_-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43" fontId="0" fillId="0" borderId="1" xfId="0" applyNumberFormat="1" applyBorder="1"/>
    <xf numFmtId="0" fontId="3" fillId="0" borderId="1" xfId="0" applyFont="1" applyBorder="1"/>
    <xf numFmtId="43" fontId="3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9" fontId="0" fillId="0" borderId="1" xfId="0" applyNumberFormat="1" applyBorder="1"/>
    <xf numFmtId="9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3" fontId="0" fillId="0" borderId="3" xfId="0" applyNumberFormat="1" applyBorder="1"/>
    <xf numFmtId="9" fontId="0" fillId="0" borderId="7" xfId="0" applyNumberFormat="1" applyFont="1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 applyAlignment="1">
      <alignment horizontal="center" wrapText="1"/>
    </xf>
    <xf numFmtId="9" fontId="0" fillId="0" borderId="0" xfId="0" applyNumberFormat="1" applyBorder="1"/>
    <xf numFmtId="10" fontId="0" fillId="0" borderId="1" xfId="0" applyNumberForma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8" fontId="0" fillId="0" borderId="1" xfId="0" applyNumberFormat="1" applyBorder="1"/>
    <xf numFmtId="8" fontId="0" fillId="0" borderId="3" xfId="0" applyNumberFormat="1" applyBorder="1"/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8" fontId="0" fillId="0" borderId="18" xfId="0" applyNumberFormat="1" applyBorder="1"/>
    <xf numFmtId="8" fontId="0" fillId="0" borderId="19" xfId="0" applyNumberFormat="1" applyBorder="1"/>
    <xf numFmtId="8" fontId="0" fillId="0" borderId="7" xfId="0" applyNumberFormat="1" applyBorder="1"/>
    <xf numFmtId="8" fontId="0" fillId="0" borderId="9" xfId="0" applyNumberFormat="1" applyBorder="1"/>
    <xf numFmtId="0" fontId="0" fillId="0" borderId="10" xfId="0" applyBorder="1"/>
    <xf numFmtId="0" fontId="0" fillId="4" borderId="0" xfId="0" applyFill="1"/>
    <xf numFmtId="9" fontId="0" fillId="4" borderId="0" xfId="0" applyNumberFormat="1" applyFill="1"/>
    <xf numFmtId="0" fontId="5" fillId="0" borderId="0" xfId="0" applyFont="1"/>
    <xf numFmtId="164" fontId="0" fillId="4" borderId="0" xfId="1" applyNumberFormat="1" applyFont="1" applyFill="1"/>
    <xf numFmtId="1" fontId="0" fillId="0" borderId="0" xfId="0" applyNumberFormat="1"/>
    <xf numFmtId="14" fontId="0" fillId="0" borderId="0" xfId="0" applyNumberFormat="1"/>
    <xf numFmtId="165" fontId="0" fillId="0" borderId="1" xfId="0" applyNumberFormat="1" applyBorder="1"/>
    <xf numFmtId="8" fontId="0" fillId="0" borderId="20" xfId="0" applyNumberFormat="1" applyBorder="1"/>
    <xf numFmtId="8" fontId="0" fillId="0" borderId="21" xfId="0" applyNumberFormat="1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right"/>
    </xf>
    <xf numFmtId="14" fontId="0" fillId="2" borderId="0" xfId="0" applyNumberFormat="1" applyFill="1" applyAlignment="1"/>
    <xf numFmtId="0" fontId="0" fillId="2" borderId="0" xfId="0" applyFill="1" applyAlignme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(2)'!$F$20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(2)'!$F$21:$F$29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1120</c:v>
                </c:pt>
                <c:pt idx="2">
                  <c:v>1240</c:v>
                </c:pt>
                <c:pt idx="3">
                  <c:v>1359.9999999999998</c:v>
                </c:pt>
                <c:pt idx="4">
                  <c:v>1480</c:v>
                </c:pt>
                <c:pt idx="5">
                  <c:v>1600</c:v>
                </c:pt>
                <c:pt idx="6">
                  <c:v>1720</c:v>
                </c:pt>
                <c:pt idx="7">
                  <c:v>1839.9999999999998</c:v>
                </c:pt>
                <c:pt idx="8">
                  <c:v>1960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9-44F2-BFFA-DA6E50EDADF6}"/>
            </c:ext>
          </c:extLst>
        </c:ser>
        <c:ser>
          <c:idx val="1"/>
          <c:order val="1"/>
          <c:tx>
            <c:strRef>
              <c:f>'Sheet1 (2)'!$G$20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(2)'!$G$21:$G$29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1087.7573059372771</c:v>
                </c:pt>
                <c:pt idx="2">
                  <c:v>1183.2159566199232</c:v>
                </c:pt>
                <c:pt idx="3">
                  <c:v>1287.0518013148858</c:v>
                </c:pt>
                <c:pt idx="4">
                  <c:v>1400</c:v>
                </c:pt>
                <c:pt idx="5">
                  <c:v>1522.8602283121879</c:v>
                </c:pt>
                <c:pt idx="6">
                  <c:v>1656.5023392678925</c:v>
                </c:pt>
                <c:pt idx="7">
                  <c:v>1801.8725218408399</c:v>
                </c:pt>
                <c:pt idx="8">
                  <c:v>1959.9999999999998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9-44F2-BFFA-DA6E50EDADF6}"/>
            </c:ext>
          </c:extLst>
        </c:ser>
        <c:ser>
          <c:idx val="2"/>
          <c:order val="2"/>
          <c:tx>
            <c:strRef>
              <c:f>'Sheet1 (2)'!$H$20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(2)'!$H$21:$H$29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1087.7573059623514</c:v>
                </c:pt>
                <c:pt idx="2">
                  <c:v>1183.2159566744729</c:v>
                </c:pt>
                <c:pt idx="3">
                  <c:v>1287.051801403891</c:v>
                </c:pt>
                <c:pt idx="4">
                  <c:v>1400.000000129088</c:v>
                </c:pt>
                <c:pt idx="5">
                  <c:v>1522.8602284877086</c:v>
                </c:pt>
                <c:pt idx="6">
                  <c:v>1656.502339497001</c:v>
                </c:pt>
                <c:pt idx="7">
                  <c:v>1801.8725221315904</c:v>
                </c:pt>
                <c:pt idx="8">
                  <c:v>1960.0000003614464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9-44F2-BFFA-DA6E50EDADF6}"/>
            </c:ext>
          </c:extLst>
        </c:ser>
        <c:ser>
          <c:idx val="3"/>
          <c:order val="3"/>
          <c:tx>
            <c:strRef>
              <c:f>'Sheet1 (2)'!$I$20</c:f>
              <c:strCache>
                <c:ptCount val="1"/>
                <c:pt idx="0">
                  <c:v>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(2)'!$I$21:$I$29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1087.7573126957782</c:v>
                </c:pt>
                <c:pt idx="2">
                  <c:v>1183.215971323141</c:v>
                </c:pt>
                <c:pt idx="3">
                  <c:v>1287.0518253051848</c:v>
                </c:pt>
                <c:pt idx="4">
                  <c:v>1400.0000347941641</c:v>
                </c:pt>
                <c:pt idx="5">
                  <c:v>1522.8602756216958</c:v>
                </c:pt>
                <c:pt idx="6">
                  <c:v>1656.5024010214083</c:v>
                </c:pt>
                <c:pt idx="7">
                  <c:v>1801.8726002091512</c:v>
                </c:pt>
                <c:pt idx="8">
                  <c:v>1960.0000974236607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9-44F2-BFFA-DA6E50EDADF6}"/>
            </c:ext>
          </c:extLst>
        </c:ser>
        <c:ser>
          <c:idx val="4"/>
          <c:order val="4"/>
          <c:tx>
            <c:strRef>
              <c:f>'Sheet1 (2)'!$J$20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(2)'!$J$21:$J$29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1087.7573059545368</c:v>
                </c:pt>
                <c:pt idx="2">
                  <c:v>1183.2159566574721</c:v>
                </c:pt>
                <c:pt idx="3">
                  <c:v>1287.0518013761518</c:v>
                </c:pt>
                <c:pt idx="4">
                  <c:v>1400.0000000888567</c:v>
                </c:pt>
                <c:pt idx="5">
                  <c:v>1522.8602284330061</c:v>
                </c:pt>
                <c:pt idx="6">
                  <c:v>1656.5023394255973</c:v>
                </c:pt>
                <c:pt idx="7">
                  <c:v>1801.8725220409758</c:v>
                </c:pt>
                <c:pt idx="8">
                  <c:v>1960.0000002487989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9-44F2-BFFA-DA6E50EDADF6}"/>
            </c:ext>
          </c:extLst>
        </c:ser>
        <c:ser>
          <c:idx val="5"/>
          <c:order val="5"/>
          <c:tx>
            <c:strRef>
              <c:f>'Sheet1 (2)'!$K$20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(2)'!$K$21:$K$29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1087.7573059576785</c:v>
                </c:pt>
                <c:pt idx="2">
                  <c:v>1183.2159566643063</c:v>
                </c:pt>
                <c:pt idx="3">
                  <c:v>1287.0518013873032</c:v>
                </c:pt>
                <c:pt idx="4">
                  <c:v>1400.0000001050296</c:v>
                </c:pt>
                <c:pt idx="5">
                  <c:v>1522.8602284549966</c:v>
                </c:pt>
                <c:pt idx="6">
                  <c:v>1656.5023394543016</c:v>
                </c:pt>
                <c:pt idx="7">
                  <c:v>1801.8725220774029</c:v>
                </c:pt>
                <c:pt idx="8">
                  <c:v>1960.0000002940828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9-44F2-BFFA-DA6E50EDADF6}"/>
            </c:ext>
          </c:extLst>
        </c:ser>
        <c:ser>
          <c:idx val="6"/>
          <c:order val="6"/>
          <c:tx>
            <c:strRef>
              <c:f>'Sheet1 (2)'!$L$20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'Sheet1 (2)'!$L$21:$L$29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1065.2174135418995</c:v>
                </c:pt>
                <c:pt idx="2">
                  <c:v>1139.5349346183457</c:v>
                </c:pt>
                <c:pt idx="3">
                  <c:v>1225.0000882274908</c:v>
                </c:pt>
                <c:pt idx="4">
                  <c:v>1324.3244618105573</c:v>
                </c:pt>
                <c:pt idx="5">
                  <c:v>1441.1766741118727</c:v>
                </c:pt>
                <c:pt idx="6">
                  <c:v>1580.6454550759649</c:v>
                </c:pt>
                <c:pt idx="7">
                  <c:v>1750.0004201309785</c:v>
                </c:pt>
                <c:pt idx="8">
                  <c:v>1960.0006022998111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29-44F2-BFFA-DA6E50ED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75456"/>
        <c:axId val="1924376288"/>
      </c:scatterChart>
      <c:valAx>
        <c:axId val="1924375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76288"/>
        <c:crosses val="autoZero"/>
        <c:crossBetween val="midCat"/>
      </c:valAx>
      <c:valAx>
        <c:axId val="19243762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Sheet1!$F$21:$F$29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1700.0000000000002</c:v>
                </c:pt>
                <c:pt idx="8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F-4835-BCB9-07422D3E1C18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Sheet1!$G$21:$G$29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1087.7573059372771</c:v>
                </c:pt>
                <c:pt idx="2">
                  <c:v>1183.2159566199232</c:v>
                </c:pt>
                <c:pt idx="3">
                  <c:v>1287.0518013148858</c:v>
                </c:pt>
                <c:pt idx="4">
                  <c:v>1400</c:v>
                </c:pt>
                <c:pt idx="5">
                  <c:v>1522.8602283121879</c:v>
                </c:pt>
                <c:pt idx="6">
                  <c:v>1656.5023392678925</c:v>
                </c:pt>
                <c:pt idx="7">
                  <c:v>1801.8725218408399</c:v>
                </c:pt>
                <c:pt idx="8">
                  <c:v>1959.9999999999998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F-4835-BCB9-07422D3E1C18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Sheet1!$H$21:$H$29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1210.0000000000002</c:v>
                </c:pt>
                <c:pt idx="3">
                  <c:v>1331.0000000000005</c:v>
                </c:pt>
                <c:pt idx="4">
                  <c:v>1464.1000000000004</c:v>
                </c:pt>
                <c:pt idx="5">
                  <c:v>1610.5100000000004</c:v>
                </c:pt>
                <c:pt idx="6">
                  <c:v>1771.5610000000008</c:v>
                </c:pt>
                <c:pt idx="7">
                  <c:v>1948.7171000000012</c:v>
                </c:pt>
                <c:pt idx="8">
                  <c:v>2143.5888100000011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F-4835-BCB9-07422D3E1C18}"/>
            </c:ext>
          </c:extLst>
        </c:ser>
        <c:ser>
          <c:idx val="3"/>
          <c:order val="3"/>
          <c:tx>
            <c:strRef>
              <c:f>Sheet1!$I$20</c:f>
              <c:strCache>
                <c:ptCount val="1"/>
                <c:pt idx="0">
                  <c:v>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Sheet1!$I$21:$I$29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1105.1709180756477</c:v>
                </c:pt>
                <c:pt idx="2">
                  <c:v>1221.4027581601699</c:v>
                </c:pt>
                <c:pt idx="3">
                  <c:v>1349.8588075760031</c:v>
                </c:pt>
                <c:pt idx="4">
                  <c:v>1491.8246976412704</c:v>
                </c:pt>
                <c:pt idx="5">
                  <c:v>1648.7212707001281</c:v>
                </c:pt>
                <c:pt idx="6">
                  <c:v>1822.118800390509</c:v>
                </c:pt>
                <c:pt idx="7">
                  <c:v>2013.7527074704767</c:v>
                </c:pt>
                <c:pt idx="8">
                  <c:v>2225.5409284924681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F-4835-BCB9-07422D3E1C18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Sheet1!$J$21:$J$29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1111.1111111111111</c:v>
                </c:pt>
                <c:pt idx="2">
                  <c:v>1234.5679012345679</c:v>
                </c:pt>
                <c:pt idx="3">
                  <c:v>1371.7421124828531</c:v>
                </c:pt>
                <c:pt idx="4">
                  <c:v>1524.1579027587256</c:v>
                </c:pt>
                <c:pt idx="5">
                  <c:v>1693.5087808430283</c:v>
                </c:pt>
                <c:pt idx="6">
                  <c:v>1881.6764231589202</c:v>
                </c:pt>
                <c:pt idx="7">
                  <c:v>2090.7515812876891</c:v>
                </c:pt>
                <c:pt idx="8">
                  <c:v>2323.0573125418769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F-4835-BCB9-07422D3E1C18}"/>
            </c:ext>
          </c:extLst>
        </c:ser>
        <c:ser>
          <c:idx val="5"/>
          <c:order val="5"/>
          <c:tx>
            <c:strRef>
              <c:f>Sheet1!$K$20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Sheet1!$K$21:$K$29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1136.2193664674994</c:v>
                </c:pt>
                <c:pt idx="2">
                  <c:v>1290.9944487358057</c:v>
                </c:pt>
                <c:pt idx="3">
                  <c:v>1466.8528946556557</c:v>
                </c:pt>
                <c:pt idx="4">
                  <c:v>1666.6666666666667</c:v>
                </c:pt>
                <c:pt idx="5">
                  <c:v>1893.698944112499</c:v>
                </c:pt>
                <c:pt idx="6">
                  <c:v>2151.657414559676</c:v>
                </c:pt>
                <c:pt idx="7">
                  <c:v>2444.7548244260929</c:v>
                </c:pt>
                <c:pt idx="8">
                  <c:v>2777.7777777777778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F-4835-BCB9-07422D3E1C18}"/>
            </c:ext>
          </c:extLst>
        </c:ser>
        <c:ser>
          <c:idx val="6"/>
          <c:order val="6"/>
          <c:tx>
            <c:strRef>
              <c:f>Sheet1!$L$20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Sheet1!$L$21:$L$29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1111.1111111111111</c:v>
                </c:pt>
                <c:pt idx="2">
                  <c:v>1250</c:v>
                </c:pt>
                <c:pt idx="3">
                  <c:v>1428.5714285714287</c:v>
                </c:pt>
                <c:pt idx="4">
                  <c:v>1666.6666666666667</c:v>
                </c:pt>
                <c:pt idx="5">
                  <c:v>2000</c:v>
                </c:pt>
                <c:pt idx="6">
                  <c:v>2500.0000000000005</c:v>
                </c:pt>
                <c:pt idx="7">
                  <c:v>3333.3333333333339</c:v>
                </c:pt>
                <c:pt idx="8">
                  <c:v>5000.0000000000009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6F-4835-BCB9-07422D3E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75456"/>
        <c:axId val="1924376288"/>
      </c:scatterChart>
      <c:valAx>
        <c:axId val="1924375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76288"/>
        <c:crosses val="autoZero"/>
        <c:crossBetween val="midCat"/>
      </c:valAx>
      <c:valAx>
        <c:axId val="19243762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11</xdr:col>
      <xdr:colOff>428625</xdr:colOff>
      <xdr:row>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783DD0-EEE7-447C-9C4A-7E9149657A85}"/>
            </a:ext>
          </a:extLst>
        </xdr:cNvPr>
        <xdr:cNvSpPr txBox="1"/>
      </xdr:nvSpPr>
      <xdr:spPr>
        <a:xfrm>
          <a:off x="2924175" y="371475"/>
          <a:ext cx="60102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Рассчитать соотношение  ставнок финансового рынка, соответствующих ставкам</a:t>
          </a:r>
          <a:r>
            <a:rPr lang="ru-RU" sz="1100" baseline="0"/>
            <a:t> кредита 40% по операциям 2 года.</a:t>
          </a:r>
          <a:endParaRPr lang="en-US" sz="1100"/>
        </a:p>
      </xdr:txBody>
    </xdr:sp>
    <xdr:clientData/>
  </xdr:twoCellAnchor>
  <xdr:twoCellAnchor>
    <xdr:from>
      <xdr:col>13</xdr:col>
      <xdr:colOff>28575</xdr:colOff>
      <xdr:row>12</xdr:row>
      <xdr:rowOff>33337</xdr:rowOff>
    </xdr:from>
    <xdr:to>
      <xdr:col>20</xdr:col>
      <xdr:colOff>485775</xdr:colOff>
      <xdr:row>30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D00DF6-9FE7-47AA-AED8-DFCB3D7E6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695325</xdr:colOff>
      <xdr:row>17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32A286-71BA-40F9-A3A5-5386A10561FC}"/>
            </a:ext>
          </a:extLst>
        </xdr:cNvPr>
        <xdr:cNvSpPr txBox="1"/>
      </xdr:nvSpPr>
      <xdr:spPr>
        <a:xfrm>
          <a:off x="5819775" y="3471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161925</xdr:rowOff>
    </xdr:from>
    <xdr:to>
      <xdr:col>13</xdr:col>
      <xdr:colOff>19050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E027B0-B3FC-4B24-94B9-8B89BF15860D}"/>
            </a:ext>
          </a:extLst>
        </xdr:cNvPr>
        <xdr:cNvSpPr txBox="1"/>
      </xdr:nvSpPr>
      <xdr:spPr>
        <a:xfrm>
          <a:off x="3810000" y="352425"/>
          <a:ext cx="60198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Рассчитать соотношение  ставнок финансового рынка, соответствующих ставкам</a:t>
          </a:r>
          <a:r>
            <a:rPr lang="ru-RU" sz="1100" baseline="0"/>
            <a:t> кредита 40% по операциям 2 года.</a:t>
          </a:r>
          <a:endParaRPr lang="en-US" sz="1100"/>
        </a:p>
      </xdr:txBody>
    </xdr:sp>
    <xdr:clientData/>
  </xdr:twoCellAnchor>
  <xdr:twoCellAnchor>
    <xdr:from>
      <xdr:col>4</xdr:col>
      <xdr:colOff>428625</xdr:colOff>
      <xdr:row>30</xdr:row>
      <xdr:rowOff>19050</xdr:rowOff>
    </xdr:from>
    <xdr:to>
      <xdr:col>10</xdr:col>
      <xdr:colOff>266700</xdr:colOff>
      <xdr:row>50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A20DF9-C4E1-43B5-A431-52A1221CB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695325</xdr:colOff>
      <xdr:row>17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BB78BC-E906-4184-A83E-3FF451567229}"/>
            </a:ext>
          </a:extLst>
        </xdr:cNvPr>
        <xdr:cNvSpPr txBox="1"/>
      </xdr:nvSpPr>
      <xdr:spPr>
        <a:xfrm>
          <a:off x="5819775" y="3643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695325</xdr:colOff>
      <xdr:row>17</xdr:row>
      <xdr:rowOff>23812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27475F-C679-49EE-B9D5-5ED593F02970}"/>
            </a:ext>
          </a:extLst>
        </xdr:cNvPr>
        <xdr:cNvSpPr txBox="1"/>
      </xdr:nvSpPr>
      <xdr:spPr>
        <a:xfrm>
          <a:off x="5819775" y="3471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2</xdr:row>
      <xdr:rowOff>85726</xdr:rowOff>
    </xdr:from>
    <xdr:to>
      <xdr:col>14</xdr:col>
      <xdr:colOff>581024</xdr:colOff>
      <xdr:row>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92628F-55D0-48EB-B44D-13377794A27C}"/>
            </a:ext>
          </a:extLst>
        </xdr:cNvPr>
        <xdr:cNvSpPr txBox="1"/>
      </xdr:nvSpPr>
      <xdr:spPr>
        <a:xfrm>
          <a:off x="3409949" y="466726"/>
          <a:ext cx="5705475" cy="504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Определить конечную</a:t>
          </a:r>
          <a:r>
            <a:rPr lang="ru-RU" sz="1100" baseline="0"/>
            <a:t> сумму кредита в размере 1000руб, под 40% сроком 2 года.</a:t>
          </a:r>
          <a:endParaRPr lang="en-US" sz="1100" baseline="0"/>
        </a:p>
        <a:p>
          <a:r>
            <a:rPr lang="ru-RU" sz="1100" baseline="0">
              <a:solidFill>
                <a:srgbClr val="7030A0"/>
              </a:solidFill>
            </a:rPr>
            <a:t>(Пусть капитализация ежегодно)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3</xdr:col>
      <xdr:colOff>590550</xdr:colOff>
      <xdr:row>16</xdr:row>
      <xdr:rowOff>0</xdr:rowOff>
    </xdr:from>
    <xdr:to>
      <xdr:col>9</xdr:col>
      <xdr:colOff>9525</xdr:colOff>
      <xdr:row>16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2747D36-D888-4DEC-8AFE-854461183997}"/>
            </a:ext>
          </a:extLst>
        </xdr:cNvPr>
        <xdr:cNvCxnSpPr/>
      </xdr:nvCxnSpPr>
      <xdr:spPr>
        <a:xfrm>
          <a:off x="2419350" y="3048000"/>
          <a:ext cx="3076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180975</xdr:rowOff>
    </xdr:from>
    <xdr:to>
      <xdr:col>4</xdr:col>
      <xdr:colOff>0</xdr:colOff>
      <xdr:row>16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7A42A7F9-2934-4C4C-ABC4-740FA40D61C6}"/>
            </a:ext>
          </a:extLst>
        </xdr:cNvPr>
        <xdr:cNvCxnSpPr/>
      </xdr:nvCxnSpPr>
      <xdr:spPr>
        <a:xfrm>
          <a:off x="2438400" y="1895475"/>
          <a:ext cx="0" cy="1152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180975</xdr:rowOff>
    </xdr:from>
    <xdr:to>
      <xdr:col>9</xdr:col>
      <xdr:colOff>0</xdr:colOff>
      <xdr:row>15</xdr:row>
      <xdr:rowOff>171450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CF3BD89-0BD0-4F7E-A0C8-A1063D6C286B}"/>
            </a:ext>
          </a:extLst>
        </xdr:cNvPr>
        <xdr:cNvCxnSpPr/>
      </xdr:nvCxnSpPr>
      <xdr:spPr>
        <a:xfrm flipV="1">
          <a:off x="5486400" y="1323975"/>
          <a:ext cx="0" cy="17049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</xdr:row>
      <xdr:rowOff>28575</xdr:rowOff>
    </xdr:from>
    <xdr:to>
      <xdr:col>8</xdr:col>
      <xdr:colOff>600075</xdr:colOff>
      <xdr:row>10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A74B8AD-21B9-4A02-90F9-C89992FEF083}"/>
            </a:ext>
          </a:extLst>
        </xdr:cNvPr>
        <xdr:cNvCxnSpPr/>
      </xdr:nvCxnSpPr>
      <xdr:spPr>
        <a:xfrm flipV="1">
          <a:off x="2466975" y="1362075"/>
          <a:ext cx="3009900" cy="54292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9525</xdr:rowOff>
    </xdr:from>
    <xdr:to>
      <xdr:col>9</xdr:col>
      <xdr:colOff>57150</xdr:colOff>
      <xdr:row>10</xdr:row>
      <xdr:rowOff>28575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E6636DD1-4BE3-4CDD-A10E-4B36BEEDB629}"/>
            </a:ext>
          </a:extLst>
        </xdr:cNvPr>
        <xdr:cNvCxnSpPr/>
      </xdr:nvCxnSpPr>
      <xdr:spPr>
        <a:xfrm>
          <a:off x="2476500" y="1914525"/>
          <a:ext cx="3067050" cy="190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9</xdr:row>
      <xdr:rowOff>9525</xdr:rowOff>
    </xdr:from>
    <xdr:to>
      <xdr:col>6</xdr:col>
      <xdr:colOff>0</xdr:colOff>
      <xdr:row>11</xdr:row>
      <xdr:rowOff>57150</xdr:rowOff>
    </xdr:to>
    <xdr:sp macro="" textlink="">
      <xdr:nvSpPr>
        <xdr:cNvPr id="14" name="Дуга 13">
          <a:extLst>
            <a:ext uri="{FF2B5EF4-FFF2-40B4-BE49-F238E27FC236}">
              <a16:creationId xmlns:a16="http://schemas.microsoft.com/office/drawing/2014/main" id="{D39EA2E1-105B-4A8A-9C53-244A92289720}"/>
            </a:ext>
          </a:extLst>
        </xdr:cNvPr>
        <xdr:cNvSpPr/>
      </xdr:nvSpPr>
      <xdr:spPr>
        <a:xfrm rot="795343">
          <a:off x="3352800" y="1724025"/>
          <a:ext cx="304800" cy="42862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0</xdr:row>
      <xdr:rowOff>76199</xdr:rowOff>
    </xdr:from>
    <xdr:to>
      <xdr:col>23</xdr:col>
      <xdr:colOff>342900</xdr:colOff>
      <xdr:row>8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0BF3BF-6CD4-470A-91A7-DC82F2D46C89}"/>
            </a:ext>
          </a:extLst>
        </xdr:cNvPr>
        <xdr:cNvSpPr txBox="1"/>
      </xdr:nvSpPr>
      <xdr:spPr>
        <a:xfrm>
          <a:off x="7467600" y="76199"/>
          <a:ext cx="65341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Банк</a:t>
          </a:r>
          <a:r>
            <a:rPr lang="ru-RU" sz="1100" baseline="0"/>
            <a:t> в качестве обеспечения кредита в 500 000 рублей выданного  бессрочно под 25% получил в качестве обеспечения (залога) автомобиль, оценённый в 1 000 000 руб.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Определить срок, когда сумма задолженности первысит стоимость залога (маржин-колл).</a:t>
          </a:r>
        </a:p>
        <a:p>
          <a:r>
            <a:rPr lang="ru-RU" sz="1100" baseline="0">
              <a:solidFill>
                <a:srgbClr val="7030A0"/>
              </a:solidFill>
            </a:rPr>
            <a:t>Пусть</a:t>
          </a:r>
        </a:p>
        <a:p>
          <a:r>
            <a:rPr lang="ru-RU" sz="1100" baseline="0">
              <a:solidFill>
                <a:srgbClr val="7030A0"/>
              </a:solidFill>
            </a:rPr>
            <a:t>1. Проценты капитазицируются ежегодно</a:t>
          </a:r>
          <a:r>
            <a:rPr lang="en-US" sz="1100" baseline="0">
              <a:solidFill>
                <a:srgbClr val="7030A0"/>
              </a:solidFill>
            </a:rPr>
            <a:t> -&gt; i</a:t>
          </a:r>
          <a:endParaRPr lang="ru-RU" sz="1100" baseline="0">
            <a:solidFill>
              <a:srgbClr val="7030A0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2. Банковские (французкие) проценты</a:t>
          </a:r>
        </a:p>
        <a:p>
          <a:r>
            <a:rPr lang="ru-RU" sz="1100" baseline="0">
              <a:solidFill>
                <a:srgbClr val="7030A0"/>
              </a:solidFill>
            </a:rPr>
            <a:t>3. Начало операции сегодня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590550</xdr:colOff>
      <xdr:row>13</xdr:row>
      <xdr:rowOff>171450</xdr:rowOff>
    </xdr:from>
    <xdr:to>
      <xdr:col>14</xdr:col>
      <xdr:colOff>19050</xdr:colOff>
      <xdr:row>13</xdr:row>
      <xdr:rowOff>171450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9A7BFBE-CF1A-4E7B-8438-663A538A237A}"/>
            </a:ext>
          </a:extLst>
        </xdr:cNvPr>
        <xdr:cNvCxnSpPr/>
      </xdr:nvCxnSpPr>
      <xdr:spPr>
        <a:xfrm>
          <a:off x="4314825" y="2647950"/>
          <a:ext cx="4305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9525</xdr:colOff>
      <xdr:row>13</xdr:row>
      <xdr:rowOff>171450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23CA760-E60A-4B9E-8382-A3227187C36D}"/>
            </a:ext>
          </a:extLst>
        </xdr:cNvPr>
        <xdr:cNvCxnSpPr/>
      </xdr:nvCxnSpPr>
      <xdr:spPr>
        <a:xfrm>
          <a:off x="4343400" y="1771650"/>
          <a:ext cx="0" cy="876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</xdr:row>
      <xdr:rowOff>171450</xdr:rowOff>
    </xdr:from>
    <xdr:to>
      <xdr:col>11</xdr:col>
      <xdr:colOff>590550</xdr:colOff>
      <xdr:row>9</xdr:row>
      <xdr:rowOff>76200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EAEAAC81-F715-49D9-BA5B-06BF74C851D8}"/>
            </a:ext>
          </a:extLst>
        </xdr:cNvPr>
        <xdr:cNvCxnSpPr/>
      </xdr:nvCxnSpPr>
      <xdr:spPr>
        <a:xfrm flipV="1">
          <a:off x="4171950" y="742950"/>
          <a:ext cx="3038475" cy="10477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</xdr:row>
      <xdr:rowOff>57150</xdr:rowOff>
    </xdr:from>
    <xdr:to>
      <xdr:col>11</xdr:col>
      <xdr:colOff>600075</xdr:colOff>
      <xdr:row>9</xdr:row>
      <xdr:rowOff>76200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F08696DA-98E9-44E7-A001-BDC3D3255E44}"/>
            </a:ext>
          </a:extLst>
        </xdr:cNvPr>
        <xdr:cNvCxnSpPr/>
      </xdr:nvCxnSpPr>
      <xdr:spPr>
        <a:xfrm flipV="1">
          <a:off x="4343400" y="1771650"/>
          <a:ext cx="3028950" cy="190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19050</xdr:rowOff>
    </xdr:from>
    <xdr:to>
      <xdr:col>11</xdr:col>
      <xdr:colOff>19050</xdr:colOff>
      <xdr:row>14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741CB73C-58EE-46AF-975E-AF4AC4226989}"/>
            </a:ext>
          </a:extLst>
        </xdr:cNvPr>
        <xdr:cNvCxnSpPr/>
      </xdr:nvCxnSpPr>
      <xdr:spPr>
        <a:xfrm flipV="1">
          <a:off x="6629400" y="971550"/>
          <a:ext cx="9525" cy="16954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4</xdr:row>
      <xdr:rowOff>123825</xdr:rowOff>
    </xdr:from>
    <xdr:to>
      <xdr:col>11</xdr:col>
      <xdr:colOff>85725</xdr:colOff>
      <xdr:row>5</xdr:row>
      <xdr:rowOff>38100</xdr:rowOff>
    </xdr:to>
    <xdr:sp macro="" textlink="">
      <xdr:nvSpPr>
        <xdr:cNvPr id="16" name="Овал 15">
          <a:extLst>
            <a:ext uri="{FF2B5EF4-FFF2-40B4-BE49-F238E27FC236}">
              <a16:creationId xmlns:a16="http://schemas.microsoft.com/office/drawing/2014/main" id="{DE4B3E1C-2724-4E78-8BC9-DB21914A40CE}"/>
            </a:ext>
          </a:extLst>
        </xdr:cNvPr>
        <xdr:cNvSpPr/>
      </xdr:nvSpPr>
      <xdr:spPr>
        <a:xfrm>
          <a:off x="6581775" y="885825"/>
          <a:ext cx="123825" cy="104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28</xdr:row>
      <xdr:rowOff>47625</xdr:rowOff>
    </xdr:from>
    <xdr:to>
      <xdr:col>10</xdr:col>
      <xdr:colOff>581025</xdr:colOff>
      <xdr:row>31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1E22B10-3050-4E82-B746-4822074934D5}"/>
            </a:ext>
          </a:extLst>
        </xdr:cNvPr>
        <xdr:cNvSpPr txBox="1"/>
      </xdr:nvSpPr>
      <xdr:spPr>
        <a:xfrm>
          <a:off x="0" y="5381625"/>
          <a:ext cx="65341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Банк</a:t>
          </a:r>
          <a:r>
            <a:rPr lang="ru-RU" sz="1100" baseline="0"/>
            <a:t> в качестве обеспечения кредита в 500 000 рублей выданного  бессрочно под 25% получил в качестве обеспечения (залога) автомобиль, оценённый в 1 000 000 руб.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Определить частоту капитализации, вызывающую марджин-колл через </a:t>
          </a:r>
          <a:r>
            <a:rPr lang="en-US" sz="1100" baseline="0">
              <a:solidFill>
                <a:sysClr val="windowText" lastClr="000000"/>
              </a:solidFill>
            </a:rPr>
            <a:t>3</a:t>
          </a:r>
          <a:r>
            <a:rPr lang="ru-RU" sz="1100" baseline="0">
              <a:solidFill>
                <a:sysClr val="windowText" lastClr="000000"/>
              </a:solidFill>
            </a:rPr>
            <a:t> года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B4B-6B1B-473A-82F9-54EC10DD95A2}">
  <dimension ref="A1:L33"/>
  <sheetViews>
    <sheetView tabSelected="1" topLeftCell="A4" workbookViewId="0">
      <selection activeCell="H32" sqref="H32"/>
    </sheetView>
  </sheetViews>
  <sheetFormatPr defaultRowHeight="15" x14ac:dyDescent="0.25"/>
  <cols>
    <col min="1" max="1" width="15.5703125" bestFit="1" customWidth="1"/>
    <col min="2" max="2" width="9.28515625" customWidth="1"/>
    <col min="3" max="3" width="9.85546875" customWidth="1"/>
    <col min="5" max="5" width="12.140625" customWidth="1"/>
    <col min="6" max="7" width="10.42578125" bestFit="1" customWidth="1"/>
    <col min="8" max="8" width="13.7109375" bestFit="1" customWidth="1"/>
    <col min="9" max="9" width="12.85546875" bestFit="1" customWidth="1"/>
    <col min="10" max="10" width="13.7109375" bestFit="1" customWidth="1"/>
    <col min="11" max="12" width="10.42578125" bestFit="1" customWidth="1"/>
  </cols>
  <sheetData>
    <row r="1" spans="1:12" x14ac:dyDescent="0.25">
      <c r="A1" s="58" t="s">
        <v>0</v>
      </c>
      <c r="B1" s="58"/>
      <c r="C1" s="58"/>
    </row>
    <row r="2" spans="1:12" x14ac:dyDescent="0.25">
      <c r="A2" s="59">
        <v>44276</v>
      </c>
      <c r="B2" s="60"/>
      <c r="C2" s="60"/>
    </row>
    <row r="6" spans="1:12" x14ac:dyDescent="0.25">
      <c r="A6" t="s">
        <v>1</v>
      </c>
    </row>
    <row r="7" spans="1:12" x14ac:dyDescent="0.25">
      <c r="A7" t="s">
        <v>2</v>
      </c>
      <c r="B7" s="2">
        <v>1000</v>
      </c>
      <c r="C7" t="s">
        <v>3</v>
      </c>
    </row>
    <row r="8" spans="1:12" x14ac:dyDescent="0.25">
      <c r="A8" t="s">
        <v>5</v>
      </c>
      <c r="B8" s="3">
        <v>2</v>
      </c>
      <c r="C8" t="s">
        <v>4</v>
      </c>
    </row>
    <row r="9" spans="1:12" x14ac:dyDescent="0.25">
      <c r="A9" t="s">
        <v>6</v>
      </c>
      <c r="B9" s="3">
        <v>4</v>
      </c>
      <c r="C9" t="s">
        <v>7</v>
      </c>
    </row>
    <row r="10" spans="1:12" x14ac:dyDescent="0.25">
      <c r="A10" t="s">
        <v>27</v>
      </c>
    </row>
    <row r="12" spans="1:12" ht="15" customHeight="1" thickBot="1" x14ac:dyDescent="0.3"/>
    <row r="13" spans="1:12" ht="15.75" thickBot="1" x14ac:dyDescent="0.3">
      <c r="F13" s="61" t="s">
        <v>17</v>
      </c>
      <c r="G13" s="62"/>
      <c r="H13" s="62"/>
      <c r="I13" s="62"/>
      <c r="J13" s="62"/>
      <c r="K13" s="62"/>
      <c r="L13" s="63"/>
    </row>
    <row r="14" spans="1:12" ht="30.75" thickBot="1" x14ac:dyDescent="0.3">
      <c r="F14" s="27" t="s">
        <v>16</v>
      </c>
      <c r="G14" s="64" t="s">
        <v>24</v>
      </c>
      <c r="H14" s="64"/>
      <c r="I14" s="28"/>
      <c r="J14" s="64" t="s">
        <v>25</v>
      </c>
      <c r="K14" s="64"/>
      <c r="L14" s="29" t="s">
        <v>15</v>
      </c>
    </row>
    <row r="15" spans="1:12" x14ac:dyDescent="0.25">
      <c r="F15" s="65" t="s">
        <v>32</v>
      </c>
      <c r="G15" s="66"/>
      <c r="H15" s="66"/>
      <c r="I15" s="66"/>
      <c r="J15" s="66"/>
      <c r="K15" s="66"/>
      <c r="L15" s="67"/>
    </row>
    <row r="16" spans="1:12" x14ac:dyDescent="0.25">
      <c r="D16" s="30"/>
      <c r="F16" s="32">
        <v>0.48</v>
      </c>
      <c r="G16" s="33">
        <v>0.4</v>
      </c>
      <c r="H16" s="33">
        <v>0.35102922384940588</v>
      </c>
      <c r="I16" s="33">
        <v>0.33647226147418696</v>
      </c>
      <c r="J16" s="33">
        <v>0.32270913915867461</v>
      </c>
      <c r="K16" s="33">
        <v>0.28571428576787222</v>
      </c>
      <c r="L16" s="34">
        <v>0.24489803757544074</v>
      </c>
    </row>
    <row r="17" spans="4:12" x14ac:dyDescent="0.25">
      <c r="E17" s="13" t="s">
        <v>31</v>
      </c>
      <c r="F17" s="20"/>
      <c r="G17" s="8"/>
      <c r="H17" s="8">
        <v>4</v>
      </c>
      <c r="I17" s="7" t="s">
        <v>30</v>
      </c>
      <c r="J17" s="8">
        <v>4</v>
      </c>
      <c r="K17" s="8"/>
      <c r="L17" s="21"/>
    </row>
    <row r="18" spans="4:12" x14ac:dyDescent="0.25">
      <c r="D18" s="1"/>
      <c r="E18" s="1"/>
      <c r="F18" s="55" t="s">
        <v>14</v>
      </c>
      <c r="G18" s="56" t="s">
        <v>12</v>
      </c>
      <c r="H18" s="56"/>
      <c r="I18" s="56"/>
      <c r="J18" s="56"/>
      <c r="K18" s="56"/>
      <c r="L18" s="57" t="s">
        <v>14</v>
      </c>
    </row>
    <row r="19" spans="4:12" x14ac:dyDescent="0.25">
      <c r="D19" s="6" t="s">
        <v>8</v>
      </c>
      <c r="E19" s="12" t="s">
        <v>9</v>
      </c>
      <c r="F19" s="55"/>
      <c r="G19" s="16" t="s">
        <v>13</v>
      </c>
      <c r="H19" s="6" t="s">
        <v>28</v>
      </c>
      <c r="I19" s="6" t="s">
        <v>29</v>
      </c>
      <c r="J19" s="6" t="s">
        <v>28</v>
      </c>
      <c r="K19" s="6" t="s">
        <v>13</v>
      </c>
      <c r="L19" s="57"/>
    </row>
    <row r="20" spans="4:12" ht="15.75" thickBot="1" x14ac:dyDescent="0.3">
      <c r="D20" s="6" t="s">
        <v>10</v>
      </c>
      <c r="E20" s="12" t="s">
        <v>11</v>
      </c>
      <c r="F20" s="22" t="s">
        <v>18</v>
      </c>
      <c r="G20" s="23" t="s">
        <v>19</v>
      </c>
      <c r="H20" s="24" t="s">
        <v>20</v>
      </c>
      <c r="I20" s="25" t="s">
        <v>26</v>
      </c>
      <c r="J20" s="25" t="s">
        <v>21</v>
      </c>
      <c r="K20" s="25" t="s">
        <v>22</v>
      </c>
      <c r="L20" s="26" t="s">
        <v>23</v>
      </c>
    </row>
    <row r="21" spans="4:12" x14ac:dyDescent="0.25">
      <c r="D21" s="8">
        <v>0</v>
      </c>
      <c r="E21" s="8">
        <f t="shared" ref="E21:E29" si="0">D21*(1/$B$9)</f>
        <v>0</v>
      </c>
      <c r="F21" s="17">
        <f t="shared" ref="F21:F29" si="1">$B$7*(1+F$16*$E21)</f>
        <v>1000</v>
      </c>
      <c r="G21" s="17">
        <f t="shared" ref="G21:G29" si="2">$B$7*(1+G$16)^$E21</f>
        <v>1000</v>
      </c>
      <c r="H21" s="17">
        <f>$B$7*(1+H$16/H$17)^($E21*H$17)</f>
        <v>1000</v>
      </c>
      <c r="I21" s="17">
        <f>$B$7*EXP(I$16*$E21)</f>
        <v>1000</v>
      </c>
      <c r="J21" s="17">
        <f>$B$7*(1-J$16/J$17)^-($E21*J$17)</f>
        <v>1000</v>
      </c>
      <c r="K21" s="17">
        <f t="shared" ref="K21:K29" si="3">$B$7*(1-K$16)^(-$E21)</f>
        <v>1000</v>
      </c>
      <c r="L21" s="17">
        <f t="shared" ref="L21:L29" si="4">$B$7*(1-L$16*$E21)^-1</f>
        <v>1000</v>
      </c>
    </row>
    <row r="22" spans="4:12" x14ac:dyDescent="0.25">
      <c r="D22" s="8">
        <v>1</v>
      </c>
      <c r="E22" s="8">
        <f t="shared" si="0"/>
        <v>0.25</v>
      </c>
      <c r="F22" s="9">
        <f t="shared" si="1"/>
        <v>1120</v>
      </c>
      <c r="G22" s="9">
        <f t="shared" si="2"/>
        <v>1087.7573059372771</v>
      </c>
      <c r="H22" s="9">
        <f t="shared" ref="H22:H29" si="5">$B$7*(1+H$16/H$17)^($E22*H$17)</f>
        <v>1087.7573059623514</v>
      </c>
      <c r="I22" s="9">
        <f t="shared" ref="I22:I29" si="6">$B$7*EXP(I$16*$E22)</f>
        <v>1087.7573126957782</v>
      </c>
      <c r="J22" s="9">
        <f t="shared" ref="J22:J29" si="7">$B$7*(1-J$16/J$17)^-($E22*J$17)</f>
        <v>1087.7573059545368</v>
      </c>
      <c r="K22" s="9">
        <f t="shared" si="3"/>
        <v>1087.7573059576785</v>
      </c>
      <c r="L22" s="9">
        <f t="shared" si="4"/>
        <v>1065.2174135418995</v>
      </c>
    </row>
    <row r="23" spans="4:12" x14ac:dyDescent="0.25">
      <c r="D23" s="8">
        <v>2</v>
      </c>
      <c r="E23" s="8">
        <f t="shared" si="0"/>
        <v>0.5</v>
      </c>
      <c r="F23" s="9">
        <f t="shared" si="1"/>
        <v>1240</v>
      </c>
      <c r="G23" s="9">
        <f t="shared" si="2"/>
        <v>1183.2159566199232</v>
      </c>
      <c r="H23" s="9">
        <f t="shared" si="5"/>
        <v>1183.2159566744729</v>
      </c>
      <c r="I23" s="9">
        <f t="shared" si="6"/>
        <v>1183.215971323141</v>
      </c>
      <c r="J23" s="9">
        <f t="shared" si="7"/>
        <v>1183.2159566574721</v>
      </c>
      <c r="K23" s="9">
        <f t="shared" si="3"/>
        <v>1183.2159566643063</v>
      </c>
      <c r="L23" s="9">
        <f t="shared" si="4"/>
        <v>1139.5349346183457</v>
      </c>
    </row>
    <row r="24" spans="4:12" x14ac:dyDescent="0.25">
      <c r="D24" s="8">
        <v>3</v>
      </c>
      <c r="E24" s="8">
        <f t="shared" si="0"/>
        <v>0.75</v>
      </c>
      <c r="F24" s="9">
        <f t="shared" si="1"/>
        <v>1359.9999999999998</v>
      </c>
      <c r="G24" s="9">
        <f t="shared" si="2"/>
        <v>1287.0518013148858</v>
      </c>
      <c r="H24" s="9">
        <f t="shared" si="5"/>
        <v>1287.051801403891</v>
      </c>
      <c r="I24" s="9">
        <f t="shared" si="6"/>
        <v>1287.0518253051848</v>
      </c>
      <c r="J24" s="9">
        <f t="shared" si="7"/>
        <v>1287.0518013761518</v>
      </c>
      <c r="K24" s="9">
        <f t="shared" si="3"/>
        <v>1287.0518013873032</v>
      </c>
      <c r="L24" s="9">
        <f t="shared" si="4"/>
        <v>1225.0000882274908</v>
      </c>
    </row>
    <row r="25" spans="4:12" x14ac:dyDescent="0.25">
      <c r="D25" s="8">
        <v>4</v>
      </c>
      <c r="E25" s="8">
        <f t="shared" si="0"/>
        <v>1</v>
      </c>
      <c r="F25" s="9">
        <f t="shared" si="1"/>
        <v>1480</v>
      </c>
      <c r="G25" s="9">
        <f t="shared" si="2"/>
        <v>1400</v>
      </c>
      <c r="H25" s="9">
        <f t="shared" si="5"/>
        <v>1400.000000129088</v>
      </c>
      <c r="I25" s="9">
        <f t="shared" si="6"/>
        <v>1400.0000347941641</v>
      </c>
      <c r="J25" s="9">
        <f t="shared" si="7"/>
        <v>1400.0000000888567</v>
      </c>
      <c r="K25" s="9">
        <f t="shared" si="3"/>
        <v>1400.0000001050296</v>
      </c>
      <c r="L25" s="9">
        <f t="shared" si="4"/>
        <v>1324.3244618105573</v>
      </c>
    </row>
    <row r="26" spans="4:12" x14ac:dyDescent="0.25">
      <c r="D26" s="8">
        <v>5</v>
      </c>
      <c r="E26" s="8">
        <f t="shared" si="0"/>
        <v>1.25</v>
      </c>
      <c r="F26" s="9">
        <f t="shared" si="1"/>
        <v>1600</v>
      </c>
      <c r="G26" s="9">
        <f t="shared" si="2"/>
        <v>1522.8602283121879</v>
      </c>
      <c r="H26" s="9">
        <f t="shared" si="5"/>
        <v>1522.8602284877086</v>
      </c>
      <c r="I26" s="9">
        <f t="shared" si="6"/>
        <v>1522.8602756216958</v>
      </c>
      <c r="J26" s="9">
        <f t="shared" si="7"/>
        <v>1522.8602284330061</v>
      </c>
      <c r="K26" s="9">
        <f t="shared" si="3"/>
        <v>1522.8602284549966</v>
      </c>
      <c r="L26" s="9">
        <f t="shared" si="4"/>
        <v>1441.1766741118727</v>
      </c>
    </row>
    <row r="27" spans="4:12" x14ac:dyDescent="0.25">
      <c r="D27" s="8">
        <v>6</v>
      </c>
      <c r="E27" s="8">
        <f t="shared" si="0"/>
        <v>1.5</v>
      </c>
      <c r="F27" s="9">
        <f t="shared" si="1"/>
        <v>1720</v>
      </c>
      <c r="G27" s="9">
        <f t="shared" si="2"/>
        <v>1656.5023392678925</v>
      </c>
      <c r="H27" s="9">
        <f t="shared" si="5"/>
        <v>1656.502339497001</v>
      </c>
      <c r="I27" s="9">
        <f t="shared" si="6"/>
        <v>1656.5024010214083</v>
      </c>
      <c r="J27" s="9">
        <f t="shared" si="7"/>
        <v>1656.5023394255973</v>
      </c>
      <c r="K27" s="9">
        <f t="shared" si="3"/>
        <v>1656.5023394543016</v>
      </c>
      <c r="L27" s="9">
        <f t="shared" si="4"/>
        <v>1580.6454550759649</v>
      </c>
    </row>
    <row r="28" spans="4:12" x14ac:dyDescent="0.25">
      <c r="D28" s="8">
        <v>7</v>
      </c>
      <c r="E28" s="8">
        <f t="shared" si="0"/>
        <v>1.75</v>
      </c>
      <c r="F28" s="9">
        <f t="shared" si="1"/>
        <v>1839.9999999999998</v>
      </c>
      <c r="G28" s="9">
        <f t="shared" si="2"/>
        <v>1801.8725218408399</v>
      </c>
      <c r="H28" s="9">
        <f t="shared" si="5"/>
        <v>1801.8725221315904</v>
      </c>
      <c r="I28" s="9">
        <f t="shared" si="6"/>
        <v>1801.8726002091512</v>
      </c>
      <c r="J28" s="9">
        <f t="shared" si="7"/>
        <v>1801.8725220409758</v>
      </c>
      <c r="K28" s="9">
        <f t="shared" si="3"/>
        <v>1801.8725220774029</v>
      </c>
      <c r="L28" s="9">
        <f t="shared" si="4"/>
        <v>1750.0004201309785</v>
      </c>
    </row>
    <row r="29" spans="4:12" x14ac:dyDescent="0.25">
      <c r="D29" s="10">
        <v>8</v>
      </c>
      <c r="E29" s="10">
        <f t="shared" si="0"/>
        <v>2</v>
      </c>
      <c r="F29" s="11">
        <f t="shared" si="1"/>
        <v>1960</v>
      </c>
      <c r="G29" s="11">
        <f t="shared" si="2"/>
        <v>1959.9999999999998</v>
      </c>
      <c r="H29" s="11">
        <f t="shared" si="5"/>
        <v>1960.0000003614464</v>
      </c>
      <c r="I29" s="11">
        <f t="shared" si="6"/>
        <v>1960.0000974236607</v>
      </c>
      <c r="J29" s="11">
        <f t="shared" si="7"/>
        <v>1960.0000002487989</v>
      </c>
      <c r="K29" s="11">
        <f t="shared" si="3"/>
        <v>1960.0000002940828</v>
      </c>
      <c r="L29" s="11">
        <f t="shared" si="4"/>
        <v>1960.0006022998111</v>
      </c>
    </row>
    <row r="32" spans="4:12" x14ac:dyDescent="0.25">
      <c r="E32" s="5" t="s">
        <v>33</v>
      </c>
      <c r="F32" s="6" t="s">
        <v>34</v>
      </c>
      <c r="G32" s="31">
        <f>RATE(B8, ,-B7,G29)</f>
        <v>0.39999999999999997</v>
      </c>
      <c r="H32" s="31">
        <f>RATE($B$8*$H$17, ,-$B$7,H29)*H17</f>
        <v>0.3510292238586582</v>
      </c>
      <c r="I32" s="35">
        <f>RATE($B$8*365, ,-$B$7,$I$29)*365</f>
        <v>0.3366273962400797</v>
      </c>
      <c r="J32" s="31">
        <f>-RATE(-$B$8*$J$17, ,-$B$7,$J$29)*$J$17</f>
        <v>0.32270913915867455</v>
      </c>
      <c r="K32" s="31">
        <f>-RATE(-$B$8, ,-$B$7,$K$29)</f>
        <v>0.2857142857723135</v>
      </c>
      <c r="L32" s="6" t="s">
        <v>34</v>
      </c>
    </row>
    <row r="33" spans="6:12" x14ac:dyDescent="0.25">
      <c r="F33" s="31">
        <f>(G29/B7-1)/B8</f>
        <v>0.47999999999999987</v>
      </c>
      <c r="L33" s="31">
        <f>(1-B7/G29)/B8</f>
        <v>0.24489795918367346</v>
      </c>
    </row>
  </sheetData>
  <mergeCells count="9">
    <mergeCell ref="F18:F19"/>
    <mergeCell ref="G18:K18"/>
    <mergeCell ref="L18:L19"/>
    <mergeCell ref="A1:C1"/>
    <mergeCell ref="A2:C2"/>
    <mergeCell ref="F13:L13"/>
    <mergeCell ref="G14:H14"/>
    <mergeCell ref="J14:K14"/>
    <mergeCell ref="F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opLeftCell="A25" workbookViewId="0">
      <selection activeCell="O12" sqref="O12"/>
    </sheetView>
  </sheetViews>
  <sheetFormatPr defaultRowHeight="15" x14ac:dyDescent="0.25"/>
  <cols>
    <col min="1" max="1" width="15.5703125" bestFit="1" customWidth="1"/>
    <col min="2" max="2" width="9.28515625" customWidth="1"/>
    <col min="3" max="3" width="9.85546875" customWidth="1"/>
    <col min="5" max="5" width="12.140625" customWidth="1"/>
    <col min="6" max="7" width="10.42578125" bestFit="1" customWidth="1"/>
    <col min="8" max="8" width="13.7109375" bestFit="1" customWidth="1"/>
    <col min="9" max="9" width="12.85546875" bestFit="1" customWidth="1"/>
    <col min="10" max="10" width="13.7109375" bestFit="1" customWidth="1"/>
    <col min="11" max="12" width="10.42578125" bestFit="1" customWidth="1"/>
    <col min="14" max="14" width="9.5703125" bestFit="1" customWidth="1"/>
    <col min="15" max="15" width="13.42578125" bestFit="1" customWidth="1"/>
    <col min="16" max="16" width="12.5703125" bestFit="1" customWidth="1"/>
    <col min="17" max="17" width="13.42578125" bestFit="1" customWidth="1"/>
    <col min="18" max="18" width="10.28515625" bestFit="1" customWidth="1"/>
  </cols>
  <sheetData>
    <row r="1" spans="1:12" x14ac:dyDescent="0.25">
      <c r="A1" s="58" t="s">
        <v>0</v>
      </c>
      <c r="B1" s="58"/>
      <c r="C1" s="58"/>
    </row>
    <row r="2" spans="1:12" x14ac:dyDescent="0.25">
      <c r="A2" s="59">
        <v>44276</v>
      </c>
      <c r="B2" s="60"/>
      <c r="C2" s="60"/>
    </row>
    <row r="6" spans="1:12" x14ac:dyDescent="0.25">
      <c r="A6" t="s">
        <v>1</v>
      </c>
    </row>
    <row r="7" spans="1:12" x14ac:dyDescent="0.25">
      <c r="A7" t="s">
        <v>2</v>
      </c>
      <c r="B7" s="2">
        <v>1000</v>
      </c>
      <c r="C7" t="s">
        <v>3</v>
      </c>
    </row>
    <row r="8" spans="1:12" x14ac:dyDescent="0.25">
      <c r="A8" t="s">
        <v>5</v>
      </c>
      <c r="B8" s="3">
        <v>2</v>
      </c>
      <c r="C8" t="s">
        <v>4</v>
      </c>
    </row>
    <row r="9" spans="1:12" x14ac:dyDescent="0.25">
      <c r="A9" t="s">
        <v>6</v>
      </c>
      <c r="B9" s="3">
        <v>4</v>
      </c>
      <c r="C9" t="s">
        <v>7</v>
      </c>
    </row>
    <row r="10" spans="1:12" x14ac:dyDescent="0.25">
      <c r="A10" t="s">
        <v>27</v>
      </c>
    </row>
    <row r="12" spans="1:12" ht="15" customHeight="1" thickBot="1" x14ac:dyDescent="0.3"/>
    <row r="13" spans="1:12" ht="15.75" thickBot="1" x14ac:dyDescent="0.3">
      <c r="F13" s="61" t="s">
        <v>17</v>
      </c>
      <c r="G13" s="62"/>
      <c r="H13" s="62"/>
      <c r="I13" s="62"/>
      <c r="J13" s="62"/>
      <c r="K13" s="62"/>
      <c r="L13" s="63"/>
    </row>
    <row r="14" spans="1:12" ht="30.75" thickBot="1" x14ac:dyDescent="0.3">
      <c r="F14" s="27" t="s">
        <v>16</v>
      </c>
      <c r="G14" s="64" t="s">
        <v>24</v>
      </c>
      <c r="H14" s="64"/>
      <c r="I14" s="28"/>
      <c r="J14" s="64" t="s">
        <v>25</v>
      </c>
      <c r="K14" s="64"/>
      <c r="L14" s="29" t="s">
        <v>15</v>
      </c>
    </row>
    <row r="15" spans="1:12" x14ac:dyDescent="0.25">
      <c r="F15" s="65" t="s">
        <v>32</v>
      </c>
      <c r="G15" s="66"/>
      <c r="H15" s="66"/>
      <c r="I15" s="66"/>
      <c r="J15" s="66"/>
      <c r="K15" s="66"/>
      <c r="L15" s="67"/>
    </row>
    <row r="16" spans="1:12" x14ac:dyDescent="0.25">
      <c r="F16" s="18">
        <v>0.4</v>
      </c>
      <c r="G16" s="15">
        <v>0.4</v>
      </c>
      <c r="H16" s="15">
        <v>0.4</v>
      </c>
      <c r="I16" s="15">
        <v>0.4</v>
      </c>
      <c r="J16" s="15">
        <v>0.4</v>
      </c>
      <c r="K16" s="15">
        <v>0.4</v>
      </c>
      <c r="L16" s="19">
        <v>0.4</v>
      </c>
    </row>
    <row r="17" spans="4:18" ht="15.75" thickBot="1" x14ac:dyDescent="0.3">
      <c r="E17" s="13" t="s">
        <v>31</v>
      </c>
      <c r="F17" s="20"/>
      <c r="G17" s="8"/>
      <c r="H17" s="8">
        <v>4</v>
      </c>
      <c r="I17" s="7" t="s">
        <v>30</v>
      </c>
      <c r="J17" s="8">
        <v>4</v>
      </c>
      <c r="K17" s="8"/>
      <c r="L17" s="21"/>
    </row>
    <row r="18" spans="4:18" x14ac:dyDescent="0.25">
      <c r="D18" s="1"/>
      <c r="E18" s="1"/>
      <c r="F18" s="55" t="s">
        <v>14</v>
      </c>
      <c r="G18" s="56" t="s">
        <v>12</v>
      </c>
      <c r="H18" s="56"/>
      <c r="I18" s="56"/>
      <c r="J18" s="56"/>
      <c r="K18" s="56"/>
      <c r="L18" s="57" t="s">
        <v>14</v>
      </c>
      <c r="N18" s="68" t="s">
        <v>35</v>
      </c>
      <c r="O18" s="69"/>
      <c r="P18" s="69"/>
      <c r="Q18" s="69"/>
      <c r="R18" s="70"/>
    </row>
    <row r="19" spans="4:18" x14ac:dyDescent="0.25">
      <c r="D19" s="6" t="s">
        <v>8</v>
      </c>
      <c r="E19" s="12" t="s">
        <v>9</v>
      </c>
      <c r="F19" s="55"/>
      <c r="G19" s="16" t="s">
        <v>13</v>
      </c>
      <c r="H19" s="6" t="s">
        <v>28</v>
      </c>
      <c r="I19" s="6" t="s">
        <v>29</v>
      </c>
      <c r="J19" s="6" t="s">
        <v>28</v>
      </c>
      <c r="K19" s="6" t="s">
        <v>13</v>
      </c>
      <c r="L19" s="57"/>
      <c r="N19" s="38" t="s">
        <v>13</v>
      </c>
      <c r="O19" s="6" t="s">
        <v>28</v>
      </c>
      <c r="P19" s="6" t="s">
        <v>29</v>
      </c>
      <c r="Q19" s="6" t="s">
        <v>28</v>
      </c>
      <c r="R19" s="39" t="s">
        <v>13</v>
      </c>
    </row>
    <row r="20" spans="4:18" ht="15.75" thickBot="1" x14ac:dyDescent="0.3">
      <c r="D20" s="6" t="s">
        <v>10</v>
      </c>
      <c r="E20" s="12" t="s">
        <v>11</v>
      </c>
      <c r="F20" s="22" t="s">
        <v>18</v>
      </c>
      <c r="G20" s="23" t="s">
        <v>19</v>
      </c>
      <c r="H20" s="24" t="s">
        <v>20</v>
      </c>
      <c r="I20" s="25" t="s">
        <v>26</v>
      </c>
      <c r="J20" s="25" t="s">
        <v>21</v>
      </c>
      <c r="K20" s="25" t="s">
        <v>22</v>
      </c>
      <c r="L20" s="26" t="s">
        <v>23</v>
      </c>
      <c r="N20" s="40" t="s">
        <v>19</v>
      </c>
      <c r="O20" s="24" t="s">
        <v>20</v>
      </c>
      <c r="P20" s="25" t="s">
        <v>26</v>
      </c>
      <c r="Q20" s="25" t="s">
        <v>21</v>
      </c>
      <c r="R20" s="26" t="s">
        <v>22</v>
      </c>
    </row>
    <row r="21" spans="4:18" x14ac:dyDescent="0.25">
      <c r="D21" s="8">
        <v>0</v>
      </c>
      <c r="E21" s="8">
        <f t="shared" ref="E21:E29" si="0">D21*(1/$B$9)</f>
        <v>0</v>
      </c>
      <c r="F21" s="17">
        <f t="shared" ref="F21:F29" si="1">$B$7*(1+F$16*$E21)</f>
        <v>1000</v>
      </c>
      <c r="G21" s="17">
        <f t="shared" ref="G21:G29" si="2">$B$7*(1+G$16)^$E21</f>
        <v>1000</v>
      </c>
      <c r="H21" s="17">
        <f>$B$7*(1+H$16/H$17)^($E21*H$17)</f>
        <v>1000</v>
      </c>
      <c r="I21" s="17">
        <f>$B$7*EXP(I$16*$E21)</f>
        <v>1000</v>
      </c>
      <c r="J21" s="17">
        <f>$B$7*(1-J$16/J$17)^-($E21*J$17)</f>
        <v>1000</v>
      </c>
      <c r="K21" s="17">
        <f t="shared" ref="K21:K29" si="3">$B$7*(1-K$16)^(-$E21)</f>
        <v>1000</v>
      </c>
      <c r="L21" s="17">
        <f t="shared" ref="L21:L29" si="4">$B$7*(1-L$16*$E21)^-1</f>
        <v>1000</v>
      </c>
      <c r="N21" s="41">
        <f>FV(G$16,$E21, ,-$B$7)</f>
        <v>1000</v>
      </c>
      <c r="O21" s="37">
        <f>FV($H$16/$H$17,$H$17*E21, ,-$B$7)</f>
        <v>1000</v>
      </c>
      <c r="P21" s="37"/>
      <c r="Q21" s="37">
        <f>FV(-$J$16/$J$17,-$J$17*E21, ,-$B$7)</f>
        <v>1000</v>
      </c>
      <c r="R21" s="42">
        <f>FV(-K$16,-$E21, ,-$B$7)</f>
        <v>1000</v>
      </c>
    </row>
    <row r="22" spans="4:18" x14ac:dyDescent="0.25">
      <c r="D22" s="8">
        <v>1</v>
      </c>
      <c r="E22" s="8">
        <f t="shared" si="0"/>
        <v>0.25</v>
      </c>
      <c r="F22" s="9">
        <f t="shared" si="1"/>
        <v>1100</v>
      </c>
      <c r="G22" s="9">
        <f t="shared" si="2"/>
        <v>1087.7573059372771</v>
      </c>
      <c r="H22" s="9">
        <f t="shared" ref="H22:H29" si="5">$B$7*(1+H$16/H$17)^($E22*H$17)</f>
        <v>1100</v>
      </c>
      <c r="I22" s="9">
        <f t="shared" ref="I22:I29" si="6">$B$7*EXP(I$16*$E22)</f>
        <v>1105.1709180756477</v>
      </c>
      <c r="J22" s="9">
        <f t="shared" ref="J22:J29" si="7">$B$7*(1-J$16/J$17)^-($E22*J$17)</f>
        <v>1111.1111111111111</v>
      </c>
      <c r="K22" s="9">
        <f t="shared" si="3"/>
        <v>1136.2193664674994</v>
      </c>
      <c r="L22" s="9">
        <f t="shared" si="4"/>
        <v>1111.1111111111111</v>
      </c>
      <c r="N22" s="43">
        <f>FV(G$16,$E22, ,-$B$7)</f>
        <v>1087.7573059372771</v>
      </c>
      <c r="O22" s="37">
        <f t="shared" ref="O22:O29" si="8">FV($H$16/$H$17,$H$17*E22, ,-$B$7)</f>
        <v>1100</v>
      </c>
      <c r="P22" s="8"/>
      <c r="Q22" s="37">
        <f t="shared" ref="Q22:Q29" si="9">FV(-$J$16/$J$17,-$J$17*E22, ,-$B$7)</f>
        <v>1111.1111111111111</v>
      </c>
      <c r="R22" s="42">
        <f t="shared" ref="R22:R29" si="10">FV(-K$16,-$E22, ,-$B$7)</f>
        <v>1136.2193664674994</v>
      </c>
    </row>
    <row r="23" spans="4:18" x14ac:dyDescent="0.25">
      <c r="D23" s="8">
        <v>2</v>
      </c>
      <c r="E23" s="8">
        <f t="shared" si="0"/>
        <v>0.5</v>
      </c>
      <c r="F23" s="9">
        <f t="shared" si="1"/>
        <v>1200</v>
      </c>
      <c r="G23" s="9">
        <f t="shared" si="2"/>
        <v>1183.2159566199232</v>
      </c>
      <c r="H23" s="9">
        <f t="shared" si="5"/>
        <v>1210.0000000000002</v>
      </c>
      <c r="I23" s="9">
        <f t="shared" si="6"/>
        <v>1221.4027581601699</v>
      </c>
      <c r="J23" s="9">
        <f t="shared" si="7"/>
        <v>1234.5679012345679</v>
      </c>
      <c r="K23" s="9">
        <f t="shared" si="3"/>
        <v>1290.9944487358057</v>
      </c>
      <c r="L23" s="9">
        <f t="shared" si="4"/>
        <v>1250</v>
      </c>
      <c r="N23" s="43">
        <f t="shared" ref="N23:N29" si="11">FV(G$16,$E23, ,-$B$7)</f>
        <v>1183.2159566199232</v>
      </c>
      <c r="O23" s="37">
        <f t="shared" si="8"/>
        <v>1210.0000000000002</v>
      </c>
      <c r="P23" s="8"/>
      <c r="Q23" s="37">
        <f t="shared" si="9"/>
        <v>1234.5679012345679</v>
      </c>
      <c r="R23" s="42">
        <f t="shared" si="10"/>
        <v>1290.9944487358057</v>
      </c>
    </row>
    <row r="24" spans="4:18" x14ac:dyDescent="0.25">
      <c r="D24" s="8">
        <v>3</v>
      </c>
      <c r="E24" s="8">
        <f t="shared" si="0"/>
        <v>0.75</v>
      </c>
      <c r="F24" s="9">
        <f t="shared" si="1"/>
        <v>1300</v>
      </c>
      <c r="G24" s="9">
        <f t="shared" si="2"/>
        <v>1287.0518013148858</v>
      </c>
      <c r="H24" s="9">
        <f t="shared" si="5"/>
        <v>1331.0000000000005</v>
      </c>
      <c r="I24" s="9">
        <f t="shared" si="6"/>
        <v>1349.8588075760031</v>
      </c>
      <c r="J24" s="9">
        <f t="shared" si="7"/>
        <v>1371.7421124828531</v>
      </c>
      <c r="K24" s="9">
        <f t="shared" si="3"/>
        <v>1466.8528946556557</v>
      </c>
      <c r="L24" s="9">
        <f t="shared" si="4"/>
        <v>1428.5714285714287</v>
      </c>
      <c r="N24" s="43">
        <f t="shared" si="11"/>
        <v>1287.0518013148858</v>
      </c>
      <c r="O24" s="37">
        <f t="shared" si="8"/>
        <v>1331.0000000000005</v>
      </c>
      <c r="P24" s="8"/>
      <c r="Q24" s="37">
        <f t="shared" si="9"/>
        <v>1371.7421124828531</v>
      </c>
      <c r="R24" s="42">
        <f t="shared" si="10"/>
        <v>1466.8528946556557</v>
      </c>
    </row>
    <row r="25" spans="4:18" x14ac:dyDescent="0.25">
      <c r="D25" s="8">
        <v>4</v>
      </c>
      <c r="E25" s="8">
        <f t="shared" si="0"/>
        <v>1</v>
      </c>
      <c r="F25" s="9">
        <f t="shared" si="1"/>
        <v>1400</v>
      </c>
      <c r="G25" s="9">
        <f t="shared" si="2"/>
        <v>1400</v>
      </c>
      <c r="H25" s="9">
        <f t="shared" si="5"/>
        <v>1464.1000000000004</v>
      </c>
      <c r="I25" s="9">
        <f t="shared" si="6"/>
        <v>1491.8246976412704</v>
      </c>
      <c r="J25" s="9">
        <f t="shared" si="7"/>
        <v>1524.1579027587256</v>
      </c>
      <c r="K25" s="9">
        <f t="shared" si="3"/>
        <v>1666.6666666666667</v>
      </c>
      <c r="L25" s="9">
        <f t="shared" si="4"/>
        <v>1666.6666666666667</v>
      </c>
      <c r="N25" s="43">
        <f t="shared" si="11"/>
        <v>1400</v>
      </c>
      <c r="O25" s="37">
        <f t="shared" si="8"/>
        <v>1464.1000000000004</v>
      </c>
      <c r="P25" s="8"/>
      <c r="Q25" s="37">
        <f t="shared" si="9"/>
        <v>1524.1579027587256</v>
      </c>
      <c r="R25" s="42">
        <f t="shared" si="10"/>
        <v>1666.6666666666667</v>
      </c>
    </row>
    <row r="26" spans="4:18" x14ac:dyDescent="0.25">
      <c r="D26" s="8">
        <v>5</v>
      </c>
      <c r="E26" s="8">
        <f t="shared" si="0"/>
        <v>1.25</v>
      </c>
      <c r="F26" s="9">
        <f t="shared" si="1"/>
        <v>1500</v>
      </c>
      <c r="G26" s="9">
        <f t="shared" si="2"/>
        <v>1522.8602283121879</v>
      </c>
      <c r="H26" s="9">
        <f t="shared" si="5"/>
        <v>1610.5100000000004</v>
      </c>
      <c r="I26" s="9">
        <f t="shared" si="6"/>
        <v>1648.7212707001281</v>
      </c>
      <c r="J26" s="9">
        <f t="shared" si="7"/>
        <v>1693.5087808430283</v>
      </c>
      <c r="K26" s="9">
        <f t="shared" si="3"/>
        <v>1893.698944112499</v>
      </c>
      <c r="L26" s="9">
        <f t="shared" si="4"/>
        <v>2000</v>
      </c>
      <c r="N26" s="43">
        <f t="shared" si="11"/>
        <v>1522.8602283121879</v>
      </c>
      <c r="O26" s="37">
        <f t="shared" si="8"/>
        <v>1610.5100000000004</v>
      </c>
      <c r="P26" s="8"/>
      <c r="Q26" s="37">
        <f t="shared" si="9"/>
        <v>1693.5087808430283</v>
      </c>
      <c r="R26" s="42">
        <f t="shared" si="10"/>
        <v>1893.698944112499</v>
      </c>
    </row>
    <row r="27" spans="4:18" x14ac:dyDescent="0.25">
      <c r="D27" s="8">
        <v>6</v>
      </c>
      <c r="E27" s="8">
        <f t="shared" si="0"/>
        <v>1.5</v>
      </c>
      <c r="F27" s="9">
        <f t="shared" si="1"/>
        <v>1600</v>
      </c>
      <c r="G27" s="9">
        <f t="shared" si="2"/>
        <v>1656.5023392678925</v>
      </c>
      <c r="H27" s="9">
        <f t="shared" si="5"/>
        <v>1771.5610000000008</v>
      </c>
      <c r="I27" s="9">
        <f t="shared" si="6"/>
        <v>1822.118800390509</v>
      </c>
      <c r="J27" s="9">
        <f t="shared" si="7"/>
        <v>1881.6764231589202</v>
      </c>
      <c r="K27" s="9">
        <f t="shared" si="3"/>
        <v>2151.657414559676</v>
      </c>
      <c r="L27" s="9">
        <f t="shared" si="4"/>
        <v>2500.0000000000005</v>
      </c>
      <c r="N27" s="43">
        <f t="shared" si="11"/>
        <v>1656.5023392678925</v>
      </c>
      <c r="O27" s="37">
        <f t="shared" si="8"/>
        <v>1771.5610000000008</v>
      </c>
      <c r="P27" s="8"/>
      <c r="Q27" s="37">
        <f t="shared" si="9"/>
        <v>1881.6764231589202</v>
      </c>
      <c r="R27" s="42">
        <f t="shared" si="10"/>
        <v>2151.657414559676</v>
      </c>
    </row>
    <row r="28" spans="4:18" x14ac:dyDescent="0.25">
      <c r="D28" s="8">
        <v>7</v>
      </c>
      <c r="E28" s="8">
        <f t="shared" si="0"/>
        <v>1.75</v>
      </c>
      <c r="F28" s="9">
        <f t="shared" si="1"/>
        <v>1700.0000000000002</v>
      </c>
      <c r="G28" s="9">
        <f t="shared" si="2"/>
        <v>1801.8725218408399</v>
      </c>
      <c r="H28" s="9">
        <f t="shared" si="5"/>
        <v>1948.7171000000012</v>
      </c>
      <c r="I28" s="9">
        <f t="shared" si="6"/>
        <v>2013.7527074704767</v>
      </c>
      <c r="J28" s="9">
        <f t="shared" si="7"/>
        <v>2090.7515812876891</v>
      </c>
      <c r="K28" s="9">
        <f t="shared" si="3"/>
        <v>2444.7548244260929</v>
      </c>
      <c r="L28" s="9">
        <f t="shared" si="4"/>
        <v>3333.3333333333339</v>
      </c>
      <c r="N28" s="43">
        <f t="shared" si="11"/>
        <v>1801.8725218408399</v>
      </c>
      <c r="O28" s="37">
        <f t="shared" si="8"/>
        <v>1948.7171000000012</v>
      </c>
      <c r="P28" s="8"/>
      <c r="Q28" s="37">
        <f t="shared" si="9"/>
        <v>2090.7515812876891</v>
      </c>
      <c r="R28" s="42">
        <f t="shared" si="10"/>
        <v>2444.7548244260929</v>
      </c>
    </row>
    <row r="29" spans="4:18" ht="15.75" thickBot="1" x14ac:dyDescent="0.3">
      <c r="D29" s="10">
        <v>8</v>
      </c>
      <c r="E29" s="10">
        <f t="shared" si="0"/>
        <v>2</v>
      </c>
      <c r="F29" s="11">
        <f t="shared" si="1"/>
        <v>1800</v>
      </c>
      <c r="G29" s="11">
        <f t="shared" si="2"/>
        <v>1959.9999999999998</v>
      </c>
      <c r="H29" s="11">
        <f t="shared" si="5"/>
        <v>2143.5888100000011</v>
      </c>
      <c r="I29" s="11">
        <f t="shared" si="6"/>
        <v>2225.5409284924681</v>
      </c>
      <c r="J29" s="11">
        <f t="shared" si="7"/>
        <v>2323.0573125418769</v>
      </c>
      <c r="K29" s="11">
        <f t="shared" si="3"/>
        <v>2777.7777777777778</v>
      </c>
      <c r="L29" s="11">
        <f t="shared" si="4"/>
        <v>5000.0000000000009</v>
      </c>
      <c r="N29" s="44">
        <f t="shared" si="11"/>
        <v>1959.9999999999998</v>
      </c>
      <c r="O29" s="53">
        <f t="shared" si="8"/>
        <v>2143.5888100000011</v>
      </c>
      <c r="P29" s="45"/>
      <c r="Q29" s="53">
        <f t="shared" si="9"/>
        <v>2323.0573125418769</v>
      </c>
      <c r="R29" s="54">
        <f t="shared" si="10"/>
        <v>2777.7777777777778</v>
      </c>
    </row>
  </sheetData>
  <mergeCells count="10">
    <mergeCell ref="N18:R18"/>
    <mergeCell ref="G14:H14"/>
    <mergeCell ref="J14:K14"/>
    <mergeCell ref="A1:C1"/>
    <mergeCell ref="A2:C2"/>
    <mergeCell ref="F13:L13"/>
    <mergeCell ref="G18:K18"/>
    <mergeCell ref="L18:L19"/>
    <mergeCell ref="F18:F19"/>
    <mergeCell ref="F15:L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8874-32D7-4D09-B2F9-0A8E1ACA6108}">
  <dimension ref="C7:M19"/>
  <sheetViews>
    <sheetView workbookViewId="0">
      <selection activeCell="O14" sqref="O14"/>
    </sheetView>
  </sheetViews>
  <sheetFormatPr defaultRowHeight="15" x14ac:dyDescent="0.25"/>
  <cols>
    <col min="4" max="4" width="10.28515625" bestFit="1" customWidth="1"/>
    <col min="13" max="13" width="9.5703125" bestFit="1" customWidth="1"/>
    <col min="14" max="14" width="10.28515625" bestFit="1" customWidth="1"/>
  </cols>
  <sheetData>
    <row r="7" spans="3:13" x14ac:dyDescent="0.25">
      <c r="K7" t="s">
        <v>27</v>
      </c>
    </row>
    <row r="8" spans="3:13" x14ac:dyDescent="0.25">
      <c r="K8" t="s">
        <v>38</v>
      </c>
      <c r="M8" s="8">
        <f>D10*(1+H10)^J18</f>
        <v>1959.9999999999998</v>
      </c>
    </row>
    <row r="9" spans="3:13" x14ac:dyDescent="0.25">
      <c r="C9" t="s">
        <v>36</v>
      </c>
      <c r="H9" t="s">
        <v>19</v>
      </c>
      <c r="K9" t="s">
        <v>39</v>
      </c>
      <c r="M9" s="36">
        <f>FV(H10,J18, ,-D10)</f>
        <v>1959.9999999999998</v>
      </c>
    </row>
    <row r="10" spans="3:13" x14ac:dyDescent="0.25">
      <c r="D10" s="46">
        <v>1000</v>
      </c>
      <c r="E10" t="s">
        <v>3</v>
      </c>
      <c r="H10" s="47">
        <v>0.4</v>
      </c>
      <c r="M10" s="46">
        <v>1960</v>
      </c>
    </row>
    <row r="11" spans="3:13" x14ac:dyDescent="0.25">
      <c r="C11" t="s">
        <v>42</v>
      </c>
      <c r="D11" s="36">
        <f>PV(H10,J18, ,-M10)</f>
        <v>1000.0000000000001</v>
      </c>
      <c r="F11" t="s">
        <v>40</v>
      </c>
      <c r="G11" s="14">
        <f>RATE(J18, ,-D10,M10)</f>
        <v>0.39999999999999997</v>
      </c>
    </row>
    <row r="17" spans="9:11" x14ac:dyDescent="0.25">
      <c r="J17" t="s">
        <v>37</v>
      </c>
    </row>
    <row r="18" spans="9:11" x14ac:dyDescent="0.25">
      <c r="J18" s="46">
        <v>2</v>
      </c>
      <c r="K18" t="s">
        <v>4</v>
      </c>
    </row>
    <row r="19" spans="9:11" x14ac:dyDescent="0.25">
      <c r="I19" t="s">
        <v>41</v>
      </c>
      <c r="J19" s="8">
        <f>NPER(H10, ,-D10,M10)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0BA1-87E8-4AD6-98E8-87EDCBEC03BF}">
  <dimension ref="A6:L39"/>
  <sheetViews>
    <sheetView topLeftCell="A19" workbookViewId="0">
      <selection activeCell="A40" sqref="A40"/>
    </sheetView>
  </sheetViews>
  <sheetFormatPr defaultRowHeight="15" x14ac:dyDescent="0.25"/>
  <cols>
    <col min="1" max="1" width="10.140625" bestFit="1" customWidth="1"/>
    <col min="2" max="2" width="10.5703125" bestFit="1" customWidth="1"/>
    <col min="4" max="4" width="5" bestFit="1" customWidth="1"/>
    <col min="5" max="5" width="10.5703125" bestFit="1" customWidth="1"/>
    <col min="8" max="8" width="10.5703125" bestFit="1" customWidth="1"/>
  </cols>
  <sheetData>
    <row r="6" spans="1:12" x14ac:dyDescent="0.25">
      <c r="G6" t="s">
        <v>48</v>
      </c>
    </row>
    <row r="7" spans="1:12" x14ac:dyDescent="0.25">
      <c r="A7" t="s">
        <v>1</v>
      </c>
    </row>
    <row r="8" spans="1:12" x14ac:dyDescent="0.25">
      <c r="A8" t="s">
        <v>45</v>
      </c>
      <c r="B8" s="46">
        <v>500</v>
      </c>
      <c r="C8" t="s">
        <v>43</v>
      </c>
    </row>
    <row r="9" spans="1:12" x14ac:dyDescent="0.25">
      <c r="A9" t="s">
        <v>44</v>
      </c>
      <c r="B9" s="47">
        <v>0.25</v>
      </c>
      <c r="C9" s="48" t="s">
        <v>46</v>
      </c>
      <c r="G9" t="s">
        <v>36</v>
      </c>
      <c r="J9" t="s">
        <v>19</v>
      </c>
    </row>
    <row r="10" spans="1:12" x14ac:dyDescent="0.25">
      <c r="A10" t="s">
        <v>47</v>
      </c>
    </row>
    <row r="11" spans="1:12" x14ac:dyDescent="0.25">
      <c r="B11" s="49">
        <v>1000</v>
      </c>
      <c r="C11" t="s">
        <v>43</v>
      </c>
    </row>
    <row r="13" spans="1:12" x14ac:dyDescent="0.25">
      <c r="A13" t="s">
        <v>49</v>
      </c>
    </row>
    <row r="15" spans="1:12" x14ac:dyDescent="0.25">
      <c r="L15" t="s">
        <v>49</v>
      </c>
    </row>
    <row r="16" spans="1:12" x14ac:dyDescent="0.25">
      <c r="A16" t="s">
        <v>50</v>
      </c>
    </row>
    <row r="17" spans="1:5" x14ac:dyDescent="0.25">
      <c r="A17" t="s">
        <v>51</v>
      </c>
      <c r="C17">
        <f>NPER(B9, ,-B8,B11)</f>
        <v>3.1062837195053898</v>
      </c>
      <c r="D17" t="s">
        <v>4</v>
      </c>
    </row>
    <row r="18" spans="1:5" x14ac:dyDescent="0.25">
      <c r="A18" t="s">
        <v>52</v>
      </c>
      <c r="D18" s="50">
        <f>(C17-3)*360</f>
        <v>38.262139021940342</v>
      </c>
      <c r="E18" t="s">
        <v>53</v>
      </c>
    </row>
    <row r="20" spans="1:5" x14ac:dyDescent="0.25">
      <c r="A20" t="s">
        <v>54</v>
      </c>
    </row>
    <row r="22" spans="1:5" x14ac:dyDescent="0.25">
      <c r="A22" t="s">
        <v>55</v>
      </c>
      <c r="B22" s="51">
        <f ca="1">TODAY()+3*360+38</f>
        <v>45759</v>
      </c>
    </row>
    <row r="34" spans="1:9" x14ac:dyDescent="0.25">
      <c r="A34" t="s">
        <v>56</v>
      </c>
      <c r="C34" s="71" t="s">
        <v>59</v>
      </c>
      <c r="D34" s="71"/>
      <c r="E34" s="52">
        <v>1.4844705301948913</v>
      </c>
      <c r="F34" t="s">
        <v>60</v>
      </c>
      <c r="G34" t="s">
        <v>61</v>
      </c>
      <c r="H34" s="50">
        <f>365/E34</f>
        <v>245.87891276769255</v>
      </c>
      <c r="I34" t="s">
        <v>62</v>
      </c>
    </row>
    <row r="35" spans="1:9" x14ac:dyDescent="0.25">
      <c r="A35" t="s">
        <v>57</v>
      </c>
    </row>
    <row r="36" spans="1:9" x14ac:dyDescent="0.25">
      <c r="A36" t="s">
        <v>58</v>
      </c>
      <c r="B36" s="4">
        <f>B8*(1+B9/E34)^(E34*3)</f>
        <v>999.99976247730081</v>
      </c>
    </row>
    <row r="38" spans="1:9" x14ac:dyDescent="0.25">
      <c r="A38" t="s">
        <v>63</v>
      </c>
    </row>
    <row r="39" spans="1:9" x14ac:dyDescent="0.25">
      <c r="A39" t="s">
        <v>64</v>
      </c>
    </row>
  </sheetData>
  <mergeCells count="1">
    <mergeCell ref="C34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 (2)</vt:lpstr>
      <vt:lpstr>Sheet1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2022-03-21T14:28:15Z</dcterms:modified>
</cp:coreProperties>
</file>