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\Downloads\"/>
    </mc:Choice>
  </mc:AlternateContent>
  <xr:revisionPtr revIDLastSave="0" documentId="13_ncr:1_{9C286743-0FE5-46FF-8ABC-0125C1C0651D}" xr6:coauthVersionLast="36" xr6:coauthVersionMax="36" xr10:uidLastSave="{00000000-0000-0000-0000-000000000000}"/>
  <bookViews>
    <workbookView xWindow="0" yWindow="0" windowWidth="28800" windowHeight="12225" activeTab="5" xr2:uid="{DCB905ED-AB74-44E0-9E8F-CD4B467A5EB9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6" l="1"/>
  <c r="C11" i="6" s="1"/>
  <c r="D14" i="5"/>
  <c r="D13" i="5" a="1"/>
  <c r="D13" i="5" s="1"/>
  <c r="E13" i="5"/>
  <c r="E11" i="5"/>
  <c r="E12" i="5"/>
  <c r="E10" i="5"/>
  <c r="D11" i="5"/>
  <c r="D12" i="5"/>
  <c r="D10" i="5"/>
  <c r="B13" i="5" a="1"/>
  <c r="B13" i="5" s="1"/>
  <c r="C12" i="5"/>
  <c r="C11" i="5"/>
  <c r="C10" i="5"/>
  <c r="C35" i="5"/>
  <c r="E19" i="5"/>
  <c r="C21" i="5"/>
  <c r="C22" i="5"/>
  <c r="C24" i="5"/>
  <c r="C25" i="5"/>
  <c r="C26" i="5"/>
  <c r="C28" i="5"/>
  <c r="C29" i="5"/>
  <c r="C30" i="5"/>
  <c r="C31" i="5"/>
  <c r="C32" i="5"/>
  <c r="C33" i="5"/>
  <c r="C34" i="5"/>
  <c r="C20" i="5"/>
  <c r="A10" i="5"/>
  <c r="A11" i="5" s="1"/>
  <c r="A12" i="5" s="1"/>
  <c r="B27" i="5" s="1"/>
  <c r="D28" i="5" s="1"/>
  <c r="D9" i="4"/>
  <c r="D15" i="4"/>
  <c r="D16" i="4"/>
  <c r="D17" i="4"/>
  <c r="C15" i="4"/>
  <c r="C16" i="4"/>
  <c r="C17" i="4"/>
  <c r="C14" i="4"/>
  <c r="B15" i="4"/>
  <c r="B16" i="4"/>
  <c r="B17" i="4"/>
  <c r="B14" i="4"/>
  <c r="C9" i="4"/>
  <c r="B9" i="4"/>
  <c r="D17" i="3"/>
  <c r="E17" i="3"/>
  <c r="C17" i="3"/>
  <c r="D16" i="3"/>
  <c r="E16" i="3"/>
  <c r="C16" i="3"/>
  <c r="E15" i="3"/>
  <c r="D15" i="3"/>
  <c r="C15" i="3"/>
  <c r="E12" i="3"/>
  <c r="D12" i="3"/>
  <c r="C12" i="3"/>
  <c r="C28" i="2"/>
  <c r="C29" i="2"/>
  <c r="C30" i="2"/>
  <c r="C31" i="2"/>
  <c r="C32" i="2"/>
  <c r="C27" i="2"/>
  <c r="C26" i="2"/>
  <c r="B31" i="2"/>
  <c r="B30" i="2"/>
  <c r="B29" i="2"/>
  <c r="B28" i="2"/>
  <c r="B27" i="2"/>
  <c r="C32" i="1"/>
  <c r="C33" i="1" s="1"/>
  <c r="C28" i="1"/>
  <c r="C29" i="1"/>
  <c r="C30" i="1"/>
  <c r="C31" i="1"/>
  <c r="C27" i="1"/>
  <c r="C26" i="1"/>
  <c r="B31" i="1"/>
  <c r="B30" i="1"/>
  <c r="B29" i="1"/>
  <c r="B28" i="1"/>
  <c r="B27" i="1"/>
  <c r="C13" i="5" l="1"/>
  <c r="D35" i="5"/>
  <c r="D29" i="5"/>
  <c r="D30" i="5"/>
  <c r="D27" i="5"/>
  <c r="D26" i="5"/>
  <c r="D32" i="5"/>
  <c r="D31" i="5"/>
  <c r="D25" i="5"/>
  <c r="D22" i="5"/>
  <c r="D23" i="5"/>
  <c r="D34" i="5"/>
  <c r="D33" i="5"/>
  <c r="D21" i="5"/>
  <c r="B23" i="5"/>
  <c r="D24" i="5" s="1"/>
  <c r="B19" i="5"/>
  <c r="C33" i="2"/>
  <c r="D20" i="5" l="1"/>
  <c r="G20" i="5" s="1"/>
  <c r="F20" i="5" s="1"/>
  <c r="E20" i="5" l="1"/>
  <c r="G21" i="5" s="1"/>
  <c r="F21" i="5" s="1"/>
  <c r="F22" i="5" l="1"/>
  <c r="E21" i="5"/>
  <c r="G22" i="5" s="1"/>
  <c r="F23" i="5" l="1"/>
  <c r="E22" i="5"/>
  <c r="G23" i="5" s="1"/>
  <c r="F24" i="5" l="1"/>
  <c r="E23" i="5"/>
  <c r="G24" i="5" s="1"/>
  <c r="F25" i="5" l="1"/>
  <c r="E24" i="5"/>
  <c r="G25" i="5" s="1"/>
  <c r="F26" i="5" l="1"/>
  <c r="E25" i="5"/>
  <c r="G26" i="5" s="1"/>
  <c r="F27" i="5" l="1"/>
  <c r="E26" i="5"/>
  <c r="G27" i="5" s="1"/>
  <c r="F28" i="5" l="1"/>
  <c r="E27" i="5"/>
  <c r="G28" i="5" s="1"/>
  <c r="F29" i="5" l="1"/>
  <c r="E28" i="5"/>
  <c r="G29" i="5" s="1"/>
  <c r="F30" i="5" l="1"/>
  <c r="E29" i="5"/>
  <c r="G30" i="5" s="1"/>
  <c r="F31" i="5" l="1"/>
  <c r="E30" i="5"/>
  <c r="G31" i="5" s="1"/>
  <c r="F32" i="5" l="1"/>
  <c r="E31" i="5"/>
  <c r="G32" i="5" s="1"/>
  <c r="F33" i="5" l="1"/>
  <c r="E32" i="5"/>
  <c r="G33" i="5" s="1"/>
  <c r="F34" i="5" l="1"/>
  <c r="E33" i="5"/>
  <c r="G34" i="5" s="1"/>
  <c r="F35" i="5" l="1"/>
  <c r="E35" i="5" s="1"/>
  <c r="G46" i="5" s="1"/>
  <c r="E34" i="5"/>
  <c r="G35" i="5" s="1"/>
  <c r="G39" i="5" l="1"/>
  <c r="G42" i="5"/>
</calcChain>
</file>

<file path=xl/sharedStrings.xml><?xml version="1.0" encoding="utf-8"?>
<sst xmlns="http://schemas.openxmlformats.org/spreadsheetml/2006/main" count="120" uniqueCount="72">
  <si>
    <t>Бронников Е.И.</t>
  </si>
  <si>
    <t>Дано:</t>
  </si>
  <si>
    <t>Даты</t>
  </si>
  <si>
    <t>Рамеры</t>
  </si>
  <si>
    <t>тыс. руб.</t>
  </si>
  <si>
    <t>Ставка</t>
  </si>
  <si>
    <t>%/год</t>
  </si>
  <si>
    <r>
      <t>%</t>
    </r>
    <r>
      <rPr>
        <sz val="11"/>
        <color rgb="FF7030A0"/>
        <rFont val="Calibri"/>
        <family val="2"/>
        <charset val="204"/>
        <scheme val="minor"/>
      </rPr>
      <t>/год</t>
    </r>
  </si>
  <si>
    <t>Платежи старые R:</t>
  </si>
  <si>
    <t>Платежи новые Y:</t>
  </si>
  <si>
    <t>?</t>
  </si>
  <si>
    <t>Дата приведения</t>
  </si>
  <si>
    <t>Дата приведения:</t>
  </si>
  <si>
    <t>Дата:</t>
  </si>
  <si>
    <r>
      <t xml:space="preserve">Платежи </t>
    </r>
    <r>
      <rPr>
        <sz val="11"/>
        <color rgb="FFFF0000"/>
        <rFont val="Calibri"/>
        <family val="2"/>
        <charset val="204"/>
        <scheme val="minor"/>
      </rPr>
      <t>-R</t>
    </r>
    <r>
      <rPr>
        <sz val="11"/>
        <color theme="1"/>
        <rFont val="Calibri"/>
        <family val="2"/>
        <charset val="204"/>
        <scheme val="minor"/>
      </rPr>
      <t xml:space="preserve"> +Y:</t>
    </r>
  </si>
  <si>
    <t>Время</t>
  </si>
  <si>
    <t>Платежи</t>
  </si>
  <si>
    <t>Оценка</t>
  </si>
  <si>
    <t>Сумма</t>
  </si>
  <si>
    <t>-&gt; 0</t>
  </si>
  <si>
    <t>S = P(1+is*N) =  P(1+is*N)^(-1)</t>
  </si>
  <si>
    <t>Ответ:</t>
  </si>
  <si>
    <t>Платёж 31/12</t>
  </si>
  <si>
    <t>S = P(1+i)^N=  P(1+i)^(-N)</t>
  </si>
  <si>
    <t>Учётные ставки ds:</t>
  </si>
  <si>
    <t>Сроки</t>
  </si>
  <si>
    <t>1кв</t>
  </si>
  <si>
    <t>2кв</t>
  </si>
  <si>
    <t>3кв</t>
  </si>
  <si>
    <t>Величины</t>
  </si>
  <si>
    <t>isэ = d/(1-dN)</t>
  </si>
  <si>
    <t>Средний срок</t>
  </si>
  <si>
    <t>Разница ставок</t>
  </si>
  <si>
    <t>Частота m =</t>
  </si>
  <si>
    <t>Ставка депозита j =</t>
  </si>
  <si>
    <t>Эффективная ставка iэ</t>
  </si>
  <si>
    <t>iэ = (1+j/m)^(m*1)-1</t>
  </si>
  <si>
    <t>Срок</t>
  </si>
  <si>
    <t>Кредит P =</t>
  </si>
  <si>
    <t>S</t>
  </si>
  <si>
    <t>теор</t>
  </si>
  <si>
    <t>БС()</t>
  </si>
  <si>
    <t>iэ</t>
  </si>
  <si>
    <t>Таблица ставок:</t>
  </si>
  <si>
    <t>C:</t>
  </si>
  <si>
    <t>Фин. таблица</t>
  </si>
  <si>
    <t>Дата</t>
  </si>
  <si>
    <t>смена ставки</t>
  </si>
  <si>
    <t>конец месяца</t>
  </si>
  <si>
    <t>конец месяца - раб день</t>
  </si>
  <si>
    <t>истечение срока операции</t>
  </si>
  <si>
    <t>День недели</t>
  </si>
  <si>
    <t>Тип даты</t>
  </si>
  <si>
    <t>Счета</t>
  </si>
  <si>
    <t>Вклад</t>
  </si>
  <si>
    <t>Текущий</t>
  </si>
  <si>
    <t>Забалансовый</t>
  </si>
  <si>
    <t>Вклад P:</t>
  </si>
  <si>
    <t>S = P*(1+is*N)</t>
  </si>
  <si>
    <t>is (средняя)= (S/P-1)/N =</t>
  </si>
  <si>
    <t>Период действия:</t>
  </si>
  <si>
    <t>Итого</t>
  </si>
  <si>
    <t>S = P*(1+is)^N</t>
  </si>
  <si>
    <t>iэ (средняя)= (S/P)^(1/N)-1 =</t>
  </si>
  <si>
    <t>S = P*(1+j/m)^(N*m)</t>
  </si>
  <si>
    <t>j (ср)= ((S/P)^(1/(N*m))-1)*m =</t>
  </si>
  <si>
    <t>Размер: %/год</t>
  </si>
  <si>
    <t>Размер: %/месяц</t>
  </si>
  <si>
    <t>/год</t>
  </si>
  <si>
    <t>Ставки:</t>
  </si>
  <si>
    <t>Итого:</t>
  </si>
  <si>
    <t>Суммы (тыс):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</si>
</sst>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#,##0.00\ &quot;₽&quot;;[Red]\-#,##0.00\ &quot;₽&quot;"/>
    <numFmt numFmtId="43" formatCode="_-* #,##0.00\ _₽_-;\-* #,##0.00\ _₽_-;_-* &quot;-&quot;??\ _₽_-;_-@_-"/>
    <numFmt numFmtId="168" formatCode="0_ ;[Red]\-0\ "/>
    <numFmt numFmtId="170" formatCode="0.00000"/>
    <numFmt numFmtId="172" formatCode="0.000"/>
    <numFmt numFmtId="179" formatCode="_-* #,##0\ _₽_-;\-* #,##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0" borderId="1" xfId="0" applyBorder="1"/>
    <xf numFmtId="14" fontId="0" fillId="0" borderId="1" xfId="0" applyNumberFormat="1" applyBorder="1"/>
    <xf numFmtId="9" fontId="0" fillId="0" borderId="0" xfId="0" applyNumberFormat="1"/>
    <xf numFmtId="9" fontId="0" fillId="0" borderId="1" xfId="0" applyNumberFormat="1" applyBorder="1"/>
    <xf numFmtId="14" fontId="0" fillId="3" borderId="1" xfId="0" applyNumberFormat="1" applyFill="1" applyBorder="1"/>
    <xf numFmtId="168" fontId="0" fillId="0" borderId="2" xfId="0" applyNumberFormat="1" applyBorder="1"/>
    <xf numFmtId="0" fontId="0" fillId="0" borderId="3" xfId="0" applyBorder="1"/>
    <xf numFmtId="170" fontId="0" fillId="0" borderId="1" xfId="0" applyNumberFormat="1" applyBorder="1"/>
    <xf numFmtId="172" fontId="0" fillId="0" borderId="1" xfId="0" applyNumberFormat="1" applyBorder="1"/>
    <xf numFmtId="2" fontId="0" fillId="0" borderId="1" xfId="0" applyNumberFormat="1" applyBorder="1"/>
    <xf numFmtId="2" fontId="0" fillId="0" borderId="4" xfId="0" applyNumberFormat="1" applyBorder="1"/>
    <xf numFmtId="0" fontId="0" fillId="4" borderId="0" xfId="0" applyFill="1"/>
    <xf numFmtId="0" fontId="0" fillId="0" borderId="0" xfId="0" quotePrefix="1"/>
    <xf numFmtId="0" fontId="3" fillId="0" borderId="1" xfId="0" applyFont="1" applyBorder="1"/>
    <xf numFmtId="2" fontId="3" fillId="0" borderId="1" xfId="0" applyNumberFormat="1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/>
    <xf numFmtId="9" fontId="0" fillId="0" borderId="1" xfId="2" applyFont="1" applyBorder="1"/>
    <xf numFmtId="10" fontId="0" fillId="0" borderId="1" xfId="2" applyNumberFormat="1" applyFont="1" applyBorder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10" fontId="0" fillId="0" borderId="0" xfId="2" applyNumberFormat="1" applyFont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1" xfId="0" applyNumberFormat="1" applyBorder="1"/>
    <xf numFmtId="0" fontId="0" fillId="5" borderId="1" xfId="0" applyFont="1" applyFill="1" applyBorder="1"/>
    <xf numFmtId="0" fontId="0" fillId="5" borderId="3" xfId="0" applyFont="1" applyFill="1" applyBorder="1"/>
    <xf numFmtId="0" fontId="0" fillId="0" borderId="7" xfId="0" applyBorder="1"/>
    <xf numFmtId="14" fontId="0" fillId="3" borderId="7" xfId="0" applyNumberFormat="1" applyFill="1" applyBorder="1"/>
    <xf numFmtId="14" fontId="0" fillId="0" borderId="10" xfId="0" applyNumberFormat="1" applyBorder="1"/>
    <xf numFmtId="14" fontId="0" fillId="0" borderId="2" xfId="0" applyNumberFormat="1" applyBorder="1"/>
    <xf numFmtId="14" fontId="0" fillId="4" borderId="10" xfId="0" applyNumberFormat="1" applyFill="1" applyBorder="1"/>
    <xf numFmtId="14" fontId="0" fillId="4" borderId="2" xfId="0" applyNumberFormat="1" applyFill="1" applyBorder="1"/>
    <xf numFmtId="0" fontId="0" fillId="6" borderId="9" xfId="0" applyFill="1" applyBorder="1"/>
    <xf numFmtId="14" fontId="0" fillId="3" borderId="8" xfId="0" applyNumberFormat="1" applyFill="1" applyBorder="1"/>
    <xf numFmtId="9" fontId="0" fillId="0" borderId="11" xfId="2" applyFont="1" applyBorder="1"/>
    <xf numFmtId="9" fontId="0" fillId="0" borderId="6" xfId="2" applyFont="1" applyBorder="1"/>
    <xf numFmtId="9" fontId="0" fillId="0" borderId="8" xfId="2" applyFont="1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179" fontId="0" fillId="0" borderId="1" xfId="1" applyNumberFormat="1" applyFont="1" applyBorder="1"/>
    <xf numFmtId="179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  <xf numFmtId="3" fontId="0" fillId="0" borderId="0" xfId="0" applyNumberForma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180974</xdr:rowOff>
    </xdr:from>
    <xdr:to>
      <xdr:col>2</xdr:col>
      <xdr:colOff>19050</xdr:colOff>
      <xdr:row>7</xdr:row>
      <xdr:rowOff>73818</xdr:rowOff>
    </xdr:to>
    <xdr:pic>
      <xdr:nvPicPr>
        <xdr:cNvPr id="2" name="Рисунок 1" descr="Найден способ узнать, психопат ли ваш кот — Naked Science">
          <a:extLst>
            <a:ext uri="{FF2B5EF4-FFF2-40B4-BE49-F238E27FC236}">
              <a16:creationId xmlns:a16="http://schemas.microsoft.com/office/drawing/2014/main" id="{C3A6563F-D1BD-4561-9F28-834BEF513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4"/>
          <a:ext cx="1657350" cy="1035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19051</xdr:colOff>
      <xdr:row>0</xdr:row>
      <xdr:rowOff>28575</xdr:rowOff>
    </xdr:from>
    <xdr:to>
      <xdr:col>17</xdr:col>
      <xdr:colOff>266700</xdr:colOff>
      <xdr:row>10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A29E87-A4CF-4C02-A50A-3FEC30DD15AA}"/>
            </a:ext>
          </a:extLst>
        </xdr:cNvPr>
        <xdr:cNvSpPr txBox="1"/>
      </xdr:nvSpPr>
      <xdr:spPr>
        <a:xfrm>
          <a:off x="4962526" y="28575"/>
          <a:ext cx="5734049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Необходимо преобразовать обязательства</a:t>
          </a:r>
          <a:r>
            <a:rPr lang="ru-RU" sz="1100" baseline="0"/>
            <a:t> по ранее заключённым контрактам в размерах</a:t>
          </a:r>
          <a:r>
            <a:rPr lang="en-US" sz="1100" baseline="0"/>
            <a:t>:</a:t>
          </a:r>
        </a:p>
        <a:p>
          <a:r>
            <a:rPr lang="ru-RU" sz="1100" baseline="0"/>
            <a:t>15</a:t>
          </a:r>
          <a:r>
            <a:rPr lang="en-US" sz="1100" baseline="0"/>
            <a:t>/05/22 - 200 </a:t>
          </a:r>
          <a:r>
            <a:rPr lang="ru-RU" sz="1100" baseline="0"/>
            <a:t>тыс. руб.</a:t>
          </a:r>
        </a:p>
        <a:p>
          <a:r>
            <a:rPr lang="ru-RU" sz="1100" baseline="0"/>
            <a:t>10</a:t>
          </a:r>
          <a:r>
            <a:rPr lang="en-US" sz="1100" baseline="0"/>
            <a:t>/09/22 - 350 </a:t>
          </a:r>
          <a:r>
            <a:rPr lang="ru-RU" sz="1100" baseline="0"/>
            <a:t>тыс. руб.</a:t>
          </a:r>
        </a:p>
        <a:p>
          <a:r>
            <a:rPr lang="ru-RU" sz="1100" baseline="0"/>
            <a:t>20</a:t>
          </a:r>
          <a:r>
            <a:rPr lang="en-US" sz="1100" baseline="0"/>
            <a:t>/12/22 - </a:t>
          </a:r>
          <a:r>
            <a:rPr lang="ru-RU" sz="1100" baseline="0"/>
            <a:t>150 тыс. руб.</a:t>
          </a:r>
        </a:p>
        <a:p>
          <a:endParaRPr lang="ru-RU" sz="1100" baseline="0"/>
        </a:p>
        <a:p>
          <a:r>
            <a:rPr lang="ru-RU" sz="1100" baseline="0"/>
            <a:t>В ежеквартальные платежи.</a:t>
          </a:r>
        </a:p>
        <a:p>
          <a:r>
            <a:rPr lang="ru-RU" sz="1100" baseline="0">
              <a:solidFill>
                <a:srgbClr val="7030A0"/>
              </a:solidFill>
            </a:rPr>
            <a:t>Пусть будет 3 платежа, пусть оплата в последний день, не взирая на праздники.</a:t>
          </a:r>
        </a:p>
        <a:p>
          <a:r>
            <a:rPr lang="ru-RU" sz="1100" baseline="0">
              <a:solidFill>
                <a:srgbClr val="7030A0"/>
              </a:solidFill>
            </a:rPr>
            <a:t>Пусть первые два квартальные платежа по 250 тыс. руб.</a:t>
          </a:r>
        </a:p>
        <a:p>
          <a:r>
            <a:rPr lang="ru-RU" sz="1100" baseline="0"/>
            <a:t>Ставка кредита 25%.</a:t>
          </a:r>
        </a:p>
        <a:p>
          <a:r>
            <a:rPr lang="ru-RU" sz="1100" baseline="0">
              <a:solidFill>
                <a:srgbClr val="7030A0"/>
              </a:solidFill>
            </a:rPr>
            <a:t>Кредит краткосрочный, задача практическая - простая.</a:t>
          </a:r>
          <a:endParaRPr lang="en-US" sz="1100" baseline="0">
            <a:solidFill>
              <a:srgbClr val="7030A0"/>
            </a:solidFill>
          </a:endParaRPr>
        </a:p>
        <a:p>
          <a:endParaRPr lang="ru-RU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19051</xdr:colOff>
      <xdr:row>0</xdr:row>
      <xdr:rowOff>28575</xdr:rowOff>
    </xdr:from>
    <xdr:to>
      <xdr:col>17</xdr:col>
      <xdr:colOff>266700</xdr:colOff>
      <xdr:row>10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F71979-73E3-41D1-A848-B0D934001243}"/>
            </a:ext>
          </a:extLst>
        </xdr:cNvPr>
        <xdr:cNvSpPr txBox="1"/>
      </xdr:nvSpPr>
      <xdr:spPr>
        <a:xfrm>
          <a:off x="6677026" y="28575"/>
          <a:ext cx="5734049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Необходимо преобразовать обязательства</a:t>
          </a:r>
          <a:r>
            <a:rPr lang="ru-RU" sz="1100" baseline="0"/>
            <a:t> по ранее заключённым контрактам в размерах</a:t>
          </a:r>
          <a:r>
            <a:rPr lang="en-US" sz="1100" baseline="0"/>
            <a:t>:</a:t>
          </a:r>
        </a:p>
        <a:p>
          <a:r>
            <a:rPr lang="ru-RU" sz="1100" baseline="0"/>
            <a:t>15</a:t>
          </a:r>
          <a:r>
            <a:rPr lang="en-US" sz="1100" baseline="0"/>
            <a:t>/05/22 - 200 </a:t>
          </a:r>
          <a:r>
            <a:rPr lang="ru-RU" sz="1100" baseline="0"/>
            <a:t>тыс. руб.</a:t>
          </a:r>
        </a:p>
        <a:p>
          <a:r>
            <a:rPr lang="ru-RU" sz="1100" baseline="0"/>
            <a:t>10</a:t>
          </a:r>
          <a:r>
            <a:rPr lang="en-US" sz="1100" baseline="0"/>
            <a:t>/09/22 - 350 </a:t>
          </a:r>
          <a:r>
            <a:rPr lang="ru-RU" sz="1100" baseline="0"/>
            <a:t>тыс. руб.</a:t>
          </a:r>
        </a:p>
        <a:p>
          <a:r>
            <a:rPr lang="ru-RU" sz="1100" baseline="0"/>
            <a:t>20</a:t>
          </a:r>
          <a:r>
            <a:rPr lang="en-US" sz="1100" baseline="0"/>
            <a:t>/12/22 - </a:t>
          </a:r>
          <a:r>
            <a:rPr lang="ru-RU" sz="1100" baseline="0"/>
            <a:t>150 тыс. руб.</a:t>
          </a:r>
        </a:p>
        <a:p>
          <a:endParaRPr lang="ru-RU" sz="1100" baseline="0"/>
        </a:p>
        <a:p>
          <a:r>
            <a:rPr lang="ru-RU" sz="1100" baseline="0"/>
            <a:t>В ежеквартальные платежи.</a:t>
          </a:r>
        </a:p>
        <a:p>
          <a:r>
            <a:rPr lang="ru-RU" sz="1100" baseline="0">
              <a:solidFill>
                <a:srgbClr val="7030A0"/>
              </a:solidFill>
            </a:rPr>
            <a:t>Пусть будет 3 платежа, пусть оплата в последний день, не взирая на праздники.</a:t>
          </a:r>
        </a:p>
        <a:p>
          <a:r>
            <a:rPr lang="ru-RU" sz="1100" baseline="0">
              <a:solidFill>
                <a:srgbClr val="7030A0"/>
              </a:solidFill>
            </a:rPr>
            <a:t>Пусть первые два квартальные платежа по 250 тыс. руб.</a:t>
          </a:r>
        </a:p>
        <a:p>
          <a:r>
            <a:rPr lang="ru-RU" sz="1100" baseline="0"/>
            <a:t>Ставка кредита 25%.</a:t>
          </a:r>
        </a:p>
        <a:p>
          <a:r>
            <a:rPr lang="ru-RU" sz="1100" baseline="0">
              <a:solidFill>
                <a:srgbClr val="7030A0"/>
              </a:solidFill>
            </a:rPr>
            <a:t>Кредит краткосрочный, задача теореическая - сложная.</a:t>
          </a:r>
        </a:p>
        <a:p>
          <a:r>
            <a:rPr lang="ru-RU" sz="1100" baseline="0">
              <a:solidFill>
                <a:srgbClr val="7030A0"/>
              </a:solidFill>
            </a:rPr>
            <a:t>Рассмотим расчёты с приведённой на разные даты</a:t>
          </a:r>
          <a:endParaRPr lang="en-US" sz="1100" baseline="0">
            <a:solidFill>
              <a:srgbClr val="7030A0"/>
            </a:solidFill>
          </a:endParaRPr>
        </a:p>
        <a:p>
          <a:endParaRPr lang="ru-RU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0</xdr:row>
      <xdr:rowOff>104775</xdr:rowOff>
    </xdr:from>
    <xdr:to>
      <xdr:col>17</xdr:col>
      <xdr:colOff>219074</xdr:colOff>
      <xdr:row>11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E15497-6855-47B7-A70D-54D4F23DC62D}"/>
            </a:ext>
          </a:extLst>
        </xdr:cNvPr>
        <xdr:cNvSpPr txBox="1"/>
      </xdr:nvSpPr>
      <xdr:spPr>
        <a:xfrm>
          <a:off x="4848225" y="104775"/>
          <a:ext cx="5734049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Определить эффективность учётных операций банка</a:t>
          </a:r>
          <a:r>
            <a:rPr lang="en-US" sz="1100" baseline="0"/>
            <a:t>:</a:t>
          </a:r>
        </a:p>
        <a:p>
          <a:r>
            <a:rPr lang="ru-RU" sz="1100" baseline="0"/>
            <a:t>сроки</a:t>
          </a:r>
          <a:r>
            <a:rPr lang="en-US" sz="1100" baseline="0"/>
            <a:t>:	</a:t>
          </a:r>
          <a:r>
            <a:rPr lang="ru-RU" sz="1100" baseline="0"/>
            <a:t>ставки</a:t>
          </a:r>
          <a:r>
            <a:rPr lang="en-US" sz="1100" baseline="0"/>
            <a:t>:</a:t>
          </a:r>
        </a:p>
        <a:p>
          <a:r>
            <a:rPr lang="en-US" sz="1100" baseline="0"/>
            <a:t>1 </a:t>
          </a:r>
          <a:r>
            <a:rPr lang="ru-RU" sz="1100" baseline="0"/>
            <a:t>квартал</a:t>
          </a:r>
          <a:r>
            <a:rPr lang="en-US" sz="1100" baseline="0"/>
            <a:t>	4%/</a:t>
          </a:r>
          <a:r>
            <a:rPr lang="ru-RU" sz="1100" baseline="0"/>
            <a:t>квартал</a:t>
          </a:r>
        </a:p>
        <a:p>
          <a:r>
            <a:rPr lang="ru-RU" sz="1100" baseline="0"/>
            <a:t>2 квартала	</a:t>
          </a:r>
          <a:r>
            <a:rPr lang="en-US" sz="1100" baseline="0"/>
            <a:t>7%/</a:t>
          </a:r>
          <a:r>
            <a:rPr lang="ru-RU" sz="1100" baseline="0"/>
            <a:t>полугодие</a:t>
          </a:r>
        </a:p>
        <a:p>
          <a:r>
            <a:rPr lang="ru-RU" sz="1100" baseline="0"/>
            <a:t>3 квартала	</a:t>
          </a:r>
          <a:r>
            <a:rPr lang="en-US" sz="1100" baseline="0"/>
            <a:t>9%/9</a:t>
          </a:r>
          <a:r>
            <a:rPr lang="ru-RU" sz="1100" baseline="0"/>
            <a:t>мес</a:t>
          </a:r>
        </a:p>
        <a:p>
          <a:r>
            <a:rPr lang="en-US" sz="1100" baseline="0">
              <a:solidFill>
                <a:srgbClr val="7030A0"/>
              </a:solidFill>
            </a:rPr>
            <a:t>is</a:t>
          </a:r>
          <a:r>
            <a:rPr lang="ru-RU" sz="1100" baseline="0">
              <a:solidFill>
                <a:srgbClr val="7030A0"/>
              </a:solidFill>
            </a:rPr>
            <a:t>э - ? теоретически - сложная, </a:t>
          </a:r>
          <a:r>
            <a:rPr lang="ru-RU" sz="1100" b="1" baseline="0">
              <a:solidFill>
                <a:srgbClr val="7030A0"/>
              </a:solidFill>
            </a:rPr>
            <a:t>срок операции 1 год - можно и простую.</a:t>
          </a:r>
          <a:endParaRPr lang="ru-RU" sz="1100" b="0" baseline="0">
            <a:solidFill>
              <a:srgbClr val="7030A0"/>
            </a:solidFill>
          </a:endParaRPr>
        </a:p>
        <a:p>
          <a:r>
            <a:rPr lang="ru-RU" sz="1100" b="0" baseline="0">
              <a:solidFill>
                <a:srgbClr val="7030A0"/>
              </a:solidFill>
            </a:rPr>
            <a:t>Пусть период оценивается по среднему сроку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571501</xdr:colOff>
      <xdr:row>3</xdr:row>
      <xdr:rowOff>123825</xdr:rowOff>
    </xdr:from>
    <xdr:to>
      <xdr:col>13</xdr:col>
      <xdr:colOff>409575</xdr:colOff>
      <xdr:row>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146407-3625-49EB-8E22-843410201E11}"/>
            </a:ext>
          </a:extLst>
        </xdr:cNvPr>
        <xdr:cNvSpPr txBox="1"/>
      </xdr:nvSpPr>
      <xdr:spPr>
        <a:xfrm>
          <a:off x="3867151" y="695325"/>
          <a:ext cx="532447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Оценить</a:t>
          </a:r>
          <a:r>
            <a:rPr lang="ru-RU" sz="1100" baseline="0"/>
            <a:t> эффективную ставку депозита под 20% с ежемесячной капитализацией.</a:t>
          </a:r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</xdr:row>
      <xdr:rowOff>123824</xdr:rowOff>
    </xdr:from>
    <xdr:to>
      <xdr:col>14</xdr:col>
      <xdr:colOff>590550</xdr:colOff>
      <xdr:row>15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17F624-C181-457A-9156-1409C9B04B58}"/>
            </a:ext>
          </a:extLst>
        </xdr:cNvPr>
        <xdr:cNvSpPr txBox="1"/>
      </xdr:nvSpPr>
      <xdr:spPr>
        <a:xfrm>
          <a:off x="4391025" y="314324"/>
          <a:ext cx="4800600" cy="2362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Оценить эффективную ставку депозит</a:t>
          </a:r>
          <a:r>
            <a:rPr lang="en-US" sz="1100"/>
            <a:t>:</a:t>
          </a:r>
          <a:endParaRPr lang="en-US" sz="1100" baseline="0"/>
        </a:p>
        <a:p>
          <a:r>
            <a:rPr lang="ru-RU" sz="1100" baseline="0"/>
            <a:t>срок 380 дней</a:t>
          </a:r>
          <a:r>
            <a:rPr lang="en-US" sz="1100" baseline="0"/>
            <a:t>:</a:t>
          </a:r>
        </a:p>
        <a:p>
          <a:r>
            <a:rPr lang="ru-RU" sz="1100" baseline="0"/>
            <a:t>первые 95 дней - 22%</a:t>
          </a:r>
        </a:p>
        <a:p>
          <a:r>
            <a:rPr lang="ru-RU" sz="1100" baseline="0"/>
            <a:t>вторые 95 дней - 18%</a:t>
          </a:r>
        </a:p>
        <a:p>
          <a:r>
            <a:rPr lang="ru-RU" sz="1100" baseline="0"/>
            <a:t>далее - 10%</a:t>
          </a:r>
        </a:p>
        <a:p>
          <a:endParaRPr lang="en-US" sz="1100"/>
        </a:p>
        <a:p>
          <a:r>
            <a:rPr lang="ru-RU" sz="1100">
              <a:solidFill>
                <a:srgbClr val="7030A0"/>
              </a:solidFill>
            </a:rPr>
            <a:t>Пусть</a:t>
          </a:r>
          <a:r>
            <a:rPr lang="ru-RU" sz="1100" baseline="0">
              <a:solidFill>
                <a:srgbClr val="7030A0"/>
              </a:solidFill>
            </a:rPr>
            <a:t> депозит открыт сегодня.</a:t>
          </a:r>
        </a:p>
        <a:p>
          <a:r>
            <a:rPr lang="ru-RU" sz="1100" baseline="0">
              <a:solidFill>
                <a:srgbClr val="7030A0"/>
              </a:solidFill>
            </a:rPr>
            <a:t>Сумма вклада 1 млн. руб.</a:t>
          </a:r>
        </a:p>
        <a:p>
          <a:r>
            <a:rPr lang="ru-RU" sz="1100" baseline="0">
              <a:solidFill>
                <a:srgbClr val="7030A0"/>
              </a:solidFill>
            </a:rPr>
            <a:t>Оценка</a:t>
          </a:r>
          <a:r>
            <a:rPr lang="en-US" sz="1100" baseline="0">
              <a:solidFill>
                <a:srgbClr val="7030A0"/>
              </a:solidFill>
            </a:rPr>
            <a:t>:</a:t>
          </a:r>
          <a:r>
            <a:rPr lang="ru-RU" sz="1100" baseline="0">
              <a:solidFill>
                <a:srgbClr val="7030A0"/>
              </a:solidFill>
            </a:rPr>
            <a:t> </a:t>
          </a:r>
          <a:r>
            <a:rPr lang="en-US" sz="1100" baseline="0">
              <a:solidFill>
                <a:srgbClr val="7030A0"/>
              </a:solidFill>
            </a:rPr>
            <a:t>1</a:t>
          </a:r>
          <a:r>
            <a:rPr lang="ru-RU" sz="1100" baseline="0">
              <a:solidFill>
                <a:srgbClr val="7030A0"/>
              </a:solidFill>
            </a:rPr>
            <a:t>) практика 1а) проценты в конце месяца</a:t>
          </a:r>
          <a:r>
            <a:rPr lang="en-US" sz="1100" baseline="0">
              <a:solidFill>
                <a:srgbClr val="7030A0"/>
              </a:solidFill>
            </a:rPr>
            <a:t> 1a1) </a:t>
          </a:r>
          <a:r>
            <a:rPr lang="ru-RU" sz="1100" baseline="0">
              <a:solidFill>
                <a:srgbClr val="7030A0"/>
              </a:solidFill>
            </a:rPr>
            <a:t>проценты не капитализируются</a:t>
          </a:r>
          <a:r>
            <a:rPr lang="en-US" sz="1100" baseline="0">
              <a:solidFill>
                <a:srgbClr val="7030A0"/>
              </a:solidFill>
            </a:rPr>
            <a:t> </a:t>
          </a:r>
          <a:r>
            <a:rPr lang="en-US" sz="1100" b="1" baseline="0">
              <a:solidFill>
                <a:srgbClr val="FF0000"/>
              </a:solidFill>
            </a:rPr>
            <a:t>1</a:t>
          </a:r>
          <a:r>
            <a:rPr lang="ru-RU" sz="1100" b="1" baseline="0">
              <a:solidFill>
                <a:srgbClr val="FF0000"/>
              </a:solidFill>
            </a:rPr>
            <a:t>а2) проценты капитализируются</a:t>
          </a:r>
          <a:endParaRPr lang="ru-RU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9526</xdr:colOff>
      <xdr:row>2</xdr:row>
      <xdr:rowOff>9526</xdr:rowOff>
    </xdr:from>
    <xdr:to>
      <xdr:col>11</xdr:col>
      <xdr:colOff>314325</xdr:colOff>
      <xdr:row>9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73FAF6-4599-4375-A4F4-A18D2947E37C}"/>
            </a:ext>
          </a:extLst>
        </xdr:cNvPr>
        <xdr:cNvSpPr txBox="1"/>
      </xdr:nvSpPr>
      <xdr:spPr>
        <a:xfrm>
          <a:off x="3362326" y="390526"/>
          <a:ext cx="3962399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Оценить</a:t>
          </a:r>
          <a:r>
            <a:rPr lang="ru-RU" sz="1100" baseline="0"/>
            <a:t> стоимость привлечения средств банком</a:t>
          </a:r>
          <a:r>
            <a:rPr lang="en-US" sz="1100" baseline="0"/>
            <a:t> (WACC):</a:t>
          </a:r>
        </a:p>
        <a:p>
          <a:r>
            <a:rPr lang="en-US" sz="1100" baseline="0">
              <a:solidFill>
                <a:srgbClr val="7030A0"/>
              </a:solidFill>
            </a:rPr>
            <a:t>- </a:t>
          </a:r>
          <a:r>
            <a:rPr lang="ru-RU" sz="1100" baseline="0">
              <a:solidFill>
                <a:srgbClr val="7030A0"/>
              </a:solidFill>
            </a:rPr>
            <a:t>уставной капитал 1 млрд. руб.- двиденд (прошлого года) 5%</a:t>
          </a:r>
        </a:p>
        <a:p>
          <a:r>
            <a:rPr lang="ru-RU" sz="1100" baseline="0">
              <a:solidFill>
                <a:srgbClr val="7030A0"/>
              </a:solidFill>
            </a:rPr>
            <a:t>- облигационный займ 100 млн. руб.</a:t>
          </a:r>
        </a:p>
        <a:p>
          <a:r>
            <a:rPr lang="ru-RU" sz="1100" baseline="0">
              <a:solidFill>
                <a:srgbClr val="7030A0"/>
              </a:solidFill>
            </a:rPr>
            <a:t>- купон 12%</a:t>
          </a:r>
        </a:p>
        <a:p>
          <a:r>
            <a:rPr lang="ru-RU" sz="1100" baseline="0">
              <a:solidFill>
                <a:srgbClr val="7030A0"/>
              </a:solidFill>
            </a:rPr>
            <a:t>- вклады населения 15 млрд. руб. - (средняя ставка) 18%</a:t>
          </a:r>
        </a:p>
        <a:p>
          <a:r>
            <a:rPr lang="ru-RU" sz="1100" baseline="0">
              <a:solidFill>
                <a:srgbClr val="7030A0"/>
              </a:solidFill>
            </a:rPr>
            <a:t>- кредит ЦБ 50 млн. руб. - 17%</a:t>
          </a:r>
        </a:p>
        <a:p>
          <a:r>
            <a:rPr lang="ru-RU" sz="1100" baseline="0">
              <a:solidFill>
                <a:srgbClr val="7030A0"/>
              </a:solidFill>
            </a:rPr>
            <a:t>	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AEB9-BE33-4DDD-A57F-3F42045C7898}">
  <dimension ref="A1:G33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5.5703125" bestFit="1" customWidth="1"/>
    <col min="4" max="5" width="10.140625" bestFit="1" customWidth="1"/>
    <col min="6" max="6" width="17" bestFit="1" customWidth="1"/>
    <col min="7" max="7" width="13.28515625" bestFit="1" customWidth="1"/>
  </cols>
  <sheetData>
    <row r="1" spans="1:5" x14ac:dyDescent="0.25">
      <c r="A1" s="2" t="s">
        <v>0</v>
      </c>
      <c r="B1" s="2"/>
    </row>
    <row r="2" spans="1:5" x14ac:dyDescent="0.25">
      <c r="A2" s="1"/>
      <c r="B2" s="3">
        <v>44669</v>
      </c>
    </row>
    <row r="14" spans="1:5" x14ac:dyDescent="0.25">
      <c r="A14" t="s">
        <v>1</v>
      </c>
    </row>
    <row r="15" spans="1:5" x14ac:dyDescent="0.25">
      <c r="A15" t="s">
        <v>8</v>
      </c>
    </row>
    <row r="16" spans="1:5" x14ac:dyDescent="0.25">
      <c r="A16" t="s">
        <v>2</v>
      </c>
      <c r="C16" s="5">
        <v>44696</v>
      </c>
      <c r="D16" s="5">
        <v>44814</v>
      </c>
      <c r="E16" s="5">
        <v>44915</v>
      </c>
    </row>
    <row r="17" spans="1:7" x14ac:dyDescent="0.25">
      <c r="A17" t="s">
        <v>3</v>
      </c>
      <c r="B17" t="s">
        <v>4</v>
      </c>
      <c r="C17" s="4">
        <v>200</v>
      </c>
      <c r="D17" s="4">
        <v>350</v>
      </c>
      <c r="E17" s="4">
        <v>150</v>
      </c>
    </row>
    <row r="18" spans="1:7" x14ac:dyDescent="0.25">
      <c r="A18" t="s">
        <v>5</v>
      </c>
      <c r="B18" t="s">
        <v>7</v>
      </c>
      <c r="C18" s="7">
        <v>0.25</v>
      </c>
    </row>
    <row r="19" spans="1:7" x14ac:dyDescent="0.25">
      <c r="A19" t="s">
        <v>12</v>
      </c>
      <c r="C19" s="8">
        <v>44804</v>
      </c>
    </row>
    <row r="20" spans="1:7" x14ac:dyDescent="0.25">
      <c r="A20" t="s">
        <v>9</v>
      </c>
    </row>
    <row r="21" spans="1:7" x14ac:dyDescent="0.25">
      <c r="A21" t="s">
        <v>2</v>
      </c>
      <c r="C21" s="5">
        <v>44742</v>
      </c>
      <c r="D21" s="5">
        <v>44834</v>
      </c>
      <c r="E21" s="5">
        <v>44926</v>
      </c>
    </row>
    <row r="22" spans="1:7" x14ac:dyDescent="0.25">
      <c r="A22" t="s">
        <v>3</v>
      </c>
      <c r="B22" t="s">
        <v>4</v>
      </c>
      <c r="C22" s="4">
        <v>250</v>
      </c>
      <c r="D22" s="4">
        <v>250</v>
      </c>
      <c r="E22" s="4" t="s">
        <v>10</v>
      </c>
    </row>
    <row r="24" spans="1:7" x14ac:dyDescent="0.25">
      <c r="C24" t="s">
        <v>20</v>
      </c>
    </row>
    <row r="25" spans="1:7" x14ac:dyDescent="0.25">
      <c r="A25" s="4" t="s">
        <v>15</v>
      </c>
      <c r="B25" s="4" t="s">
        <v>16</v>
      </c>
      <c r="C25" s="4" t="s">
        <v>17</v>
      </c>
    </row>
    <row r="26" spans="1:7" x14ac:dyDescent="0.25">
      <c r="A26" s="10" t="s">
        <v>13</v>
      </c>
      <c r="B26" s="10" t="s">
        <v>14</v>
      </c>
      <c r="C26" s="4" t="str">
        <f>"NV на "&amp;DAY(C19)&amp;"/"&amp;MONTH(C19)&amp;"/"&amp;YEAR(C19)</f>
        <v>NV на 31/8/2022</v>
      </c>
    </row>
    <row r="27" spans="1:7" x14ac:dyDescent="0.25">
      <c r="A27" s="5">
        <v>44696</v>
      </c>
      <c r="B27" s="9">
        <f>-C17</f>
        <v>-200</v>
      </c>
      <c r="C27" s="13">
        <f>IF(A27&lt;$C$19,B27*(1+$C$18*($C$19-A27)/365),B27*(1+$C$18*(A27-$C$19)/365)^(-1))</f>
        <v>-214.79452054794521</v>
      </c>
    </row>
    <row r="28" spans="1:7" x14ac:dyDescent="0.25">
      <c r="A28" s="5">
        <v>44742</v>
      </c>
      <c r="B28" s="9">
        <f>C22</f>
        <v>250</v>
      </c>
      <c r="C28" s="13">
        <f t="shared" ref="C28:C32" si="0">IF(A28&lt;$C$19,B28*(1+$C$18*($C$19-A28)/365),B28*(1+$C$18*(A28-$C$19)/365)^(-1))</f>
        <v>260.61643835616439</v>
      </c>
      <c r="E28" t="s">
        <v>21</v>
      </c>
      <c r="F28" s="4" t="s">
        <v>11</v>
      </c>
      <c r="G28" s="4" t="s">
        <v>22</v>
      </c>
    </row>
    <row r="29" spans="1:7" x14ac:dyDescent="0.25">
      <c r="A29" s="5">
        <v>44814</v>
      </c>
      <c r="B29" s="9">
        <f>-D17</f>
        <v>-350</v>
      </c>
      <c r="C29" s="13">
        <f t="shared" si="0"/>
        <v>-347.61904761904759</v>
      </c>
      <c r="F29" s="5">
        <v>44669</v>
      </c>
      <c r="G29" s="28">
        <v>212.16524939999999</v>
      </c>
    </row>
    <row r="30" spans="1:7" x14ac:dyDescent="0.25">
      <c r="A30" s="5">
        <v>44834</v>
      </c>
      <c r="B30" s="9">
        <f>D22</f>
        <v>250</v>
      </c>
      <c r="C30" s="13">
        <f t="shared" si="0"/>
        <v>244.96644295302011</v>
      </c>
      <c r="F30" s="5">
        <v>44804</v>
      </c>
      <c r="G30" s="28">
        <v>212.62983891371076</v>
      </c>
    </row>
    <row r="31" spans="1:7" x14ac:dyDescent="0.25">
      <c r="A31" s="5">
        <v>44915</v>
      </c>
      <c r="B31" s="9">
        <f>-E17</f>
        <v>-150</v>
      </c>
      <c r="C31" s="13">
        <f t="shared" si="0"/>
        <v>-139.40165499681729</v>
      </c>
      <c r="F31" s="5">
        <v>44926</v>
      </c>
      <c r="G31" s="28">
        <v>212.22602739999999</v>
      </c>
    </row>
    <row r="32" spans="1:7" x14ac:dyDescent="0.25">
      <c r="A32" s="5">
        <v>44926</v>
      </c>
      <c r="B32" s="15">
        <v>212.62983891371076</v>
      </c>
      <c r="C32" s="14">
        <f t="shared" si="0"/>
        <v>196.23234185462562</v>
      </c>
    </row>
    <row r="33" spans="2:4" x14ac:dyDescent="0.25">
      <c r="B33" s="17" t="s">
        <v>18</v>
      </c>
      <c r="C33" s="18">
        <f>SUM(C27:C32)</f>
        <v>0</v>
      </c>
      <c r="D33" s="16" t="s">
        <v>19</v>
      </c>
    </row>
  </sheetData>
  <sortState ref="A27:A32">
    <sortCondition ref="A32"/>
  </sortState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98F0-5A49-4503-BB74-48D6BCF56F02}">
  <dimension ref="A1:G33"/>
  <sheetViews>
    <sheetView workbookViewId="0">
      <selection activeCell="L1" sqref="L1:L1048576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5.5703125" bestFit="1" customWidth="1"/>
    <col min="4" max="5" width="10.140625" bestFit="1" customWidth="1"/>
    <col min="6" max="6" width="17" bestFit="1" customWidth="1"/>
    <col min="7" max="7" width="13.28515625" bestFit="1" customWidth="1"/>
  </cols>
  <sheetData>
    <row r="1" spans="1:5" x14ac:dyDescent="0.25">
      <c r="A1" s="2" t="s">
        <v>0</v>
      </c>
      <c r="B1" s="2"/>
    </row>
    <row r="2" spans="1:5" x14ac:dyDescent="0.25">
      <c r="A2" s="1"/>
      <c r="B2" s="3">
        <v>44669</v>
      </c>
    </row>
    <row r="14" spans="1:5" x14ac:dyDescent="0.25">
      <c r="A14" t="s">
        <v>1</v>
      </c>
    </row>
    <row r="15" spans="1:5" x14ac:dyDescent="0.25">
      <c r="A15" t="s">
        <v>8</v>
      </c>
    </row>
    <row r="16" spans="1:5" x14ac:dyDescent="0.25">
      <c r="A16" t="s">
        <v>2</v>
      </c>
      <c r="C16" s="5">
        <v>44696</v>
      </c>
      <c r="D16" s="5">
        <v>44814</v>
      </c>
      <c r="E16" s="5">
        <v>44915</v>
      </c>
    </row>
    <row r="17" spans="1:7" x14ac:dyDescent="0.25">
      <c r="A17" t="s">
        <v>3</v>
      </c>
      <c r="B17" t="s">
        <v>4</v>
      </c>
      <c r="C17" s="4">
        <v>200</v>
      </c>
      <c r="D17" s="4">
        <v>350</v>
      </c>
      <c r="E17" s="4">
        <v>150</v>
      </c>
    </row>
    <row r="18" spans="1:7" x14ac:dyDescent="0.25">
      <c r="A18" t="s">
        <v>5</v>
      </c>
      <c r="B18" t="s">
        <v>7</v>
      </c>
      <c r="C18" s="7">
        <v>0.25</v>
      </c>
    </row>
    <row r="19" spans="1:7" x14ac:dyDescent="0.25">
      <c r="A19" t="s">
        <v>12</v>
      </c>
      <c r="C19" s="8">
        <v>44804</v>
      </c>
    </row>
    <row r="20" spans="1:7" x14ac:dyDescent="0.25">
      <c r="A20" t="s">
        <v>9</v>
      </c>
    </row>
    <row r="21" spans="1:7" x14ac:dyDescent="0.25">
      <c r="A21" t="s">
        <v>2</v>
      </c>
      <c r="C21" s="5">
        <v>44742</v>
      </c>
      <c r="D21" s="5">
        <v>44834</v>
      </c>
      <c r="E21" s="5">
        <v>44926</v>
      </c>
    </row>
    <row r="22" spans="1:7" x14ac:dyDescent="0.25">
      <c r="A22" t="s">
        <v>3</v>
      </c>
      <c r="B22" t="s">
        <v>4</v>
      </c>
      <c r="C22" s="4">
        <v>250</v>
      </c>
      <c r="D22" s="4">
        <v>250</v>
      </c>
      <c r="E22" s="4" t="s">
        <v>10</v>
      </c>
    </row>
    <row r="24" spans="1:7" x14ac:dyDescent="0.25">
      <c r="C24" t="s">
        <v>23</v>
      </c>
    </row>
    <row r="25" spans="1:7" x14ac:dyDescent="0.25">
      <c r="A25" s="4" t="s">
        <v>15</v>
      </c>
      <c r="B25" s="4" t="s">
        <v>16</v>
      </c>
      <c r="C25" s="4" t="s">
        <v>17</v>
      </c>
    </row>
    <row r="26" spans="1:7" x14ac:dyDescent="0.25">
      <c r="A26" s="10" t="s">
        <v>13</v>
      </c>
      <c r="B26" s="10" t="s">
        <v>14</v>
      </c>
      <c r="C26" s="4" t="str">
        <f>"NV на "&amp;DAY(C19)&amp;"/"&amp;MONTH(C19)&amp;"/"&amp;YEAR(C19)</f>
        <v>NV на 31/8/2022</v>
      </c>
    </row>
    <row r="27" spans="1:7" x14ac:dyDescent="0.25">
      <c r="A27" s="5">
        <v>44696</v>
      </c>
      <c r="B27" s="9">
        <f>-C17</f>
        <v>-200</v>
      </c>
      <c r="C27" s="13">
        <f>B27*(1+$C$18)^(($C$19-A27)/365)</f>
        <v>-213.65090621104358</v>
      </c>
    </row>
    <row r="28" spans="1:7" x14ac:dyDescent="0.25">
      <c r="A28" s="5">
        <v>44742</v>
      </c>
      <c r="B28" s="9">
        <f>C22</f>
        <v>250</v>
      </c>
      <c r="C28" s="13">
        <f t="shared" ref="C28:C32" si="0">B28*(1+$C$18)^(($C$19-A28)/365)</f>
        <v>259.65783731223587</v>
      </c>
      <c r="E28" t="s">
        <v>21</v>
      </c>
      <c r="F28" s="4" t="s">
        <v>11</v>
      </c>
      <c r="G28" s="4" t="s">
        <v>22</v>
      </c>
    </row>
    <row r="29" spans="1:7" x14ac:dyDescent="0.25">
      <c r="A29" s="5">
        <v>44814</v>
      </c>
      <c r="B29" s="9">
        <f>-D17</f>
        <v>-350</v>
      </c>
      <c r="C29" s="13">
        <f t="shared" si="0"/>
        <v>-347.86679465907537</v>
      </c>
      <c r="F29" s="5">
        <v>44669</v>
      </c>
      <c r="G29" s="25">
        <v>211.78303369772601</v>
      </c>
    </row>
    <row r="30" spans="1:7" x14ac:dyDescent="0.25">
      <c r="A30" s="5">
        <v>44834</v>
      </c>
      <c r="B30" s="9">
        <f>D22</f>
        <v>250</v>
      </c>
      <c r="C30" s="13">
        <f t="shared" si="0"/>
        <v>245.45664969795033</v>
      </c>
      <c r="F30" s="5">
        <v>44804</v>
      </c>
      <c r="G30" s="26"/>
    </row>
    <row r="31" spans="1:7" x14ac:dyDescent="0.25">
      <c r="A31" s="5">
        <v>44915</v>
      </c>
      <c r="B31" s="9">
        <f>-E17</f>
        <v>-150</v>
      </c>
      <c r="C31" s="13">
        <f t="shared" si="0"/>
        <v>-140.15867874886044</v>
      </c>
      <c r="F31" s="5">
        <v>44926</v>
      </c>
      <c r="G31" s="27"/>
    </row>
    <row r="32" spans="1:7" x14ac:dyDescent="0.25">
      <c r="A32" s="5">
        <v>44926</v>
      </c>
      <c r="B32" s="15">
        <v>211.78303369772641</v>
      </c>
      <c r="C32" s="13">
        <f t="shared" si="0"/>
        <v>196.56189260879324</v>
      </c>
    </row>
    <row r="33" spans="2:4" x14ac:dyDescent="0.25">
      <c r="B33" s="17" t="s">
        <v>18</v>
      </c>
      <c r="C33" s="18">
        <f>SUM(C27:C32)</f>
        <v>0</v>
      </c>
      <c r="D33" s="16" t="s">
        <v>19</v>
      </c>
    </row>
  </sheetData>
  <mergeCells count="2">
    <mergeCell ref="A1:B1"/>
    <mergeCell ref="G29:G3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6355-066E-4C42-9F14-4FD8AD54DA37}">
  <dimension ref="A9:E17"/>
  <sheetViews>
    <sheetView workbookViewId="0">
      <selection activeCell="D19" sqref="D19"/>
    </sheetView>
  </sheetViews>
  <sheetFormatPr defaultRowHeight="15" x14ac:dyDescent="0.25"/>
  <sheetData>
    <row r="9" spans="1:5" x14ac:dyDescent="0.25">
      <c r="A9" t="s">
        <v>1</v>
      </c>
    </row>
    <row r="10" spans="1:5" x14ac:dyDescent="0.25">
      <c r="A10" t="s">
        <v>24</v>
      </c>
      <c r="C10" t="s">
        <v>6</v>
      </c>
    </row>
    <row r="11" spans="1:5" x14ac:dyDescent="0.25">
      <c r="A11" t="s">
        <v>25</v>
      </c>
      <c r="C11" s="4" t="s">
        <v>26</v>
      </c>
      <c r="D11" s="4" t="s">
        <v>27</v>
      </c>
      <c r="E11" s="4" t="s">
        <v>28</v>
      </c>
    </row>
    <row r="12" spans="1:5" x14ac:dyDescent="0.25">
      <c r="A12" t="s">
        <v>29</v>
      </c>
      <c r="C12" s="29">
        <f>4%*4</f>
        <v>0.16</v>
      </c>
      <c r="D12" s="29">
        <f>7%*2</f>
        <v>0.14000000000000001</v>
      </c>
      <c r="E12" s="29">
        <f>9%/(3/4)</f>
        <v>0.12</v>
      </c>
    </row>
    <row r="15" spans="1:5" x14ac:dyDescent="0.25">
      <c r="A15" t="s">
        <v>31</v>
      </c>
      <c r="C15" s="4">
        <f>1/8</f>
        <v>0.125</v>
      </c>
      <c r="D15" s="4">
        <f>C15+0.25</f>
        <v>0.375</v>
      </c>
      <c r="E15" s="4">
        <f>D15+0.25</f>
        <v>0.625</v>
      </c>
    </row>
    <row r="16" spans="1:5" x14ac:dyDescent="0.25">
      <c r="A16" t="s">
        <v>30</v>
      </c>
      <c r="C16" s="30">
        <f>C12/(1-C12*C15)</f>
        <v>0.16326530612244899</v>
      </c>
      <c r="D16" s="30">
        <f t="shared" ref="D16:E16" si="0">D12/(1-D12*D15)</f>
        <v>0.14775725593667546</v>
      </c>
      <c r="E16" s="30">
        <f t="shared" si="0"/>
        <v>0.12972972972972971</v>
      </c>
    </row>
    <row r="17" spans="1:5" x14ac:dyDescent="0.25">
      <c r="A17" t="s">
        <v>32</v>
      </c>
      <c r="C17" s="32">
        <f>C16-C12</f>
        <v>3.265306122448991E-3</v>
      </c>
      <c r="D17" s="32">
        <f t="shared" ref="D17:E17" si="1">D16-D12</f>
        <v>7.7572559366754501E-3</v>
      </c>
      <c r="E17" s="32">
        <f t="shared" si="1"/>
        <v>9.7297297297297136E-3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C300-9269-4627-8C59-1A19E138D6B4}">
  <dimension ref="A4:D17"/>
  <sheetViews>
    <sheetView workbookViewId="0">
      <selection activeCell="D12" sqref="D12:D13"/>
    </sheetView>
  </sheetViews>
  <sheetFormatPr defaultRowHeight="15" x14ac:dyDescent="0.25"/>
  <cols>
    <col min="1" max="1" width="21.5703125" bestFit="1" customWidth="1"/>
    <col min="3" max="3" width="9.5703125" bestFit="1" customWidth="1"/>
  </cols>
  <sheetData>
    <row r="4" spans="1:4" x14ac:dyDescent="0.25">
      <c r="A4" t="s">
        <v>1</v>
      </c>
    </row>
    <row r="5" spans="1:4" x14ac:dyDescent="0.25">
      <c r="A5" t="s">
        <v>34</v>
      </c>
      <c r="B5" s="6">
        <v>0.2</v>
      </c>
    </row>
    <row r="6" spans="1:4" x14ac:dyDescent="0.25">
      <c r="A6" t="s">
        <v>33</v>
      </c>
      <c r="B6">
        <v>12</v>
      </c>
    </row>
    <row r="7" spans="1:4" x14ac:dyDescent="0.25">
      <c r="A7" t="s">
        <v>35</v>
      </c>
      <c r="B7" s="33" t="s">
        <v>10</v>
      </c>
    </row>
    <row r="9" spans="1:4" x14ac:dyDescent="0.25">
      <c r="A9" t="s">
        <v>36</v>
      </c>
      <c r="B9" s="34">
        <f>(1+B5/B6)^B6-1</f>
        <v>0.21939108490523185</v>
      </c>
      <c r="C9" s="34">
        <f>EFFECT(B5,B6)</f>
        <v>0.21939108490523185</v>
      </c>
      <c r="D9" s="31">
        <f>RATE(1, ,-1,FV(B5/B6, 1*B6, , -1))</f>
        <v>0.21939108490523185</v>
      </c>
    </row>
    <row r="11" spans="1:4" x14ac:dyDescent="0.25">
      <c r="A11" t="s">
        <v>38</v>
      </c>
      <c r="B11">
        <v>1000</v>
      </c>
    </row>
    <row r="12" spans="1:4" x14ac:dyDescent="0.25">
      <c r="A12" s="23" t="s">
        <v>37</v>
      </c>
      <c r="B12" s="35" t="s">
        <v>39</v>
      </c>
      <c r="C12" s="36"/>
      <c r="D12" s="23" t="s">
        <v>42</v>
      </c>
    </row>
    <row r="13" spans="1:4" x14ac:dyDescent="0.25">
      <c r="A13" s="24"/>
      <c r="B13" s="20" t="s">
        <v>40</v>
      </c>
      <c r="C13" s="20" t="s">
        <v>41</v>
      </c>
      <c r="D13" s="24"/>
    </row>
    <row r="14" spans="1:4" x14ac:dyDescent="0.25">
      <c r="A14" s="4">
        <v>0</v>
      </c>
      <c r="B14" s="13">
        <f>$B$11*(1+$B$5/$B$6)^($B$6*A14)</f>
        <v>1000</v>
      </c>
      <c r="C14" s="37">
        <f>FV($B$5/$B$6,A14*$B$6, , -$B$11)</f>
        <v>1000</v>
      </c>
      <c r="D14" s="7"/>
    </row>
    <row r="15" spans="1:4" x14ac:dyDescent="0.25">
      <c r="A15" s="4">
        <v>1</v>
      </c>
      <c r="B15" s="13">
        <f t="shared" ref="B15:B17" si="0">$B$11*(1+$B$5/$B$6)^($B$6*A15)</f>
        <v>1219.3910849052318</v>
      </c>
      <c r="C15" s="37">
        <f t="shared" ref="C15:C17" si="1">FV($B$5/$B$6,A15*$B$6, , -$B$11)</f>
        <v>1219.3910849052318</v>
      </c>
      <c r="D15" s="32">
        <f t="shared" ref="D15:D17" si="2">RATE(A15, ,-$B$11,C15)</f>
        <v>0.21939108490523188</v>
      </c>
    </row>
    <row r="16" spans="1:4" x14ac:dyDescent="0.25">
      <c r="A16" s="4">
        <v>2</v>
      </c>
      <c r="B16" s="13">
        <f t="shared" si="0"/>
        <v>1486.9146179463585</v>
      </c>
      <c r="C16" s="37">
        <f t="shared" si="1"/>
        <v>1486.9146179463585</v>
      </c>
      <c r="D16" s="32">
        <f t="shared" si="2"/>
        <v>0.21939108490523176</v>
      </c>
    </row>
    <row r="17" spans="1:4" x14ac:dyDescent="0.25">
      <c r="A17" s="4">
        <v>3</v>
      </c>
      <c r="B17" s="13">
        <f t="shared" si="0"/>
        <v>1813.1304291390579</v>
      </c>
      <c r="C17" s="37">
        <f t="shared" si="1"/>
        <v>1813.1304291390579</v>
      </c>
      <c r="D17" s="32">
        <f t="shared" si="2"/>
        <v>0.21939108490499767</v>
      </c>
    </row>
  </sheetData>
  <mergeCells count="3">
    <mergeCell ref="A12:A13"/>
    <mergeCell ref="B12:C12"/>
    <mergeCell ref="D12:D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AABF-4398-494C-9191-5555D47BC140}">
  <dimension ref="A6:G46"/>
  <sheetViews>
    <sheetView workbookViewId="0">
      <selection activeCell="E14" sqref="E14"/>
    </sheetView>
  </sheetViews>
  <sheetFormatPr defaultRowHeight="15" x14ac:dyDescent="0.25"/>
  <cols>
    <col min="1" max="1" width="26.140625" bestFit="1" customWidth="1"/>
    <col min="2" max="2" width="13.85546875" bestFit="1" customWidth="1"/>
    <col min="3" max="3" width="13.7109375" customWidth="1"/>
    <col min="4" max="4" width="16.5703125" customWidth="1"/>
    <col min="5" max="5" width="17.140625" customWidth="1"/>
    <col min="6" max="6" width="9" bestFit="1" customWidth="1"/>
    <col min="7" max="7" width="14.140625" bestFit="1" customWidth="1"/>
  </cols>
  <sheetData>
    <row r="6" spans="1:5" x14ac:dyDescent="0.25">
      <c r="A6" t="s">
        <v>1</v>
      </c>
    </row>
    <row r="7" spans="1:5" x14ac:dyDescent="0.25">
      <c r="A7" t="s">
        <v>57</v>
      </c>
      <c r="B7" s="53">
        <v>1000</v>
      </c>
      <c r="C7" t="s">
        <v>4</v>
      </c>
    </row>
    <row r="8" spans="1:5" x14ac:dyDescent="0.25">
      <c r="A8" t="s">
        <v>43</v>
      </c>
    </row>
    <row r="9" spans="1:5" ht="30" x14ac:dyDescent="0.25">
      <c r="A9" s="56" t="s">
        <v>44</v>
      </c>
      <c r="B9" s="56" t="s">
        <v>66</v>
      </c>
      <c r="C9" s="55" t="s">
        <v>60</v>
      </c>
      <c r="D9" s="56" t="s">
        <v>67</v>
      </c>
      <c r="E9" s="55" t="s">
        <v>60</v>
      </c>
    </row>
    <row r="10" spans="1:5" x14ac:dyDescent="0.25">
      <c r="A10" s="5">
        <f ca="1">TODAY()</f>
        <v>44669</v>
      </c>
      <c r="B10" s="7">
        <v>0.22</v>
      </c>
      <c r="C10" s="11">
        <f>95/365</f>
        <v>0.26027397260273971</v>
      </c>
      <c r="D10" s="30">
        <f>B10/12</f>
        <v>1.8333333333333333E-2</v>
      </c>
      <c r="E10" s="13">
        <f>C10*12</f>
        <v>3.1232876712328768</v>
      </c>
    </row>
    <row r="11" spans="1:5" x14ac:dyDescent="0.25">
      <c r="A11" s="5">
        <f ca="1">A10+95</f>
        <v>44764</v>
      </c>
      <c r="B11" s="7">
        <v>0.18</v>
      </c>
      <c r="C11" s="11">
        <f>95/365</f>
        <v>0.26027397260273971</v>
      </c>
      <c r="D11" s="30">
        <f t="shared" ref="D11:D12" si="0">B11/12</f>
        <v>1.4999999999999999E-2</v>
      </c>
      <c r="E11" s="13">
        <f t="shared" ref="E11:E12" si="1">C11*12</f>
        <v>3.1232876712328768</v>
      </c>
    </row>
    <row r="12" spans="1:5" x14ac:dyDescent="0.25">
      <c r="A12" s="5">
        <f ca="1">A11+95</f>
        <v>44859</v>
      </c>
      <c r="B12" s="7">
        <v>0.1</v>
      </c>
      <c r="C12" s="11">
        <f>380/365-(C10+C11)</f>
        <v>0.52054794520547942</v>
      </c>
      <c r="D12" s="30">
        <f t="shared" si="0"/>
        <v>8.3333333333333332E-3</v>
      </c>
      <c r="E12" s="13">
        <f t="shared" si="1"/>
        <v>6.2465753424657535</v>
      </c>
    </row>
    <row r="13" spans="1:5" x14ac:dyDescent="0.25">
      <c r="A13" s="57" t="s">
        <v>61</v>
      </c>
      <c r="B13" s="30">
        <f t="array" ref="B13">(PRODUCT((1+B10:B12)^C10:C12))^(1/C13)-1</f>
        <v>0.14883273540294661</v>
      </c>
      <c r="C13" s="11">
        <f>SUM(C10:C12)</f>
        <v>1.0410958904109588</v>
      </c>
      <c r="D13" s="30">
        <f t="array" ref="D13">(PRODUCT((1+D10:D12)^E10:E12))^(1/E13)-1</f>
        <v>1.2490746319890889E-2</v>
      </c>
      <c r="E13" s="12">
        <f>SUM(E10:E12)</f>
        <v>12.493150684931507</v>
      </c>
    </row>
    <row r="14" spans="1:5" x14ac:dyDescent="0.25">
      <c r="D14" s="30">
        <f>D13*12</f>
        <v>0.14988895583869066</v>
      </c>
      <c r="E14" t="s">
        <v>68</v>
      </c>
    </row>
    <row r="17" spans="1:7" x14ac:dyDescent="0.25">
      <c r="A17" t="s">
        <v>45</v>
      </c>
      <c r="E17" s="22" t="s">
        <v>53</v>
      </c>
      <c r="F17" s="22"/>
      <c r="G17" s="22"/>
    </row>
    <row r="18" spans="1:7" x14ac:dyDescent="0.25">
      <c r="A18" s="20" t="s">
        <v>52</v>
      </c>
      <c r="B18" s="51" t="s">
        <v>46</v>
      </c>
      <c r="C18" s="20" t="s">
        <v>51</v>
      </c>
      <c r="D18" s="52" t="s">
        <v>5</v>
      </c>
      <c r="E18" s="21" t="s">
        <v>54</v>
      </c>
      <c r="F18" s="21" t="s">
        <v>55</v>
      </c>
      <c r="G18" s="21" t="s">
        <v>56</v>
      </c>
    </row>
    <row r="19" spans="1:7" ht="15.75" thickBot="1" x14ac:dyDescent="0.3">
      <c r="A19" s="4" t="s">
        <v>47</v>
      </c>
      <c r="B19" s="41">
        <f ca="1">A10</f>
        <v>44669</v>
      </c>
      <c r="C19" s="46"/>
      <c r="D19" s="46"/>
      <c r="E19" s="54">
        <f>$B$7</f>
        <v>1000</v>
      </c>
      <c r="F19" s="4"/>
      <c r="G19" s="4"/>
    </row>
    <row r="20" spans="1:7" x14ac:dyDescent="0.25">
      <c r="A20" s="4" t="s">
        <v>48</v>
      </c>
      <c r="B20" s="42">
        <v>44681</v>
      </c>
      <c r="C20" s="10">
        <f>WEEKDAY(B20,2)</f>
        <v>6</v>
      </c>
      <c r="D20" s="48">
        <f ca="1">VLOOKUP(B19,$A$10:$B$12,2)</f>
        <v>0.22</v>
      </c>
      <c r="E20" s="54">
        <f ca="1">$B$7+F20</f>
        <v>1007.2328767123288</v>
      </c>
      <c r="F20" s="12">
        <f ca="1">G20</f>
        <v>7.2328767123287667</v>
      </c>
      <c r="G20" s="12">
        <f ca="1">E19*D20*(B20-B19)/365</f>
        <v>7.2328767123287667</v>
      </c>
    </row>
    <row r="21" spans="1:7" x14ac:dyDescent="0.25">
      <c r="A21" s="4" t="s">
        <v>48</v>
      </c>
      <c r="B21" s="43">
        <v>44712</v>
      </c>
      <c r="C21" s="4">
        <f t="shared" ref="C21:C35" si="2">WEEKDAY(B21,2)</f>
        <v>2</v>
      </c>
      <c r="D21" s="49">
        <f t="shared" ref="D21:D35" ca="1" si="3">VLOOKUP(B20,$A$10:$B$12,2)</f>
        <v>0.22</v>
      </c>
      <c r="E21" s="54">
        <f t="shared" ref="E21:E35" ca="1" si="4">$B$7+F21</f>
        <v>1026.0529540251455</v>
      </c>
      <c r="F21" s="12">
        <f ca="1">F20+G21</f>
        <v>26.052954025145429</v>
      </c>
      <c r="G21" s="12">
        <f ca="1">E20*D21*(B21-B20)/365</f>
        <v>18.820077312816661</v>
      </c>
    </row>
    <row r="22" spans="1:7" x14ac:dyDescent="0.25">
      <c r="A22" s="4" t="s">
        <v>48</v>
      </c>
      <c r="B22" s="43">
        <v>44742</v>
      </c>
      <c r="C22" s="4">
        <f t="shared" si="2"/>
        <v>4</v>
      </c>
      <c r="D22" s="49">
        <f t="shared" ca="1" si="3"/>
        <v>0.22</v>
      </c>
      <c r="E22" s="54">
        <f t="shared" ca="1" si="4"/>
        <v>1044.8730313379622</v>
      </c>
      <c r="F22" s="12">
        <f t="shared" ref="F22:F35" ca="1" si="5">F21+G21</f>
        <v>44.87303133796209</v>
      </c>
      <c r="G22" s="12">
        <f t="shared" ref="G22:G35" ca="1" si="6">E21*D22*(B22-B21)/365</f>
        <v>18.553286291961534</v>
      </c>
    </row>
    <row r="23" spans="1:7" ht="15.75" thickBot="1" x14ac:dyDescent="0.3">
      <c r="A23" s="4" t="s">
        <v>47</v>
      </c>
      <c r="B23" s="47">
        <f ca="1">A11</f>
        <v>44764</v>
      </c>
      <c r="C23" s="40"/>
      <c r="D23" s="50">
        <f t="shared" ca="1" si="3"/>
        <v>0.22</v>
      </c>
      <c r="E23" s="54">
        <f t="shared" ca="1" si="4"/>
        <v>1063.4263176299237</v>
      </c>
      <c r="F23" s="12">
        <f t="shared" ca="1" si="5"/>
        <v>63.426317629923624</v>
      </c>
      <c r="G23" s="12">
        <f t="shared" ca="1" si="6"/>
        <v>13.855302662125307</v>
      </c>
    </row>
    <row r="24" spans="1:7" x14ac:dyDescent="0.25">
      <c r="A24" s="4" t="s">
        <v>49</v>
      </c>
      <c r="B24" s="44">
        <v>44772</v>
      </c>
      <c r="C24" s="39">
        <f t="shared" si="2"/>
        <v>6</v>
      </c>
      <c r="D24" s="48">
        <f t="shared" ca="1" si="3"/>
        <v>0.18</v>
      </c>
      <c r="E24" s="54">
        <f t="shared" ca="1" si="4"/>
        <v>1077.281620292049</v>
      </c>
      <c r="F24" s="12">
        <f t="shared" ca="1" si="5"/>
        <v>77.281620292048927</v>
      </c>
      <c r="G24" s="12">
        <f t="shared" ca="1" si="6"/>
        <v>4.1954353353070957</v>
      </c>
    </row>
    <row r="25" spans="1:7" x14ac:dyDescent="0.25">
      <c r="A25" s="4" t="s">
        <v>48</v>
      </c>
      <c r="B25" s="43">
        <v>44804</v>
      </c>
      <c r="C25" s="4">
        <f t="shared" si="2"/>
        <v>3</v>
      </c>
      <c r="D25" s="49">
        <f t="shared" ca="1" si="3"/>
        <v>0.18</v>
      </c>
      <c r="E25" s="54">
        <f t="shared" ca="1" si="4"/>
        <v>1081.4770556273561</v>
      </c>
      <c r="F25" s="12">
        <f t="shared" ca="1" si="5"/>
        <v>81.477055627356023</v>
      </c>
      <c r="G25" s="12">
        <f t="shared" ca="1" si="6"/>
        <v>17.000389405156717</v>
      </c>
    </row>
    <row r="26" spans="1:7" x14ac:dyDescent="0.25">
      <c r="A26" s="4" t="s">
        <v>48</v>
      </c>
      <c r="B26" s="43">
        <v>44834</v>
      </c>
      <c r="C26" s="4">
        <f t="shared" si="2"/>
        <v>5</v>
      </c>
      <c r="D26" s="49">
        <f t="shared" ca="1" si="3"/>
        <v>0.18</v>
      </c>
      <c r="E26" s="54">
        <f t="shared" ca="1" si="4"/>
        <v>1098.4774450325128</v>
      </c>
      <c r="F26" s="12">
        <f t="shared" ca="1" si="5"/>
        <v>98.477445032512748</v>
      </c>
      <c r="G26" s="12">
        <f t="shared" ca="1" si="6"/>
        <v>15.9999345216102</v>
      </c>
    </row>
    <row r="27" spans="1:7" ht="15.75" thickBot="1" x14ac:dyDescent="0.3">
      <c r="A27" s="4" t="s">
        <v>47</v>
      </c>
      <c r="B27" s="41">
        <f ca="1">A12</f>
        <v>44859</v>
      </c>
      <c r="C27" s="40"/>
      <c r="D27" s="50">
        <f t="shared" ca="1" si="3"/>
        <v>0.18</v>
      </c>
      <c r="E27" s="54">
        <f t="shared" ca="1" si="4"/>
        <v>1114.477379554123</v>
      </c>
      <c r="F27" s="12">
        <f t="shared" ca="1" si="5"/>
        <v>114.47737955412295</v>
      </c>
      <c r="G27" s="12">
        <f t="shared" ca="1" si="6"/>
        <v>13.542872609989885</v>
      </c>
    </row>
    <row r="28" spans="1:7" x14ac:dyDescent="0.25">
      <c r="A28" s="4" t="s">
        <v>48</v>
      </c>
      <c r="B28" s="42">
        <v>44865</v>
      </c>
      <c r="C28" s="10">
        <f t="shared" si="2"/>
        <v>1</v>
      </c>
      <c r="D28" s="48">
        <f t="shared" ca="1" si="3"/>
        <v>0.1</v>
      </c>
      <c r="E28" s="54">
        <f t="shared" ca="1" si="4"/>
        <v>1128.0202521641129</v>
      </c>
      <c r="F28" s="12">
        <f t="shared" ca="1" si="5"/>
        <v>128.02025216411283</v>
      </c>
      <c r="G28" s="12">
        <f t="shared" ca="1" si="6"/>
        <v>1.8320176102259558</v>
      </c>
    </row>
    <row r="29" spans="1:7" x14ac:dyDescent="0.25">
      <c r="A29" s="4" t="s">
        <v>48</v>
      </c>
      <c r="B29" s="43">
        <v>44895</v>
      </c>
      <c r="C29" s="4">
        <f t="shared" si="2"/>
        <v>3</v>
      </c>
      <c r="D29" s="49">
        <f t="shared" ca="1" si="3"/>
        <v>0.1</v>
      </c>
      <c r="E29" s="54">
        <f t="shared" ca="1" si="4"/>
        <v>1129.8522697743388</v>
      </c>
      <c r="F29" s="12">
        <f t="shared" ca="1" si="5"/>
        <v>129.85226977433879</v>
      </c>
      <c r="G29" s="12">
        <f t="shared" ca="1" si="6"/>
        <v>9.2713993328557223</v>
      </c>
    </row>
    <row r="30" spans="1:7" x14ac:dyDescent="0.25">
      <c r="A30" s="4" t="s">
        <v>48</v>
      </c>
      <c r="B30" s="43">
        <v>44926</v>
      </c>
      <c r="C30" s="4">
        <f t="shared" si="2"/>
        <v>6</v>
      </c>
      <c r="D30" s="49">
        <f t="shared" ca="1" si="3"/>
        <v>0.1</v>
      </c>
      <c r="E30" s="54">
        <f t="shared" ca="1" si="4"/>
        <v>1139.1236691071945</v>
      </c>
      <c r="F30" s="12">
        <f t="shared" ca="1" si="5"/>
        <v>139.12366910719453</v>
      </c>
      <c r="G30" s="12">
        <f t="shared" ca="1" si="6"/>
        <v>9.5960055789053431</v>
      </c>
    </row>
    <row r="31" spans="1:7" x14ac:dyDescent="0.25">
      <c r="A31" s="4" t="s">
        <v>48</v>
      </c>
      <c r="B31" s="43">
        <v>44957</v>
      </c>
      <c r="C31" s="4">
        <f t="shared" si="2"/>
        <v>2</v>
      </c>
      <c r="D31" s="49">
        <f t="shared" ca="1" si="3"/>
        <v>0.1</v>
      </c>
      <c r="E31" s="54">
        <f t="shared" ca="1" si="4"/>
        <v>1148.7196746860998</v>
      </c>
      <c r="F31" s="12">
        <f t="shared" ca="1" si="5"/>
        <v>148.71967468609986</v>
      </c>
      <c r="G31" s="12">
        <f t="shared" ca="1" si="6"/>
        <v>9.6747489704994614</v>
      </c>
    </row>
    <row r="32" spans="1:7" x14ac:dyDescent="0.25">
      <c r="A32" s="4" t="s">
        <v>48</v>
      </c>
      <c r="B32" s="43">
        <v>44985</v>
      </c>
      <c r="C32" s="4">
        <f t="shared" si="2"/>
        <v>2</v>
      </c>
      <c r="D32" s="49">
        <f t="shared" ca="1" si="3"/>
        <v>0.1</v>
      </c>
      <c r="E32" s="54">
        <f t="shared" ca="1" si="4"/>
        <v>1158.3944236565994</v>
      </c>
      <c r="F32" s="12">
        <f t="shared" ca="1" si="5"/>
        <v>158.39442365659932</v>
      </c>
      <c r="G32" s="12">
        <f t="shared" ca="1" si="6"/>
        <v>8.8120961345782991</v>
      </c>
    </row>
    <row r="33" spans="1:7" x14ac:dyDescent="0.25">
      <c r="A33" s="4" t="s">
        <v>48</v>
      </c>
      <c r="B33" s="43">
        <v>45016</v>
      </c>
      <c r="C33" s="4">
        <f t="shared" si="2"/>
        <v>5</v>
      </c>
      <c r="D33" s="49">
        <f t="shared" ca="1" si="3"/>
        <v>0.1</v>
      </c>
      <c r="E33" s="54">
        <f t="shared" ca="1" si="4"/>
        <v>1167.2065197911777</v>
      </c>
      <c r="F33" s="12">
        <f t="shared" ca="1" si="5"/>
        <v>167.20651979117761</v>
      </c>
      <c r="G33" s="12">
        <f t="shared" ca="1" si="6"/>
        <v>9.8384183926998858</v>
      </c>
    </row>
    <row r="34" spans="1:7" x14ac:dyDescent="0.25">
      <c r="A34" s="4" t="s">
        <v>49</v>
      </c>
      <c r="B34" s="45">
        <v>45045</v>
      </c>
      <c r="C34" s="38">
        <f t="shared" si="2"/>
        <v>6</v>
      </c>
      <c r="D34" s="49">
        <f t="shared" ca="1" si="3"/>
        <v>0.1</v>
      </c>
      <c r="E34" s="54">
        <f t="shared" ca="1" si="4"/>
        <v>1177.0449381838775</v>
      </c>
      <c r="F34" s="12">
        <f t="shared" ca="1" si="5"/>
        <v>177.04493818387749</v>
      </c>
      <c r="G34" s="12">
        <f t="shared" ca="1" si="6"/>
        <v>9.2736956366970276</v>
      </c>
    </row>
    <row r="35" spans="1:7" x14ac:dyDescent="0.25">
      <c r="A35" s="4" t="s">
        <v>50</v>
      </c>
      <c r="B35" s="43">
        <v>44684</v>
      </c>
      <c r="C35" s="19">
        <f t="shared" si="2"/>
        <v>2</v>
      </c>
      <c r="D35" s="49">
        <f t="shared" ca="1" si="3"/>
        <v>0.1</v>
      </c>
      <c r="E35" s="54">
        <f t="shared" ca="1" si="4"/>
        <v>1186.3186338205746</v>
      </c>
      <c r="F35" s="12">
        <f t="shared" ca="1" si="5"/>
        <v>186.31863382057452</v>
      </c>
      <c r="G35" s="12">
        <f t="shared" ca="1" si="6"/>
        <v>-116.41458155736433</v>
      </c>
    </row>
    <row r="38" spans="1:7" x14ac:dyDescent="0.25">
      <c r="D38" t="s">
        <v>58</v>
      </c>
    </row>
    <row r="39" spans="1:7" x14ac:dyDescent="0.25">
      <c r="D39" t="s">
        <v>59</v>
      </c>
      <c r="G39" s="34">
        <f ca="1">(E35/B7-1)/(380/365)</f>
        <v>0.17896395090660464</v>
      </c>
    </row>
    <row r="41" spans="1:7" x14ac:dyDescent="0.25">
      <c r="D41" t="s">
        <v>62</v>
      </c>
    </row>
    <row r="42" spans="1:7" x14ac:dyDescent="0.25">
      <c r="D42" t="s">
        <v>63</v>
      </c>
      <c r="G42" s="34">
        <f ca="1">(E35/B7)^(1/(380/365))-1</f>
        <v>0.17834469600375735</v>
      </c>
    </row>
    <row r="45" spans="1:7" x14ac:dyDescent="0.25">
      <c r="D45" t="s">
        <v>64</v>
      </c>
    </row>
    <row r="46" spans="1:7" x14ac:dyDescent="0.25">
      <c r="D46" t="s">
        <v>65</v>
      </c>
      <c r="G46" s="34">
        <f ca="1" xml:space="preserve"> ((E35/B7)^(1/((380/365)*12))-1)*12</f>
        <v>0.16523796621700004</v>
      </c>
    </row>
  </sheetData>
  <mergeCells count="1">
    <mergeCell ref="E17:G1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4C1D-58A3-4D30-BC83-B600A5EEB8D9}">
  <dimension ref="A5:C11"/>
  <sheetViews>
    <sheetView tabSelected="1" workbookViewId="0">
      <selection activeCell="G15" sqref="G15"/>
    </sheetView>
  </sheetViews>
  <sheetFormatPr defaultRowHeight="15" x14ac:dyDescent="0.25"/>
  <cols>
    <col min="2" max="2" width="13.7109375" bestFit="1" customWidth="1"/>
  </cols>
  <sheetData>
    <row r="5" spans="1:3" x14ac:dyDescent="0.25">
      <c r="B5" t="s">
        <v>1</v>
      </c>
    </row>
    <row r="6" spans="1:3" x14ac:dyDescent="0.25">
      <c r="B6" t="s">
        <v>71</v>
      </c>
      <c r="C6" t="s">
        <v>69</v>
      </c>
    </row>
    <row r="7" spans="1:3" x14ac:dyDescent="0.25">
      <c r="B7" s="58">
        <v>1000000</v>
      </c>
      <c r="C7" s="6">
        <v>0.08</v>
      </c>
    </row>
    <row r="8" spans="1:3" x14ac:dyDescent="0.25">
      <c r="B8" s="58">
        <v>100000</v>
      </c>
      <c r="C8" s="6">
        <v>0.12</v>
      </c>
    </row>
    <row r="9" spans="1:3" x14ac:dyDescent="0.25">
      <c r="B9" s="58">
        <v>15000000</v>
      </c>
      <c r="C9" s="6">
        <v>0.18</v>
      </c>
    </row>
    <row r="10" spans="1:3" x14ac:dyDescent="0.25">
      <c r="B10" s="58">
        <v>50000</v>
      </c>
      <c r="C10" s="6">
        <v>0.17</v>
      </c>
    </row>
    <row r="11" spans="1:3" x14ac:dyDescent="0.25">
      <c r="A11" t="s">
        <v>70</v>
      </c>
      <c r="B11" s="58">
        <f>SUM(B7:B10)</f>
        <v>16150000</v>
      </c>
      <c r="C11" s="34">
        <f>SUMPRODUCT(C7:C10,B7:B10)/B11</f>
        <v>0.17340557275541796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2022-04-18T05:59:01Z</dcterms:created>
  <dcterms:modified xsi:type="dcterms:W3CDTF">2022-04-18T09:20:02Z</dcterms:modified>
</cp:coreProperties>
</file>