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cuments\github\university\3-course-6-semester\financial-mathematics\task-15\"/>
    </mc:Choice>
  </mc:AlternateContent>
  <xr:revisionPtr revIDLastSave="0" documentId="13_ncr:1_{9D359FD5-EFFF-40F9-B43B-15B4A756DFF3}" xr6:coauthVersionLast="47" xr6:coauthVersionMax="47" xr10:uidLastSave="{00000000-0000-0000-0000-000000000000}"/>
  <bookViews>
    <workbookView xWindow="-20610" yWindow="4560" windowWidth="20730" windowHeight="11310" activeTab="1" xr2:uid="{1860A712-77D3-4599-A046-F9EA76E890C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" i="2" l="1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R4" i="2"/>
  <c r="Q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G2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4" i="2"/>
  <c r="D24" i="2"/>
  <c r="D125" i="1" a="1"/>
  <c r="D125" i="1" s="1"/>
  <c r="E125" i="1" a="1"/>
  <c r="E125" i="1"/>
  <c r="F125" i="1" a="1"/>
  <c r="F125" i="1" s="1"/>
  <c r="G125" i="1" a="1"/>
  <c r="G125" i="1"/>
  <c r="H125" i="1" a="1"/>
  <c r="H125" i="1" s="1"/>
  <c r="J125" i="1" a="1"/>
  <c r="J125" i="1" s="1"/>
  <c r="K125" i="1" a="1"/>
  <c r="K125" i="1"/>
  <c r="M125" i="1" a="1"/>
  <c r="M125" i="1"/>
  <c r="N125" i="1" a="1"/>
  <c r="N125" i="1" s="1"/>
  <c r="O125" i="1" a="1"/>
  <c r="O125" i="1"/>
  <c r="P125" i="1" a="1"/>
  <c r="P125" i="1" s="1"/>
  <c r="Q125" i="1" a="1"/>
  <c r="Q125" i="1"/>
  <c r="C125" i="1" a="1"/>
  <c r="C125" i="1" s="1"/>
  <c r="D124" i="1" a="1"/>
  <c r="D124" i="1" s="1"/>
  <c r="E124" i="1" a="1"/>
  <c r="E124" i="1"/>
  <c r="F124" i="1" a="1"/>
  <c r="F124" i="1" s="1"/>
  <c r="G124" i="1" a="1"/>
  <c r="G124" i="1"/>
  <c r="H124" i="1" a="1"/>
  <c r="H124" i="1" s="1"/>
  <c r="J124" i="1" a="1"/>
  <c r="J124" i="1" s="1"/>
  <c r="K124" i="1" a="1"/>
  <c r="K124" i="1"/>
  <c r="M124" i="1" a="1"/>
  <c r="M124" i="1"/>
  <c r="N124" i="1" a="1"/>
  <c r="N124" i="1" s="1"/>
  <c r="O124" i="1" a="1"/>
  <c r="O124" i="1"/>
  <c r="P124" i="1" a="1"/>
  <c r="P124" i="1" s="1"/>
  <c r="Q124" i="1" a="1"/>
  <c r="Q124" i="1"/>
  <c r="C124" i="1" a="1"/>
  <c r="C124" i="1" s="1"/>
  <c r="D121" i="1" a="1"/>
  <c r="D121" i="1" s="1"/>
  <c r="E121" i="1" a="1"/>
  <c r="E121" i="1"/>
  <c r="F121" i="1" a="1"/>
  <c r="F121" i="1" s="1"/>
  <c r="G121" i="1" a="1"/>
  <c r="G121" i="1"/>
  <c r="H121" i="1" a="1"/>
  <c r="H121" i="1" s="1"/>
  <c r="J121" i="1" a="1"/>
  <c r="J121" i="1" s="1"/>
  <c r="K121" i="1" a="1"/>
  <c r="K121" i="1"/>
  <c r="M121" i="1" a="1"/>
  <c r="M121" i="1"/>
  <c r="N121" i="1" a="1"/>
  <c r="N121" i="1" s="1"/>
  <c r="O121" i="1" a="1"/>
  <c r="O121" i="1"/>
  <c r="P121" i="1" a="1"/>
  <c r="P121" i="1" s="1"/>
  <c r="Q121" i="1" a="1"/>
  <c r="Q121" i="1"/>
  <c r="C121" i="1" a="1"/>
  <c r="C121" i="1" s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C105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C104" i="1"/>
  <c r="D99" i="1" a="1"/>
  <c r="D99" i="1"/>
  <c r="E99" i="1" a="1"/>
  <c r="E99" i="1"/>
  <c r="F99" i="1" a="1"/>
  <c r="F99" i="1"/>
  <c r="G99" i="1" a="1"/>
  <c r="G99" i="1"/>
  <c r="H99" i="1" a="1"/>
  <c r="H99" i="1" s="1"/>
  <c r="J99" i="1" a="1"/>
  <c r="J99" i="1" s="1"/>
  <c r="K99" i="1" a="1"/>
  <c r="K99" i="1"/>
  <c r="M99" i="1" a="1"/>
  <c r="M99" i="1"/>
  <c r="N99" i="1" a="1"/>
  <c r="N99" i="1" s="1"/>
  <c r="O99" i="1" a="1"/>
  <c r="O99" i="1"/>
  <c r="P99" i="1" a="1"/>
  <c r="P99" i="1" s="1"/>
  <c r="Q99" i="1" a="1"/>
  <c r="Q99" i="1"/>
  <c r="C99" i="1" a="1"/>
  <c r="C99" i="1"/>
  <c r="D86" i="1"/>
  <c r="E86" i="1"/>
  <c r="F86" i="1"/>
  <c r="G86" i="1"/>
  <c r="H86" i="1"/>
  <c r="J86" i="1"/>
  <c r="K86" i="1"/>
  <c r="M86" i="1"/>
  <c r="N86" i="1"/>
  <c r="O86" i="1"/>
  <c r="P86" i="1"/>
  <c r="Q86" i="1"/>
  <c r="C86" i="1"/>
  <c r="Q75" i="1"/>
  <c r="D75" i="1"/>
  <c r="E75" i="1"/>
  <c r="F75" i="1"/>
  <c r="G75" i="1"/>
  <c r="H75" i="1"/>
  <c r="J75" i="1"/>
  <c r="K75" i="1"/>
  <c r="M75" i="1"/>
  <c r="N75" i="1"/>
  <c r="O75" i="1"/>
  <c r="P75" i="1"/>
  <c r="C75" i="1"/>
  <c r="D74" i="1"/>
  <c r="E74" i="1"/>
  <c r="F74" i="1"/>
  <c r="G74" i="1"/>
  <c r="H74" i="1"/>
  <c r="J74" i="1"/>
  <c r="K74" i="1"/>
  <c r="M74" i="1"/>
  <c r="N74" i="1"/>
  <c r="O74" i="1"/>
  <c r="P74" i="1"/>
  <c r="Q74" i="1"/>
  <c r="C74" i="1"/>
  <c r="D71" i="1"/>
  <c r="D72" i="1" s="1"/>
  <c r="E71" i="1"/>
  <c r="F71" i="1"/>
  <c r="G72" i="1"/>
  <c r="H71" i="1"/>
  <c r="J71" i="1"/>
  <c r="K71" i="1"/>
  <c r="K72" i="1" s="1"/>
  <c r="M71" i="1"/>
  <c r="N71" i="1"/>
  <c r="O71" i="1"/>
  <c r="O72" i="1" s="1"/>
  <c r="P71" i="1"/>
  <c r="P72" i="1" s="1"/>
  <c r="E72" i="1"/>
  <c r="F72" i="1"/>
  <c r="H72" i="1"/>
  <c r="J72" i="1"/>
  <c r="M72" i="1"/>
  <c r="N72" i="1"/>
  <c r="Q72" i="1"/>
  <c r="C72" i="1"/>
  <c r="C71" i="1"/>
  <c r="D64" i="1"/>
  <c r="E64" i="1"/>
  <c r="F64" i="1"/>
  <c r="G64" i="1"/>
  <c r="H64" i="1"/>
  <c r="J64" i="1"/>
  <c r="K64" i="1"/>
  <c r="M64" i="1"/>
  <c r="N64" i="1"/>
  <c r="O64" i="1"/>
  <c r="P64" i="1"/>
  <c r="Q64" i="1"/>
  <c r="C64" i="1"/>
  <c r="N51" i="1"/>
  <c r="N53" i="1"/>
  <c r="D57" i="1" s="1"/>
  <c r="D60" i="1" s="1"/>
  <c r="N52" i="1"/>
  <c r="M95" i="1" s="1"/>
  <c r="D33" i="1"/>
  <c r="D34" i="1" s="1"/>
  <c r="D35" i="1" s="1"/>
  <c r="D36" i="1" s="1"/>
  <c r="D37" i="1" s="1"/>
  <c r="D38" i="1" s="1"/>
  <c r="D39" i="1" s="1"/>
  <c r="D40" i="1" s="1"/>
  <c r="D41" i="1" s="1"/>
  <c r="D42" i="1" s="1"/>
  <c r="E33" i="1"/>
  <c r="E34" i="1" s="1"/>
  <c r="E35" i="1" s="1"/>
  <c r="E36" i="1" s="1"/>
  <c r="E37" i="1" s="1"/>
  <c r="E38" i="1" s="1"/>
  <c r="E39" i="1" s="1"/>
  <c r="E40" i="1" s="1"/>
  <c r="E41" i="1" s="1"/>
  <c r="E42" i="1" s="1"/>
  <c r="F33" i="1"/>
  <c r="F34" i="1" s="1"/>
  <c r="F35" i="1" s="1"/>
  <c r="F36" i="1" s="1"/>
  <c r="F37" i="1" s="1"/>
  <c r="G33" i="1"/>
  <c r="G34" i="1" s="1"/>
  <c r="G35" i="1" s="1"/>
  <c r="G36" i="1" s="1"/>
  <c r="G37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J33" i="1"/>
  <c r="J34" i="1" s="1"/>
  <c r="J35" i="1" s="1"/>
  <c r="J36" i="1" s="1"/>
  <c r="J37" i="1" s="1"/>
  <c r="J38" i="1" s="1"/>
  <c r="J39" i="1" s="1"/>
  <c r="J40" i="1" s="1"/>
  <c r="J41" i="1" s="1"/>
  <c r="J42" i="1" s="1"/>
  <c r="K33" i="1"/>
  <c r="K34" i="1" s="1"/>
  <c r="K35" i="1" s="1"/>
  <c r="K36" i="1" s="1"/>
  <c r="K37" i="1" s="1"/>
  <c r="K38" i="1" s="1"/>
  <c r="K39" i="1" s="1"/>
  <c r="K40" i="1" s="1"/>
  <c r="K41" i="1" s="1"/>
  <c r="K42" i="1" s="1"/>
  <c r="M33" i="1"/>
  <c r="M34" i="1" s="1"/>
  <c r="M35" i="1" s="1"/>
  <c r="M36" i="1" s="1"/>
  <c r="M37" i="1" s="1"/>
  <c r="M38" i="1" s="1"/>
  <c r="M39" i="1" s="1"/>
  <c r="M40" i="1" s="1"/>
  <c r="M41" i="1" s="1"/>
  <c r="M42" i="1" s="1"/>
  <c r="N33" i="1"/>
  <c r="N34" i="1" s="1"/>
  <c r="N35" i="1" s="1"/>
  <c r="N36" i="1" s="1"/>
  <c r="N37" i="1" s="1"/>
  <c r="N38" i="1" s="1"/>
  <c r="N39" i="1" s="1"/>
  <c r="N40" i="1" s="1"/>
  <c r="N41" i="1" s="1"/>
  <c r="N42" i="1" s="1"/>
  <c r="O33" i="1"/>
  <c r="O34" i="1" s="1"/>
  <c r="O35" i="1" s="1"/>
  <c r="O36" i="1" s="1"/>
  <c r="O37" i="1" s="1"/>
  <c r="P33" i="1"/>
  <c r="P34" i="1" s="1"/>
  <c r="P35" i="1" s="1"/>
  <c r="P36" i="1" s="1"/>
  <c r="P37" i="1" s="1"/>
  <c r="P38" i="1" s="1"/>
  <c r="P39" i="1" s="1"/>
  <c r="P40" i="1" s="1"/>
  <c r="P41" i="1" s="1"/>
  <c r="P42" i="1" s="1"/>
  <c r="Q33" i="1"/>
  <c r="Q34" i="1" s="1"/>
  <c r="Q35" i="1" s="1"/>
  <c r="Q36" i="1" s="1"/>
  <c r="Q37" i="1" s="1"/>
  <c r="Q38" i="1" s="1"/>
  <c r="Q39" i="1" s="1"/>
  <c r="Q40" i="1" s="1"/>
  <c r="Q41" i="1" s="1"/>
  <c r="Q42" i="1" s="1"/>
  <c r="C33" i="1"/>
  <c r="C34" i="1" s="1"/>
  <c r="C35" i="1" s="1"/>
  <c r="C36" i="1" s="1"/>
  <c r="C37" i="1" s="1"/>
  <c r="D25" i="1"/>
  <c r="D46" i="1" s="1"/>
  <c r="E25" i="1"/>
  <c r="E46" i="1" s="1"/>
  <c r="F25" i="1"/>
  <c r="F46" i="1" s="1"/>
  <c r="G25" i="1"/>
  <c r="G46" i="1" s="1"/>
  <c r="H25" i="1"/>
  <c r="H46" i="1" s="1"/>
  <c r="J25" i="1"/>
  <c r="J46" i="1" s="1"/>
  <c r="K25" i="1"/>
  <c r="K46" i="1" s="1"/>
  <c r="M25" i="1"/>
  <c r="M26" i="1" s="1"/>
  <c r="M27" i="1" s="1"/>
  <c r="M28" i="1" s="1"/>
  <c r="N25" i="1"/>
  <c r="N46" i="1" s="1"/>
  <c r="O25" i="1"/>
  <c r="O46" i="1" s="1"/>
  <c r="P25" i="1"/>
  <c r="P26" i="1" s="1"/>
  <c r="P27" i="1" s="1"/>
  <c r="P28" i="1" s="1"/>
  <c r="Q25" i="1"/>
  <c r="Q46" i="1" s="1"/>
  <c r="C25" i="1"/>
  <c r="C46" i="1" s="1"/>
  <c r="R24" i="2" l="1"/>
  <c r="H24" i="2"/>
  <c r="Q63" i="1"/>
  <c r="M96" i="1"/>
  <c r="G63" i="1"/>
  <c r="C93" i="1"/>
  <c r="Q95" i="1"/>
  <c r="Q96" i="1"/>
  <c r="G56" i="1"/>
  <c r="G59" i="1" s="1"/>
  <c r="G67" i="1" s="1"/>
  <c r="G68" i="1" s="1"/>
  <c r="D87" i="1"/>
  <c r="H87" i="1"/>
  <c r="N87" i="1"/>
  <c r="D88" i="1"/>
  <c r="H88" i="1"/>
  <c r="N88" i="1"/>
  <c r="D89" i="1"/>
  <c r="H89" i="1"/>
  <c r="N89" i="1"/>
  <c r="D90" i="1"/>
  <c r="H90" i="1"/>
  <c r="N90" i="1"/>
  <c r="D91" i="1"/>
  <c r="H91" i="1"/>
  <c r="N91" i="1"/>
  <c r="D92" i="1"/>
  <c r="H92" i="1"/>
  <c r="N92" i="1"/>
  <c r="D93" i="1"/>
  <c r="H93" i="1"/>
  <c r="N93" i="1"/>
  <c r="D94" i="1"/>
  <c r="H94" i="1"/>
  <c r="N94" i="1"/>
  <c r="D95" i="1"/>
  <c r="H95" i="1"/>
  <c r="N95" i="1"/>
  <c r="D96" i="1"/>
  <c r="H96" i="1"/>
  <c r="N96" i="1"/>
  <c r="C90" i="1"/>
  <c r="C94" i="1"/>
  <c r="D63" i="1"/>
  <c r="H63" i="1"/>
  <c r="N63" i="1"/>
  <c r="C63" i="1"/>
  <c r="K87" i="1"/>
  <c r="K93" i="1"/>
  <c r="P94" i="1"/>
  <c r="K95" i="1"/>
  <c r="F96" i="1"/>
  <c r="P96" i="1"/>
  <c r="C92" i="1"/>
  <c r="K63" i="1"/>
  <c r="G87" i="1"/>
  <c r="M88" i="1"/>
  <c r="G89" i="1"/>
  <c r="Q89" i="1"/>
  <c r="M90" i="1"/>
  <c r="G91" i="1"/>
  <c r="Q91" i="1"/>
  <c r="M92" i="1"/>
  <c r="Q92" i="1"/>
  <c r="M93" i="1"/>
  <c r="Q93" i="1"/>
  <c r="M94" i="1"/>
  <c r="G95" i="1"/>
  <c r="E87" i="1"/>
  <c r="J87" i="1"/>
  <c r="O87" i="1"/>
  <c r="E88" i="1"/>
  <c r="J88" i="1"/>
  <c r="O88" i="1"/>
  <c r="E89" i="1"/>
  <c r="J89" i="1"/>
  <c r="O89" i="1"/>
  <c r="E90" i="1"/>
  <c r="J90" i="1"/>
  <c r="O90" i="1"/>
  <c r="E91" i="1"/>
  <c r="J91" i="1"/>
  <c r="O91" i="1"/>
  <c r="E92" i="1"/>
  <c r="J92" i="1"/>
  <c r="O92" i="1"/>
  <c r="E93" i="1"/>
  <c r="J93" i="1"/>
  <c r="O93" i="1"/>
  <c r="E94" i="1"/>
  <c r="J94" i="1"/>
  <c r="O94" i="1"/>
  <c r="E95" i="1"/>
  <c r="J95" i="1"/>
  <c r="O95" i="1"/>
  <c r="E96" i="1"/>
  <c r="J96" i="1"/>
  <c r="O96" i="1"/>
  <c r="C87" i="1"/>
  <c r="C91" i="1"/>
  <c r="C95" i="1"/>
  <c r="E63" i="1"/>
  <c r="J63" i="1"/>
  <c r="O63" i="1"/>
  <c r="F87" i="1"/>
  <c r="P87" i="1"/>
  <c r="F88" i="1"/>
  <c r="K88" i="1"/>
  <c r="P88" i="1"/>
  <c r="F89" i="1"/>
  <c r="K89" i="1"/>
  <c r="P89" i="1"/>
  <c r="F90" i="1"/>
  <c r="K90" i="1"/>
  <c r="P90" i="1"/>
  <c r="F91" i="1"/>
  <c r="K91" i="1"/>
  <c r="P91" i="1"/>
  <c r="F92" i="1"/>
  <c r="K92" i="1"/>
  <c r="P92" i="1"/>
  <c r="F93" i="1"/>
  <c r="P93" i="1"/>
  <c r="F94" i="1"/>
  <c r="K94" i="1"/>
  <c r="F95" i="1"/>
  <c r="P95" i="1"/>
  <c r="K96" i="1"/>
  <c r="C88" i="1"/>
  <c r="C96" i="1"/>
  <c r="F63" i="1"/>
  <c r="P63" i="1"/>
  <c r="M87" i="1"/>
  <c r="Q87" i="1"/>
  <c r="G88" i="1"/>
  <c r="Q88" i="1"/>
  <c r="M89" i="1"/>
  <c r="G90" i="1"/>
  <c r="Q90" i="1"/>
  <c r="M91" i="1"/>
  <c r="G92" i="1"/>
  <c r="G93" i="1"/>
  <c r="G94" i="1"/>
  <c r="Q94" i="1"/>
  <c r="M63" i="1"/>
  <c r="C89" i="1"/>
  <c r="G96" i="1"/>
  <c r="Q57" i="1"/>
  <c r="Q60" i="1" s="1"/>
  <c r="M57" i="1"/>
  <c r="M60" i="1" s="1"/>
  <c r="G57" i="1"/>
  <c r="G60" i="1" s="1"/>
  <c r="P56" i="1"/>
  <c r="P59" i="1" s="1"/>
  <c r="P67" i="1" s="1"/>
  <c r="P68" i="1" s="1"/>
  <c r="K56" i="1"/>
  <c r="K59" i="1" s="1"/>
  <c r="K67" i="1" s="1"/>
  <c r="K68" i="1" s="1"/>
  <c r="F56" i="1"/>
  <c r="F59" i="1" s="1"/>
  <c r="F67" i="1" s="1"/>
  <c r="F68" i="1" s="1"/>
  <c r="J56" i="1"/>
  <c r="J59" i="1" s="1"/>
  <c r="J67" i="1" s="1"/>
  <c r="J68" i="1" s="1"/>
  <c r="E56" i="1"/>
  <c r="E59" i="1" s="1"/>
  <c r="E67" i="1" s="1"/>
  <c r="E68" i="1" s="1"/>
  <c r="P57" i="1"/>
  <c r="P60" i="1" s="1"/>
  <c r="F57" i="1"/>
  <c r="F60" i="1" s="1"/>
  <c r="C56" i="1"/>
  <c r="C59" i="1" s="1"/>
  <c r="C67" i="1" s="1"/>
  <c r="C68" i="1" s="1"/>
  <c r="N56" i="1"/>
  <c r="N59" i="1" s="1"/>
  <c r="N67" i="1" s="1"/>
  <c r="N68" i="1" s="1"/>
  <c r="H56" i="1"/>
  <c r="H59" i="1" s="1"/>
  <c r="H67" i="1" s="1"/>
  <c r="H68" i="1" s="1"/>
  <c r="D56" i="1"/>
  <c r="D59" i="1" s="1"/>
  <c r="D67" i="1" s="1"/>
  <c r="D68" i="1" s="1"/>
  <c r="O57" i="1"/>
  <c r="O60" i="1" s="1"/>
  <c r="J57" i="1"/>
  <c r="J60" i="1" s="1"/>
  <c r="E57" i="1"/>
  <c r="E60" i="1" s="1"/>
  <c r="O56" i="1"/>
  <c r="O59" i="1" s="1"/>
  <c r="O67" i="1" s="1"/>
  <c r="O68" i="1" s="1"/>
  <c r="K57" i="1"/>
  <c r="K60" i="1" s="1"/>
  <c r="Q56" i="1"/>
  <c r="Q59" i="1" s="1"/>
  <c r="Q67" i="1" s="1"/>
  <c r="Q68" i="1" s="1"/>
  <c r="M56" i="1"/>
  <c r="M59" i="1" s="1"/>
  <c r="M67" i="1" s="1"/>
  <c r="M68" i="1" s="1"/>
  <c r="C57" i="1"/>
  <c r="C60" i="1" s="1"/>
  <c r="N57" i="1"/>
  <c r="N60" i="1" s="1"/>
  <c r="H57" i="1"/>
  <c r="H60" i="1" s="1"/>
  <c r="G26" i="1"/>
  <c r="G27" i="1" s="1"/>
  <c r="G28" i="1" s="1"/>
  <c r="H44" i="1" a="1"/>
  <c r="H44" i="1" s="1"/>
  <c r="M46" i="1"/>
  <c r="O38" i="1"/>
  <c r="O39" i="1" s="1"/>
  <c r="O40" i="1" s="1"/>
  <c r="O41" i="1" s="1"/>
  <c r="O42" i="1" s="1"/>
  <c r="Q26" i="1"/>
  <c r="Q27" i="1" s="1"/>
  <c r="Q28" i="1" s="1"/>
  <c r="E44" i="1" a="1"/>
  <c r="E44" i="1" s="1"/>
  <c r="C38" i="1"/>
  <c r="C39" i="1" s="1"/>
  <c r="C40" i="1" s="1"/>
  <c r="C41" i="1" s="1"/>
  <c r="C42" i="1" s="1"/>
  <c r="G38" i="1"/>
  <c r="G39" i="1" s="1"/>
  <c r="G40" i="1" s="1"/>
  <c r="G41" i="1" s="1"/>
  <c r="G42" i="1" s="1"/>
  <c r="F38" i="1"/>
  <c r="F39" i="1" s="1"/>
  <c r="F40" i="1" s="1"/>
  <c r="F41" i="1" s="1"/>
  <c r="F42" i="1" s="1"/>
  <c r="M44" i="1" a="1"/>
  <c r="M44" i="1" s="1"/>
  <c r="F26" i="1"/>
  <c r="F27" i="1" s="1"/>
  <c r="F28" i="1" s="1"/>
  <c r="P46" i="1"/>
  <c r="O26" i="1"/>
  <c r="O27" i="1" s="1"/>
  <c r="O28" i="1" s="1"/>
  <c r="J26" i="1"/>
  <c r="J27" i="1" s="1"/>
  <c r="J28" i="1" s="1"/>
  <c r="E26" i="1"/>
  <c r="E27" i="1" s="1"/>
  <c r="E28" i="1" s="1"/>
  <c r="Q44" i="1" a="1"/>
  <c r="Q44" i="1" s="1"/>
  <c r="N44" i="1" a="1"/>
  <c r="N44" i="1" s="1"/>
  <c r="K44" i="1" a="1"/>
  <c r="K44" i="1" s="1"/>
  <c r="D44" i="1" a="1"/>
  <c r="D44" i="1" s="1"/>
  <c r="K26" i="1"/>
  <c r="K27" i="1" s="1"/>
  <c r="K28" i="1" s="1"/>
  <c r="C26" i="1"/>
  <c r="C27" i="1" s="1"/>
  <c r="C28" i="1" s="1"/>
  <c r="N26" i="1"/>
  <c r="N27" i="1" s="1"/>
  <c r="N28" i="1" s="1"/>
  <c r="H26" i="1"/>
  <c r="H27" i="1" s="1"/>
  <c r="H28" i="1" s="1"/>
  <c r="D26" i="1"/>
  <c r="D27" i="1" s="1"/>
  <c r="D28" i="1" s="1"/>
  <c r="P44" i="1" a="1"/>
  <c r="P44" i="1" s="1"/>
  <c r="J44" i="1" a="1"/>
  <c r="J44" i="1" s="1"/>
  <c r="O44" i="1" l="1" a="1"/>
  <c r="O44" i="1" s="1"/>
  <c r="G44" i="1" a="1"/>
  <c r="G44" i="1" s="1"/>
  <c r="F44" i="1" a="1"/>
  <c r="F44" i="1" s="1"/>
  <c r="C44" i="1" a="1"/>
  <c r="C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<sst xmlns="http://schemas.openxmlformats.org/spreadsheetml/2006/main" count="196" uniqueCount="107">
  <si>
    <t>Бронников ЕИ</t>
  </si>
  <si>
    <t>Срочная уплата</t>
  </si>
  <si>
    <t>Основные схемы</t>
  </si>
  <si>
    <t>Произвольное</t>
  </si>
  <si>
    <t>Обычный кредит</t>
  </si>
  <si>
    <t>Равные суммы</t>
  </si>
  <si>
    <t>Равные уплаты</t>
  </si>
  <si>
    <t>Потреб. кредит</t>
  </si>
  <si>
    <t>Льготные 1 вида</t>
  </si>
  <si>
    <t>Y01</t>
  </si>
  <si>
    <t>Y02</t>
  </si>
  <si>
    <t>Y03</t>
  </si>
  <si>
    <t>Y04</t>
  </si>
  <si>
    <t>Y05</t>
  </si>
  <si>
    <t>Y11</t>
  </si>
  <si>
    <t>Y12</t>
  </si>
  <si>
    <t>Y13</t>
  </si>
  <si>
    <t>Y14</t>
  </si>
  <si>
    <t>Y15</t>
  </si>
  <si>
    <t>Льготные 2 вида</t>
  </si>
  <si>
    <t>Y21</t>
  </si>
  <si>
    <t>Y22</t>
  </si>
  <si>
    <t>Y23</t>
  </si>
  <si>
    <t>Y24</t>
  </si>
  <si>
    <t>Y25</t>
  </si>
  <si>
    <t>Варианты финансовых расписаний</t>
  </si>
  <si>
    <t>№ периода</t>
  </si>
  <si>
    <t>сроки (лет)</t>
  </si>
  <si>
    <t>t</t>
  </si>
  <si>
    <t>N t</t>
  </si>
  <si>
    <t>доход:</t>
  </si>
  <si>
    <t>Абсолютные:</t>
  </si>
  <si>
    <t>Валовый доход:</t>
  </si>
  <si>
    <t>доходность:</t>
  </si>
  <si>
    <t>Переплата / валовая прибыль:</t>
  </si>
  <si>
    <t>PI profit index - индекс прибыльности - валовая рентабельность</t>
  </si>
  <si>
    <t>рентабельность (%/год) (is) - стоимость кредита</t>
  </si>
  <si>
    <t>окупаемость:</t>
  </si>
  <si>
    <t>Текущее сальдо</t>
  </si>
  <si>
    <t>срок окупаемости (годы)</t>
  </si>
  <si>
    <t>риск:</t>
  </si>
  <si>
    <t>средний срок (годы)</t>
  </si>
  <si>
    <t>Диконтированные:</t>
  </si>
  <si>
    <t>ставка кредита i =</t>
  </si>
  <si>
    <t>сравнительная доходность iэ:</t>
  </si>
  <si>
    <t>кредитор</t>
  </si>
  <si>
    <t>кредитор (банк) iэб:</t>
  </si>
  <si>
    <t>(ставка привлечения средств банком = депозитная ставка, iэб &lt; i)</t>
  </si>
  <si>
    <t>заёмщик iэз:</t>
  </si>
  <si>
    <t>(эффективность использования кредита = рентабельность заёмщика, iэз &gt; i)</t>
  </si>
  <si>
    <t>NPV платежей:</t>
  </si>
  <si>
    <t>заёмщик</t>
  </si>
  <si>
    <t>%/год</t>
  </si>
  <si>
    <t>%/период</t>
  </si>
  <si>
    <t>Грант-элемент:</t>
  </si>
  <si>
    <t>NPV всего потока:</t>
  </si>
  <si>
    <t>кредитор (доходы - расходы = прибыль)</t>
  </si>
  <si>
    <t>заёмщик (доходы - расходы = прибыль)</t>
  </si>
  <si>
    <t>++</t>
  </si>
  <si>
    <t>+-</t>
  </si>
  <si>
    <t>ставка договора</t>
  </si>
  <si>
    <t>теория: сложные</t>
  </si>
  <si>
    <t>(простая)</t>
  </si>
  <si>
    <t>DPI discount profit index - индекс приведённой прибыльности - валовая рентабельность на текущий момент</t>
  </si>
  <si>
    <t>рентабельность (%/год) (is) - в текущих ценах</t>
  </si>
  <si>
    <t>кредитор:</t>
  </si>
  <si>
    <t>заёмщик:</t>
  </si>
  <si>
    <t>ВНД / ВСД = IRR = барьерная ставка = iэ = (за период)</t>
  </si>
  <si>
    <t>ВНД / ВСД = IRR = барьерная ставка = iэ = (за год)</t>
  </si>
  <si>
    <t>Для кредитора ставка = доход. Фактическая ставка (IRR) &gt; iэ - маржа (наценка) &gt; 0 - сделка выгодна</t>
  </si>
  <si>
    <t>Для заёмщика ставка = расходы. Фактическая ставка (IRR) &lt; iэ - маржа (наценка) &gt; 0 - сделка выгодна</t>
  </si>
  <si>
    <t>Срок окупаемости:</t>
  </si>
  <si>
    <t>Дисконтированный срок окупаемости:</t>
  </si>
  <si>
    <t>NPV нарастающим итогом</t>
  </si>
  <si>
    <t>дисконтированный срок окупаемости:</t>
  </si>
  <si>
    <t>дисконтированный срок убыточности:</t>
  </si>
  <si>
    <t>риск</t>
  </si>
  <si>
    <t>средняя прожолжительность платежей (Дюрация)</t>
  </si>
  <si>
    <t xml:space="preserve"> ВВП</t>
  </si>
  <si>
    <t>№</t>
  </si>
  <si>
    <t>года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</si>
  <si>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</si>
  <si>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</si>
  <si>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</si>
  <si>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</si>
  <si>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</si>
  <si>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</si>
  <si>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</si>
  <si>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</si>
  <si>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</si>
  <si>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</si>
  <si>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</si>
  <si>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</si>
  <si>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</si>
  <si>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</si>
  <si>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</si>
  <si>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</si>
  <si>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</si>
  <si>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</si>
  <si>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</si>
  <si>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ОФ</t>
  </si>
  <si>
    <t>Влияние дисконтирования на статистические зависимости</t>
  </si>
  <si>
    <t>R =</t>
  </si>
  <si>
    <t>ставка iэ =</t>
  </si>
  <si>
    <t>год приведения</t>
  </si>
  <si>
    <t>NV (i)</t>
  </si>
  <si>
    <t>NV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</si>
</sst>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_ ;[Red]\-0.00\ "/>
    <numFmt numFmtId="170" formatCode="0.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9" fontId="2" fillId="0" borderId="1" xfId="0" applyNumberFormat="1" applyFont="1" applyBorder="1"/>
    <xf numFmtId="169" fontId="4" fillId="3" borderId="1" xfId="0" applyNumberFormat="1" applyFont="1" applyFill="1" applyBorder="1"/>
    <xf numFmtId="169" fontId="0" fillId="4" borderId="1" xfId="0" applyNumberForma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9" fontId="2" fillId="0" borderId="1" xfId="0" applyNumberFormat="1" applyFont="1" applyBorder="1"/>
    <xf numFmtId="169" fontId="2" fillId="0" borderId="1" xfId="0" applyNumberFormat="1" applyFont="1" applyBorder="1"/>
    <xf numFmtId="0" fontId="3" fillId="0" borderId="1" xfId="0" applyFont="1" applyFill="1" applyBorder="1" applyAlignment="1">
      <alignment horizontal="center" vertical="center" wrapText="1"/>
    </xf>
    <xf numFmtId="169" fontId="2" fillId="0" borderId="1" xfId="0" applyNumberFormat="1" applyFont="1" applyBorder="1"/>
    <xf numFmtId="169" fontId="4" fillId="3" borderId="1" xfId="0" applyNumberFormat="1" applyFont="1" applyFill="1" applyBorder="1"/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2" fontId="0" fillId="0" borderId="1" xfId="0" applyNumberFormat="1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2" fontId="2" fillId="0" borderId="3" xfId="0" applyNumberFormat="1" applyFont="1" applyBorder="1"/>
    <xf numFmtId="169" fontId="2" fillId="0" borderId="1" xfId="0" applyNumberFormat="1" applyFont="1" applyBorder="1"/>
    <xf numFmtId="169" fontId="0" fillId="0" borderId="1" xfId="0" applyNumberFormat="1" applyBorder="1"/>
    <xf numFmtId="169" fontId="4" fillId="3" borderId="1" xfId="0" applyNumberFormat="1" applyFont="1" applyFill="1" applyBorder="1"/>
    <xf numFmtId="169" fontId="0" fillId="4" borderId="1" xfId="0" applyNumberFormat="1" applyFill="1" applyBorder="1"/>
    <xf numFmtId="0" fontId="0" fillId="0" borderId="2" xfId="0" applyFill="1" applyBorder="1" applyAlignment="1">
      <alignment horizontal="center"/>
    </xf>
    <xf numFmtId="169" fontId="2" fillId="0" borderId="3" xfId="0" applyNumberFormat="1" applyFont="1" applyBorder="1"/>
    <xf numFmtId="169" fontId="2" fillId="0" borderId="4" xfId="0" applyNumberFormat="1" applyFont="1" applyBorder="1"/>
    <xf numFmtId="169" fontId="2" fillId="0" borderId="5" xfId="0" applyNumberFormat="1" applyFont="1" applyBorder="1"/>
    <xf numFmtId="169" fontId="2" fillId="0" borderId="6" xfId="0" applyNumberFormat="1" applyFont="1" applyBorder="1"/>
    <xf numFmtId="169" fontId="4" fillId="5" borderId="5" xfId="0" applyNumberFormat="1" applyFont="1" applyFill="1" applyBorder="1"/>
    <xf numFmtId="169" fontId="4" fillId="5" borderId="1" xfId="0" applyNumberFormat="1" applyFont="1" applyFill="1" applyBorder="1"/>
    <xf numFmtId="169" fontId="4" fillId="5" borderId="6" xfId="0" applyNumberFormat="1" applyFont="1" applyFill="1" applyBorder="1"/>
    <xf numFmtId="169" fontId="2" fillId="0" borderId="7" xfId="0" applyNumberFormat="1" applyFont="1" applyBorder="1"/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9" fontId="0" fillId="0" borderId="0" xfId="0" applyNumberFormat="1"/>
    <xf numFmtId="170" fontId="0" fillId="0" borderId="0" xfId="1" applyNumberFormat="1" applyFont="1"/>
    <xf numFmtId="170" fontId="0" fillId="0" borderId="1" xfId="1" applyNumberFormat="1" applyFont="1" applyBorder="1"/>
    <xf numFmtId="169" fontId="2" fillId="0" borderId="1" xfId="0" applyNumberFormat="1" applyFont="1" applyFill="1" applyBorder="1"/>
    <xf numFmtId="169" fontId="4" fillId="0" borderId="1" xfId="0" applyNumberFormat="1" applyFont="1" applyFill="1" applyBorder="1"/>
    <xf numFmtId="2" fontId="0" fillId="0" borderId="0" xfId="0" applyNumberFormat="1"/>
    <xf numFmtId="0" fontId="6" fillId="0" borderId="0" xfId="0" applyFont="1"/>
    <xf numFmtId="9" fontId="0" fillId="0" borderId="1" xfId="0" applyNumberFormat="1" applyBorder="1"/>
    <xf numFmtId="170" fontId="0" fillId="0" borderId="1" xfId="0" applyNumberFormat="1" applyBorder="1"/>
    <xf numFmtId="0" fontId="0" fillId="0" borderId="0" xfId="0" applyAlignment="1">
      <alignment horizontal="left"/>
    </xf>
    <xf numFmtId="10" fontId="0" fillId="0" borderId="1" xfId="1" applyNumberFormat="1" applyFont="1" applyBorder="1"/>
    <xf numFmtId="169" fontId="4" fillId="0" borderId="0" xfId="0" applyNumberFormat="1" applyFont="1" applyFill="1" applyBorder="1"/>
    <xf numFmtId="169" fontId="4" fillId="0" borderId="0" xfId="0" quotePrefix="1" applyNumberFormat="1" applyFont="1" applyFill="1" applyBorder="1"/>
    <xf numFmtId="169" fontId="4" fillId="6" borderId="0" xfId="0" quotePrefix="1" applyNumberFormat="1" applyFont="1" applyFill="1" applyBorder="1"/>
    <xf numFmtId="2" fontId="0" fillId="0" borderId="1" xfId="0" applyNumberFormat="1" applyFill="1" applyBorder="1"/>
    <xf numFmtId="0" fontId="0" fillId="0" borderId="0" xfId="0" applyFill="1" applyBorder="1" applyAlignment="1">
      <alignment horizontal="right"/>
    </xf>
    <xf numFmtId="10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169" fontId="4" fillId="2" borderId="1" xfId="0" applyNumberFormat="1" applyFont="1" applyFill="1" applyBorder="1"/>
    <xf numFmtId="0" fontId="0" fillId="0" borderId="0" xfId="0" applyFill="1"/>
    <xf numFmtId="0" fontId="2" fillId="0" borderId="1" xfId="0" applyFont="1" applyBorder="1" applyAlignment="1">
      <alignment horizontal="center" wrapText="1"/>
    </xf>
    <xf numFmtId="3" fontId="0" fillId="0" borderId="1" xfId="0" applyNumberFormat="1" applyBorder="1"/>
    <xf numFmtId="10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1" xfId="0" applyFill="1" applyBorder="1"/>
    <xf numFmtId="3" fontId="0" fillId="0" borderId="1" xfId="0" applyNumberForma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Лист1!$C$9:$C$10</c:f>
              <c:strCache>
                <c:ptCount val="2"/>
                <c:pt idx="0">
                  <c:v>Произвольное</c:v>
                </c:pt>
                <c:pt idx="1">
                  <c:v>Y01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Лист1!$C$12:$C$21</c:f>
              <c:numCache>
                <c:formatCode>0.00_ ;[Red]\-0.00\ </c:formatCode>
                <c:ptCount val="10"/>
                <c:pt idx="0">
                  <c:v>200</c:v>
                </c:pt>
                <c:pt idx="1">
                  <c:v>40</c:v>
                </c:pt>
                <c:pt idx="2">
                  <c:v>150</c:v>
                </c:pt>
                <c:pt idx="3">
                  <c:v>100</c:v>
                </c:pt>
                <c:pt idx="4">
                  <c:v>200</c:v>
                </c:pt>
                <c:pt idx="5">
                  <c:v>0</c:v>
                </c:pt>
                <c:pt idx="6">
                  <c:v>100</c:v>
                </c:pt>
                <c:pt idx="7">
                  <c:v>220</c:v>
                </c:pt>
                <c:pt idx="8">
                  <c:v>240</c:v>
                </c:pt>
                <c:pt idx="9">
                  <c:v>48.887325869238317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A-4B78-BE1B-27F6052C93A5}"/>
            </c:ext>
          </c:extLst>
        </c:ser>
        <c:ser>
          <c:idx val="1"/>
          <c:order val="1"/>
          <c:tx>
            <c:strRef>
              <c:f>Лист1!$D$9:$D$10</c:f>
              <c:strCache>
                <c:ptCount val="2"/>
                <c:pt idx="0">
                  <c:v>Обычный кредит</c:v>
                </c:pt>
                <c:pt idx="1">
                  <c:v>Y02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Лист1!$D$12:$D$21</c:f>
              <c:numCache>
                <c:formatCode>0.00_ ;[Red]\-0.00\ 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A-4B78-BE1B-27F6052C93A5}"/>
            </c:ext>
          </c:extLst>
        </c:ser>
        <c:ser>
          <c:idx val="2"/>
          <c:order val="2"/>
          <c:tx>
            <c:strRef>
              <c:f>Лист1!$E$9:$E$10</c:f>
              <c:strCache>
                <c:ptCount val="2"/>
                <c:pt idx="0">
                  <c:v>Равные суммы</c:v>
                </c:pt>
                <c:pt idx="1">
                  <c:v>Y03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Лист1!$E$12:$E$21</c:f>
              <c:numCache>
                <c:formatCode>0.00_ ;[Red]\-0.00\ </c:formatCode>
                <c:ptCount val="10"/>
                <c:pt idx="0">
                  <c:v>150</c:v>
                </c:pt>
                <c:pt idx="1">
                  <c:v>145</c:v>
                </c:pt>
                <c:pt idx="2">
                  <c:v>140</c:v>
                </c:pt>
                <c:pt idx="3">
                  <c:v>135</c:v>
                </c:pt>
                <c:pt idx="4">
                  <c:v>130</c:v>
                </c:pt>
                <c:pt idx="5">
                  <c:v>125</c:v>
                </c:pt>
                <c:pt idx="6">
                  <c:v>120</c:v>
                </c:pt>
                <c:pt idx="7">
                  <c:v>115</c:v>
                </c:pt>
                <c:pt idx="8">
                  <c:v>110</c:v>
                </c:pt>
                <c:pt idx="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8A-4B78-BE1B-27F6052C93A5}"/>
            </c:ext>
          </c:extLst>
        </c:ser>
        <c:ser>
          <c:idx val="3"/>
          <c:order val="3"/>
          <c:tx>
            <c:strRef>
              <c:f>Лист1!$F$9:$F$10</c:f>
              <c:strCache>
                <c:ptCount val="2"/>
                <c:pt idx="0">
                  <c:v>Равные уплаты</c:v>
                </c:pt>
                <c:pt idx="1">
                  <c:v>Y04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Лист1!$F$12:$F$21</c:f>
              <c:numCache>
                <c:formatCode>0.00_ ;[Red]\-0.00\ </c:formatCode>
                <c:ptCount val="10"/>
                <c:pt idx="0">
                  <c:v>129.50457496545667</c:v>
                </c:pt>
                <c:pt idx="1">
                  <c:v>129.50457496545667</c:v>
                </c:pt>
                <c:pt idx="2">
                  <c:v>129.50457496545667</c:v>
                </c:pt>
                <c:pt idx="3">
                  <c:v>129.50457496545667</c:v>
                </c:pt>
                <c:pt idx="4">
                  <c:v>129.50457496545667</c:v>
                </c:pt>
                <c:pt idx="5">
                  <c:v>129.50457496545667</c:v>
                </c:pt>
                <c:pt idx="6">
                  <c:v>129.50457496545667</c:v>
                </c:pt>
                <c:pt idx="7">
                  <c:v>129.50457496545667</c:v>
                </c:pt>
                <c:pt idx="8">
                  <c:v>129.50457496545667</c:v>
                </c:pt>
                <c:pt idx="9">
                  <c:v>129.50457496545667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8A-4B78-BE1B-27F6052C93A5}"/>
            </c:ext>
          </c:extLst>
        </c:ser>
        <c:ser>
          <c:idx val="4"/>
          <c:order val="4"/>
          <c:tx>
            <c:strRef>
              <c:f>Лист1!$G$9:$G$10</c:f>
              <c:strCache>
                <c:ptCount val="2"/>
                <c:pt idx="0">
                  <c:v>Потреб. кредит</c:v>
                </c:pt>
                <c:pt idx="1">
                  <c:v>Y05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Лист1!$G$12:$G$21</c:f>
              <c:numCache>
                <c:formatCode>0.00_ ;[Red]\-0.00\ </c:formatCode>
                <c:ptCount val="1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8A-4B78-BE1B-27F6052C93A5}"/>
            </c:ext>
          </c:extLst>
        </c:ser>
        <c:ser>
          <c:idx val="5"/>
          <c:order val="5"/>
          <c:tx>
            <c:strRef>
              <c:f>Лист1!$H$9:$H$10</c:f>
              <c:strCache>
                <c:ptCount val="2"/>
                <c:pt idx="0">
                  <c:v>Произвольное</c:v>
                </c:pt>
                <c:pt idx="1">
                  <c:v>Y11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Лист1!$H$12:$H$21</c:f>
              <c:numCache>
                <c:formatCode>0.00_ ;[Red]\-0.00\ 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0</c:v>
                </c:pt>
                <c:pt idx="6">
                  <c:v>100</c:v>
                </c:pt>
                <c:pt idx="7">
                  <c:v>220</c:v>
                </c:pt>
                <c:pt idx="8">
                  <c:v>240</c:v>
                </c:pt>
                <c:pt idx="9">
                  <c:v>407.52204609374996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8A-4B78-BE1B-27F6052C93A5}"/>
            </c:ext>
          </c:extLst>
        </c:ser>
        <c:ser>
          <c:idx val="6"/>
          <c:order val="6"/>
          <c:tx>
            <c:strRef>
              <c:f>Лист1!$I$9:$I$10</c:f>
              <c:strCache>
                <c:ptCount val="2"/>
                <c:pt idx="0">
                  <c:v>Обычный кредит</c:v>
                </c:pt>
                <c:pt idx="1">
                  <c:v>Y12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Лист1!$I$12:$I$21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8A-4B78-BE1B-27F6052C93A5}"/>
            </c:ext>
          </c:extLst>
        </c:ser>
        <c:ser>
          <c:idx val="7"/>
          <c:order val="7"/>
          <c:tx>
            <c:strRef>
              <c:f>Лист1!$J$9:$J$10</c:f>
              <c:strCache>
                <c:ptCount val="2"/>
                <c:pt idx="0">
                  <c:v>Равные суммы</c:v>
                </c:pt>
                <c:pt idx="1">
                  <c:v>Y13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Лист1!$J$12:$J$21</c:f>
              <c:numCache>
                <c:formatCode>0.00_ ;[Red]\-0.00\ 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192.85714285714286</c:v>
                </c:pt>
                <c:pt idx="4">
                  <c:v>185.71428571428572</c:v>
                </c:pt>
                <c:pt idx="5">
                  <c:v>178.57142857142858</c:v>
                </c:pt>
                <c:pt idx="6">
                  <c:v>171.42857142857144</c:v>
                </c:pt>
                <c:pt idx="7">
                  <c:v>164.28571428571428</c:v>
                </c:pt>
                <c:pt idx="8">
                  <c:v>157.14285714285714</c:v>
                </c:pt>
                <c:pt idx="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8A-4B78-BE1B-27F6052C93A5}"/>
            </c:ext>
          </c:extLst>
        </c:ser>
        <c:ser>
          <c:idx val="8"/>
          <c:order val="8"/>
          <c:tx>
            <c:strRef>
              <c:f>Лист1!$K$9:$K$10</c:f>
              <c:strCache>
                <c:ptCount val="2"/>
                <c:pt idx="0">
                  <c:v>Равные уплаты</c:v>
                </c:pt>
                <c:pt idx="1">
                  <c:v>Y14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Лист1!$K$12:$K$21</c:f>
              <c:numCache>
                <c:formatCode>0.00_ ;[Red]\-0.00\ 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172.81981844617073</c:v>
                </c:pt>
                <c:pt idx="4">
                  <c:v>172.81981844617073</c:v>
                </c:pt>
                <c:pt idx="5">
                  <c:v>172.81981844617073</c:v>
                </c:pt>
                <c:pt idx="6">
                  <c:v>172.81981844617073</c:v>
                </c:pt>
                <c:pt idx="7">
                  <c:v>172.81981844617073</c:v>
                </c:pt>
                <c:pt idx="8">
                  <c:v>172.81981844617073</c:v>
                </c:pt>
                <c:pt idx="9">
                  <c:v>172.81981844617073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8A-4B78-BE1B-27F6052C93A5}"/>
            </c:ext>
          </c:extLst>
        </c:ser>
        <c:ser>
          <c:idx val="9"/>
          <c:order val="9"/>
          <c:tx>
            <c:strRef>
              <c:f>Лист1!$L$9:$L$10</c:f>
              <c:strCache>
                <c:ptCount val="2"/>
                <c:pt idx="0">
                  <c:v>Потреб. кредит</c:v>
                </c:pt>
                <c:pt idx="1">
                  <c:v>Y15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Лист1!$L$12:$L$21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8A-4B78-BE1B-27F6052C93A5}"/>
            </c:ext>
          </c:extLst>
        </c:ser>
        <c:ser>
          <c:idx val="10"/>
          <c:order val="10"/>
          <c:tx>
            <c:strRef>
              <c:f>Лист1!$M$9:$M$10</c:f>
              <c:strCache>
                <c:ptCount val="2"/>
                <c:pt idx="0">
                  <c:v>Произвольное</c:v>
                </c:pt>
                <c:pt idx="1">
                  <c:v>Y21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Лист1!$M$12:$M$21</c:f>
              <c:numCache>
                <c:formatCode>0.00_ ;[Red]\-0.00\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0</c:v>
                </c:pt>
                <c:pt idx="6">
                  <c:v>100</c:v>
                </c:pt>
                <c:pt idx="7">
                  <c:v>220</c:v>
                </c:pt>
                <c:pt idx="8">
                  <c:v>240</c:v>
                </c:pt>
                <c:pt idx="9">
                  <c:v>629.31625021494131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8A-4B78-BE1B-27F6052C93A5}"/>
            </c:ext>
          </c:extLst>
        </c:ser>
        <c:ser>
          <c:idx val="11"/>
          <c:order val="11"/>
          <c:tx>
            <c:strRef>
              <c:f>Лист1!$N$9:$N$10</c:f>
              <c:strCache>
                <c:ptCount val="2"/>
                <c:pt idx="0">
                  <c:v>Обычный кредит</c:v>
                </c:pt>
                <c:pt idx="1">
                  <c:v>Y22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Лист1!$N$12:$N$21</c:f>
              <c:numCache>
                <c:formatCode>0.00_ ;[Red]\-0.00\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57.881250000000001</c:v>
                </c:pt>
                <c:pt idx="4">
                  <c:v>57.881250000000001</c:v>
                </c:pt>
                <c:pt idx="5">
                  <c:v>57.881250000000001</c:v>
                </c:pt>
                <c:pt idx="6">
                  <c:v>57.881250000000001</c:v>
                </c:pt>
                <c:pt idx="7">
                  <c:v>57.881250000000001</c:v>
                </c:pt>
                <c:pt idx="8">
                  <c:v>57.881250000000001</c:v>
                </c:pt>
                <c:pt idx="9">
                  <c:v>1215.5062499999999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8A-4B78-BE1B-27F6052C93A5}"/>
            </c:ext>
          </c:extLst>
        </c:ser>
        <c:ser>
          <c:idx val="12"/>
          <c:order val="12"/>
          <c:tx>
            <c:strRef>
              <c:f>Лист1!$O$9:$O$10</c:f>
              <c:strCache>
                <c:ptCount val="2"/>
                <c:pt idx="0">
                  <c:v>Равные суммы</c:v>
                </c:pt>
                <c:pt idx="1">
                  <c:v>Y23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Лист1!$O$12:$O$21</c:f>
              <c:numCache>
                <c:formatCode>0.00_ ;[Red]\-0.00\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223.25624999999999</c:v>
                </c:pt>
                <c:pt idx="4">
                  <c:v>214.98750000000001</c:v>
                </c:pt>
                <c:pt idx="5">
                  <c:v>206.71875</c:v>
                </c:pt>
                <c:pt idx="6">
                  <c:v>198.45</c:v>
                </c:pt>
                <c:pt idx="7">
                  <c:v>190.18125000000001</c:v>
                </c:pt>
                <c:pt idx="8">
                  <c:v>181.91249999999999</c:v>
                </c:pt>
                <c:pt idx="9">
                  <c:v>173.64375000000001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8A-4B78-BE1B-27F6052C93A5}"/>
            </c:ext>
          </c:extLst>
        </c:ser>
        <c:ser>
          <c:idx val="13"/>
          <c:order val="13"/>
          <c:tx>
            <c:strRef>
              <c:f>Лист1!$P$9:$P$10</c:f>
              <c:strCache>
                <c:ptCount val="2"/>
                <c:pt idx="0">
                  <c:v>Равные уплаты</c:v>
                </c:pt>
                <c:pt idx="1">
                  <c:v>Y24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Лист1!$P$12:$P$21</c:f>
              <c:numCache>
                <c:formatCode>0.00_ ;[Red]\-0.00\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200.0605423287484</c:v>
                </c:pt>
                <c:pt idx="4">
                  <c:v>200.0605423287484</c:v>
                </c:pt>
                <c:pt idx="5">
                  <c:v>200.0605423287484</c:v>
                </c:pt>
                <c:pt idx="6">
                  <c:v>200.0605423287484</c:v>
                </c:pt>
                <c:pt idx="7">
                  <c:v>200.0605423287484</c:v>
                </c:pt>
                <c:pt idx="8">
                  <c:v>200.0605423287484</c:v>
                </c:pt>
                <c:pt idx="9">
                  <c:v>200.0605423287484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8A-4B78-BE1B-27F6052C93A5}"/>
            </c:ext>
          </c:extLst>
        </c:ser>
        <c:ser>
          <c:idx val="14"/>
          <c:order val="14"/>
          <c:tx>
            <c:strRef>
              <c:f>Лист1!$Q$9:$Q$10</c:f>
              <c:strCache>
                <c:ptCount val="2"/>
                <c:pt idx="0">
                  <c:v>Потреб. кредит</c:v>
                </c:pt>
                <c:pt idx="1">
                  <c:v>Y25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Лист1!$Q$12:$Q$21</c:f>
              <c:numCache>
                <c:formatCode>0.00_ ;[Red]\-0.00\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248.0625</c:v>
                </c:pt>
                <c:pt idx="4">
                  <c:v>248.0625</c:v>
                </c:pt>
                <c:pt idx="5">
                  <c:v>248.0625</c:v>
                </c:pt>
                <c:pt idx="6">
                  <c:v>248.0625</c:v>
                </c:pt>
                <c:pt idx="7">
                  <c:v>248.0625</c:v>
                </c:pt>
                <c:pt idx="8">
                  <c:v>248.0625</c:v>
                </c:pt>
                <c:pt idx="9">
                  <c:v>248.0625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48A-4B78-BE1B-27F6052C9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009055"/>
        <c:axId val="258987839"/>
      </c:lineChart>
      <c:catAx>
        <c:axId val="25900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987839"/>
        <c:crosses val="autoZero"/>
        <c:auto val="1"/>
        <c:lblAlgn val="ctr"/>
        <c:lblOffset val="100"/>
        <c:noMultiLvlLbl val="0"/>
      </c:catAx>
      <c:valAx>
        <c:axId val="25898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00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Лист2!$D$4:$D$22</c:f>
              <c:numCache>
                <c:formatCode>#,##0</c:formatCode>
                <c:ptCount val="19"/>
                <c:pt idx="0">
                  <c:v>19602397.321984183</c:v>
                </c:pt>
                <c:pt idx="1">
                  <c:v>24022978.906362057</c:v>
                </c:pt>
                <c:pt idx="2">
                  <c:v>30440849.061113443</c:v>
                </c:pt>
                <c:pt idx="3">
                  <c:v>38213454.25354141</c:v>
                </c:pt>
                <c:pt idx="4">
                  <c:v>47713259.982092008</c:v>
                </c:pt>
                <c:pt idx="5">
                  <c:v>59612981.802219532</c:v>
                </c:pt>
                <c:pt idx="6">
                  <c:v>73908757.038563877</c:v>
                </c:pt>
                <c:pt idx="7">
                  <c:v>70311249.113715991</c:v>
                </c:pt>
                <c:pt idx="8">
                  <c:v>84698521.995215192</c:v>
                </c:pt>
                <c:pt idx="9">
                  <c:v>100829145.54743643</c:v>
                </c:pt>
                <c:pt idx="10">
                  <c:v>112945156.42228678</c:v>
                </c:pt>
                <c:pt idx="11">
                  <c:v>123005372.94215156</c:v>
                </c:pt>
                <c:pt idx="12">
                  <c:v>132754069.3</c:v>
                </c:pt>
                <c:pt idx="13">
                  <c:v>145925412.69999999</c:v>
                </c:pt>
                <c:pt idx="14">
                  <c:v>153394472.69999999</c:v>
                </c:pt>
                <c:pt idx="15">
                  <c:v>166056377.30000001</c:v>
                </c:pt>
                <c:pt idx="16">
                  <c:v>185944593.40000001</c:v>
                </c:pt>
                <c:pt idx="17">
                  <c:v>196733129.80000001</c:v>
                </c:pt>
                <c:pt idx="18">
                  <c:v>194627646.5</c:v>
                </c:pt>
              </c:numCache>
            </c:numRef>
          </c:xVal>
          <c:yVal>
            <c:numRef>
              <c:f>Лист2!$E$4:$E$22</c:f>
              <c:numCache>
                <c:formatCode>#,##0</c:formatCode>
                <c:ptCount val="19"/>
                <c:pt idx="0">
                  <c:v>447763.37794040772</c:v>
                </c:pt>
                <c:pt idx="1">
                  <c:v>789168.57898124564</c:v>
                </c:pt>
                <c:pt idx="2">
                  <c:v>1771176.4685809396</c:v>
                </c:pt>
                <c:pt idx="3">
                  <c:v>2643758.2521130401</c:v>
                </c:pt>
                <c:pt idx="4">
                  <c:v>2921050.1780657065</c:v>
                </c:pt>
                <c:pt idx="5">
                  <c:v>3858656.1323861443</c:v>
                </c:pt>
                <c:pt idx="6">
                  <c:v>5159513.1625373233</c:v>
                </c:pt>
                <c:pt idx="7">
                  <c:v>5708596.9796101572</c:v>
                </c:pt>
                <c:pt idx="8">
                  <c:v>5636489.4034129502</c:v>
                </c:pt>
                <c:pt idx="9">
                  <c:v>7915338.6658642897</c:v>
                </c:pt>
                <c:pt idx="10">
                  <c:v>9285104.1990458947</c:v>
                </c:pt>
                <c:pt idx="11">
                  <c:v>10023359.935921768</c:v>
                </c:pt>
                <c:pt idx="12">
                  <c:v>9778589.5255340301</c:v>
                </c:pt>
                <c:pt idx="13">
                  <c:v>9628726.1499094423</c:v>
                </c:pt>
                <c:pt idx="14">
                  <c:v>11905626.510403479</c:v>
                </c:pt>
                <c:pt idx="15">
                  <c:v>12484066</c:v>
                </c:pt>
                <c:pt idx="16">
                  <c:v>14907930</c:v>
                </c:pt>
                <c:pt idx="17">
                  <c:v>15838538.000000002</c:v>
                </c:pt>
                <c:pt idx="18">
                  <c:v>16180929.185052715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9-4693-A95A-73B0E2842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861375"/>
        <c:axId val="341861791"/>
      </c:scatterChart>
      <c:valAx>
        <c:axId val="34186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61791"/>
        <c:crosses val="autoZero"/>
        <c:crossBetween val="midCat"/>
      </c:valAx>
      <c:valAx>
        <c:axId val="3418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6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Лист2!$G$4:$G$22</c:f>
              <c:numCache>
                <c:formatCode>#,##0</c:formatCode>
                <c:ptCount val="19"/>
                <c:pt idx="0">
                  <c:v>26090790.835560955</c:v>
                </c:pt>
                <c:pt idx="1">
                  <c:v>29067804.476698093</c:v>
                </c:pt>
                <c:pt idx="2">
                  <c:v>33484933.967224792</c:v>
                </c:pt>
                <c:pt idx="3">
                  <c:v>38213454.25354141</c:v>
                </c:pt>
                <c:pt idx="4">
                  <c:v>43375690.892810918</c:v>
                </c:pt>
                <c:pt idx="5">
                  <c:v>49266927.109272338</c:v>
                </c:pt>
                <c:pt idx="6">
                  <c:v>55528743.079311684</c:v>
                </c:pt>
                <c:pt idx="7">
                  <c:v>48023529.208193414</c:v>
                </c:pt>
                <c:pt idx="8">
                  <c:v>52591118.338423952</c:v>
                </c:pt>
                <c:pt idx="9">
                  <c:v>56915424.051125757</c:v>
                </c:pt>
                <c:pt idx="10">
                  <c:v>57958723.932933472</c:v>
                </c:pt>
                <c:pt idx="11">
                  <c:v>57382914.282964319</c:v>
                </c:pt>
                <c:pt idx="12">
                  <c:v>56300684.619385779</c:v>
                </c:pt>
                <c:pt idx="13">
                  <c:v>56260563.623719923</c:v>
                </c:pt>
                <c:pt idx="14">
                  <c:v>53763826.895514958</c:v>
                </c:pt>
                <c:pt idx="15">
                  <c:v>52910679.285118498</c:v>
                </c:pt>
                <c:pt idx="16">
                  <c:v>53861525.312601611</c:v>
                </c:pt>
                <c:pt idx="17">
                  <c:v>51805981.833794795</c:v>
                </c:pt>
                <c:pt idx="18">
                  <c:v>46592311.159532078</c:v>
                </c:pt>
              </c:numCache>
            </c:numRef>
          </c:xVal>
          <c:yVal>
            <c:numRef>
              <c:f>Лист2!$H$4:$H$22</c:f>
              <c:numCache>
                <c:formatCode>#,##0</c:formatCode>
                <c:ptCount val="19"/>
                <c:pt idx="0">
                  <c:v>595973.05603868281</c:v>
                </c:pt>
                <c:pt idx="1">
                  <c:v>954893.98056730733</c:v>
                </c:pt>
                <c:pt idx="2">
                  <c:v>1948294.1154390336</c:v>
                </c:pt>
                <c:pt idx="3">
                  <c:v>2643758.2521130401</c:v>
                </c:pt>
                <c:pt idx="4">
                  <c:v>2655500.1618779148</c:v>
                </c:pt>
                <c:pt idx="5">
                  <c:v>3188972.0102364826</c:v>
                </c:pt>
                <c:pt idx="6">
                  <c:v>3876418.6044607977</c:v>
                </c:pt>
                <c:pt idx="7">
                  <c:v>3899048.5483301384</c:v>
                </c:pt>
                <c:pt idx="8">
                  <c:v>3499816.4577760757</c:v>
                </c:pt>
                <c:pt idx="9">
                  <c:v>4468002.3244270375</c:v>
                </c:pt>
                <c:pt idx="10">
                  <c:v>4764726.5983584225</c:v>
                </c:pt>
                <c:pt idx="11">
                  <c:v>4675971.3846060624</c:v>
                </c:pt>
                <c:pt idx="12">
                  <c:v>4147076.528821107</c:v>
                </c:pt>
                <c:pt idx="13">
                  <c:v>3712290.7528522345</c:v>
                </c:pt>
                <c:pt idx="14">
                  <c:v>4172849.4614003552</c:v>
                </c:pt>
                <c:pt idx="15">
                  <c:v>3977808.1579300603</c:v>
                </c:pt>
                <c:pt idx="16">
                  <c:v>4318296.29660796</c:v>
                </c:pt>
                <c:pt idx="17">
                  <c:v>4170782.0779145081</c:v>
                </c:pt>
                <c:pt idx="18">
                  <c:v>3873585.7983070766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2-4668-AC5B-E436B59B1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50703"/>
        <c:axId val="211151951"/>
      </c:scatterChart>
      <c:valAx>
        <c:axId val="21115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51951"/>
        <c:crosses val="autoZero"/>
        <c:crossBetween val="midCat"/>
      </c:valAx>
      <c:valAx>
        <c:axId val="21115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5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28574</xdr:colOff>
      <xdr:row>6</xdr:row>
      <xdr:rowOff>0</xdr:rowOff>
    </xdr:from>
    <xdr:to>
      <xdr:col>25</xdr:col>
      <xdr:colOff>217714</xdr:colOff>
      <xdr:row>29</xdr:row>
      <xdr:rowOff>27214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1089AD-2D7B-519F-E37E-ED8615F3C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530678</xdr:colOff>
      <xdr:row>25</xdr:row>
      <xdr:rowOff>122464</xdr:rowOff>
    </xdr:from>
    <xdr:to>
      <xdr:col>2</xdr:col>
      <xdr:colOff>27214</xdr:colOff>
      <xdr:row>41</xdr:row>
      <xdr:rowOff>54429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1EC68CC-F8E1-959B-7F85-BD1DC3A73430}"/>
            </a:ext>
          </a:extLst>
        </xdr:cNvPr>
        <xdr:cNvCxnSpPr/>
      </xdr:nvCxnSpPr>
      <xdr:spPr>
        <a:xfrm>
          <a:off x="1360714" y="5252357"/>
          <a:ext cx="1877786" cy="3007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179294</xdr:colOff>
      <xdr:row>60</xdr:row>
      <xdr:rowOff>168088</xdr:rowOff>
    </xdr:from>
    <xdr:to>
      <xdr:col>1</xdr:col>
      <xdr:colOff>1344706</xdr:colOff>
      <xdr:row>64</xdr:row>
      <xdr:rowOff>11205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2DB970-03AD-CF22-B760-C61FA4BA41C1}"/>
            </a:ext>
          </a:extLst>
        </xdr:cNvPr>
        <xdr:cNvSpPr txBox="1"/>
      </xdr:nvSpPr>
      <xdr:spPr>
        <a:xfrm>
          <a:off x="179294" y="11967882"/>
          <a:ext cx="1994647" cy="605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NPV </a:t>
          </a:r>
          <a:r>
            <a:rPr lang="ru-RU" sz="1100"/>
            <a:t>всего потока грант-элементу для коммерческих</a:t>
          </a:r>
          <a:r>
            <a:rPr lang="ru-RU" sz="1100" baseline="0"/>
            <a:t> кредитов</a:t>
          </a:r>
          <a:endParaRPr lang="en-US" sz="1100"/>
        </a:p>
      </xdr:txBody>
    </xdr:sp>
    <xdr:clientData/>
  </xdr:twoCellAnchor>
  <xdr:twoCellAnchor>
    <xdr:from>
      <xdr:col>2</xdr:col>
      <xdr:colOff>134471</xdr:colOff>
      <xdr:row>51</xdr:row>
      <xdr:rowOff>145677</xdr:rowOff>
    </xdr:from>
    <xdr:to>
      <xdr:col>3</xdr:col>
      <xdr:colOff>638736</xdr:colOff>
      <xdr:row>74</xdr:row>
      <xdr:rowOff>67235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D7829B0-F00F-C6F9-FC8C-EFE20F52C528}"/>
            </a:ext>
          </a:extLst>
        </xdr:cNvPr>
        <xdr:cNvCxnSpPr/>
      </xdr:nvCxnSpPr>
      <xdr:spPr>
        <a:xfrm flipV="1">
          <a:off x="3350559" y="10230971"/>
          <a:ext cx="1154206" cy="430305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31</xdr:row>
      <xdr:rowOff>61912</xdr:rowOff>
    </xdr:from>
    <xdr:to>
      <xdr:col>9</xdr:col>
      <xdr:colOff>361950</xdr:colOff>
      <xdr:row>45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6938DF1-BA25-4BC7-17AF-45FB07B3E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77656</xdr:colOff>
      <xdr:row>37</xdr:row>
      <xdr:rowOff>162000</xdr:rowOff>
    </xdr:from>
    <xdr:to>
      <xdr:col>8</xdr:col>
      <xdr:colOff>160383</xdr:colOff>
      <xdr:row>40</xdr:row>
      <xdr:rowOff>94127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5AAC38A0-B4EF-3633-E8F9-E59B1FED5805}"/>
            </a:ext>
          </a:extLst>
        </xdr:cNvPr>
        <xdr:cNvSpPr/>
      </xdr:nvSpPr>
      <xdr:spPr>
        <a:xfrm rot="19469230">
          <a:off x="4621081" y="2067000"/>
          <a:ext cx="3130727" cy="50362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38</xdr:row>
      <xdr:rowOff>0</xdr:rowOff>
    </xdr:from>
    <xdr:to>
      <xdr:col>5</xdr:col>
      <xdr:colOff>570095</xdr:colOff>
      <xdr:row>40</xdr:row>
      <xdr:rowOff>47286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8AA0B909-F73E-B0C7-B283-6CC2E2084887}"/>
            </a:ext>
          </a:extLst>
        </xdr:cNvPr>
        <xdr:cNvCxnSpPr>
          <a:endCxn id="3" idx="4"/>
        </xdr:cNvCxnSpPr>
      </xdr:nvCxnSpPr>
      <xdr:spPr>
        <a:xfrm>
          <a:off x="6010275" y="2095500"/>
          <a:ext cx="322445" cy="4282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32</xdr:row>
      <xdr:rowOff>142875</xdr:rowOff>
    </xdr:from>
    <xdr:to>
      <xdr:col>8</xdr:col>
      <xdr:colOff>285750</xdr:colOff>
      <xdr:row>44</xdr:row>
      <xdr:rowOff>28575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A70D6FF8-E1D9-FAFE-48DB-FB2BE7F0AACC}"/>
            </a:ext>
          </a:extLst>
        </xdr:cNvPr>
        <xdr:cNvCxnSpPr/>
      </xdr:nvCxnSpPr>
      <xdr:spPr>
        <a:xfrm flipV="1">
          <a:off x="4886325" y="1095375"/>
          <a:ext cx="2990850" cy="217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5</xdr:row>
      <xdr:rowOff>90487</xdr:rowOff>
    </xdr:from>
    <xdr:to>
      <xdr:col>15</xdr:col>
      <xdr:colOff>247650</xdr:colOff>
      <xdr:row>19</xdr:row>
      <xdr:rowOff>166687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E650487-5512-956C-EA9F-454C1D470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BA6B-B109-466B-AB8D-AA3E96B7631D}">
  <dimension ref="A1:Q125"/>
  <sheetViews>
    <sheetView zoomScale="85" zoomScaleNormal="85" workbookViewId="0">
      <selection activeCell="O4" sqref="O4"/>
    </sheetView>
  </sheetViews>
  <sheetFormatPr defaultRowHeight="15" x14ac:dyDescent="0.25"/>
  <cols>
    <col min="1" max="1" width="12.42578125" customWidth="1"/>
    <col min="2" max="2" width="35.7109375" customWidth="1"/>
    <col min="3" max="8" width="9.7109375" bestFit="1" customWidth="1"/>
    <col min="10" max="11" width="9.7109375" bestFit="1" customWidth="1"/>
    <col min="13" max="17" width="9.7109375" bestFit="1" customWidth="1"/>
  </cols>
  <sheetData>
    <row r="1" spans="1:17" x14ac:dyDescent="0.25">
      <c r="A1" s="3" t="s">
        <v>0</v>
      </c>
      <c r="B1" s="3"/>
    </row>
    <row r="2" spans="1:17" x14ac:dyDescent="0.25">
      <c r="A2" s="1"/>
      <c r="B2" s="2">
        <v>44711</v>
      </c>
    </row>
    <row r="5" spans="1:17" x14ac:dyDescent="0.25">
      <c r="A5" t="s">
        <v>25</v>
      </c>
      <c r="D5" s="18" t="s">
        <v>43</v>
      </c>
      <c r="E5" s="50">
        <v>0.2</v>
      </c>
    </row>
    <row r="7" spans="1:17" ht="24" customHeight="1" x14ac:dyDescent="0.25">
      <c r="A7" s="16"/>
      <c r="C7" s="8" t="s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4" customHeight="1" x14ac:dyDescent="0.25">
      <c r="A8" s="16"/>
      <c r="C8" s="39" t="s">
        <v>2</v>
      </c>
      <c r="D8" s="40"/>
      <c r="E8" s="40"/>
      <c r="F8" s="40"/>
      <c r="G8" s="41"/>
      <c r="H8" s="8" t="s">
        <v>8</v>
      </c>
      <c r="I8" s="8"/>
      <c r="J8" s="8"/>
      <c r="K8" s="8"/>
      <c r="L8" s="8"/>
      <c r="M8" s="8" t="s">
        <v>19</v>
      </c>
      <c r="N8" s="8"/>
      <c r="O8" s="8"/>
      <c r="P8" s="8"/>
      <c r="Q8" s="8"/>
    </row>
    <row r="9" spans="1:17" ht="24" x14ac:dyDescent="0.25">
      <c r="A9" s="20" t="s">
        <v>26</v>
      </c>
      <c r="B9" s="20" t="s">
        <v>27</v>
      </c>
      <c r="C9" s="9" t="s">
        <v>3</v>
      </c>
      <c r="D9" s="9" t="s">
        <v>4</v>
      </c>
      <c r="E9" s="9" t="s">
        <v>5</v>
      </c>
      <c r="F9" s="13" t="s">
        <v>6</v>
      </c>
      <c r="G9" s="23" t="s">
        <v>7</v>
      </c>
      <c r="H9" s="9" t="s">
        <v>3</v>
      </c>
      <c r="I9" s="9" t="s">
        <v>4</v>
      </c>
      <c r="J9" s="9" t="s">
        <v>5</v>
      </c>
      <c r="K9" s="9" t="s">
        <v>6</v>
      </c>
      <c r="L9" s="9" t="s">
        <v>7</v>
      </c>
      <c r="M9" s="9" t="s">
        <v>3</v>
      </c>
      <c r="N9" s="9" t="s">
        <v>4</v>
      </c>
      <c r="O9" s="9" t="s">
        <v>5</v>
      </c>
      <c r="P9" s="9" t="s">
        <v>6</v>
      </c>
      <c r="Q9" s="9" t="s">
        <v>7</v>
      </c>
    </row>
    <row r="10" spans="1:17" ht="15.75" thickBot="1" x14ac:dyDescent="0.3">
      <c r="A10" s="22" t="s">
        <v>28</v>
      </c>
      <c r="B10" s="22" t="s">
        <v>29</v>
      </c>
      <c r="C10" s="4" t="s">
        <v>9</v>
      </c>
      <c r="D10" s="10" t="s">
        <v>10</v>
      </c>
      <c r="E10" s="21" t="s">
        <v>11</v>
      </c>
      <c r="F10" s="21" t="s">
        <v>12</v>
      </c>
      <c r="G10" s="21" t="s">
        <v>13</v>
      </c>
      <c r="H10" s="21" t="s">
        <v>14</v>
      </c>
      <c r="I10" s="21" t="s">
        <v>15</v>
      </c>
      <c r="J10" s="21" t="s">
        <v>16</v>
      </c>
      <c r="K10" s="21" t="s">
        <v>17</v>
      </c>
      <c r="L10" s="21" t="s">
        <v>18</v>
      </c>
      <c r="M10" s="21" t="s">
        <v>20</v>
      </c>
      <c r="N10" s="21" t="s">
        <v>21</v>
      </c>
      <c r="O10" s="21" t="s">
        <v>22</v>
      </c>
      <c r="P10" s="21" t="s">
        <v>23</v>
      </c>
      <c r="Q10" s="21" t="s">
        <v>24</v>
      </c>
    </row>
    <row r="11" spans="1:17" ht="15.75" thickBot="1" x14ac:dyDescent="0.3">
      <c r="A11" s="24">
        <v>0</v>
      </c>
      <c r="B11" s="25">
        <v>0</v>
      </c>
      <c r="C11" s="5">
        <v>-1000</v>
      </c>
      <c r="D11" s="11">
        <v>-1000</v>
      </c>
      <c r="E11" s="12">
        <v>-1000</v>
      </c>
      <c r="F11" s="14">
        <v>-1000</v>
      </c>
      <c r="G11" s="26">
        <v>-1000</v>
      </c>
      <c r="H11" s="32">
        <v>-1000</v>
      </c>
      <c r="J11" s="32">
        <v>-1000</v>
      </c>
      <c r="K11" s="32">
        <v>-1000</v>
      </c>
      <c r="M11" s="38">
        <v>-1000</v>
      </c>
      <c r="N11" s="38">
        <v>-1000</v>
      </c>
      <c r="O11" s="38">
        <v>-1000</v>
      </c>
      <c r="P11" s="38">
        <v>-1000</v>
      </c>
      <c r="Q11" s="26">
        <v>-1000</v>
      </c>
    </row>
    <row r="12" spans="1:17" x14ac:dyDescent="0.25">
      <c r="A12" s="17">
        <v>1</v>
      </c>
      <c r="B12" s="19">
        <v>0.25</v>
      </c>
      <c r="C12" s="6">
        <v>200</v>
      </c>
      <c r="D12" s="11">
        <v>50</v>
      </c>
      <c r="E12" s="12">
        <v>150</v>
      </c>
      <c r="F12" s="15">
        <v>129.50457496545667</v>
      </c>
      <c r="G12" s="26">
        <v>150</v>
      </c>
      <c r="H12" s="33">
        <v>50</v>
      </c>
      <c r="J12" s="33">
        <v>50</v>
      </c>
      <c r="K12" s="33">
        <v>50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</row>
    <row r="13" spans="1:17" x14ac:dyDescent="0.25">
      <c r="A13" s="17">
        <v>2</v>
      </c>
      <c r="B13" s="19">
        <v>0.5</v>
      </c>
      <c r="C13" s="6">
        <v>40</v>
      </c>
      <c r="D13" s="11">
        <v>50</v>
      </c>
      <c r="E13" s="12">
        <v>145</v>
      </c>
      <c r="F13" s="15">
        <v>129.50457496545667</v>
      </c>
      <c r="G13" s="26">
        <v>150</v>
      </c>
      <c r="H13" s="26">
        <v>50</v>
      </c>
      <c r="J13" s="26">
        <v>50</v>
      </c>
      <c r="K13" s="26">
        <v>50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</row>
    <row r="14" spans="1:17" ht="15.75" thickBot="1" x14ac:dyDescent="0.3">
      <c r="A14" s="17">
        <v>3</v>
      </c>
      <c r="B14" s="19">
        <v>0.75</v>
      </c>
      <c r="C14" s="6">
        <v>150</v>
      </c>
      <c r="D14" s="11">
        <v>50</v>
      </c>
      <c r="E14" s="12">
        <v>140</v>
      </c>
      <c r="F14" s="15">
        <v>129.50457496545667</v>
      </c>
      <c r="G14" s="26">
        <v>150</v>
      </c>
      <c r="H14" s="34">
        <v>50</v>
      </c>
      <c r="J14" s="34">
        <v>50</v>
      </c>
      <c r="K14" s="34">
        <v>50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</row>
    <row r="15" spans="1:17" x14ac:dyDescent="0.25">
      <c r="A15" s="17">
        <v>4</v>
      </c>
      <c r="B15" s="19">
        <v>1</v>
      </c>
      <c r="C15" s="6">
        <v>100</v>
      </c>
      <c r="D15" s="11">
        <v>50</v>
      </c>
      <c r="E15" s="12">
        <v>135</v>
      </c>
      <c r="F15" s="15">
        <v>129.50457496545667</v>
      </c>
      <c r="G15" s="26">
        <v>150</v>
      </c>
      <c r="H15" s="28">
        <v>100</v>
      </c>
      <c r="J15" s="31">
        <v>192.85714285714286</v>
      </c>
      <c r="K15" s="28">
        <v>172.81981844617073</v>
      </c>
      <c r="M15" s="28">
        <v>100</v>
      </c>
      <c r="N15" s="26">
        <v>57.881250000000001</v>
      </c>
      <c r="O15" s="31">
        <v>223.25624999999999</v>
      </c>
      <c r="P15" s="28">
        <v>200.0605423287484</v>
      </c>
      <c r="Q15" s="26">
        <v>248.0625</v>
      </c>
    </row>
    <row r="16" spans="1:17" x14ac:dyDescent="0.25">
      <c r="A16" s="17">
        <v>5</v>
      </c>
      <c r="B16" s="19">
        <v>1.25</v>
      </c>
      <c r="C16" s="6">
        <v>200</v>
      </c>
      <c r="D16" s="11">
        <v>50</v>
      </c>
      <c r="E16" s="12">
        <v>130</v>
      </c>
      <c r="F16" s="15">
        <v>129.50457496545667</v>
      </c>
      <c r="G16" s="26">
        <v>150</v>
      </c>
      <c r="H16" s="28">
        <v>200</v>
      </c>
      <c r="J16" s="26">
        <v>185.71428571428572</v>
      </c>
      <c r="K16" s="28">
        <v>172.81981844617073</v>
      </c>
      <c r="M16" s="28">
        <v>200</v>
      </c>
      <c r="N16" s="26">
        <v>57.881250000000001</v>
      </c>
      <c r="O16" s="26">
        <v>214.98750000000001</v>
      </c>
      <c r="P16" s="28">
        <v>200.0605423287484</v>
      </c>
      <c r="Q16" s="26">
        <v>248.0625</v>
      </c>
    </row>
    <row r="17" spans="1:17" x14ac:dyDescent="0.25">
      <c r="A17" s="17">
        <v>6</v>
      </c>
      <c r="B17" s="19">
        <v>1.5</v>
      </c>
      <c r="C17" s="6">
        <v>0</v>
      </c>
      <c r="D17" s="11">
        <v>50</v>
      </c>
      <c r="E17" s="12">
        <v>125</v>
      </c>
      <c r="F17" s="15">
        <v>129.50457496545667</v>
      </c>
      <c r="G17" s="26">
        <v>150</v>
      </c>
      <c r="H17" s="28">
        <v>0</v>
      </c>
      <c r="J17" s="26">
        <v>178.57142857142858</v>
      </c>
      <c r="K17" s="28">
        <v>172.81981844617073</v>
      </c>
      <c r="M17" s="28">
        <v>0</v>
      </c>
      <c r="N17" s="26">
        <v>57.881250000000001</v>
      </c>
      <c r="O17" s="26">
        <v>206.71875</v>
      </c>
      <c r="P17" s="28">
        <v>200.0605423287484</v>
      </c>
      <c r="Q17" s="26">
        <v>248.0625</v>
      </c>
    </row>
    <row r="18" spans="1:17" x14ac:dyDescent="0.25">
      <c r="A18" s="17">
        <v>7</v>
      </c>
      <c r="B18" s="19">
        <v>1.75</v>
      </c>
      <c r="C18" s="6">
        <v>100</v>
      </c>
      <c r="D18" s="11">
        <v>50</v>
      </c>
      <c r="E18" s="12">
        <v>120</v>
      </c>
      <c r="F18" s="15">
        <v>129.50457496545667</v>
      </c>
      <c r="G18" s="26">
        <v>150</v>
      </c>
      <c r="H18" s="28">
        <v>100</v>
      </c>
      <c r="J18" s="26">
        <v>171.42857142857144</v>
      </c>
      <c r="K18" s="28">
        <v>172.81981844617073</v>
      </c>
      <c r="M18" s="28">
        <v>100</v>
      </c>
      <c r="N18" s="26">
        <v>57.881250000000001</v>
      </c>
      <c r="O18" s="26">
        <v>198.45</v>
      </c>
      <c r="P18" s="28">
        <v>200.0605423287484</v>
      </c>
      <c r="Q18" s="26">
        <v>248.0625</v>
      </c>
    </row>
    <row r="19" spans="1:17" x14ac:dyDescent="0.25">
      <c r="A19" s="17">
        <v>8</v>
      </c>
      <c r="B19" s="19">
        <v>2</v>
      </c>
      <c r="C19" s="6">
        <v>220</v>
      </c>
      <c r="D19" s="11">
        <v>50</v>
      </c>
      <c r="E19" s="12">
        <v>115</v>
      </c>
      <c r="F19" s="15">
        <v>129.50457496545667</v>
      </c>
      <c r="G19" s="26">
        <v>150</v>
      </c>
      <c r="H19" s="28">
        <v>220</v>
      </c>
      <c r="J19" s="26">
        <v>164.28571428571428</v>
      </c>
      <c r="K19" s="28">
        <v>172.81981844617073</v>
      </c>
      <c r="M19" s="28">
        <v>220</v>
      </c>
      <c r="N19" s="26">
        <v>57.881250000000001</v>
      </c>
      <c r="O19" s="26">
        <v>190.18125000000001</v>
      </c>
      <c r="P19" s="28">
        <v>200.0605423287484</v>
      </c>
      <c r="Q19" s="26">
        <v>248.0625</v>
      </c>
    </row>
    <row r="20" spans="1:17" x14ac:dyDescent="0.25">
      <c r="A20" s="17">
        <v>9</v>
      </c>
      <c r="B20" s="19">
        <v>2.25</v>
      </c>
      <c r="C20" s="6">
        <v>240</v>
      </c>
      <c r="D20" s="11">
        <v>50</v>
      </c>
      <c r="E20" s="12">
        <v>110</v>
      </c>
      <c r="F20" s="15">
        <v>129.50457496545667</v>
      </c>
      <c r="G20" s="26">
        <v>150</v>
      </c>
      <c r="H20" s="28">
        <v>240</v>
      </c>
      <c r="J20" s="26">
        <v>157.14285714285714</v>
      </c>
      <c r="K20" s="28">
        <v>172.81981844617073</v>
      </c>
      <c r="M20" s="28">
        <v>240</v>
      </c>
      <c r="N20" s="26">
        <v>57.881250000000001</v>
      </c>
      <c r="O20" s="26">
        <v>181.91249999999999</v>
      </c>
      <c r="P20" s="28">
        <v>200.0605423287484</v>
      </c>
      <c r="Q20" s="26">
        <v>248.0625</v>
      </c>
    </row>
    <row r="21" spans="1:17" x14ac:dyDescent="0.25">
      <c r="A21" s="17">
        <v>10</v>
      </c>
      <c r="B21" s="19">
        <v>2.5</v>
      </c>
      <c r="C21" s="7">
        <v>48.887325869238317</v>
      </c>
      <c r="D21" s="11">
        <v>1050</v>
      </c>
      <c r="E21" s="12">
        <v>105</v>
      </c>
      <c r="F21" s="15">
        <v>129.50457496545667</v>
      </c>
      <c r="G21" s="26">
        <v>150</v>
      </c>
      <c r="H21" s="29">
        <v>407.52204609374996</v>
      </c>
      <c r="J21" s="26">
        <v>150</v>
      </c>
      <c r="K21" s="28">
        <v>172.81981844617073</v>
      </c>
      <c r="M21" s="29">
        <v>629.31625021494131</v>
      </c>
      <c r="N21" s="26">
        <v>1215.5062499999999</v>
      </c>
      <c r="O21" s="26">
        <v>173.64375000000001</v>
      </c>
      <c r="P21" s="28">
        <v>200.0605423287484</v>
      </c>
      <c r="Q21" s="26">
        <v>248.0625</v>
      </c>
    </row>
    <row r="24" spans="1:17" x14ac:dyDescent="0.25">
      <c r="A24" s="48" t="s">
        <v>31</v>
      </c>
    </row>
    <row r="25" spans="1:17" x14ac:dyDescent="0.25">
      <c r="A25" t="s">
        <v>30</v>
      </c>
      <c r="B25" t="s">
        <v>32</v>
      </c>
      <c r="C25" s="27">
        <f>SUM(C12:C21)</f>
        <v>1298.8873258692383</v>
      </c>
      <c r="D25" s="27">
        <f t="shared" ref="D25:Q25" si="0">SUM(D12:D21)</f>
        <v>1500</v>
      </c>
      <c r="E25" s="27">
        <f t="shared" si="0"/>
        <v>1275</v>
      </c>
      <c r="F25" s="27">
        <f t="shared" si="0"/>
        <v>1295.0457496545666</v>
      </c>
      <c r="G25" s="27">
        <f t="shared" si="0"/>
        <v>1500</v>
      </c>
      <c r="H25" s="27">
        <f t="shared" si="0"/>
        <v>1417.5220460937499</v>
      </c>
      <c r="J25" s="27">
        <f t="shared" si="0"/>
        <v>1350</v>
      </c>
      <c r="K25" s="27">
        <f t="shared" si="0"/>
        <v>1359.7387291231953</v>
      </c>
      <c r="M25" s="27">
        <f t="shared" si="0"/>
        <v>1489.3162502149412</v>
      </c>
      <c r="N25" s="27">
        <f t="shared" si="0"/>
        <v>1562.7937499999998</v>
      </c>
      <c r="O25" s="27">
        <f t="shared" si="0"/>
        <v>1389.1499999999999</v>
      </c>
      <c r="P25" s="27">
        <f t="shared" si="0"/>
        <v>1400.4237963012388</v>
      </c>
      <c r="Q25" s="27">
        <f t="shared" si="0"/>
        <v>1736.4375</v>
      </c>
    </row>
    <row r="26" spans="1:17" x14ac:dyDescent="0.25">
      <c r="B26" t="s">
        <v>34</v>
      </c>
      <c r="C26" s="27">
        <f>C25+C11</f>
        <v>298.88732586923834</v>
      </c>
      <c r="D26" s="27">
        <f t="shared" ref="D26:Q26" si="1">D25+D11</f>
        <v>500</v>
      </c>
      <c r="E26" s="27">
        <f t="shared" si="1"/>
        <v>275</v>
      </c>
      <c r="F26" s="27">
        <f t="shared" si="1"/>
        <v>295.04574965456663</v>
      </c>
      <c r="G26" s="27">
        <f t="shared" si="1"/>
        <v>500</v>
      </c>
      <c r="H26" s="27">
        <f t="shared" si="1"/>
        <v>417.52204609374985</v>
      </c>
      <c r="J26" s="27">
        <f t="shared" si="1"/>
        <v>350</v>
      </c>
      <c r="K26" s="27">
        <f t="shared" si="1"/>
        <v>359.7387291231953</v>
      </c>
      <c r="M26" s="27">
        <f t="shared" si="1"/>
        <v>489.31625021494119</v>
      </c>
      <c r="N26" s="27">
        <f t="shared" si="1"/>
        <v>562.79374999999982</v>
      </c>
      <c r="O26" s="27">
        <f t="shared" si="1"/>
        <v>389.14999999999986</v>
      </c>
      <c r="P26" s="27">
        <f t="shared" si="1"/>
        <v>400.42379630123878</v>
      </c>
      <c r="Q26" s="27">
        <f t="shared" si="1"/>
        <v>736.4375</v>
      </c>
    </row>
    <row r="27" spans="1:17" x14ac:dyDescent="0.25">
      <c r="A27" t="s">
        <v>33</v>
      </c>
      <c r="B27" t="s">
        <v>35</v>
      </c>
      <c r="C27" s="44">
        <f>C26/-C11</f>
        <v>0.29888732586923833</v>
      </c>
      <c r="D27" s="44">
        <f t="shared" ref="D27:Q27" si="2">D26/-D11</f>
        <v>0.5</v>
      </c>
      <c r="E27" s="44">
        <f t="shared" si="2"/>
        <v>0.27500000000000002</v>
      </c>
      <c r="F27" s="44">
        <f t="shared" si="2"/>
        <v>0.29504574965456665</v>
      </c>
      <c r="G27" s="44">
        <f t="shared" si="2"/>
        <v>0.5</v>
      </c>
      <c r="H27" s="44">
        <f t="shared" si="2"/>
        <v>0.41752204609374988</v>
      </c>
      <c r="J27" s="44">
        <f t="shared" si="2"/>
        <v>0.35</v>
      </c>
      <c r="K27" s="44">
        <f t="shared" si="2"/>
        <v>0.35973872912319532</v>
      </c>
      <c r="M27" s="44">
        <f t="shared" si="2"/>
        <v>0.48931625021494118</v>
      </c>
      <c r="N27" s="44">
        <f t="shared" si="2"/>
        <v>0.56279374999999987</v>
      </c>
      <c r="O27" s="44">
        <f t="shared" si="2"/>
        <v>0.38914999999999988</v>
      </c>
      <c r="P27" s="44">
        <f t="shared" si="2"/>
        <v>0.40042379630123875</v>
      </c>
      <c r="Q27" s="44">
        <f t="shared" si="2"/>
        <v>0.73643749999999997</v>
      </c>
    </row>
    <row r="28" spans="1:17" x14ac:dyDescent="0.25">
      <c r="B28" t="s">
        <v>36</v>
      </c>
      <c r="C28" s="44">
        <f>C27/$B$21</f>
        <v>0.11955493034769533</v>
      </c>
      <c r="D28" s="44">
        <f t="shared" ref="D28:Q28" si="3">D27/$B$21</f>
        <v>0.2</v>
      </c>
      <c r="E28" s="44">
        <f t="shared" si="3"/>
        <v>0.11000000000000001</v>
      </c>
      <c r="F28" s="44">
        <f t="shared" si="3"/>
        <v>0.11801829986182666</v>
      </c>
      <c r="G28" s="44">
        <f t="shared" si="3"/>
        <v>0.2</v>
      </c>
      <c r="H28" s="44">
        <f t="shared" si="3"/>
        <v>0.16700881843749996</v>
      </c>
      <c r="I28" s="43"/>
      <c r="J28" s="44">
        <f t="shared" si="3"/>
        <v>0.13999999999999999</v>
      </c>
      <c r="K28" s="44">
        <f t="shared" si="3"/>
        <v>0.14389549164927812</v>
      </c>
      <c r="L28" s="43"/>
      <c r="M28" s="44">
        <f t="shared" si="3"/>
        <v>0.19572650008597647</v>
      </c>
      <c r="N28" s="44">
        <f t="shared" si="3"/>
        <v>0.22511749999999994</v>
      </c>
      <c r="O28" s="44">
        <f t="shared" si="3"/>
        <v>0.15565999999999997</v>
      </c>
      <c r="P28" s="44">
        <f t="shared" si="3"/>
        <v>0.16016951852049549</v>
      </c>
      <c r="Q28" s="44">
        <f t="shared" si="3"/>
        <v>0.29457499999999998</v>
      </c>
    </row>
    <row r="30" spans="1:17" x14ac:dyDescent="0.25">
      <c r="C30" s="8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5">
      <c r="A31" s="22" t="s">
        <v>28</v>
      </c>
      <c r="B31" s="22" t="s">
        <v>29</v>
      </c>
      <c r="C31" s="30" t="s">
        <v>9</v>
      </c>
      <c r="D31" s="30" t="s">
        <v>10</v>
      </c>
      <c r="E31" s="30" t="s">
        <v>11</v>
      </c>
      <c r="F31" s="30" t="s">
        <v>12</v>
      </c>
      <c r="G31" s="30" t="s">
        <v>13</v>
      </c>
      <c r="H31" s="30" t="s">
        <v>14</v>
      </c>
      <c r="I31" s="30" t="s">
        <v>15</v>
      </c>
      <c r="J31" s="30" t="s">
        <v>16</v>
      </c>
      <c r="K31" s="30" t="s">
        <v>17</v>
      </c>
      <c r="L31" s="30" t="s">
        <v>18</v>
      </c>
      <c r="M31" s="30" t="s">
        <v>20</v>
      </c>
      <c r="N31" s="30" t="s">
        <v>21</v>
      </c>
      <c r="O31" s="30" t="s">
        <v>22</v>
      </c>
      <c r="P31" s="30" t="s">
        <v>23</v>
      </c>
      <c r="Q31" s="30" t="s">
        <v>24</v>
      </c>
    </row>
    <row r="32" spans="1:17" x14ac:dyDescent="0.25">
      <c r="A32" s="24">
        <v>0</v>
      </c>
      <c r="B32" s="25">
        <v>0</v>
      </c>
      <c r="C32" s="45">
        <v>-1000</v>
      </c>
      <c r="D32" s="45">
        <v>-1000</v>
      </c>
      <c r="E32" s="45">
        <v>-1000</v>
      </c>
      <c r="F32" s="45">
        <v>-1000</v>
      </c>
      <c r="G32" s="45">
        <v>-1000</v>
      </c>
      <c r="H32" s="45">
        <v>-1000</v>
      </c>
      <c r="I32" s="45"/>
      <c r="J32" s="45">
        <v>-1000</v>
      </c>
      <c r="K32" s="45">
        <v>-1000</v>
      </c>
      <c r="L32" s="45"/>
      <c r="M32" s="45">
        <v>-1000</v>
      </c>
      <c r="N32" s="45">
        <v>-1000</v>
      </c>
      <c r="O32" s="45">
        <v>-1000</v>
      </c>
      <c r="P32" s="45">
        <v>-1000</v>
      </c>
      <c r="Q32" s="45">
        <v>-1000</v>
      </c>
    </row>
    <row r="33" spans="1:17" x14ac:dyDescent="0.25">
      <c r="A33" s="17">
        <v>1</v>
      </c>
      <c r="B33" s="19">
        <v>0.25</v>
      </c>
      <c r="C33" s="46">
        <f>C12+C32</f>
        <v>-800</v>
      </c>
      <c r="D33" s="46">
        <f t="shared" ref="D33:Q42" si="4">D12+D32</f>
        <v>-950</v>
      </c>
      <c r="E33" s="46">
        <f t="shared" si="4"/>
        <v>-850</v>
      </c>
      <c r="F33" s="46">
        <f t="shared" si="4"/>
        <v>-870.49542503454336</v>
      </c>
      <c r="G33" s="46">
        <f t="shared" si="4"/>
        <v>-850</v>
      </c>
      <c r="H33" s="46">
        <f t="shared" si="4"/>
        <v>-950</v>
      </c>
      <c r="I33" s="46"/>
      <c r="J33" s="46">
        <f t="shared" si="4"/>
        <v>-950</v>
      </c>
      <c r="K33" s="46">
        <f t="shared" si="4"/>
        <v>-950</v>
      </c>
      <c r="L33" s="46"/>
      <c r="M33" s="46">
        <f t="shared" si="4"/>
        <v>-1000</v>
      </c>
      <c r="N33" s="46">
        <f t="shared" si="4"/>
        <v>-1000</v>
      </c>
      <c r="O33" s="46">
        <f t="shared" si="4"/>
        <v>-1000</v>
      </c>
      <c r="P33" s="46">
        <f t="shared" si="4"/>
        <v>-1000</v>
      </c>
      <c r="Q33" s="46">
        <f t="shared" si="4"/>
        <v>-1000</v>
      </c>
    </row>
    <row r="34" spans="1:17" x14ac:dyDescent="0.25">
      <c r="A34" s="17">
        <v>2</v>
      </c>
      <c r="B34" s="19">
        <v>0.5</v>
      </c>
      <c r="C34" s="46">
        <f t="shared" ref="C34:C42" si="5">C13+C33</f>
        <v>-760</v>
      </c>
      <c r="D34" s="46">
        <f t="shared" si="4"/>
        <v>-900</v>
      </c>
      <c r="E34" s="46">
        <f t="shared" si="4"/>
        <v>-705</v>
      </c>
      <c r="F34" s="46">
        <f t="shared" si="4"/>
        <v>-740.99085006908672</v>
      </c>
      <c r="G34" s="46">
        <f t="shared" si="4"/>
        <v>-700</v>
      </c>
      <c r="H34" s="46">
        <f t="shared" si="4"/>
        <v>-900</v>
      </c>
      <c r="I34" s="46"/>
      <c r="J34" s="46">
        <f t="shared" si="4"/>
        <v>-900</v>
      </c>
      <c r="K34" s="46">
        <f t="shared" si="4"/>
        <v>-900</v>
      </c>
      <c r="L34" s="46"/>
      <c r="M34" s="46">
        <f t="shared" si="4"/>
        <v>-1000</v>
      </c>
      <c r="N34" s="46">
        <f t="shared" si="4"/>
        <v>-1000</v>
      </c>
      <c r="O34" s="46">
        <f t="shared" si="4"/>
        <v>-1000</v>
      </c>
      <c r="P34" s="46">
        <f t="shared" si="4"/>
        <v>-1000</v>
      </c>
      <c r="Q34" s="46">
        <f t="shared" si="4"/>
        <v>-1000</v>
      </c>
    </row>
    <row r="35" spans="1:17" x14ac:dyDescent="0.25">
      <c r="A35" s="17">
        <v>3</v>
      </c>
      <c r="B35" s="19">
        <v>0.75</v>
      </c>
      <c r="C35" s="46">
        <f t="shared" si="5"/>
        <v>-610</v>
      </c>
      <c r="D35" s="46">
        <f t="shared" si="4"/>
        <v>-850</v>
      </c>
      <c r="E35" s="46">
        <f t="shared" si="4"/>
        <v>-565</v>
      </c>
      <c r="F35" s="46">
        <f t="shared" si="4"/>
        <v>-611.48627510363008</v>
      </c>
      <c r="G35" s="46">
        <f t="shared" si="4"/>
        <v>-550</v>
      </c>
      <c r="H35" s="46">
        <f t="shared" si="4"/>
        <v>-850</v>
      </c>
      <c r="I35" s="46"/>
      <c r="J35" s="46">
        <f t="shared" si="4"/>
        <v>-850</v>
      </c>
      <c r="K35" s="46">
        <f t="shared" si="4"/>
        <v>-850</v>
      </c>
      <c r="L35" s="46"/>
      <c r="M35" s="46">
        <f t="shared" si="4"/>
        <v>-1000</v>
      </c>
      <c r="N35" s="46">
        <f t="shared" si="4"/>
        <v>-1000</v>
      </c>
      <c r="O35" s="46">
        <f t="shared" si="4"/>
        <v>-1000</v>
      </c>
      <c r="P35" s="46">
        <f t="shared" si="4"/>
        <v>-1000</v>
      </c>
      <c r="Q35" s="46">
        <f t="shared" si="4"/>
        <v>-1000</v>
      </c>
    </row>
    <row r="36" spans="1:17" x14ac:dyDescent="0.25">
      <c r="A36" s="17">
        <v>4</v>
      </c>
      <c r="B36" s="19">
        <v>1</v>
      </c>
      <c r="C36" s="46">
        <f t="shared" si="5"/>
        <v>-510</v>
      </c>
      <c r="D36" s="46">
        <f t="shared" si="4"/>
        <v>-800</v>
      </c>
      <c r="E36" s="46">
        <f t="shared" si="4"/>
        <v>-430</v>
      </c>
      <c r="F36" s="46">
        <f t="shared" si="4"/>
        <v>-481.98170013817344</v>
      </c>
      <c r="G36" s="46">
        <f t="shared" si="4"/>
        <v>-400</v>
      </c>
      <c r="H36" s="46">
        <f t="shared" si="4"/>
        <v>-750</v>
      </c>
      <c r="I36" s="46"/>
      <c r="J36" s="46">
        <f t="shared" si="4"/>
        <v>-657.14285714285711</v>
      </c>
      <c r="K36" s="46">
        <f t="shared" si="4"/>
        <v>-677.18018155382924</v>
      </c>
      <c r="L36" s="46"/>
      <c r="M36" s="46">
        <f t="shared" si="4"/>
        <v>-900</v>
      </c>
      <c r="N36" s="46">
        <f t="shared" si="4"/>
        <v>-942.11874999999998</v>
      </c>
      <c r="O36" s="46">
        <f t="shared" si="4"/>
        <v>-776.74374999999998</v>
      </c>
      <c r="P36" s="46">
        <f t="shared" si="4"/>
        <v>-799.9394576712516</v>
      </c>
      <c r="Q36" s="46">
        <f t="shared" si="4"/>
        <v>-751.9375</v>
      </c>
    </row>
    <row r="37" spans="1:17" x14ac:dyDescent="0.25">
      <c r="A37" s="17">
        <v>5</v>
      </c>
      <c r="B37" s="19">
        <v>1.25</v>
      </c>
      <c r="C37" s="46">
        <f t="shared" si="5"/>
        <v>-310</v>
      </c>
      <c r="D37" s="46">
        <f t="shared" si="4"/>
        <v>-750</v>
      </c>
      <c r="E37" s="46">
        <f t="shared" si="4"/>
        <v>-300</v>
      </c>
      <c r="F37" s="46">
        <f t="shared" si="4"/>
        <v>-352.4771251727168</v>
      </c>
      <c r="G37" s="46">
        <f t="shared" si="4"/>
        <v>-250</v>
      </c>
      <c r="H37" s="46">
        <f t="shared" si="4"/>
        <v>-550</v>
      </c>
      <c r="I37" s="46"/>
      <c r="J37" s="46">
        <f t="shared" si="4"/>
        <v>-471.42857142857139</v>
      </c>
      <c r="K37" s="46">
        <f t="shared" si="4"/>
        <v>-504.36036310765849</v>
      </c>
      <c r="L37" s="46"/>
      <c r="M37" s="46">
        <f t="shared" si="4"/>
        <v>-700</v>
      </c>
      <c r="N37" s="46">
        <f t="shared" si="4"/>
        <v>-884.23749999999995</v>
      </c>
      <c r="O37" s="46">
        <f t="shared" si="4"/>
        <v>-561.75624999999991</v>
      </c>
      <c r="P37" s="46">
        <f t="shared" si="4"/>
        <v>-599.87891534250321</v>
      </c>
      <c r="Q37" s="46">
        <f t="shared" si="4"/>
        <v>-503.875</v>
      </c>
    </row>
    <row r="38" spans="1:17" x14ac:dyDescent="0.25">
      <c r="A38" s="17">
        <v>6</v>
      </c>
      <c r="B38" s="19">
        <v>1.5</v>
      </c>
      <c r="C38" s="46">
        <f t="shared" si="5"/>
        <v>-310</v>
      </c>
      <c r="D38" s="46">
        <f t="shared" si="4"/>
        <v>-700</v>
      </c>
      <c r="E38" s="46">
        <f t="shared" si="4"/>
        <v>-175</v>
      </c>
      <c r="F38" s="46">
        <f t="shared" si="4"/>
        <v>-222.97255020726013</v>
      </c>
      <c r="G38" s="46">
        <f t="shared" si="4"/>
        <v>-100</v>
      </c>
      <c r="H38" s="46">
        <f t="shared" si="4"/>
        <v>-550</v>
      </c>
      <c r="I38" s="46"/>
      <c r="J38" s="46">
        <f t="shared" si="4"/>
        <v>-292.85714285714278</v>
      </c>
      <c r="K38" s="46">
        <f t="shared" si="4"/>
        <v>-331.54054466148773</v>
      </c>
      <c r="L38" s="46"/>
      <c r="M38" s="46">
        <f t="shared" si="4"/>
        <v>-700</v>
      </c>
      <c r="N38" s="46">
        <f t="shared" si="4"/>
        <v>-826.35624999999993</v>
      </c>
      <c r="O38" s="46">
        <f t="shared" si="4"/>
        <v>-355.03749999999991</v>
      </c>
      <c r="P38" s="46">
        <f t="shared" si="4"/>
        <v>-399.81837301375481</v>
      </c>
      <c r="Q38" s="46">
        <f t="shared" si="4"/>
        <v>-255.8125</v>
      </c>
    </row>
    <row r="39" spans="1:17" x14ac:dyDescent="0.25">
      <c r="A39" s="17">
        <v>7</v>
      </c>
      <c r="B39" s="19">
        <v>1.75</v>
      </c>
      <c r="C39" s="46">
        <f t="shared" si="5"/>
        <v>-210</v>
      </c>
      <c r="D39" s="46">
        <f t="shared" si="4"/>
        <v>-650</v>
      </c>
      <c r="E39" s="46">
        <f t="shared" si="4"/>
        <v>-55</v>
      </c>
      <c r="F39" s="46">
        <f t="shared" si="4"/>
        <v>-93.467975241803458</v>
      </c>
      <c r="G39" s="46">
        <f t="shared" si="4"/>
        <v>50</v>
      </c>
      <c r="H39" s="46">
        <f t="shared" si="4"/>
        <v>-450</v>
      </c>
      <c r="I39" s="46"/>
      <c r="J39" s="46">
        <f t="shared" si="4"/>
        <v>-121.42857142857133</v>
      </c>
      <c r="K39" s="46">
        <f t="shared" si="4"/>
        <v>-158.720726215317</v>
      </c>
      <c r="L39" s="46"/>
      <c r="M39" s="46">
        <f t="shared" si="4"/>
        <v>-600</v>
      </c>
      <c r="N39" s="46">
        <f t="shared" si="4"/>
        <v>-768.47499999999991</v>
      </c>
      <c r="O39" s="46">
        <f t="shared" si="4"/>
        <v>-156.58749999999992</v>
      </c>
      <c r="P39" s="46">
        <f t="shared" si="4"/>
        <v>-199.75783068500641</v>
      </c>
      <c r="Q39" s="46">
        <f t="shared" si="4"/>
        <v>-7.75</v>
      </c>
    </row>
    <row r="40" spans="1:17" x14ac:dyDescent="0.25">
      <c r="A40" s="17">
        <v>8</v>
      </c>
      <c r="B40" s="19">
        <v>2</v>
      </c>
      <c r="C40" s="46">
        <f t="shared" si="5"/>
        <v>10</v>
      </c>
      <c r="D40" s="46">
        <f t="shared" si="4"/>
        <v>-600</v>
      </c>
      <c r="E40" s="46">
        <f t="shared" si="4"/>
        <v>60</v>
      </c>
      <c r="F40" s="46">
        <f t="shared" si="4"/>
        <v>36.036599723653211</v>
      </c>
      <c r="G40" s="46">
        <f t="shared" si="4"/>
        <v>200</v>
      </c>
      <c r="H40" s="46">
        <f t="shared" si="4"/>
        <v>-230</v>
      </c>
      <c r="I40" s="46"/>
      <c r="J40" s="46">
        <f t="shared" si="4"/>
        <v>42.857142857142946</v>
      </c>
      <c r="K40" s="46">
        <f t="shared" si="4"/>
        <v>14.099092230853728</v>
      </c>
      <c r="L40" s="46"/>
      <c r="M40" s="46">
        <f t="shared" si="4"/>
        <v>-380</v>
      </c>
      <c r="N40" s="46">
        <f t="shared" si="4"/>
        <v>-710.59374999999989</v>
      </c>
      <c r="O40" s="46">
        <f t="shared" si="4"/>
        <v>33.593750000000085</v>
      </c>
      <c r="P40" s="46">
        <f t="shared" si="4"/>
        <v>0.30271164374198634</v>
      </c>
      <c r="Q40" s="46">
        <f t="shared" si="4"/>
        <v>240.3125</v>
      </c>
    </row>
    <row r="41" spans="1:17" x14ac:dyDescent="0.25">
      <c r="A41" s="17">
        <v>9</v>
      </c>
      <c r="B41" s="19">
        <v>2.25</v>
      </c>
      <c r="C41" s="46">
        <f t="shared" si="5"/>
        <v>250</v>
      </c>
      <c r="D41" s="46">
        <f t="shared" si="4"/>
        <v>-550</v>
      </c>
      <c r="E41" s="46">
        <f t="shared" si="4"/>
        <v>170</v>
      </c>
      <c r="F41" s="46">
        <f t="shared" si="4"/>
        <v>165.54117468910988</v>
      </c>
      <c r="G41" s="46">
        <f t="shared" si="4"/>
        <v>350</v>
      </c>
      <c r="H41" s="46">
        <f t="shared" si="4"/>
        <v>10</v>
      </c>
      <c r="I41" s="46"/>
      <c r="J41" s="46">
        <f t="shared" si="4"/>
        <v>200.00000000000009</v>
      </c>
      <c r="K41" s="46">
        <f t="shared" si="4"/>
        <v>186.91891067702446</v>
      </c>
      <c r="L41" s="46"/>
      <c r="M41" s="46">
        <f t="shared" si="4"/>
        <v>-140</v>
      </c>
      <c r="N41" s="46">
        <f t="shared" si="4"/>
        <v>-652.71249999999986</v>
      </c>
      <c r="O41" s="46">
        <f t="shared" si="4"/>
        <v>215.50625000000008</v>
      </c>
      <c r="P41" s="46">
        <f t="shared" si="4"/>
        <v>200.36325397249038</v>
      </c>
      <c r="Q41" s="46">
        <f t="shared" si="4"/>
        <v>488.375</v>
      </c>
    </row>
    <row r="42" spans="1:17" x14ac:dyDescent="0.25">
      <c r="A42" s="17">
        <v>10</v>
      </c>
      <c r="B42" s="19">
        <v>2.5</v>
      </c>
      <c r="C42" s="46">
        <f t="shared" si="5"/>
        <v>298.88732586923834</v>
      </c>
      <c r="D42" s="46">
        <f t="shared" si="4"/>
        <v>500</v>
      </c>
      <c r="E42" s="46">
        <f t="shared" si="4"/>
        <v>275</v>
      </c>
      <c r="F42" s="46">
        <f t="shared" si="4"/>
        <v>295.04574965456652</v>
      </c>
      <c r="G42" s="46">
        <f t="shared" si="4"/>
        <v>500</v>
      </c>
      <c r="H42" s="46">
        <f t="shared" si="4"/>
        <v>417.52204609374996</v>
      </c>
      <c r="I42" s="46"/>
      <c r="J42" s="46">
        <f t="shared" si="4"/>
        <v>350.00000000000011</v>
      </c>
      <c r="K42" s="46">
        <f t="shared" si="4"/>
        <v>359.73872912319518</v>
      </c>
      <c r="L42" s="46"/>
      <c r="M42" s="46">
        <f t="shared" si="4"/>
        <v>489.31625021494131</v>
      </c>
      <c r="N42" s="46">
        <f t="shared" si="4"/>
        <v>562.79375000000005</v>
      </c>
      <c r="O42" s="46">
        <f t="shared" si="4"/>
        <v>389.15000000000009</v>
      </c>
      <c r="P42" s="46">
        <f t="shared" si="4"/>
        <v>400.42379630123878</v>
      </c>
      <c r="Q42" s="46">
        <f t="shared" si="4"/>
        <v>736.4375</v>
      </c>
    </row>
    <row r="44" spans="1:17" x14ac:dyDescent="0.25">
      <c r="A44" t="s">
        <v>37</v>
      </c>
      <c r="B44" t="s">
        <v>39</v>
      </c>
      <c r="C44" s="28" cm="1">
        <f t="array" ref="C44">INDEX($B$33:$B$42,MATCH(0,C33:C42,1)+1)</f>
        <v>2</v>
      </c>
      <c r="D44" s="28" cm="1">
        <f t="array" ref="D44">INDEX($B$33:$B$42,MATCH(0,D33:D42,1)+1)</f>
        <v>2.5</v>
      </c>
      <c r="E44" s="28" cm="1">
        <f t="array" ref="E44">INDEX($B$33:$B$42,MATCH(0,E33:E42,1)+1)</f>
        <v>2</v>
      </c>
      <c r="F44" s="28" cm="1">
        <f t="array" ref="F44">INDEX($B$33:$B$42,MATCH(0,F33:F42,1)+1)</f>
        <v>2</v>
      </c>
      <c r="G44" s="28" cm="1">
        <f t="array" ref="G44">INDEX($B$33:$B$42,MATCH(0,G33:G42,1)+1)</f>
        <v>1.75</v>
      </c>
      <c r="H44" s="28" cm="1">
        <f t="array" ref="H44">INDEX($B$33:$B$42,MATCH(0,H33:H42,1)+1)</f>
        <v>2.25</v>
      </c>
      <c r="J44" s="28" cm="1">
        <f t="array" ref="J44">INDEX($B$33:$B$42,MATCH(0,J33:J42,1)+1)</f>
        <v>2</v>
      </c>
      <c r="K44" s="28" cm="1">
        <f t="array" ref="K44">INDEX($B$33:$B$42,MATCH(0,K33:K42,1)+1)</f>
        <v>2</v>
      </c>
      <c r="M44" s="28" cm="1">
        <f t="array" ref="M44">INDEX($B$33:$B$42,MATCH(0,M33:M42,1)+1)</f>
        <v>2.5</v>
      </c>
      <c r="N44" s="28" cm="1">
        <f t="array" ref="N44">INDEX($B$33:$B$42,MATCH(0,N33:N42,1)+1)</f>
        <v>2.5</v>
      </c>
      <c r="O44" s="28" cm="1">
        <f t="array" ref="O44">INDEX($B$33:$B$42,MATCH(0,O33:O42,1)+1)</f>
        <v>2</v>
      </c>
      <c r="P44" s="28" cm="1">
        <f t="array" ref="P44">INDEX($B$33:$B$42,MATCH(0,P33:P42,1)+1)</f>
        <v>2</v>
      </c>
      <c r="Q44" s="28" cm="1">
        <f t="array" ref="Q44">INDEX($B$33:$B$42,MATCH(0,Q33:Q42,1)+1)</f>
        <v>2</v>
      </c>
    </row>
    <row r="46" spans="1:17" x14ac:dyDescent="0.25">
      <c r="A46" t="s">
        <v>40</v>
      </c>
      <c r="B46" t="s">
        <v>41</v>
      </c>
      <c r="C46" s="19">
        <f>SUMPRODUCT($B$12:$B$21,C12:C21)/C25</f>
        <v>1.3932835270849997</v>
      </c>
      <c r="D46" s="19">
        <f t="shared" ref="D46:Q46" si="6">SUMPRODUCT($B$12:$B$21,D12:D21)/D25</f>
        <v>2.125</v>
      </c>
      <c r="E46" s="19">
        <f t="shared" si="6"/>
        <v>1.2941176470588236</v>
      </c>
      <c r="F46" s="19">
        <f t="shared" si="6"/>
        <v>1.375</v>
      </c>
      <c r="G46" s="19">
        <f t="shared" si="6"/>
        <v>1.375</v>
      </c>
      <c r="H46" s="19">
        <f t="shared" si="6"/>
        <v>1.833343701705292</v>
      </c>
      <c r="I46" s="47"/>
      <c r="J46" s="19">
        <f t="shared" si="6"/>
        <v>1.5740740740740742</v>
      </c>
      <c r="K46" s="19">
        <f t="shared" si="6"/>
        <v>1.6121058619688602</v>
      </c>
      <c r="L46" s="47"/>
      <c r="M46" s="19">
        <f t="shared" si="6"/>
        <v>2.0669153546757366</v>
      </c>
      <c r="N46" s="19">
        <f t="shared" si="6"/>
        <v>2.3055555555555558</v>
      </c>
      <c r="O46" s="19">
        <f t="shared" si="6"/>
        <v>1.7083333333333335</v>
      </c>
      <c r="P46" s="19">
        <f t="shared" si="6"/>
        <v>1.75</v>
      </c>
      <c r="Q46" s="19">
        <f t="shared" si="6"/>
        <v>1.75</v>
      </c>
    </row>
    <row r="50" spans="1:17" x14ac:dyDescent="0.25">
      <c r="A50" s="48" t="s">
        <v>42</v>
      </c>
      <c r="B50" s="16"/>
      <c r="D50" s="18" t="s">
        <v>44</v>
      </c>
      <c r="E50" t="s">
        <v>52</v>
      </c>
      <c r="G50" s="16" t="s">
        <v>61</v>
      </c>
      <c r="N50" s="16" t="s">
        <v>53</v>
      </c>
    </row>
    <row r="51" spans="1:17" s="16" customFormat="1" x14ac:dyDescent="0.25">
      <c r="A51" s="48"/>
      <c r="D51" s="18" t="s">
        <v>60</v>
      </c>
      <c r="E51" s="50">
        <v>0.2</v>
      </c>
      <c r="N51" s="52">
        <f>E51*B12</f>
        <v>0.05</v>
      </c>
      <c r="O51" s="16" t="s">
        <v>62</v>
      </c>
    </row>
    <row r="52" spans="1:17" s="16" customFormat="1" x14ac:dyDescent="0.25">
      <c r="A52" s="48"/>
      <c r="D52" s="18" t="s">
        <v>46</v>
      </c>
      <c r="E52" s="50">
        <v>0.1</v>
      </c>
      <c r="F52" s="16" t="s">
        <v>47</v>
      </c>
      <c r="N52" s="52">
        <f>(1+E52)^($B$12)-1</f>
        <v>2.4113689084445111E-2</v>
      </c>
    </row>
    <row r="53" spans="1:17" s="16" customFormat="1" x14ac:dyDescent="0.25">
      <c r="A53" s="48"/>
      <c r="D53" s="18" t="s">
        <v>48</v>
      </c>
      <c r="E53" s="50">
        <v>0.25</v>
      </c>
      <c r="F53" s="16" t="s">
        <v>49</v>
      </c>
      <c r="N53" s="52">
        <f>(1+E53)^($B$12)-1</f>
        <v>5.7371263440564091E-2</v>
      </c>
    </row>
    <row r="54" spans="1:17" s="16" customFormat="1" x14ac:dyDescent="0.25">
      <c r="A54" s="48"/>
    </row>
    <row r="55" spans="1:17" s="16" customFormat="1" x14ac:dyDescent="0.25">
      <c r="A55" s="16" t="s">
        <v>30</v>
      </c>
      <c r="B55" s="16" t="s">
        <v>50</v>
      </c>
      <c r="C55"/>
      <c r="D55"/>
    </row>
    <row r="56" spans="1:17" s="16" customFormat="1" x14ac:dyDescent="0.25">
      <c r="B56" s="18" t="s">
        <v>45</v>
      </c>
      <c r="C56" s="46">
        <f>NPV($N$52,C12:C21)</f>
        <v>1140.1824166811671</v>
      </c>
      <c r="D56" s="46">
        <f>NPV($N$52,D12:D21)</f>
        <v>1227.5997826124251</v>
      </c>
      <c r="E56" s="46">
        <f>NPV($N$52,E12:E21)</f>
        <v>1129.6497040898269</v>
      </c>
      <c r="F56" s="46">
        <f>NPV($N$52,F12:F21)</f>
        <v>1138.6409290070371</v>
      </c>
      <c r="G56" s="46">
        <f>NPV($N$52,G12:G21)</f>
        <v>1318.842514996963</v>
      </c>
      <c r="H56" s="46">
        <f>NPV($N$52,H12:H21)</f>
        <v>1192.7466837827899</v>
      </c>
      <c r="I56"/>
      <c r="J56" s="46">
        <f>NPV($N$52,J12:J21)</f>
        <v>1163.8861318210036</v>
      </c>
      <c r="K56" s="46">
        <f>NPV($N$52,K12:K21)</f>
        <v>1168.1020311313905</v>
      </c>
      <c r="L56"/>
      <c r="M56" s="46">
        <f>NPV($N$52,M12:M21)</f>
        <v>1224.4708690444731</v>
      </c>
      <c r="N56" s="46">
        <f>NPV($N$52,N12:N21)</f>
        <v>1255.50604451457</v>
      </c>
      <c r="O56" s="46">
        <f>NPV($N$52,O12:O21)</f>
        <v>1181.7495295171509</v>
      </c>
      <c r="P56" s="46">
        <f>NPV($N$52,P12:P21)</f>
        <v>1186.6299599563374</v>
      </c>
      <c r="Q56" s="46">
        <f>NPV($N$52,Q12:Q21)</f>
        <v>1471.346578467063</v>
      </c>
    </row>
    <row r="57" spans="1:17" s="16" customFormat="1" x14ac:dyDescent="0.25">
      <c r="B57" s="18" t="s">
        <v>51</v>
      </c>
      <c r="C57" s="46">
        <f>-NPV($N$53,C12:C21)</f>
        <v>-964.85102877083273</v>
      </c>
      <c r="D57" s="46">
        <f>-NPV($N$53,D12:D21)</f>
        <v>-945.06472680804416</v>
      </c>
      <c r="E57" s="46">
        <f>-NPV($N$53,E12:E21)</f>
        <v>-967.27044152838255</v>
      </c>
      <c r="F57" s="46">
        <f>-NPV($N$53,F12:F21)</f>
        <v>-965.1492261401329</v>
      </c>
      <c r="G57" s="46">
        <f>-NPV($N$53,G12:G21)</f>
        <v>-1117.8939737042936</v>
      </c>
      <c r="H57" s="46">
        <f>-NPV($N$53,H12:H21)</f>
        <v>-952.63885131459881</v>
      </c>
      <c r="I57"/>
      <c r="J57" s="46">
        <f>-NPV($N$53,J12:J21)</f>
        <v>-959.00568479145602</v>
      </c>
      <c r="K57" s="46">
        <f>-NPV($N$53,K12:K21)</f>
        <v>-958.0594419728335</v>
      </c>
      <c r="L57"/>
      <c r="M57" s="46">
        <f>-NPV($N$53,M12:M21)</f>
        <v>-945.2979716390164</v>
      </c>
      <c r="N57" s="46">
        <f>-NPV($N$53,N12:N21)</f>
        <v>-938.55770766236787</v>
      </c>
      <c r="O57" s="46">
        <f>-NPV($N$53,O12:O21)</f>
        <v>-954.69610914791497</v>
      </c>
      <c r="P57" s="46">
        <f>-NPV($N$53,P12:P21)</f>
        <v>-953.6007148050071</v>
      </c>
      <c r="Q57" s="46">
        <f>-NPV($N$53,Q12:Q21)</f>
        <v>-1182.4049588329285</v>
      </c>
    </row>
    <row r="58" spans="1:17" s="16" customFormat="1" x14ac:dyDescent="0.25">
      <c r="B58" s="51" t="s">
        <v>55</v>
      </c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</row>
    <row r="59" spans="1:17" s="16" customFormat="1" x14ac:dyDescent="0.25">
      <c r="B59" s="18" t="s">
        <v>56</v>
      </c>
      <c r="C59" s="19">
        <f>C56+C11</f>
        <v>140.18241668116707</v>
      </c>
      <c r="D59" s="19">
        <f>D56+D11</f>
        <v>227.59978261242509</v>
      </c>
      <c r="E59" s="19">
        <f>E56+E11</f>
        <v>129.64970408982686</v>
      </c>
      <c r="F59" s="19">
        <f>F56+F11</f>
        <v>138.64092900703713</v>
      </c>
      <c r="G59" s="19">
        <f>G56+G11</f>
        <v>318.84251499696302</v>
      </c>
      <c r="H59" s="19">
        <f>H56+H11</f>
        <v>192.74668378278989</v>
      </c>
      <c r="I59" s="47"/>
      <c r="J59" s="19">
        <f>J56+J11</f>
        <v>163.88613182100357</v>
      </c>
      <c r="K59" s="19">
        <f>K56+K11</f>
        <v>168.1020311313905</v>
      </c>
      <c r="L59" s="47"/>
      <c r="M59" s="19">
        <f>M56+M11</f>
        <v>224.47086904447315</v>
      </c>
      <c r="N59" s="19">
        <f>N56+N11</f>
        <v>255.50604451457002</v>
      </c>
      <c r="O59" s="19">
        <f>O56+O11</f>
        <v>181.7495295171509</v>
      </c>
      <c r="P59" s="19">
        <f>P56+P11</f>
        <v>186.62995995633742</v>
      </c>
      <c r="Q59" s="19">
        <f>Q56+Q11</f>
        <v>471.34657846706295</v>
      </c>
    </row>
    <row r="60" spans="1:17" s="16" customFormat="1" x14ac:dyDescent="0.25">
      <c r="B60" s="18" t="s">
        <v>57</v>
      </c>
      <c r="C60" s="27">
        <f>-C11+C57</f>
        <v>35.148971229167273</v>
      </c>
      <c r="D60" s="27">
        <f>-D11+D57</f>
        <v>54.935273191955844</v>
      </c>
      <c r="E60" s="27">
        <f>-E11+E57</f>
        <v>32.729558471617452</v>
      </c>
      <c r="F60" s="27">
        <f>-F11+F57</f>
        <v>34.850773859867104</v>
      </c>
      <c r="G60" s="27">
        <f>-G11+G57</f>
        <v>-117.89397370429356</v>
      </c>
      <c r="H60" s="27">
        <f>-H11+H57</f>
        <v>47.36114868540119</v>
      </c>
      <c r="I60" s="42"/>
      <c r="J60" s="27">
        <f>-J11+J57</f>
        <v>40.994315208543981</v>
      </c>
      <c r="K60" s="27">
        <f>-K11+K57</f>
        <v>41.940558027166503</v>
      </c>
      <c r="L60" s="42"/>
      <c r="M60" s="27">
        <f>-M11+M57</f>
        <v>54.702028360983604</v>
      </c>
      <c r="N60" s="27">
        <f>-N11+N57</f>
        <v>61.442292337632125</v>
      </c>
      <c r="O60" s="27">
        <f>-O11+O57</f>
        <v>45.303890852085033</v>
      </c>
      <c r="P60" s="27">
        <f>-P11+P57</f>
        <v>46.399285194992899</v>
      </c>
      <c r="Q60" s="27">
        <f>-Q11+Q57</f>
        <v>-182.40495883292851</v>
      </c>
    </row>
    <row r="61" spans="1:17" s="16" customFormat="1" x14ac:dyDescent="0.25">
      <c r="B61" s="18"/>
      <c r="C61" s="54" t="s">
        <v>58</v>
      </c>
      <c r="D61" s="54" t="s">
        <v>58</v>
      </c>
      <c r="E61" s="54" t="s">
        <v>58</v>
      </c>
      <c r="F61" s="54" t="s">
        <v>58</v>
      </c>
      <c r="G61" s="55" t="s">
        <v>59</v>
      </c>
      <c r="H61" s="54" t="s">
        <v>58</v>
      </c>
      <c r="I61" s="53"/>
      <c r="J61" s="54" t="s">
        <v>58</v>
      </c>
      <c r="K61" s="54" t="s">
        <v>58</v>
      </c>
      <c r="L61" s="53"/>
      <c r="M61" s="54" t="s">
        <v>58</v>
      </c>
      <c r="N61" s="54" t="s">
        <v>58</v>
      </c>
      <c r="O61" s="54" t="s">
        <v>58</v>
      </c>
      <c r="P61" s="54" t="s">
        <v>58</v>
      </c>
      <c r="Q61" s="55" t="s">
        <v>59</v>
      </c>
    </row>
    <row r="62" spans="1:17" s="16" customFormat="1" x14ac:dyDescent="0.25">
      <c r="B62" s="18" t="s">
        <v>54</v>
      </c>
      <c r="C62" s="54"/>
      <c r="D62" s="54"/>
      <c r="E62" s="54"/>
      <c r="F62" s="54"/>
      <c r="G62" s="54"/>
      <c r="H62" s="54"/>
      <c r="I62" s="53"/>
      <c r="J62" s="54"/>
      <c r="K62" s="54"/>
      <c r="L62" s="53"/>
      <c r="M62" s="54"/>
      <c r="N62" s="54"/>
      <c r="O62" s="54"/>
      <c r="P62" s="54"/>
      <c r="Q62" s="54"/>
    </row>
    <row r="63" spans="1:17" s="16" customFormat="1" x14ac:dyDescent="0.25">
      <c r="B63" s="18" t="s">
        <v>45</v>
      </c>
      <c r="C63" s="56">
        <f>NPV($N$52,C12:C21)-NPV($N$51,C12:C21)</f>
        <v>140.1824166811673</v>
      </c>
      <c r="D63" s="56">
        <f t="shared" ref="D63:Q63" si="7">NPV($N$52,D12:D21)-NPV($N$51,D12:D21)</f>
        <v>227.59978261242532</v>
      </c>
      <c r="E63" s="56">
        <f t="shared" si="7"/>
        <v>129.64970408982708</v>
      </c>
      <c r="F63" s="56">
        <f t="shared" si="7"/>
        <v>138.64092900703758</v>
      </c>
      <c r="G63" s="56">
        <f t="shared" si="7"/>
        <v>160.58227561924127</v>
      </c>
      <c r="H63" s="56">
        <f t="shared" si="7"/>
        <v>192.74668378279034</v>
      </c>
      <c r="I63"/>
      <c r="J63" s="56">
        <f t="shared" si="7"/>
        <v>163.8861318210038</v>
      </c>
      <c r="K63" s="56">
        <f t="shared" si="7"/>
        <v>168.10203113139073</v>
      </c>
      <c r="L63"/>
      <c r="M63" s="56">
        <f t="shared" si="7"/>
        <v>224.4708690444736</v>
      </c>
      <c r="N63" s="56">
        <f t="shared" si="7"/>
        <v>255.50604451457048</v>
      </c>
      <c r="O63" s="56">
        <f t="shared" si="7"/>
        <v>181.74952951715113</v>
      </c>
      <c r="P63" s="56">
        <f t="shared" si="7"/>
        <v>186.62995995633764</v>
      </c>
      <c r="Q63" s="56">
        <f t="shared" si="7"/>
        <v>231.40942188187</v>
      </c>
    </row>
    <row r="64" spans="1:17" x14ac:dyDescent="0.25">
      <c r="A64" s="16"/>
      <c r="B64" s="18" t="s">
        <v>51</v>
      </c>
      <c r="C64" s="19">
        <f>NPV($N$51,C12:C21)-NPV($N$53,C12:C21)</f>
        <v>35.148971229167046</v>
      </c>
      <c r="D64" s="19">
        <f t="shared" ref="D64:Q64" si="8">NPV($N$51,D12:D21)-NPV($N$53,D12:D21)</f>
        <v>54.935273191955616</v>
      </c>
      <c r="E64" s="19">
        <f t="shared" si="8"/>
        <v>32.729558471617224</v>
      </c>
      <c r="F64" s="19">
        <f t="shared" si="8"/>
        <v>34.850773859866649</v>
      </c>
      <c r="G64" s="19">
        <f t="shared" si="8"/>
        <v>40.366265673428188</v>
      </c>
      <c r="H64" s="19">
        <f t="shared" si="8"/>
        <v>47.361148685400735</v>
      </c>
      <c r="J64" s="19">
        <f t="shared" si="8"/>
        <v>40.994315208543753</v>
      </c>
      <c r="K64" s="19">
        <f t="shared" si="8"/>
        <v>41.940558027166276</v>
      </c>
      <c r="M64" s="19">
        <f t="shared" si="8"/>
        <v>54.702028360983149</v>
      </c>
      <c r="N64" s="19">
        <f t="shared" si="8"/>
        <v>61.44229233763167</v>
      </c>
      <c r="O64" s="19">
        <f t="shared" si="8"/>
        <v>45.303890852084805</v>
      </c>
      <c r="P64" s="19">
        <f t="shared" si="8"/>
        <v>46.399285194992672</v>
      </c>
      <c r="Q64" s="19">
        <f t="shared" si="8"/>
        <v>57.532197752264437</v>
      </c>
    </row>
    <row r="65" spans="1:17" s="16" customFormat="1" x14ac:dyDescent="0.25">
      <c r="B65" s="18"/>
      <c r="I65"/>
      <c r="L65"/>
    </row>
    <row r="66" spans="1:17" x14ac:dyDescent="0.25">
      <c r="A66" s="16" t="s">
        <v>33</v>
      </c>
      <c r="B66" s="57" t="s">
        <v>65</v>
      </c>
    </row>
    <row r="67" spans="1:17" x14ac:dyDescent="0.25">
      <c r="A67" s="16"/>
      <c r="B67" s="16" t="s">
        <v>63</v>
      </c>
      <c r="C67" s="44">
        <f>C59/-$C$11</f>
        <v>0.14018241668116707</v>
      </c>
      <c r="D67" s="44">
        <f>D59/-$C$11</f>
        <v>0.22759978261242508</v>
      </c>
      <c r="E67" s="44">
        <f>E59/-$C$11</f>
        <v>0.12964970408982684</v>
      </c>
      <c r="F67" s="44">
        <f>F59/-$C$11</f>
        <v>0.13864092900703712</v>
      </c>
      <c r="G67" s="44">
        <f>G59/-$C$11</f>
        <v>0.31884251499696303</v>
      </c>
      <c r="H67" s="44">
        <f>H59/-$C$11</f>
        <v>0.19274668378278989</v>
      </c>
      <c r="J67" s="44">
        <f>J59/-$C$11</f>
        <v>0.16388613182100356</v>
      </c>
      <c r="K67" s="44">
        <f>K59/-$C$11</f>
        <v>0.16810203113139049</v>
      </c>
      <c r="M67" s="44">
        <f>M59/-$C$11</f>
        <v>0.22447086904447314</v>
      </c>
      <c r="N67" s="44">
        <f>N59/-$C$11</f>
        <v>0.25550604451457004</v>
      </c>
      <c r="O67" s="44">
        <f>O59/-$C$11</f>
        <v>0.1817495295171509</v>
      </c>
      <c r="P67" s="44">
        <f>P59/-$C$11</f>
        <v>0.18662995995633741</v>
      </c>
      <c r="Q67" s="44">
        <f>Q59/-$C$11</f>
        <v>0.47134657846706296</v>
      </c>
    </row>
    <row r="68" spans="1:17" x14ac:dyDescent="0.25">
      <c r="B68" s="16" t="s">
        <v>64</v>
      </c>
      <c r="C68" s="44">
        <f>C67/$B$21</f>
        <v>5.6072966672466827E-2</v>
      </c>
      <c r="D68" s="44">
        <f t="shared" ref="D68:Q68" si="9">D67/$B$21</f>
        <v>9.1039913044970028E-2</v>
      </c>
      <c r="E68" s="44">
        <f t="shared" si="9"/>
        <v>5.1859881635930735E-2</v>
      </c>
      <c r="F68" s="44">
        <f t="shared" si="9"/>
        <v>5.5456371602814844E-2</v>
      </c>
      <c r="G68" s="44">
        <f t="shared" si="9"/>
        <v>0.1275370059987852</v>
      </c>
      <c r="H68" s="44">
        <f t="shared" si="9"/>
        <v>7.7098673513115959E-2</v>
      </c>
      <c r="J68" s="44">
        <f t="shared" si="9"/>
        <v>6.5554452728401422E-2</v>
      </c>
      <c r="K68" s="44">
        <f t="shared" si="9"/>
        <v>6.7240812452556198E-2</v>
      </c>
      <c r="M68" s="44">
        <f t="shared" si="9"/>
        <v>8.9788347617789255E-2</v>
      </c>
      <c r="N68" s="44">
        <f t="shared" si="9"/>
        <v>0.10220241780582802</v>
      </c>
      <c r="O68" s="44">
        <f t="shared" si="9"/>
        <v>7.2699811806860359E-2</v>
      </c>
      <c r="P68" s="44">
        <f t="shared" si="9"/>
        <v>7.4651983982534961E-2</v>
      </c>
      <c r="Q68" s="44">
        <f t="shared" si="9"/>
        <v>0.1885386313868252</v>
      </c>
    </row>
    <row r="70" spans="1:17" x14ac:dyDescent="0.25">
      <c r="B70" s="57" t="s">
        <v>66</v>
      </c>
      <c r="C70" s="16"/>
      <c r="D70" s="16"/>
      <c r="E70" s="16"/>
      <c r="F70" s="16"/>
      <c r="G70" s="16"/>
      <c r="H70" s="16"/>
      <c r="J70" s="16"/>
      <c r="K70" s="16"/>
      <c r="M70" s="16"/>
      <c r="N70" s="16"/>
      <c r="O70" s="16"/>
      <c r="P70" s="16"/>
      <c r="Q70" s="16"/>
    </row>
    <row r="71" spans="1:17" x14ac:dyDescent="0.25">
      <c r="B71" s="16" t="s">
        <v>63</v>
      </c>
      <c r="C71" s="44">
        <f>C60/-C$11</f>
        <v>3.5148971229167277E-2</v>
      </c>
      <c r="D71" s="44">
        <f t="shared" ref="D71:Q71" si="10">D60/-D$11</f>
        <v>5.4935273191955847E-2</v>
      </c>
      <c r="E71" s="44">
        <f t="shared" si="10"/>
        <v>3.2729558471617452E-2</v>
      </c>
      <c r="F71" s="44">
        <f t="shared" si="10"/>
        <v>3.4850773859867103E-2</v>
      </c>
      <c r="G71" s="44">
        <v>0.04</v>
      </c>
      <c r="H71" s="44">
        <f t="shared" si="10"/>
        <v>4.7361148685401193E-2</v>
      </c>
      <c r="J71" s="44">
        <f t="shared" si="10"/>
        <v>4.0994315208543977E-2</v>
      </c>
      <c r="K71" s="44">
        <f t="shared" si="10"/>
        <v>4.1940558027166501E-2</v>
      </c>
      <c r="M71" s="44">
        <f t="shared" si="10"/>
        <v>5.4702028360983604E-2</v>
      </c>
      <c r="N71" s="44">
        <f t="shared" si="10"/>
        <v>6.1442292337632126E-2</v>
      </c>
      <c r="O71" s="44">
        <f t="shared" si="10"/>
        <v>4.5303890852085034E-2</v>
      </c>
      <c r="P71" s="44">
        <f t="shared" si="10"/>
        <v>4.6399285194992902E-2</v>
      </c>
      <c r="Q71" s="44">
        <v>5.8000000000000003E-2</v>
      </c>
    </row>
    <row r="72" spans="1:17" x14ac:dyDescent="0.25">
      <c r="B72" s="16" t="s">
        <v>64</v>
      </c>
      <c r="C72" s="44">
        <f>C71/$B$21</f>
        <v>1.405958849166691E-2</v>
      </c>
      <c r="D72" s="44">
        <f t="shared" ref="D72:Q72" si="11">D71/$B$21</f>
        <v>2.1974109276782339E-2</v>
      </c>
      <c r="E72" s="44">
        <f t="shared" si="11"/>
        <v>1.3091823388646982E-2</v>
      </c>
      <c r="F72" s="44">
        <f t="shared" si="11"/>
        <v>1.394030954394684E-2</v>
      </c>
      <c r="G72" s="44">
        <f t="shared" si="11"/>
        <v>1.6E-2</v>
      </c>
      <c r="H72" s="44">
        <f t="shared" si="11"/>
        <v>1.8944459474160479E-2</v>
      </c>
      <c r="J72" s="44">
        <f t="shared" si="11"/>
        <v>1.639772608341759E-2</v>
      </c>
      <c r="K72" s="44">
        <f t="shared" si="11"/>
        <v>1.6776223210866602E-2</v>
      </c>
      <c r="M72" s="44">
        <f t="shared" si="11"/>
        <v>2.1880811344393441E-2</v>
      </c>
      <c r="N72" s="44">
        <f t="shared" si="11"/>
        <v>2.4576916935052852E-2</v>
      </c>
      <c r="O72" s="44">
        <f t="shared" si="11"/>
        <v>1.8121556340834014E-2</v>
      </c>
      <c r="P72" s="44">
        <f t="shared" si="11"/>
        <v>1.8559714077997162E-2</v>
      </c>
      <c r="Q72" s="44">
        <f t="shared" si="11"/>
        <v>2.3200000000000002E-2</v>
      </c>
    </row>
    <row r="74" spans="1:17" x14ac:dyDescent="0.25">
      <c r="A74" t="s">
        <v>67</v>
      </c>
      <c r="C74" s="58">
        <f>IRR(C11:C21)</f>
        <v>5.0000000003064926E-2</v>
      </c>
      <c r="D74" s="58">
        <f t="shared" ref="D74:Q74" si="12">IRR(D11:D21)</f>
        <v>5.0000000000000711E-2</v>
      </c>
      <c r="E74" s="58">
        <f t="shared" si="12"/>
        <v>5.0000000001156453E-2</v>
      </c>
      <c r="F74" s="58">
        <f t="shared" si="12"/>
        <v>5.0000000002126344E-2</v>
      </c>
      <c r="G74" s="58">
        <f t="shared" si="12"/>
        <v>8.1441656451305189E-2</v>
      </c>
      <c r="H74" s="58">
        <f t="shared" si="12"/>
        <v>5.0000000000000044E-2</v>
      </c>
      <c r="J74" s="58">
        <f t="shared" si="12"/>
        <v>5.0000000004462697E-2</v>
      </c>
      <c r="K74" s="58">
        <f t="shared" si="12"/>
        <v>5.0000000006204193E-2</v>
      </c>
      <c r="M74" s="58">
        <f t="shared" si="12"/>
        <v>5.0000000000000266E-2</v>
      </c>
      <c r="N74" s="58">
        <f t="shared" si="12"/>
        <v>5.0000000000001377E-2</v>
      </c>
      <c r="O74" s="58">
        <f t="shared" si="12"/>
        <v>5.0000000007268897E-2</v>
      </c>
      <c r="P74" s="58">
        <f t="shared" si="12"/>
        <v>5.0000000000000044E-2</v>
      </c>
      <c r="Q74" s="58">
        <f t="shared" si="12"/>
        <v>8.4033528419575454E-2</v>
      </c>
    </row>
    <row r="75" spans="1:17" x14ac:dyDescent="0.25">
      <c r="A75" s="16" t="s">
        <v>68</v>
      </c>
      <c r="C75" s="44">
        <f>(1+C74)^4-1</f>
        <v>0.21550625001419244</v>
      </c>
      <c r="D75" s="44">
        <f t="shared" ref="D75:P75" si="13">(1+D74)^4-1</f>
        <v>0.21550625000000356</v>
      </c>
      <c r="E75" s="44">
        <f t="shared" si="13"/>
        <v>0.21550625000535484</v>
      </c>
      <c r="F75" s="44">
        <f t="shared" si="13"/>
        <v>0.21550625000984613</v>
      </c>
      <c r="G75" s="44">
        <f t="shared" si="13"/>
        <v>0.3677678059625511</v>
      </c>
      <c r="H75" s="44">
        <f t="shared" si="13"/>
        <v>0.21550625000000001</v>
      </c>
      <c r="J75" s="44">
        <f t="shared" si="13"/>
        <v>0.21550625002066459</v>
      </c>
      <c r="K75" s="44">
        <f t="shared" si="13"/>
        <v>0.21550625002872836</v>
      </c>
      <c r="M75" s="44">
        <f t="shared" si="13"/>
        <v>0.21550625000000112</v>
      </c>
      <c r="N75" s="44">
        <f t="shared" si="13"/>
        <v>0.21550625000000645</v>
      </c>
      <c r="O75" s="44">
        <f t="shared" si="13"/>
        <v>0.21550625003365864</v>
      </c>
      <c r="P75" s="44">
        <f t="shared" si="13"/>
        <v>0.21550625000000001</v>
      </c>
      <c r="Q75" s="44">
        <f>(1+Q74)^4-1</f>
        <v>0.380927439795123</v>
      </c>
    </row>
    <row r="77" spans="1:17" x14ac:dyDescent="0.25">
      <c r="C77" t="s">
        <v>69</v>
      </c>
    </row>
    <row r="78" spans="1:17" x14ac:dyDescent="0.25">
      <c r="C78" s="16" t="s">
        <v>70</v>
      </c>
    </row>
    <row r="82" spans="1:17" x14ac:dyDescent="0.25">
      <c r="A82" t="s">
        <v>71</v>
      </c>
    </row>
    <row r="83" spans="1:17" x14ac:dyDescent="0.25">
      <c r="B83" t="s">
        <v>72</v>
      </c>
    </row>
    <row r="84" spans="1:17" x14ac:dyDescent="0.25">
      <c r="B84" s="18" t="s">
        <v>45</v>
      </c>
      <c r="C84" s="8" t="s">
        <v>73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25">
      <c r="A85" s="22" t="s">
        <v>28</v>
      </c>
      <c r="B85" s="22" t="s">
        <v>29</v>
      </c>
      <c r="C85" s="30" t="s">
        <v>9</v>
      </c>
      <c r="D85" s="30" t="s">
        <v>10</v>
      </c>
      <c r="E85" s="30" t="s">
        <v>11</v>
      </c>
      <c r="F85" s="30" t="s">
        <v>12</v>
      </c>
      <c r="G85" s="30" t="s">
        <v>13</v>
      </c>
      <c r="H85" s="30" t="s">
        <v>14</v>
      </c>
      <c r="I85" s="30" t="s">
        <v>15</v>
      </c>
      <c r="J85" s="30" t="s">
        <v>16</v>
      </c>
      <c r="K85" s="30" t="s">
        <v>17</v>
      </c>
      <c r="L85" s="30" t="s">
        <v>18</v>
      </c>
      <c r="M85" s="30" t="s">
        <v>20</v>
      </c>
      <c r="N85" s="30" t="s">
        <v>21</v>
      </c>
      <c r="O85" s="30" t="s">
        <v>22</v>
      </c>
      <c r="P85" s="30" t="s">
        <v>23</v>
      </c>
      <c r="Q85" s="30" t="s">
        <v>24</v>
      </c>
    </row>
    <row r="86" spans="1:17" x14ac:dyDescent="0.25">
      <c r="A86" s="24">
        <v>0</v>
      </c>
      <c r="B86" s="25">
        <v>0</v>
      </c>
      <c r="C86" s="46">
        <f>$C$11</f>
        <v>-1000</v>
      </c>
      <c r="D86" s="46">
        <f t="shared" ref="D86:Q86" si="14">$C$11</f>
        <v>-1000</v>
      </c>
      <c r="E86" s="46">
        <f t="shared" si="14"/>
        <v>-1000</v>
      </c>
      <c r="F86" s="46">
        <f t="shared" si="14"/>
        <v>-1000</v>
      </c>
      <c r="G86" s="46">
        <f t="shared" si="14"/>
        <v>-1000</v>
      </c>
      <c r="H86" s="46">
        <f t="shared" si="14"/>
        <v>-1000</v>
      </c>
      <c r="I86" s="46"/>
      <c r="J86" s="46">
        <f t="shared" si="14"/>
        <v>-1000</v>
      </c>
      <c r="K86" s="46">
        <f t="shared" si="14"/>
        <v>-1000</v>
      </c>
      <c r="L86" s="46"/>
      <c r="M86" s="46">
        <f t="shared" si="14"/>
        <v>-1000</v>
      </c>
      <c r="N86" s="46">
        <f t="shared" si="14"/>
        <v>-1000</v>
      </c>
      <c r="O86" s="46">
        <f t="shared" si="14"/>
        <v>-1000</v>
      </c>
      <c r="P86" s="46">
        <f t="shared" si="14"/>
        <v>-1000</v>
      </c>
      <c r="Q86" s="46">
        <f t="shared" si="14"/>
        <v>-1000</v>
      </c>
    </row>
    <row r="87" spans="1:17" x14ac:dyDescent="0.25">
      <c r="A87" s="17">
        <v>1</v>
      </c>
      <c r="B87" s="19">
        <v>0.25</v>
      </c>
      <c r="C87" s="46">
        <f>NPV($N$52,C$12:C12)+$C$11</f>
        <v>-804.70918206473789</v>
      </c>
      <c r="D87" s="46">
        <f>NPV($N$52,D$12:D12)+$C$11</f>
        <v>-951.17729551618447</v>
      </c>
      <c r="E87" s="46">
        <f>NPV($N$52,E$12:E12)+$C$11</f>
        <v>-853.53188654855342</v>
      </c>
      <c r="F87" s="46">
        <f>NPV($N$52,F$12:F12)+$C$11</f>
        <v>-873.54472814318751</v>
      </c>
      <c r="G87" s="46">
        <f>NPV($N$52,G$12:G12)+$C$11</f>
        <v>-853.53188654855342</v>
      </c>
      <c r="H87" s="46">
        <f>NPV($N$52,H$12:H12)+$C$11</f>
        <v>-951.17729551618447</v>
      </c>
      <c r="I87" s="46"/>
      <c r="J87" s="46">
        <f>NPV($N$52,J$12:J12)+$C$11</f>
        <v>-951.17729551618447</v>
      </c>
      <c r="K87" s="46">
        <f>NPV($N$52,K$12:K12)+$C$11</f>
        <v>-951.17729551618447</v>
      </c>
      <c r="L87" s="46"/>
      <c r="M87" s="46">
        <f>NPV($N$52,M$12:M12)+$C$11</f>
        <v>-1000</v>
      </c>
      <c r="N87" s="46">
        <f>NPV($N$52,N$12:N12)+$C$11</f>
        <v>-1000</v>
      </c>
      <c r="O87" s="46">
        <f>NPV($N$52,O$12:O12)+$C$11</f>
        <v>-1000</v>
      </c>
      <c r="P87" s="46">
        <f>NPV($N$52,P$12:P12)+$C$11</f>
        <v>-1000</v>
      </c>
      <c r="Q87" s="46">
        <f>NPV($N$52,Q$12:Q12)+$C$11</f>
        <v>-1000</v>
      </c>
    </row>
    <row r="88" spans="1:17" x14ac:dyDescent="0.25">
      <c r="A88" s="17">
        <v>2</v>
      </c>
      <c r="B88" s="19">
        <v>0.5</v>
      </c>
      <c r="C88" s="46">
        <f>NPV($N$52,C$12:C13)+$C$11</f>
        <v>-766.5706784949142</v>
      </c>
      <c r="D88" s="46">
        <f>NPV($N$52,D$12:D13)+$C$11</f>
        <v>-903.5041660539049</v>
      </c>
      <c r="E88" s="46">
        <f>NPV($N$52,E$12:E13)+$C$11</f>
        <v>-715.27981110794246</v>
      </c>
      <c r="F88" s="46">
        <f>NPV($N$52,F$12:F13)+$C$11</f>
        <v>-750.06696077747324</v>
      </c>
      <c r="G88" s="46">
        <f>NPV($N$52,G$12:G13)+$C$11</f>
        <v>-710.51249816171457</v>
      </c>
      <c r="H88" s="46">
        <f>NPV($N$52,H$12:H13)+$C$11</f>
        <v>-903.5041660539049</v>
      </c>
      <c r="I88" s="46"/>
      <c r="J88" s="46">
        <f>NPV($N$52,J$12:J13)+$C$11</f>
        <v>-903.5041660539049</v>
      </c>
      <c r="K88" s="46">
        <f>NPV($N$52,K$12:K13)+$C$11</f>
        <v>-903.5041660539049</v>
      </c>
      <c r="L88" s="46"/>
      <c r="M88" s="46">
        <f>NPV($N$52,M$12:M13)+$C$11</f>
        <v>-1000</v>
      </c>
      <c r="N88" s="46">
        <f>NPV($N$52,N$12:N13)+$C$11</f>
        <v>-1000</v>
      </c>
      <c r="O88" s="46">
        <f>NPV($N$52,O$12:O13)+$C$11</f>
        <v>-1000</v>
      </c>
      <c r="P88" s="46">
        <f>NPV($N$52,P$12:P13)+$C$11</f>
        <v>-1000</v>
      </c>
      <c r="Q88" s="46">
        <f>NPV($N$52,Q$12:Q13)+$C$11</f>
        <v>-1000</v>
      </c>
    </row>
    <row r="89" spans="1:17" x14ac:dyDescent="0.25">
      <c r="A89" s="17">
        <v>3</v>
      </c>
      <c r="B89" s="19">
        <v>0.75</v>
      </c>
      <c r="C89" s="46">
        <f>NPV($N$52,C$12:C14)+$C$11</f>
        <v>-626.91881180158066</v>
      </c>
      <c r="D89" s="46">
        <f>NPV($N$52,D$12:D14)+$C$11</f>
        <v>-856.95354382279368</v>
      </c>
      <c r="E89" s="46">
        <f>NPV($N$52,E$12:E14)+$C$11</f>
        <v>-584.93806886083121</v>
      </c>
      <c r="F89" s="46">
        <f>NPV($N$52,F$12:F14)+$C$11</f>
        <v>-629.49658984912151</v>
      </c>
      <c r="G89" s="46">
        <f>NPV($N$52,G$12:G14)+$C$11</f>
        <v>-570.86063146838114</v>
      </c>
      <c r="H89" s="46">
        <f>NPV($N$52,H$12:H14)+$C$11</f>
        <v>-856.95354382279368</v>
      </c>
      <c r="I89" s="46"/>
      <c r="J89" s="46">
        <f>NPV($N$52,J$12:J14)+$C$11</f>
        <v>-856.95354382279368</v>
      </c>
      <c r="K89" s="46">
        <f>NPV($N$52,K$12:K14)+$C$11</f>
        <v>-856.95354382279368</v>
      </c>
      <c r="L89" s="46"/>
      <c r="M89" s="46">
        <f>NPV($N$52,M$12:M14)+$C$11</f>
        <v>-1000</v>
      </c>
      <c r="N89" s="46">
        <f>NPV($N$52,N$12:N14)+$C$11</f>
        <v>-1000</v>
      </c>
      <c r="O89" s="46">
        <f>NPV($N$52,O$12:O14)+$C$11</f>
        <v>-1000</v>
      </c>
      <c r="P89" s="46">
        <f>NPV($N$52,P$12:P14)+$C$11</f>
        <v>-1000</v>
      </c>
      <c r="Q89" s="46">
        <f>NPV($N$52,Q$12:Q14)+$C$11</f>
        <v>-1000</v>
      </c>
    </row>
    <row r="90" spans="1:17" x14ac:dyDescent="0.25">
      <c r="A90" s="17">
        <v>4</v>
      </c>
      <c r="B90" s="19">
        <v>1</v>
      </c>
      <c r="C90" s="46">
        <f>NPV($N$52,C$12:C15)+$C$11</f>
        <v>-536.00972089248978</v>
      </c>
      <c r="D90" s="46">
        <f>NPV($N$52,D$12:D15)+$C$11</f>
        <v>-811.49899836824818</v>
      </c>
      <c r="E90" s="46">
        <f>NPV($N$52,E$12:E15)+$C$11</f>
        <v>-462.21079613355846</v>
      </c>
      <c r="F90" s="46">
        <f>NPV($N$52,F$12:F15)+$C$11</f>
        <v>-511.76515806234272</v>
      </c>
      <c r="G90" s="46">
        <f>NPV($N$52,G$12:G15)+$C$11</f>
        <v>-434.49699510474477</v>
      </c>
      <c r="H90" s="46">
        <f>NPV($N$52,H$12:H15)+$C$11</f>
        <v>-766.0444529137028</v>
      </c>
      <c r="I90" s="46"/>
      <c r="J90" s="46">
        <f>NPV($N$52,J$12:J15)+$C$11</f>
        <v>-681.62886849811832</v>
      </c>
      <c r="K90" s="46">
        <f>NPV($N$52,K$12:K15)+$C$11</f>
        <v>-699.84461796263849</v>
      </c>
      <c r="L90" s="46"/>
      <c r="M90" s="46">
        <f>NPV($N$52,M$12:M15)+$C$11</f>
        <v>-909.09090909090912</v>
      </c>
      <c r="N90" s="46">
        <f>NPV($N$52,N$12:N15)+$C$11</f>
        <v>-947.38068181818176</v>
      </c>
      <c r="O90" s="46">
        <f>NPV($N$52,O$12:O15)+$C$11</f>
        <v>-797.03977272727275</v>
      </c>
      <c r="P90" s="46">
        <f>NPV($N$52,P$12:P15)+$C$11</f>
        <v>-818.12677970113782</v>
      </c>
      <c r="Q90" s="46">
        <f>NPV($N$52,Q$12:Q15)+$C$11</f>
        <v>-774.48863636363626</v>
      </c>
    </row>
    <row r="91" spans="1:17" x14ac:dyDescent="0.25">
      <c r="A91" s="17">
        <v>5</v>
      </c>
      <c r="B91" s="19">
        <v>1.25</v>
      </c>
      <c r="C91" s="46">
        <f>NPV($N$52,C$12:C16)+$C$11</f>
        <v>-358.47261367861506</v>
      </c>
      <c r="D91" s="46">
        <f>NPV($N$52,D$12:D16)+$C$11</f>
        <v>-767.11472156477953</v>
      </c>
      <c r="E91" s="46">
        <f>NPV($N$52,E$12:E16)+$C$11</f>
        <v>-346.8116764445399</v>
      </c>
      <c r="F91" s="46">
        <f>NPV($N$52,F$12:F16)+$C$11</f>
        <v>-396.80582001069502</v>
      </c>
      <c r="G91" s="46">
        <f>NPV($N$52,G$12:G16)+$C$11</f>
        <v>-301.34416469433882</v>
      </c>
      <c r="H91" s="46">
        <f>NPV($N$52,H$12:H16)+$C$11</f>
        <v>-588.50734569982808</v>
      </c>
      <c r="I91" s="46"/>
      <c r="J91" s="46">
        <f>NPV($N$52,J$12:J16)+$C$11</f>
        <v>-516.77298322809179</v>
      </c>
      <c r="K91" s="46">
        <f>NPV($N$52,K$12:K16)+$C$11</f>
        <v>-546.43496478183761</v>
      </c>
      <c r="L91" s="46"/>
      <c r="M91" s="46">
        <f>NPV($N$52,M$12:M16)+$C$11</f>
        <v>-731.5538018770344</v>
      </c>
      <c r="N91" s="46">
        <f>NPV($N$52,N$12:N16)+$C$11</f>
        <v>-896.00033338356639</v>
      </c>
      <c r="O91" s="46">
        <f>NPV($N$52,O$12:O16)+$C$11</f>
        <v>-606.1984785415583</v>
      </c>
      <c r="P91" s="46">
        <f>NPV($N$52,P$12:P16)+$C$11</f>
        <v>-640.53592993771326</v>
      </c>
      <c r="Q91" s="46">
        <f>NPV($N$52,Q$12:Q16)+$C$11</f>
        <v>-554.2871430724274</v>
      </c>
    </row>
    <row r="92" spans="1:17" x14ac:dyDescent="0.25">
      <c r="A92" s="17">
        <v>6</v>
      </c>
      <c r="B92" s="19">
        <v>1.5</v>
      </c>
      <c r="C92" s="46">
        <f>NPV($N$52,C$12:C17)+$C$11</f>
        <v>-358.47261367861506</v>
      </c>
      <c r="D92" s="46">
        <f>NPV($N$52,D$12:D17)+$C$11</f>
        <v>-723.77551296270713</v>
      </c>
      <c r="E92" s="46">
        <f>NPV($N$52,E$12:E17)+$C$11</f>
        <v>-238.463654939359</v>
      </c>
      <c r="F92" s="46">
        <f>NPV($N$52,F$12:F17)+$C$11</f>
        <v>-284.55330422368206</v>
      </c>
      <c r="G92" s="46">
        <f>NPV($N$52,G$12:G17)+$C$11</f>
        <v>-171.32653888812172</v>
      </c>
      <c r="H92" s="46">
        <f>NPV($N$52,H$12:H17)+$C$11</f>
        <v>-588.50734569982808</v>
      </c>
      <c r="I92" s="46"/>
      <c r="J92" s="46">
        <f>NPV($N$52,J$12:J17)+$C$11</f>
        <v>-361.99009536354754</v>
      </c>
      <c r="K92" s="46">
        <f>NPV($N$52,K$12:K17)+$C$11</f>
        <v>-396.63748153762015</v>
      </c>
      <c r="L92" s="46"/>
      <c r="M92" s="46">
        <f>NPV($N$52,M$12:M17)+$C$11</f>
        <v>-731.5538018770344</v>
      </c>
      <c r="N92" s="46">
        <f>NPV($N$52,N$12:N17)+$C$11</f>
        <v>-845.82978202559229</v>
      </c>
      <c r="O92" s="46">
        <f>NPV($N$52,O$12:O17)+$C$11</f>
        <v>-427.01793797736536</v>
      </c>
      <c r="P92" s="46">
        <f>NPV($N$52,P$12:P17)+$C$11</f>
        <v>-467.12661839712598</v>
      </c>
      <c r="Q92" s="46">
        <f>NPV($N$52,Q$12:Q17)+$C$11</f>
        <v>-339.27049439539564</v>
      </c>
    </row>
    <row r="93" spans="1:17" x14ac:dyDescent="0.25">
      <c r="A93" s="17">
        <v>7</v>
      </c>
      <c r="B93" s="19">
        <v>1.75</v>
      </c>
      <c r="C93" s="46">
        <f>NPV($N$52,C$12:C18)+$C$11</f>
        <v>-273.83511871295843</v>
      </c>
      <c r="D93" s="46">
        <f>NPV($N$52,D$12:D18)+$C$11</f>
        <v>-681.45676547987887</v>
      </c>
      <c r="E93" s="46">
        <f>NPV($N$52,E$12:E18)+$C$11</f>
        <v>-136.89866098057098</v>
      </c>
      <c r="F93" s="46">
        <f>NPV($N$52,F$12:F18)+$C$11</f>
        <v>-174.94387610699869</v>
      </c>
      <c r="G93" s="46">
        <f>NPV($N$52,G$12:G18)+$C$11</f>
        <v>-44.370296439636604</v>
      </c>
      <c r="H93" s="46">
        <f>NPV($N$52,H$12:H18)+$C$11</f>
        <v>-503.86985073417145</v>
      </c>
      <c r="I93" s="46"/>
      <c r="J93" s="46">
        <f>NPV($N$52,J$12:J18)+$C$11</f>
        <v>-216.89724685099338</v>
      </c>
      <c r="K93" s="46">
        <f>NPV($N$52,K$12:K18)+$C$11</f>
        <v>-250.36711640058536</v>
      </c>
      <c r="L93" s="46"/>
      <c r="M93" s="46">
        <f>NPV($N$52,M$12:M18)+$C$11</f>
        <v>-646.91630691137777</v>
      </c>
      <c r="N93" s="46">
        <f>NPV($N$52,N$12:N18)+$C$11</f>
        <v>-796.84054197078319</v>
      </c>
      <c r="O93" s="46">
        <f>NPV($N$52,O$12:O18)+$C$11</f>
        <v>-259.05482921801979</v>
      </c>
      <c r="P93" s="46">
        <f>NPV($N$52,P$12:P18)+$C$11</f>
        <v>-297.80038695536621</v>
      </c>
      <c r="Q93" s="46">
        <f>NPV($N$52,Q$12:Q18)+$C$11</f>
        <v>-129.31660844621365</v>
      </c>
    </row>
    <row r="94" spans="1:17" x14ac:dyDescent="0.25">
      <c r="A94" s="17">
        <v>8</v>
      </c>
      <c r="B94" s="19">
        <v>2</v>
      </c>
      <c r="C94" s="46">
        <f>NPV($N$52,C$12:C19)+$C$11</f>
        <v>-92.01693689477645</v>
      </c>
      <c r="D94" s="46">
        <f>NPV($N$52,D$12:D19)+$C$11</f>
        <v>-640.13445143029207</v>
      </c>
      <c r="E94" s="46">
        <f>NPV($N$52,E$12:E19)+$C$11</f>
        <v>-41.857338666521287</v>
      </c>
      <c r="F94" s="46">
        <f>NPV($N$52,F$12:F19)+$C$11</f>
        <v>-67.91530175538162</v>
      </c>
      <c r="G94" s="46">
        <f>NPV($N$52,G$12:G19)+$C$11</f>
        <v>79.596645709123777</v>
      </c>
      <c r="H94" s="46">
        <f>NPV($N$52,H$12:H19)+$C$11</f>
        <v>-322.05166891598958</v>
      </c>
      <c r="I94" s="46"/>
      <c r="J94" s="46">
        <f>NPV($N$52,J$12:J19)+$C$11</f>
        <v>-81.123929259493934</v>
      </c>
      <c r="K94" s="46">
        <f>NPV($N$52,K$12:K19)+$C$11</f>
        <v>-107.54082016408063</v>
      </c>
      <c r="L94" s="46"/>
      <c r="M94" s="46">
        <f>NPV($N$52,M$12:M19)+$C$11</f>
        <v>-465.0981250931959</v>
      </c>
      <c r="N94" s="46">
        <f>NPV($N$52,N$12:N19)+$C$11</f>
        <v>-749.00479816913025</v>
      </c>
      <c r="O94" s="46">
        <f>NPV($N$52,O$12:O19)+$C$11</f>
        <v>-101.88024244116025</v>
      </c>
      <c r="P94" s="46">
        <f>NPV($N$52,P$12:P19)+$C$11</f>
        <v>-132.46109577458242</v>
      </c>
      <c r="Q94" s="46">
        <f>NPV($N$52,Q$12:Q19)+$C$11</f>
        <v>75.693722132298944</v>
      </c>
    </row>
    <row r="95" spans="1:17" x14ac:dyDescent="0.25">
      <c r="A95" s="17">
        <v>9</v>
      </c>
      <c r="B95" s="19">
        <v>2.25</v>
      </c>
      <c r="C95" s="46">
        <f>NPV($N$52,C$12:C20)+$C$11</f>
        <v>101.65990733854142</v>
      </c>
      <c r="D95" s="46">
        <f>NPV($N$52,D$12:D20)+$C$11</f>
        <v>-599.78510888168421</v>
      </c>
      <c r="E95" s="46">
        <f>NPV($N$52,E$12:E20)+$C$11</f>
        <v>46.911214940415903</v>
      </c>
      <c r="F95" s="46">
        <f>NPV($N$52,F$12:F20)+$C$11</f>
        <v>36.593187382479982</v>
      </c>
      <c r="G95" s="46">
        <f>NPV($N$52,G$12:G20)+$C$11</f>
        <v>200.64467335494737</v>
      </c>
      <c r="H95" s="46">
        <f>NPV($N$52,H$12:H20)+$C$11</f>
        <v>-128.37482468267171</v>
      </c>
      <c r="I95" s="46"/>
      <c r="J95" s="46">
        <f>NPV($N$52,J$12:J20)+$C$11</f>
        <v>45.688290178987927</v>
      </c>
      <c r="K95" s="46">
        <f>NPV($N$52,K$12:K20)+$C$11</f>
        <v>31.922500909374776</v>
      </c>
      <c r="L95" s="46"/>
      <c r="M95" s="46">
        <f>NPV($N$52,M$12:M20)+$C$11</f>
        <v>-271.42128085987804</v>
      </c>
      <c r="N95" s="46">
        <f>NPV($N$52,N$12:N20)+$C$11</f>
        <v>-702.29539050129802</v>
      </c>
      <c r="O95" s="46">
        <f>NPV($N$52,O$12:O20)+$C$11</f>
        <v>44.920753086312516</v>
      </c>
      <c r="P95" s="46">
        <f>NPV($N$52,P$12:P20)+$C$11</f>
        <v>28.985131283076271</v>
      </c>
      <c r="Q95" s="46">
        <f>NPV($N$52,Q$12:Q20)+$C$11</f>
        <v>275.87689785157954</v>
      </c>
    </row>
    <row r="96" spans="1:17" x14ac:dyDescent="0.25">
      <c r="A96" s="17">
        <v>10</v>
      </c>
      <c r="B96" s="19">
        <v>2.5</v>
      </c>
      <c r="C96" s="46">
        <f>NPV($N$52,C$12:C21)+$C$11</f>
        <v>140.18241668116707</v>
      </c>
      <c r="D96" s="46">
        <f>NPV($N$52,D$12:D21)+$C$11</f>
        <v>227.59978261242509</v>
      </c>
      <c r="E96" s="46">
        <f>NPV($N$52,E$12:E21)+$C$11</f>
        <v>129.64970408982686</v>
      </c>
      <c r="F96" s="46">
        <f>NPV($N$52,F$12:F21)+$C$11</f>
        <v>138.64092900703713</v>
      </c>
      <c r="G96" s="46">
        <f>NPV($N$52,G$12:G21)+$C$11</f>
        <v>318.84251499696302</v>
      </c>
      <c r="H96" s="46">
        <f>NPV($N$52,H$12:H21)+$C$11</f>
        <v>192.74668378278989</v>
      </c>
      <c r="I96" s="46"/>
      <c r="J96" s="46">
        <f>NPV($N$52,J$12:J21)+$C$11</f>
        <v>163.88613182100357</v>
      </c>
      <c r="K96" s="46">
        <f>NPV($N$52,K$12:K21)+$C$11</f>
        <v>168.1020311313905</v>
      </c>
      <c r="L96" s="46"/>
      <c r="M96" s="46">
        <f>NPV($N$52,M$12:M21)+$C$11</f>
        <v>224.47086904447315</v>
      </c>
      <c r="N96" s="46">
        <f>NPV($N$52,N$12:N21)+$C$11</f>
        <v>255.50604451457002</v>
      </c>
      <c r="O96" s="46">
        <f>NPV($N$52,O$12:O21)+$C$11</f>
        <v>181.7495295171509</v>
      </c>
      <c r="P96" s="46">
        <f>NPV($N$52,P$12:P21)+$C$11</f>
        <v>186.62995995633742</v>
      </c>
      <c r="Q96" s="46">
        <f>NPV($N$52,Q$12:Q21)+$C$11</f>
        <v>471.34657846706295</v>
      </c>
    </row>
    <row r="99" spans="1:17" x14ac:dyDescent="0.25">
      <c r="A99" s="16"/>
      <c r="B99" s="16" t="s">
        <v>74</v>
      </c>
      <c r="C99" s="28" cm="1">
        <f t="array" ref="C99">INDEX($B$87:$B$96,MATCH(0,C87:C96,1)+1)</f>
        <v>2.25</v>
      </c>
      <c r="D99" s="28" cm="1">
        <f t="array" ref="D99">INDEX($B$87:$B$96,MATCH(0,D87:D96,1)+1)</f>
        <v>2.5</v>
      </c>
      <c r="E99" s="28" cm="1">
        <f t="array" ref="E99">INDEX($B$87:$B$96,MATCH(0,E87:E96,1)+1)</f>
        <v>2.25</v>
      </c>
      <c r="F99" s="28" cm="1">
        <f t="array" ref="F99">INDEX($B$87:$B$96,MATCH(0,F87:F96,1)+1)</f>
        <v>2.25</v>
      </c>
      <c r="G99" s="28" cm="1">
        <f t="array" ref="G99">INDEX($B$87:$B$96,MATCH(0,G87:G96,1)+1)</f>
        <v>2</v>
      </c>
      <c r="H99" s="28" cm="1">
        <f t="array" ref="H99">INDEX($B$87:$B$96,MATCH(0,H87:H96,1)+1)</f>
        <v>2.5</v>
      </c>
      <c r="J99" s="28" cm="1">
        <f t="array" ref="J99">INDEX($B$87:$B$96,MATCH(0,J87:J96,1)+1)</f>
        <v>2.25</v>
      </c>
      <c r="K99" s="28" cm="1">
        <f t="array" ref="K99">INDEX($B$87:$B$96,MATCH(0,K87:K96,1)+1)</f>
        <v>2.25</v>
      </c>
      <c r="M99" s="28" cm="1">
        <f t="array" ref="M99">INDEX($B$87:$B$96,MATCH(0,M87:M96,1)+1)</f>
        <v>2.5</v>
      </c>
      <c r="N99" s="28" cm="1">
        <f t="array" ref="N99">INDEX($B$87:$B$96,MATCH(0,N87:N96,1)+1)</f>
        <v>2.5</v>
      </c>
      <c r="O99" s="28" cm="1">
        <f t="array" ref="O99">INDEX($B$87:$B$96,MATCH(0,O87:O96,1)+1)</f>
        <v>2.25</v>
      </c>
      <c r="P99" s="28" cm="1">
        <f t="array" ref="P99">INDEX($B$87:$B$96,MATCH(0,P87:P96,1)+1)</f>
        <v>2.25</v>
      </c>
      <c r="Q99" s="28" cm="1">
        <f t="array" ref="Q99">INDEX($B$87:$B$96,MATCH(0,Q87:Q96,1)+1)</f>
        <v>2</v>
      </c>
    </row>
    <row r="102" spans="1:17" x14ac:dyDescent="0.25">
      <c r="A102" s="16"/>
      <c r="B102" s="18" t="s">
        <v>51</v>
      </c>
      <c r="C102" s="8" t="s">
        <v>73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x14ac:dyDescent="0.25">
      <c r="A103" s="22" t="s">
        <v>28</v>
      </c>
      <c r="B103" s="22" t="s">
        <v>29</v>
      </c>
      <c r="C103" s="30" t="s">
        <v>9</v>
      </c>
      <c r="D103" s="30" t="s">
        <v>10</v>
      </c>
      <c r="E103" s="30" t="s">
        <v>11</v>
      </c>
      <c r="F103" s="30" t="s">
        <v>12</v>
      </c>
      <c r="G103" s="30" t="s">
        <v>13</v>
      </c>
      <c r="H103" s="30" t="s">
        <v>14</v>
      </c>
      <c r="I103" s="30" t="s">
        <v>15</v>
      </c>
      <c r="J103" s="30" t="s">
        <v>16</v>
      </c>
      <c r="K103" s="30" t="s">
        <v>17</v>
      </c>
      <c r="L103" s="30" t="s">
        <v>18</v>
      </c>
      <c r="M103" s="30" t="s">
        <v>20</v>
      </c>
      <c r="N103" s="30" t="s">
        <v>21</v>
      </c>
      <c r="O103" s="30" t="s">
        <v>22</v>
      </c>
      <c r="P103" s="30" t="s">
        <v>23</v>
      </c>
      <c r="Q103" s="30" t="s">
        <v>24</v>
      </c>
    </row>
    <row r="104" spans="1:17" x14ac:dyDescent="0.25">
      <c r="A104" s="24">
        <v>0</v>
      </c>
      <c r="B104" s="25">
        <v>0</v>
      </c>
      <c r="C104" s="46">
        <f>-$C$11</f>
        <v>1000</v>
      </c>
      <c r="D104" s="46">
        <f t="shared" ref="D104:Q104" si="15">-$C$11</f>
        <v>1000</v>
      </c>
      <c r="E104" s="46">
        <f t="shared" si="15"/>
        <v>1000</v>
      </c>
      <c r="F104" s="46">
        <f t="shared" si="15"/>
        <v>1000</v>
      </c>
      <c r="G104" s="46">
        <f t="shared" si="15"/>
        <v>1000</v>
      </c>
      <c r="H104" s="46">
        <f t="shared" si="15"/>
        <v>1000</v>
      </c>
      <c r="I104" s="46">
        <f t="shared" si="15"/>
        <v>1000</v>
      </c>
      <c r="J104" s="46">
        <f t="shared" si="15"/>
        <v>1000</v>
      </c>
      <c r="K104" s="46">
        <f t="shared" si="15"/>
        <v>1000</v>
      </c>
      <c r="L104" s="46">
        <f t="shared" si="15"/>
        <v>1000</v>
      </c>
      <c r="M104" s="46">
        <f t="shared" si="15"/>
        <v>1000</v>
      </c>
      <c r="N104" s="46">
        <f t="shared" si="15"/>
        <v>1000</v>
      </c>
      <c r="O104" s="46">
        <f t="shared" si="15"/>
        <v>1000</v>
      </c>
      <c r="P104" s="46">
        <f t="shared" si="15"/>
        <v>1000</v>
      </c>
      <c r="Q104" s="46">
        <f t="shared" si="15"/>
        <v>1000</v>
      </c>
    </row>
    <row r="105" spans="1:17" x14ac:dyDescent="0.25">
      <c r="A105" s="17">
        <v>1</v>
      </c>
      <c r="B105" s="19">
        <v>0.25</v>
      </c>
      <c r="C105" s="46">
        <f>-NPV($N$53,C$12:C12)-$C$11</f>
        <v>810.85167819936487</v>
      </c>
      <c r="D105" s="46">
        <f>-NPV($N$53,D$12:D12)-$C$11</f>
        <v>952.71291954984122</v>
      </c>
      <c r="E105" s="46">
        <f>-NPV($N$53,E$12:E12)-$C$11</f>
        <v>858.13875864952365</v>
      </c>
      <c r="F105" s="46">
        <f>-NPV($N$53,F$12:F12)-$C$11</f>
        <v>877.52213489889664</v>
      </c>
      <c r="G105" s="46">
        <f>-NPV($N$53,G$12:G12)-$C$11</f>
        <v>858.13875864952365</v>
      </c>
      <c r="H105" s="46">
        <f>-NPV($N$53,H$12:H12)-$C$11</f>
        <v>952.71291954984122</v>
      </c>
      <c r="I105" s="46">
        <f>-NPV($N$53,I$12:I12)-$C$11</f>
        <v>1000</v>
      </c>
      <c r="J105" s="46">
        <f>-NPV($N$53,J$12:J12)-$C$11</f>
        <v>952.71291954984122</v>
      </c>
      <c r="K105" s="46">
        <f>-NPV($N$53,K$12:K12)-$C$11</f>
        <v>952.71291954984122</v>
      </c>
      <c r="L105" s="46">
        <f>-NPV($N$53,L$12:L12)-$C$11</f>
        <v>1000</v>
      </c>
      <c r="M105" s="46">
        <f>-NPV($N$53,M$12:M12)-$C$11</f>
        <v>1000</v>
      </c>
      <c r="N105" s="46">
        <f>-NPV($N$53,N$12:N12)-$C$11</f>
        <v>1000</v>
      </c>
      <c r="O105" s="46">
        <f>-NPV($N$53,O$12:O12)-$C$11</f>
        <v>1000</v>
      </c>
      <c r="P105" s="46">
        <f>-NPV($N$53,P$12:P12)-$C$11</f>
        <v>1000</v>
      </c>
      <c r="Q105" s="46">
        <f>-NPV($N$53,Q$12:Q12)-$C$11</f>
        <v>1000</v>
      </c>
    </row>
    <row r="106" spans="1:17" x14ac:dyDescent="0.25">
      <c r="A106" s="17">
        <v>2</v>
      </c>
      <c r="B106" s="19">
        <v>0.5</v>
      </c>
      <c r="C106" s="46">
        <f>-NPV($N$53,C$12:C13)-$C$11</f>
        <v>775.07459055936818</v>
      </c>
      <c r="D106" s="46">
        <f>-NPV($N$53,D$12:D13)-$C$11</f>
        <v>907.99155999984544</v>
      </c>
      <c r="E106" s="46">
        <f>-NPV($N$53,E$12:E13)-$C$11</f>
        <v>728.44681595453585</v>
      </c>
      <c r="F106" s="46">
        <f>-NPV($N$53,F$12:F13)-$C$11</f>
        <v>761.68972169090512</v>
      </c>
      <c r="G106" s="46">
        <f>-NPV($N$53,G$12:G13)-$C$11</f>
        <v>723.97467999953619</v>
      </c>
      <c r="H106" s="46">
        <f>-NPV($N$53,H$12:H13)-$C$11</f>
        <v>907.99155999984544</v>
      </c>
      <c r="I106" s="46">
        <f>-NPV($N$53,I$12:I13)-$C$11</f>
        <v>1000</v>
      </c>
      <c r="J106" s="46">
        <f>-NPV($N$53,J$12:J13)-$C$11</f>
        <v>907.99155999984544</v>
      </c>
      <c r="K106" s="46">
        <f>-NPV($N$53,K$12:K13)-$C$11</f>
        <v>907.99155999984544</v>
      </c>
      <c r="L106" s="46">
        <f>-NPV($N$53,L$12:L13)-$C$11</f>
        <v>1000</v>
      </c>
      <c r="M106" s="46">
        <f>-NPV($N$53,M$12:M13)-$C$11</f>
        <v>1000</v>
      </c>
      <c r="N106" s="46">
        <f>-NPV($N$53,N$12:N13)-$C$11</f>
        <v>1000</v>
      </c>
      <c r="O106" s="46">
        <f>-NPV($N$53,O$12:O13)-$C$11</f>
        <v>1000</v>
      </c>
      <c r="P106" s="46">
        <f>-NPV($N$53,P$12:P13)-$C$11</f>
        <v>1000</v>
      </c>
      <c r="Q106" s="46">
        <f>-NPV($N$53,Q$12:Q13)-$C$11</f>
        <v>1000</v>
      </c>
    </row>
    <row r="107" spans="1:17" x14ac:dyDescent="0.25">
      <c r="A107" s="17">
        <v>3</v>
      </c>
      <c r="B107" s="19">
        <v>0.75</v>
      </c>
      <c r="C107" s="46">
        <f>-NPV($N$53,C$12:C14)-$C$11</f>
        <v>648.19003894650041</v>
      </c>
      <c r="D107" s="46">
        <f>-NPV($N$53,D$12:D14)-$C$11</f>
        <v>865.69670946222277</v>
      </c>
      <c r="E107" s="46">
        <f>-NPV($N$53,E$12:E14)-$C$11</f>
        <v>610.02123444919266</v>
      </c>
      <c r="F107" s="46">
        <f>-NPV($N$53,F$12:F14)-$C$11</f>
        <v>652.14218884885861</v>
      </c>
      <c r="G107" s="46">
        <f>-NPV($N$53,G$12:G14)-$C$11</f>
        <v>597.09012838666854</v>
      </c>
      <c r="H107" s="46">
        <f>-NPV($N$53,H$12:H14)-$C$11</f>
        <v>865.69670946222277</v>
      </c>
      <c r="I107" s="46">
        <f>-NPV($N$53,I$12:I14)-$C$11</f>
        <v>1000</v>
      </c>
      <c r="J107" s="46">
        <f>-NPV($N$53,J$12:J14)-$C$11</f>
        <v>865.69670946222277</v>
      </c>
      <c r="K107" s="46">
        <f>-NPV($N$53,K$12:K14)-$C$11</f>
        <v>865.69670946222277</v>
      </c>
      <c r="L107" s="46">
        <f>-NPV($N$53,L$12:L14)-$C$11</f>
        <v>1000</v>
      </c>
      <c r="M107" s="46">
        <f>-NPV($N$53,M$12:M14)-$C$11</f>
        <v>1000</v>
      </c>
      <c r="N107" s="46">
        <f>-NPV($N$53,N$12:N14)-$C$11</f>
        <v>1000</v>
      </c>
      <c r="O107" s="46">
        <f>-NPV($N$53,O$12:O14)-$C$11</f>
        <v>1000</v>
      </c>
      <c r="P107" s="46">
        <f>-NPV($N$53,P$12:P14)-$C$11</f>
        <v>1000</v>
      </c>
      <c r="Q107" s="46">
        <f>-NPV($N$53,Q$12:Q14)-$C$11</f>
        <v>1000</v>
      </c>
    </row>
    <row r="108" spans="1:17" x14ac:dyDescent="0.25">
      <c r="A108" s="17">
        <v>4</v>
      </c>
      <c r="B108" s="19">
        <v>1</v>
      </c>
      <c r="C108" s="46">
        <f>-NPV($N$53,C$12:C15)-$C$11</f>
        <v>568.19003894650041</v>
      </c>
      <c r="D108" s="46">
        <f>-NPV($N$53,D$12:D15)-$C$11</f>
        <v>825.69670946222277</v>
      </c>
      <c r="E108" s="46">
        <f>-NPV($N$53,E$12:E15)-$C$11</f>
        <v>502.0212344491926</v>
      </c>
      <c r="F108" s="46">
        <f>-NPV($N$53,F$12:F15)-$C$11</f>
        <v>548.53852887649327</v>
      </c>
      <c r="G108" s="46">
        <f>-NPV($N$53,G$12:G15)-$C$11</f>
        <v>477.09012838666854</v>
      </c>
      <c r="H108" s="46">
        <f>-NPV($N$53,H$12:H15)-$C$11</f>
        <v>785.69670946222277</v>
      </c>
      <c r="I108" s="46">
        <f>-NPV($N$53,I$12:I15)-$C$11</f>
        <v>1000</v>
      </c>
      <c r="J108" s="46">
        <f>-NPV($N$53,J$12:J15)-$C$11</f>
        <v>711.41099517650855</v>
      </c>
      <c r="K108" s="46">
        <f>-NPV($N$53,K$12:K15)-$C$11</f>
        <v>727.44085470528626</v>
      </c>
      <c r="L108" s="46">
        <f>-NPV($N$53,L$12:L15)-$C$11</f>
        <v>1000</v>
      </c>
      <c r="M108" s="46">
        <f>-NPV($N$53,M$12:M15)-$C$11</f>
        <v>920</v>
      </c>
      <c r="N108" s="46">
        <f>-NPV($N$53,N$12:N15)-$C$11</f>
        <v>953.69499999999994</v>
      </c>
      <c r="O108" s="46">
        <f>-NPV($N$53,O$12:O15)-$C$11</f>
        <v>821.39499999999998</v>
      </c>
      <c r="P108" s="46">
        <f>-NPV($N$53,P$12:P15)-$C$11</f>
        <v>839.95156613700124</v>
      </c>
      <c r="Q108" s="46">
        <f>-NPV($N$53,Q$12:Q15)-$C$11</f>
        <v>801.55</v>
      </c>
    </row>
    <row r="109" spans="1:17" x14ac:dyDescent="0.25">
      <c r="A109" s="17">
        <v>5</v>
      </c>
      <c r="B109" s="19">
        <v>1.25</v>
      </c>
      <c r="C109" s="46">
        <f>-NPV($N$53,C$12:C16)-$C$11</f>
        <v>416.8713815059923</v>
      </c>
      <c r="D109" s="46">
        <f>-NPV($N$53,D$12:D16)-$C$11</f>
        <v>787.86704510209574</v>
      </c>
      <c r="E109" s="46">
        <f>-NPV($N$53,E$12:E16)-$C$11</f>
        <v>403.66410711286233</v>
      </c>
      <c r="F109" s="46">
        <f>-NPV($N$53,F$12:F16)-$C$11</f>
        <v>450.55623679561052</v>
      </c>
      <c r="G109" s="46">
        <f>-NPV($N$53,G$12:G16)-$C$11</f>
        <v>363.60113530628746</v>
      </c>
      <c r="H109" s="46">
        <f>-NPV($N$53,H$12:H16)-$C$11</f>
        <v>634.37805202171467</v>
      </c>
      <c r="I109" s="46">
        <f>-NPV($N$53,I$12:I16)-$C$11</f>
        <v>1000</v>
      </c>
      <c r="J109" s="46">
        <f>-NPV($N$53,J$12:J16)-$C$11</f>
        <v>570.90081326746531</v>
      </c>
      <c r="K109" s="46">
        <f>-NPV($N$53,K$12:K16)-$C$11</f>
        <v>596.68654017335166</v>
      </c>
      <c r="L109" s="46">
        <f>-NPV($N$53,L$12:L16)-$C$11</f>
        <v>1000</v>
      </c>
      <c r="M109" s="46">
        <f>-NPV($N$53,M$12:M16)-$C$11</f>
        <v>768.6813425594919</v>
      </c>
      <c r="N109" s="46">
        <f>-NPV($N$53,N$12:N16)-$C$11</f>
        <v>909.90243479510787</v>
      </c>
      <c r="O109" s="46">
        <f>-NPV($N$53,O$12:O16)-$C$11</f>
        <v>658.73690066754375</v>
      </c>
      <c r="P109" s="46">
        <f>-NPV($N$53,P$12:P16)-$C$11</f>
        <v>688.58710277697048</v>
      </c>
      <c r="Q109" s="46">
        <f>-NPV($N$53,Q$12:Q16)-$C$11</f>
        <v>613.86757769331962</v>
      </c>
    </row>
    <row r="110" spans="1:17" x14ac:dyDescent="0.25">
      <c r="A110" s="17">
        <v>6</v>
      </c>
      <c r="B110" s="19">
        <v>1.5</v>
      </c>
      <c r="C110" s="46">
        <f>-NPV($N$53,C$12:C17)-$C$11</f>
        <v>416.8713815059923</v>
      </c>
      <c r="D110" s="46">
        <f>-NPV($N$53,D$12:D17)-$C$11</f>
        <v>752.08995746209916</v>
      </c>
      <c r="E110" s="46">
        <f>-NPV($N$53,E$12:E17)-$C$11</f>
        <v>314.22138801287076</v>
      </c>
      <c r="F110" s="46">
        <f>-NPV($N$53,F$12:F17)-$C$11</f>
        <v>357.89030622921723</v>
      </c>
      <c r="G110" s="46">
        <f>-NPV($N$53,G$12:G17)-$C$11</f>
        <v>256.26987238629749</v>
      </c>
      <c r="H110" s="46">
        <f>-NPV($N$53,H$12:H17)-$C$11</f>
        <v>634.37805202171467</v>
      </c>
      <c r="I110" s="46">
        <f>-NPV($N$53,I$12:I17)-$C$11</f>
        <v>1000</v>
      </c>
      <c r="J110" s="46">
        <f>-NPV($N$53,J$12:J17)-$C$11</f>
        <v>443.12550026747726</v>
      </c>
      <c r="K110" s="46">
        <f>-NPV($N$53,K$12:K17)-$C$11</f>
        <v>473.02674436381244</v>
      </c>
      <c r="L110" s="46">
        <f>-NPV($N$53,L$12:L17)-$C$11</f>
        <v>1000</v>
      </c>
      <c r="M110" s="46">
        <f>-NPV($N$53,M$12:M17)-$C$11</f>
        <v>768.6813425594919</v>
      </c>
      <c r="N110" s="46">
        <f>-NPV($N$53,N$12:N17)-$C$11</f>
        <v>868.48598371585683</v>
      </c>
      <c r="O110" s="46">
        <f>-NPV($N$53,O$12:O17)-$C$11</f>
        <v>510.82100395593267</v>
      </c>
      <c r="P110" s="46">
        <f>-NPV($N$53,P$12:P17)-$C$11</f>
        <v>545.43543165295273</v>
      </c>
      <c r="Q110" s="46">
        <f>-NPV($N$53,Q$12:Q17)-$C$11</f>
        <v>436.3685016393863</v>
      </c>
    </row>
    <row r="111" spans="1:17" x14ac:dyDescent="0.25">
      <c r="A111" s="17">
        <v>7</v>
      </c>
      <c r="B111" s="19">
        <v>1.75</v>
      </c>
      <c r="C111" s="46">
        <f>-NPV($N$53,C$12:C18)-$C$11</f>
        <v>349.19962064579624</v>
      </c>
      <c r="D111" s="46">
        <f>-NPV($N$53,D$12:D18)-$C$11</f>
        <v>718.25407703200108</v>
      </c>
      <c r="E111" s="46">
        <f>-NPV($N$53,E$12:E18)-$C$11</f>
        <v>233.01527498063535</v>
      </c>
      <c r="F111" s="46">
        <f>-NPV($N$53,F$12:F18)-$C$11</f>
        <v>270.25227995557998</v>
      </c>
      <c r="G111" s="46">
        <f>-NPV($N$53,G$12:G18)-$C$11</f>
        <v>154.76223109600335</v>
      </c>
      <c r="H111" s="46">
        <f>-NPV($N$53,H$12:H18)-$C$11</f>
        <v>566.70629116151849</v>
      </c>
      <c r="I111" s="46">
        <f>-NPV($N$53,I$12:I18)-$C$11</f>
        <v>1000</v>
      </c>
      <c r="J111" s="46">
        <f>-NPV($N$53,J$12:J18)-$C$11</f>
        <v>327.11676736428387</v>
      </c>
      <c r="K111" s="46">
        <f>-NPV($N$53,K$12:K18)-$C$11</f>
        <v>356.07653010589479</v>
      </c>
      <c r="L111" s="46">
        <f>-NPV($N$53,L$12:L18)-$C$11</f>
        <v>1000</v>
      </c>
      <c r="M111" s="46">
        <f>-NPV($N$53,M$12:M18)-$C$11</f>
        <v>701.00958169929572</v>
      </c>
      <c r="N111" s="46">
        <f>-NPV($N$53,N$12:N18)-$C$11</f>
        <v>829.31672263296457</v>
      </c>
      <c r="O111" s="46">
        <f>-NPV($N$53,O$12:O18)-$C$11</f>
        <v>376.52639452887342</v>
      </c>
      <c r="P111" s="46">
        <f>-NPV($N$53,P$12:P18)-$C$11</f>
        <v>410.05093987263069</v>
      </c>
      <c r="Q111" s="46">
        <f>-NPV($N$53,Q$12:Q18)-$C$11</f>
        <v>268.50023985556231</v>
      </c>
    </row>
    <row r="112" spans="1:17" x14ac:dyDescent="0.25">
      <c r="A112" s="17">
        <v>8</v>
      </c>
      <c r="B112" s="19">
        <v>2</v>
      </c>
      <c r="C112" s="46">
        <f>-NPV($N$53,C$12:C19)-$C$11</f>
        <v>208.39962064579618</v>
      </c>
      <c r="D112" s="46">
        <f>-NPV($N$53,D$12:D19)-$C$11</f>
        <v>686.25407703200108</v>
      </c>
      <c r="E112" s="46">
        <f>-NPV($N$53,E$12:E19)-$C$11</f>
        <v>159.41527498063533</v>
      </c>
      <c r="F112" s="46">
        <f>-NPV($N$53,F$12:F19)-$C$11</f>
        <v>187.36935197768776</v>
      </c>
      <c r="G112" s="46">
        <f>-NPV($N$53,G$12:G19)-$C$11</f>
        <v>58.762231096003347</v>
      </c>
      <c r="H112" s="46">
        <f>-NPV($N$53,H$12:H19)-$C$11</f>
        <v>425.90629116151854</v>
      </c>
      <c r="I112" s="46">
        <f>-NPV($N$53,I$12:I19)-$C$11</f>
        <v>1000</v>
      </c>
      <c r="J112" s="46">
        <f>-NPV($N$53,J$12:J19)-$C$11</f>
        <v>221.97391022142676</v>
      </c>
      <c r="K112" s="46">
        <f>-NPV($N$53,K$12:K19)-$C$11</f>
        <v>245.47184630034553</v>
      </c>
      <c r="L112" s="46">
        <f>-NPV($N$53,L$12:L19)-$C$11</f>
        <v>1000</v>
      </c>
      <c r="M112" s="46">
        <f>-NPV($N$53,M$12:M19)-$C$11</f>
        <v>560.20958169929577</v>
      </c>
      <c r="N112" s="46">
        <f>-NPV($N$53,N$12:N19)-$C$11</f>
        <v>792.27272263296459</v>
      </c>
      <c r="O112" s="46">
        <f>-NPV($N$53,O$12:O19)-$C$11</f>
        <v>254.81039452887342</v>
      </c>
      <c r="P112" s="46">
        <f>-NPV($N$53,P$12:P19)-$C$11</f>
        <v>282.01219278223164</v>
      </c>
      <c r="Q112" s="46">
        <f>-NPV($N$53,Q$12:Q19)-$C$11</f>
        <v>109.74023985556232</v>
      </c>
    </row>
    <row r="113" spans="1:17" x14ac:dyDescent="0.25">
      <c r="A113" s="17">
        <v>9</v>
      </c>
      <c r="B113" s="19">
        <v>2.25</v>
      </c>
      <c r="C113" s="46">
        <f>-NPV($N$53,C$12:C20)-$C$11</f>
        <v>63.133709502908346</v>
      </c>
      <c r="D113" s="46">
        <f>-NPV($N$53,D$12:D20)-$C$11</f>
        <v>655.99034554389937</v>
      </c>
      <c r="E113" s="46">
        <f>-NPV($N$53,E$12:E20)-$C$11</f>
        <v>92.835065706811861</v>
      </c>
      <c r="F113" s="46">
        <f>-NPV($N$53,F$12:F20)-$C$11</f>
        <v>108.98351831298157</v>
      </c>
      <c r="G113" s="46">
        <f>-NPV($N$53,G$12:G20)-$C$11</f>
        <v>-32.028963368301675</v>
      </c>
      <c r="H113" s="46">
        <f>-NPV($N$53,H$12:H20)-$C$11</f>
        <v>280.64038001863071</v>
      </c>
      <c r="I113" s="46">
        <f>-NPV($N$53,I$12:I20)-$C$11</f>
        <v>1000</v>
      </c>
      <c r="J113" s="46">
        <f>-NPV($N$53,J$12:J20)-$C$11</f>
        <v>126.85932554453598</v>
      </c>
      <c r="K113" s="46">
        <f>-NPV($N$53,K$12:K20)-$C$11</f>
        <v>140.86839467479786</v>
      </c>
      <c r="L113" s="46">
        <f>-NPV($N$53,L$12:L20)-$C$11</f>
        <v>1000</v>
      </c>
      <c r="M113" s="46">
        <f>-NPV($N$53,M$12:M20)-$C$11</f>
        <v>414.94367055640782</v>
      </c>
      <c r="N113" s="46">
        <f>-NPV($N$53,N$12:N20)-$C$11</f>
        <v>757.23867046905093</v>
      </c>
      <c r="O113" s="46">
        <f>-NPV($N$53,O$12:O20)-$C$11</f>
        <v>144.70337344228767</v>
      </c>
      <c r="P113" s="46">
        <f>-NPV($N$53,P$12:P20)-$C$11</f>
        <v>160.92062209420703</v>
      </c>
      <c r="Q113" s="46">
        <f>-NPV($N$53,Q$12:Q20)-$C$11</f>
        <v>-40.405697989781856</v>
      </c>
    </row>
    <row r="114" spans="1:17" x14ac:dyDescent="0.25">
      <c r="A114" s="59">
        <v>10</v>
      </c>
      <c r="B114" s="60">
        <v>2.5</v>
      </c>
      <c r="C114" s="61">
        <f>-NPV($N$53,C$12:C21)-$C$11</f>
        <v>35.148971229167273</v>
      </c>
      <c r="D114" s="61">
        <f>-NPV($N$53,D$12:D21)-$C$11</f>
        <v>54.935273191955844</v>
      </c>
      <c r="E114" s="61">
        <f>-NPV($N$53,E$12:E21)-$C$11</f>
        <v>32.729558471617452</v>
      </c>
      <c r="F114" s="61">
        <f>-NPV($N$53,F$12:F21)-$C$11</f>
        <v>34.850773859867104</v>
      </c>
      <c r="G114" s="61">
        <f>-NPV($N$53,G$12:G21)-$C$11</f>
        <v>-117.89397370429356</v>
      </c>
      <c r="H114" s="61">
        <f>-NPV($N$53,H$12:H21)-$C$11</f>
        <v>47.36114868540119</v>
      </c>
      <c r="I114" s="61">
        <f>-NPV($N$53,I$12:I21)-$C$11</f>
        <v>1000</v>
      </c>
      <c r="J114" s="61">
        <f>-NPV($N$53,J$12:J21)-$C$11</f>
        <v>40.994315208543981</v>
      </c>
      <c r="K114" s="61">
        <f>-NPV($N$53,K$12:K21)-$C$11</f>
        <v>41.940558027166503</v>
      </c>
      <c r="L114" s="61">
        <f>-NPV($N$53,L$12:L21)-$C$11</f>
        <v>1000</v>
      </c>
      <c r="M114" s="61">
        <f>-NPV($N$53,M$12:M21)-$C$11</f>
        <v>54.702028360983604</v>
      </c>
      <c r="N114" s="61">
        <f>-NPV($N$53,N$12:N21)-$C$11</f>
        <v>61.442292337632125</v>
      </c>
      <c r="O114" s="61">
        <f>-NPV($N$53,O$12:O21)-$C$11</f>
        <v>45.303890852085033</v>
      </c>
      <c r="P114" s="61">
        <f>-NPV($N$53,P$12:P21)-$C$11</f>
        <v>46.399285194992899</v>
      </c>
      <c r="Q114" s="61">
        <f>-NPV($N$53,Q$12:Q21)-$C$11</f>
        <v>-182.40495883292851</v>
      </c>
    </row>
    <row r="115" spans="1:17" x14ac:dyDescent="0.25">
      <c r="A115" s="17">
        <v>11</v>
      </c>
      <c r="B115" s="19">
        <v>2.75</v>
      </c>
      <c r="C115" s="46">
        <f>-NPV($N$53,C$12:C22)-$C$11</f>
        <v>35.148971229167273</v>
      </c>
      <c r="D115" s="46">
        <f>-NPV($N$53,D$12:D22)-$C$11</f>
        <v>54.935273191955844</v>
      </c>
      <c r="E115" s="46">
        <f>-NPV($N$53,E$12:E22)-$C$11</f>
        <v>32.729558471617452</v>
      </c>
      <c r="F115" s="46">
        <f>-NPV($N$53,F$12:F22)-$C$11</f>
        <v>34.850773859867104</v>
      </c>
      <c r="G115" s="46">
        <f>-NPV($N$53,G$12:G22)-$C$11</f>
        <v>-117.89397370429356</v>
      </c>
      <c r="H115" s="46">
        <f>-NPV($N$53,H$12:H22)-$C$11</f>
        <v>47.36114868540119</v>
      </c>
      <c r="I115" s="46">
        <f>-NPV($N$53,I$12:I22)-$C$11</f>
        <v>1000</v>
      </c>
      <c r="J115" s="46">
        <f>-NPV($N$53,J$12:J22)-$C$11</f>
        <v>40.994315208543981</v>
      </c>
      <c r="K115" s="46">
        <f>-NPV($N$53,K$12:K22)-$C$11</f>
        <v>41.940558027166503</v>
      </c>
      <c r="L115" s="46">
        <f>-NPV($N$53,L$12:L22)-$C$11</f>
        <v>1000</v>
      </c>
      <c r="M115" s="46">
        <f>-NPV($N$53,M$12:M22)-$C$11</f>
        <v>54.702028360983604</v>
      </c>
      <c r="N115" s="46">
        <f>-NPV($N$53,N$12:N22)-$C$11</f>
        <v>61.442292337632125</v>
      </c>
      <c r="O115" s="46">
        <f>-NPV($N$53,O$12:O22)-$C$11</f>
        <v>45.303890852085033</v>
      </c>
      <c r="P115" s="46">
        <f>-NPV($N$53,P$12:P22)-$C$11</f>
        <v>46.399285194992899</v>
      </c>
      <c r="Q115" s="46">
        <f>-NPV($N$53,Q$12:Q22)-$C$11</f>
        <v>-182.40495883292851</v>
      </c>
    </row>
    <row r="116" spans="1:17" x14ac:dyDescent="0.25">
      <c r="A116" s="17">
        <v>12</v>
      </c>
      <c r="B116" s="19">
        <v>3</v>
      </c>
      <c r="C116" s="46">
        <f>-NPV($N$53,C$12:C23)-$C$11</f>
        <v>35.148971229167273</v>
      </c>
      <c r="D116" s="46">
        <f>-NPV($N$53,D$12:D23)-$C$11</f>
        <v>54.935273191955844</v>
      </c>
      <c r="E116" s="46">
        <f>-NPV($N$53,E$12:E23)-$C$11</f>
        <v>32.729558471617452</v>
      </c>
      <c r="F116" s="46">
        <f>-NPV($N$53,F$12:F23)-$C$11</f>
        <v>34.850773859867104</v>
      </c>
      <c r="G116" s="46">
        <f>-NPV($N$53,G$12:G23)-$C$11</f>
        <v>-117.89397370429356</v>
      </c>
      <c r="H116" s="46">
        <f>-NPV($N$53,H$12:H23)-$C$11</f>
        <v>47.36114868540119</v>
      </c>
      <c r="I116" s="46">
        <f>-NPV($N$53,I$12:I23)-$C$11</f>
        <v>1000</v>
      </c>
      <c r="J116" s="46">
        <f>-NPV($N$53,J$12:J23)-$C$11</f>
        <v>40.994315208543981</v>
      </c>
      <c r="K116" s="46">
        <f>-NPV($N$53,K$12:K23)-$C$11</f>
        <v>41.940558027166503</v>
      </c>
      <c r="L116" s="46">
        <f>-NPV($N$53,L$12:L23)-$C$11</f>
        <v>1000</v>
      </c>
      <c r="M116" s="46">
        <f>-NPV($N$53,M$12:M23)-$C$11</f>
        <v>54.702028360983604</v>
      </c>
      <c r="N116" s="46">
        <f>-NPV($N$53,N$12:N23)-$C$11</f>
        <v>61.442292337632125</v>
      </c>
      <c r="O116" s="46">
        <f>-NPV($N$53,O$12:O23)-$C$11</f>
        <v>45.303890852085033</v>
      </c>
      <c r="P116" s="46">
        <f>-NPV($N$53,P$12:P23)-$C$11</f>
        <v>46.399285194992899</v>
      </c>
      <c r="Q116" s="46">
        <f>-NPV($N$53,Q$12:Q23)-$C$11</f>
        <v>-182.40495883292851</v>
      </c>
    </row>
    <row r="117" spans="1:17" x14ac:dyDescent="0.25">
      <c r="A117" s="17">
        <v>13</v>
      </c>
      <c r="B117" s="19">
        <v>3.25</v>
      </c>
      <c r="C117" s="46">
        <f>-NPV($N$53,C$12:C24)-$C$11</f>
        <v>35.148971229167273</v>
      </c>
      <c r="D117" s="46">
        <f>-NPV($N$53,D$12:D24)-$C$11</f>
        <v>54.935273191955844</v>
      </c>
      <c r="E117" s="46">
        <f>-NPV($N$53,E$12:E24)-$C$11</f>
        <v>32.729558471617452</v>
      </c>
      <c r="F117" s="46">
        <f>-NPV($N$53,F$12:F24)-$C$11</f>
        <v>34.850773859867104</v>
      </c>
      <c r="G117" s="46">
        <f>-NPV($N$53,G$12:G24)-$C$11</f>
        <v>-117.89397370429356</v>
      </c>
      <c r="H117" s="46">
        <f>-NPV($N$53,H$12:H24)-$C$11</f>
        <v>47.36114868540119</v>
      </c>
      <c r="I117" s="46">
        <f>-NPV($N$53,I$12:I24)-$C$11</f>
        <v>1000</v>
      </c>
      <c r="J117" s="46">
        <f>-NPV($N$53,J$12:J24)-$C$11</f>
        <v>40.994315208543981</v>
      </c>
      <c r="K117" s="46">
        <f>-NPV($N$53,K$12:K24)-$C$11</f>
        <v>41.940558027166503</v>
      </c>
      <c r="L117" s="46">
        <f>-NPV($N$53,L$12:L24)-$C$11</f>
        <v>1000</v>
      </c>
      <c r="M117" s="46">
        <f>-NPV($N$53,M$12:M24)-$C$11</f>
        <v>54.702028360983604</v>
      </c>
      <c r="N117" s="46">
        <f>-NPV($N$53,N$12:N24)-$C$11</f>
        <v>61.442292337632125</v>
      </c>
      <c r="O117" s="46">
        <f>-NPV($N$53,O$12:O24)-$C$11</f>
        <v>45.303890852085033</v>
      </c>
      <c r="P117" s="46">
        <f>-NPV($N$53,P$12:P24)-$C$11</f>
        <v>46.399285194992899</v>
      </c>
      <c r="Q117" s="46">
        <f>-NPV($N$53,Q$12:Q24)-$C$11</f>
        <v>-182.40495883292851</v>
      </c>
    </row>
    <row r="118" spans="1:17" x14ac:dyDescent="0.25">
      <c r="A118" s="17">
        <v>14</v>
      </c>
      <c r="B118" s="19">
        <v>3.5</v>
      </c>
      <c r="C118" s="46">
        <f>-NPV($N$53,C$12:C25)-$C$11</f>
        <v>-668.03496877533439</v>
      </c>
      <c r="D118" s="46">
        <f>-NPV($N$53,D$12:D25)-$C$11</f>
        <v>-757.12585713039766</v>
      </c>
      <c r="E118" s="46">
        <f>-NPV($N$53,E$12:E25)-$C$11</f>
        <v>-657.52240230238294</v>
      </c>
      <c r="F118" s="46">
        <f>-NPV($N$53,F$12:F25)-$C$11</f>
        <v>-666.25343632923114</v>
      </c>
      <c r="G118" s="46">
        <f>-NPV($N$53,G$12:G25)-$C$11</f>
        <v>-929.95510402664718</v>
      </c>
      <c r="H118" s="46">
        <f>-NPV($N$53,H$12:H25)-$C$11</f>
        <v>-720.04855465309583</v>
      </c>
      <c r="I118" s="46">
        <f>-NPV($N$53,I$12:I25)-$C$11</f>
        <v>1000</v>
      </c>
      <c r="J118" s="46">
        <f>-NPV($N$53,J$12:J25)-$C$11</f>
        <v>-689.86070208157412</v>
      </c>
      <c r="K118" s="46">
        <f>-NPV($N$53,K$12:K25)-$C$11</f>
        <v>-694.18675484940832</v>
      </c>
      <c r="L118" s="46">
        <f>-NPV($N$53,L$12:L25)-$C$11</f>
        <v>1000</v>
      </c>
      <c r="M118" s="46">
        <f>-NPV($N$53,M$12:M25)-$C$11</f>
        <v>-751.5751966770124</v>
      </c>
      <c r="N118" s="46">
        <f>-NPV($N$53,N$12:N25)-$C$11</f>
        <v>-784.61374705284084</v>
      </c>
      <c r="O118" s="46">
        <f>-NPV($N$53,O$12:O25)-$C$11</f>
        <v>-706.74592193944659</v>
      </c>
      <c r="P118" s="46">
        <f>-NPV($N$53,P$12:P25)-$C$11</f>
        <v>-711.75386877481083</v>
      </c>
      <c r="Q118" s="46">
        <f>-NPV($N$53,Q$12:Q25)-$C$11</f>
        <v>-1122.4672248223433</v>
      </c>
    </row>
    <row r="121" spans="1:17" x14ac:dyDescent="0.25">
      <c r="B121" s="16" t="s">
        <v>75</v>
      </c>
      <c r="C121" s="28" cm="1">
        <f t="array" ref="C121">INDEX($B$105:$B$118,MATCH(0,C105:C118,-1)+1)</f>
        <v>3.5</v>
      </c>
      <c r="D121" s="28" cm="1">
        <f t="array" ref="D121">INDEX($B$105:$B$118,MATCH(0,D105:D118,-1)+1)</f>
        <v>3.5</v>
      </c>
      <c r="E121" s="28" cm="1">
        <f t="array" ref="E121">INDEX($B$105:$B$118,MATCH(0,E105:E118,-1)+1)</f>
        <v>3.5</v>
      </c>
      <c r="F121" s="28" cm="1">
        <f t="array" ref="F121">INDEX($B$105:$B$118,MATCH(0,F105:F118,-1)+1)</f>
        <v>3.5</v>
      </c>
      <c r="G121" s="28" cm="1">
        <f t="array" ref="G121">INDEX($B$105:$B$118,MATCH(0,G105:G118,-1)+1)</f>
        <v>2.25</v>
      </c>
      <c r="H121" s="28" cm="1">
        <f t="array" ref="H121">INDEX($B$105:$B$118,MATCH(0,H105:H118,-1)+1)</f>
        <v>3.5</v>
      </c>
      <c r="J121" s="28" cm="1">
        <f t="array" ref="J121">INDEX($B$105:$B$118,MATCH(0,J105:J118,-1)+1)</f>
        <v>3.5</v>
      </c>
      <c r="K121" s="28" cm="1">
        <f t="array" ref="K121">INDEX($B$105:$B$118,MATCH(0,K105:K118,-1)+1)</f>
        <v>3.5</v>
      </c>
      <c r="M121" s="28" cm="1">
        <f t="array" ref="M121">INDEX($B$105:$B$118,MATCH(0,M105:M118,-1)+1)</f>
        <v>3.5</v>
      </c>
      <c r="N121" s="28" cm="1">
        <f t="array" ref="N121">INDEX($B$105:$B$118,MATCH(0,N105:N118,-1)+1)</f>
        <v>3.5</v>
      </c>
      <c r="O121" s="28" cm="1">
        <f t="array" ref="O121">INDEX($B$105:$B$118,MATCH(0,O105:O118,-1)+1)</f>
        <v>3.5</v>
      </c>
      <c r="P121" s="28" cm="1">
        <f t="array" ref="P121">INDEX($B$105:$B$118,MATCH(0,P105:P118,-1)+1)</f>
        <v>3.5</v>
      </c>
      <c r="Q121" s="28" cm="1">
        <f t="array" ref="Q121">INDEX($B$105:$B$118,MATCH(0,Q105:Q118,-1)+1)</f>
        <v>2.25</v>
      </c>
    </row>
    <row r="123" spans="1:17" x14ac:dyDescent="0.25">
      <c r="A123" t="s">
        <v>76</v>
      </c>
      <c r="B123" t="s">
        <v>77</v>
      </c>
    </row>
    <row r="124" spans="1:17" x14ac:dyDescent="0.25">
      <c r="B124" s="18" t="s">
        <v>45</v>
      </c>
      <c r="C124" s="46">
        <f t="array" ref="C124">SUMPRODUCT($B$12:$B$21,C12:C21,(1+$N$52)^-$B$12:$B$21)/NPV($N$52,C12:C21)</f>
        <v>1.5213543585184737</v>
      </c>
      <c r="D124" s="46">
        <f t="array" ref="D124">SUMPRODUCT($B$12:$B$21,D12:D21,(1+$N$52)^-$B$12:$B$21)/NPV($N$52,D12:D21)</f>
        <v>2.4559461657839603</v>
      </c>
      <c r="E124" s="46">
        <f t="array" ref="E124">SUMPRODUCT($B$12:$B$21,E12:E21,(1+$N$52)^-$B$12:$B$21)/NPV($N$52,E12:E21)</f>
        <v>1.4032213034395817</v>
      </c>
      <c r="F124" s="46">
        <f t="array" ref="F124">SUMPRODUCT($B$12:$B$21,F12:F21,(1+$N$52)^-$B$12:$B$21)/NPV($N$52,F12:F21)</f>
        <v>1.5001617181956997</v>
      </c>
      <c r="G124" s="46">
        <f t="array" ref="G124">SUMPRODUCT($B$12:$B$21,G12:G21,(1+$N$52)^-$B$12:$B$21)/NPV($N$52,G12:G21)</f>
        <v>1.5001617181956992</v>
      </c>
      <c r="H124" s="46">
        <f t="array" ref="H124">SUMPRODUCT($B$12:$B$21,H12:H21,(1+$N$52)^-$B$12:$B$21)/NPV($N$52,H12:H21)</f>
        <v>2.0736600576986373</v>
      </c>
      <c r="I124" s="62"/>
      <c r="J124" s="46">
        <f t="array" ref="J124">SUMPRODUCT($B$12:$B$21,J12:J21,(1+$N$52)^-$B$12:$B$21)/NPV($N$52,J12:J21)</f>
        <v>1.7489014068892581</v>
      </c>
      <c r="K124" s="46">
        <f t="array" ref="K124">SUMPRODUCT($B$12:$B$21,K12:K21,(1+$N$52)^-$B$12:$B$21)/NPV($N$52,K12:K21)</f>
        <v>1.7958862845027073</v>
      </c>
      <c r="L124" s="62"/>
      <c r="M124" s="46">
        <f t="array" ref="M124">SUMPRODUCT($B$12:$B$21,M12:M21,(1+$N$52)^-$B$12:$B$21)/NPV($N$52,M12:M21)</f>
        <v>2.3861781602022858</v>
      </c>
      <c r="N124" s="46">
        <f t="array" ref="N124">SUMPRODUCT($B$12:$B$21,N12:N21,(1+$N$52)^-$B$12:$B$21)/NPV($N$52,N12:N21)</f>
        <v>2.7116725582752479</v>
      </c>
      <c r="O124" s="46">
        <f t="array" ref="O124">SUMPRODUCT($B$12:$B$21,O12:O21,(1+$N$52)^-$B$12:$B$21)/NPV($N$52,O12:O21)</f>
        <v>1.9215129018372987</v>
      </c>
      <c r="P124" s="46">
        <f t="array" ref="P124">SUMPRODUCT($B$12:$B$21,P12:P21,(1+$N$52)^-$B$12:$B$21)/NPV($N$52,P12:P21)</f>
        <v>1.9743445917606814</v>
      </c>
      <c r="Q124" s="46">
        <f t="array" ref="Q124">SUMPRODUCT($B$12:$B$21,Q12:Q21,(1+$N$52)^-$B$12:$B$21)/NPV($N$52,Q12:Q21)</f>
        <v>1.9743445917606812</v>
      </c>
    </row>
    <row r="125" spans="1:17" x14ac:dyDescent="0.25">
      <c r="B125" s="18" t="s">
        <v>51</v>
      </c>
      <c r="C125" s="46">
        <f t="array" ref="C125">SUMPRODUCT($B$12:$B$21,C12:C21,(1+$N$53)^-$B$12:$B$21)/NPV($N$53,C12:C21)</f>
        <v>1.6989807705501818</v>
      </c>
      <c r="D125" s="46">
        <f t="array" ref="D125">SUMPRODUCT($B$12:$B$21,D12:D21,(1+$N$53)^-$B$12:$B$21)/NPV($N$53,D12:D21)</f>
        <v>2.9611519955062717</v>
      </c>
      <c r="E125" s="46">
        <f t="array" ref="E125">SUMPRODUCT($B$12:$B$21,E12:E21,(1+$N$53)^-$B$12:$B$21)/NPV($N$53,E12:E21)</f>
        <v>1.5535279477623067</v>
      </c>
      <c r="F125" s="46">
        <f t="array" ref="F125">SUMPRODUCT($B$12:$B$21,F12:F21,(1+$N$53)^-$B$12:$B$21)/NPV($N$53,F12:F21)</f>
        <v>1.6743654773318095</v>
      </c>
      <c r="G125" s="46">
        <f t="array" ref="G125">SUMPRODUCT($B$12:$B$21,G12:G21,(1+$N$53)^-$B$12:$B$21)/NPV($N$53,G12:G21)</f>
        <v>1.6743654773318097</v>
      </c>
      <c r="H125" s="46">
        <f t="array" ref="H125">SUMPRODUCT($B$12:$B$21,H12:H21,(1+$N$53)^-$B$12:$B$21)/NPV($N$53,H12:H21)</f>
        <v>2.4301873063396724</v>
      </c>
      <c r="I125" s="62"/>
      <c r="J125" s="46">
        <f t="array" ref="J125">SUMPRODUCT($B$12:$B$21,J12:J21,(1+$N$53)^-$B$12:$B$21)/NPV($N$53,J12:J21)</f>
        <v>2.0040394147999403</v>
      </c>
      <c r="K125" s="46">
        <f t="array" ref="K125">SUMPRODUCT($B$12:$B$21,K12:K21,(1+$N$53)^-$B$12:$B$21)/NPV($N$53,K12:K21)</f>
        <v>2.0647754837136909</v>
      </c>
      <c r="L125" s="62"/>
      <c r="M125" s="46">
        <f t="array" ref="M125">SUMPRODUCT($B$12:$B$21,M12:M21,(1+$N$53)^-$B$12:$B$21)/NPV($N$53,M12:M21)</f>
        <v>2.8824698532056803</v>
      </c>
      <c r="N125" s="46">
        <f t="array" ref="N125">SUMPRODUCT($B$12:$B$21,N12:N21,(1+$N$53)^-$B$12:$B$21)/NPV($N$53,N12:N21)</f>
        <v>3.3621205910105649</v>
      </c>
      <c r="O125" s="46">
        <f t="array" ref="O125">SUMPRODUCT($B$12:$B$21,O12:O21,(1+$N$53)^-$B$12:$B$21)/NPV($N$53,O12:O21)</f>
        <v>2.242363574831312</v>
      </c>
      <c r="P125" s="46">
        <f t="array" ref="P125">SUMPRODUCT($B$12:$B$21,P12:P21,(1+$N$53)^-$B$12:$B$21)/NPV($N$53,P12:P21)</f>
        <v>2.3132756726824808</v>
      </c>
      <c r="Q125" s="46">
        <f t="array" ref="Q125">SUMPRODUCT($B$12:$B$21,Q12:Q21,(1+$N$53)^-$B$12:$B$21)/NPV($N$53,Q12:Q21)</f>
        <v>2.3132756726824808</v>
      </c>
    </row>
  </sheetData>
  <mergeCells count="8">
    <mergeCell ref="M8:Q8"/>
    <mergeCell ref="C7:Q7"/>
    <mergeCell ref="C30:Q30"/>
    <mergeCell ref="C84:Q84"/>
    <mergeCell ref="C102:Q102"/>
    <mergeCell ref="A1:B1"/>
    <mergeCell ref="C8:G8"/>
    <mergeCell ref="H8:L8"/>
  </mergeCells>
  <phoneticPr fontId="5" type="noConversion"/>
  <conditionalFormatting sqref="C25:H25 M25:Q25 J25:K2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H26 M26:Q26 J26:K2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Q2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Q2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H44 J44:K44 M44:Q4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Q4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H56 J56:K56 M56:Q5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:Q58 C61:Q62 C57:H57 J57:K57 M57:Q5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:H57 J57:K57 M57:Q5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:Q5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:Q6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8:H68 J68:K68 M68:Q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2:H72 J72:K72 M72:Q7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4:H74 J74:K74 M74:Q7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5:H75 J75:K75 M75:Q7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9:H99 J99:K99 M99:Q9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1:H121 J121:K121 M121:Q1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54AC-7841-439F-93F0-E890A73639E1}">
  <dimension ref="A1:R24"/>
  <sheetViews>
    <sheetView tabSelected="1" topLeftCell="A7" workbookViewId="0">
      <selection activeCell="K3" sqref="K3"/>
    </sheetView>
  </sheetViews>
  <sheetFormatPr defaultRowHeight="15" x14ac:dyDescent="0.25"/>
  <cols>
    <col min="2" max="2" width="10.85546875" bestFit="1" customWidth="1"/>
    <col min="4" max="4" width="10.85546875" bestFit="1" customWidth="1"/>
    <col min="5" max="5" width="9.85546875" bestFit="1" customWidth="1"/>
    <col min="7" max="7" width="12" bestFit="1" customWidth="1"/>
    <col min="8" max="8" width="10.85546875" bestFit="1" customWidth="1"/>
    <col min="10" max="10" width="15.85546875" customWidth="1"/>
    <col min="17" max="17" width="11.5703125" bestFit="1" customWidth="1"/>
    <col min="18" max="18" width="10.5703125" bestFit="1" customWidth="1"/>
  </cols>
  <sheetData>
    <row r="1" spans="1:18" x14ac:dyDescent="0.25">
      <c r="A1" s="48" t="s">
        <v>101</v>
      </c>
    </row>
    <row r="2" spans="1:18" x14ac:dyDescent="0.25">
      <c r="G2" s="66" t="s">
        <v>105</v>
      </c>
      <c r="H2" s="66"/>
      <c r="J2" s="18" t="s">
        <v>103</v>
      </c>
      <c r="K2" s="49">
        <v>0.1</v>
      </c>
      <c r="Q2" s="66" t="s">
        <v>106</v>
      </c>
      <c r="R2" s="66"/>
    </row>
    <row r="3" spans="1:18" x14ac:dyDescent="0.25">
      <c r="B3" s="63" t="s">
        <v>79</v>
      </c>
      <c r="C3" s="63" t="s">
        <v>80</v>
      </c>
      <c r="D3" s="63" t="s">
        <v>78</v>
      </c>
      <c r="E3" s="63" t="s">
        <v>100</v>
      </c>
      <c r="G3" s="63" t="s">
        <v>78</v>
      </c>
      <c r="H3" s="63" t="s">
        <v>100</v>
      </c>
      <c r="J3" s="18" t="s">
        <v>104</v>
      </c>
      <c r="K3" s="17">
        <v>4</v>
      </c>
      <c r="Q3" s="63" t="s">
        <v>78</v>
      </c>
      <c r="R3" s="63" t="s">
        <v>100</v>
      </c>
    </row>
    <row r="4" spans="1:18" x14ac:dyDescent="0.25">
      <c r="B4" s="17">
        <v>1</v>
      </c>
      <c r="C4" s="17" t="s">
        <v>81</v>
      </c>
      <c r="D4" s="64">
        <v>19602397.321984183</v>
      </c>
      <c r="E4" s="64">
        <v>447763.37794040772</v>
      </c>
      <c r="G4" s="64">
        <f>D4*(1+$K$2)^($K$3-$B4)</f>
        <v>26090790.835560955</v>
      </c>
      <c r="H4" s="64">
        <f>E4*(1+$K$2)^($K$3-$B4)</f>
        <v>595973.05603868281</v>
      </c>
      <c r="Q4" s="64">
        <f>D4*(1+$K$2*($K$3-$B4))</f>
        <v>25483116.518579438</v>
      </c>
      <c r="R4" s="64">
        <f>E4*(1+$K$2*($K$3-$B4))</f>
        <v>582092.39132253011</v>
      </c>
    </row>
    <row r="5" spans="1:18" x14ac:dyDescent="0.25">
      <c r="B5" s="17">
        <v>2</v>
      </c>
      <c r="C5" s="17" t="s">
        <v>82</v>
      </c>
      <c r="D5" s="64">
        <v>24022978.906362057</v>
      </c>
      <c r="E5" s="64">
        <v>789168.57898124564</v>
      </c>
      <c r="G5" s="64">
        <f t="shared" ref="G5:H21" si="0">D5*(1+$K$2)^($K$3-$B5)</f>
        <v>29067804.476698093</v>
      </c>
      <c r="H5" s="64">
        <f t="shared" si="0"/>
        <v>954893.98056730733</v>
      </c>
      <c r="Q5" s="64">
        <f t="shared" ref="Q5:Q22" si="1">D5*(1+$K$2*($K$3-$B5))</f>
        <v>28827574.687634468</v>
      </c>
      <c r="R5" s="64">
        <f t="shared" ref="R5:R22" si="2">E5*(1+$K$2*($K$3-$B5))</f>
        <v>947002.29477749474</v>
      </c>
    </row>
    <row r="6" spans="1:18" x14ac:dyDescent="0.25">
      <c r="B6" s="17">
        <v>3</v>
      </c>
      <c r="C6" s="17" t="s">
        <v>83</v>
      </c>
      <c r="D6" s="64">
        <v>30440849.061113443</v>
      </c>
      <c r="E6" s="64">
        <v>1771176.4685809396</v>
      </c>
      <c r="G6" s="64">
        <f t="shared" si="0"/>
        <v>33484933.967224792</v>
      </c>
      <c r="H6" s="64">
        <f t="shared" si="0"/>
        <v>1948294.1154390336</v>
      </c>
      <c r="Q6" s="64">
        <f t="shared" si="1"/>
        <v>33484933.967224792</v>
      </c>
      <c r="R6" s="64">
        <f t="shared" si="2"/>
        <v>1948294.1154390336</v>
      </c>
    </row>
    <row r="7" spans="1:18" x14ac:dyDescent="0.25">
      <c r="B7" s="17">
        <v>4</v>
      </c>
      <c r="C7" s="17" t="s">
        <v>84</v>
      </c>
      <c r="D7" s="64">
        <v>38213454.25354141</v>
      </c>
      <c r="E7" s="64">
        <v>2643758.2521130401</v>
      </c>
      <c r="G7" s="64">
        <f t="shared" si="0"/>
        <v>38213454.25354141</v>
      </c>
      <c r="H7" s="64">
        <f t="shared" si="0"/>
        <v>2643758.2521130401</v>
      </c>
      <c r="Q7" s="64">
        <f t="shared" si="1"/>
        <v>38213454.25354141</v>
      </c>
      <c r="R7" s="64">
        <f t="shared" si="2"/>
        <v>2643758.2521130401</v>
      </c>
    </row>
    <row r="8" spans="1:18" x14ac:dyDescent="0.25">
      <c r="B8" s="17">
        <v>5</v>
      </c>
      <c r="C8" s="17" t="s">
        <v>85</v>
      </c>
      <c r="D8" s="64">
        <v>47713259.982092008</v>
      </c>
      <c r="E8" s="64">
        <v>2921050.1780657065</v>
      </c>
      <c r="G8" s="64">
        <f t="shared" si="0"/>
        <v>43375690.892810918</v>
      </c>
      <c r="H8" s="64">
        <f t="shared" si="0"/>
        <v>2655500.1618779148</v>
      </c>
      <c r="Q8" s="64">
        <f t="shared" si="1"/>
        <v>42941933.983882807</v>
      </c>
      <c r="R8" s="64">
        <f t="shared" si="2"/>
        <v>2628945.160259136</v>
      </c>
    </row>
    <row r="9" spans="1:18" x14ac:dyDescent="0.25">
      <c r="B9" s="17">
        <v>6</v>
      </c>
      <c r="C9" s="17" t="s">
        <v>86</v>
      </c>
      <c r="D9" s="64">
        <v>59612981.802219532</v>
      </c>
      <c r="E9" s="64">
        <v>3858656.1323861443</v>
      </c>
      <c r="G9" s="64">
        <f t="shared" si="0"/>
        <v>49266927.109272338</v>
      </c>
      <c r="H9" s="64">
        <f t="shared" si="0"/>
        <v>3188972.0102364826</v>
      </c>
      <c r="Q9" s="64">
        <f t="shared" si="1"/>
        <v>47690385.441775627</v>
      </c>
      <c r="R9" s="64">
        <f t="shared" si="2"/>
        <v>3086924.9059089157</v>
      </c>
    </row>
    <row r="10" spans="1:18" x14ac:dyDescent="0.25">
      <c r="B10" s="17">
        <v>7</v>
      </c>
      <c r="C10" s="17" t="s">
        <v>87</v>
      </c>
      <c r="D10" s="64">
        <v>73908757.038563877</v>
      </c>
      <c r="E10" s="64">
        <v>5159513.1625373233</v>
      </c>
      <c r="G10" s="64">
        <f t="shared" si="0"/>
        <v>55528743.079311684</v>
      </c>
      <c r="H10" s="64">
        <f t="shared" si="0"/>
        <v>3876418.6044607977</v>
      </c>
      <c r="Q10" s="64">
        <f t="shared" si="1"/>
        <v>51736129.926994711</v>
      </c>
      <c r="R10" s="64">
        <f t="shared" si="2"/>
        <v>3611659.213776126</v>
      </c>
    </row>
    <row r="11" spans="1:18" x14ac:dyDescent="0.25">
      <c r="B11" s="17">
        <v>8</v>
      </c>
      <c r="C11" s="17" t="s">
        <v>88</v>
      </c>
      <c r="D11" s="64">
        <v>70311249.113715991</v>
      </c>
      <c r="E11" s="64">
        <v>5708596.9796101572</v>
      </c>
      <c r="G11" s="64">
        <f t="shared" si="0"/>
        <v>48023529.208193414</v>
      </c>
      <c r="H11" s="64">
        <f t="shared" si="0"/>
        <v>3899048.5483301384</v>
      </c>
      <c r="Q11" s="64">
        <f t="shared" si="1"/>
        <v>42186749.468229592</v>
      </c>
      <c r="R11" s="64">
        <f t="shared" si="2"/>
        <v>3425158.1877660942</v>
      </c>
    </row>
    <row r="12" spans="1:18" x14ac:dyDescent="0.25">
      <c r="B12" s="17">
        <v>9</v>
      </c>
      <c r="C12" s="17" t="s">
        <v>89</v>
      </c>
      <c r="D12" s="64">
        <v>84698521.995215192</v>
      </c>
      <c r="E12" s="64">
        <v>5636489.4034129502</v>
      </c>
      <c r="G12" s="64">
        <f t="shared" si="0"/>
        <v>52591118.338423952</v>
      </c>
      <c r="H12" s="64">
        <f t="shared" si="0"/>
        <v>3499816.4577760757</v>
      </c>
      <c r="Q12" s="64">
        <f t="shared" si="1"/>
        <v>42349260.997607596</v>
      </c>
      <c r="R12" s="64">
        <f t="shared" si="2"/>
        <v>2818244.7017064751</v>
      </c>
    </row>
    <row r="13" spans="1:18" x14ac:dyDescent="0.25">
      <c r="B13" s="17">
        <v>10</v>
      </c>
      <c r="C13" s="17" t="s">
        <v>90</v>
      </c>
      <c r="D13" s="64">
        <v>100829145.54743643</v>
      </c>
      <c r="E13" s="64">
        <v>7915338.6658642897</v>
      </c>
      <c r="G13" s="64">
        <f t="shared" si="0"/>
        <v>56915424.051125757</v>
      </c>
      <c r="H13" s="64">
        <f t="shared" si="0"/>
        <v>4468002.3244270375</v>
      </c>
      <c r="Q13" s="64">
        <f t="shared" si="1"/>
        <v>40331658.21897456</v>
      </c>
      <c r="R13" s="64">
        <f t="shared" si="2"/>
        <v>3166135.4663457153</v>
      </c>
    </row>
    <row r="14" spans="1:18" x14ac:dyDescent="0.25">
      <c r="B14" s="17">
        <v>11</v>
      </c>
      <c r="C14" s="17" t="s">
        <v>91</v>
      </c>
      <c r="D14" s="64">
        <v>112945156.42228678</v>
      </c>
      <c r="E14" s="64">
        <v>9285104.1990458947</v>
      </c>
      <c r="G14" s="64">
        <f t="shared" si="0"/>
        <v>57958723.932933472</v>
      </c>
      <c r="H14" s="64">
        <f t="shared" si="0"/>
        <v>4764726.5983584225</v>
      </c>
      <c r="Q14" s="64">
        <f t="shared" si="1"/>
        <v>33883546.926686026</v>
      </c>
      <c r="R14" s="64">
        <f t="shared" si="2"/>
        <v>2785531.2597137676</v>
      </c>
    </row>
    <row r="15" spans="1:18" x14ac:dyDescent="0.25">
      <c r="B15" s="17">
        <v>12</v>
      </c>
      <c r="C15" s="17" t="s">
        <v>92</v>
      </c>
      <c r="D15" s="64">
        <v>123005372.94215156</v>
      </c>
      <c r="E15" s="64">
        <v>10023359.935921768</v>
      </c>
      <c r="G15" s="64">
        <f t="shared" si="0"/>
        <v>57382914.282964319</v>
      </c>
      <c r="H15" s="64">
        <f t="shared" si="0"/>
        <v>4675971.3846060624</v>
      </c>
      <c r="Q15" s="64">
        <f t="shared" si="1"/>
        <v>24601074.588430308</v>
      </c>
      <c r="R15" s="64">
        <f t="shared" si="2"/>
        <v>2004671.9871843532</v>
      </c>
    </row>
    <row r="16" spans="1:18" x14ac:dyDescent="0.25">
      <c r="B16" s="17">
        <v>13</v>
      </c>
      <c r="C16" s="17" t="s">
        <v>93</v>
      </c>
      <c r="D16" s="64">
        <v>132754069.3</v>
      </c>
      <c r="E16" s="64">
        <v>9778589.5255340301</v>
      </c>
      <c r="G16" s="64">
        <f t="shared" si="0"/>
        <v>56300684.619385779</v>
      </c>
      <c r="H16" s="64">
        <f t="shared" si="0"/>
        <v>4147076.528821107</v>
      </c>
      <c r="Q16" s="64">
        <f t="shared" si="1"/>
        <v>13275406.929999996</v>
      </c>
      <c r="R16" s="64">
        <f t="shared" si="2"/>
        <v>977858.95255340275</v>
      </c>
    </row>
    <row r="17" spans="2:18" x14ac:dyDescent="0.25">
      <c r="B17" s="17">
        <v>14</v>
      </c>
      <c r="C17" s="17" t="s">
        <v>94</v>
      </c>
      <c r="D17" s="64">
        <v>145925412.69999999</v>
      </c>
      <c r="E17" s="64">
        <v>9628726.1499094423</v>
      </c>
      <c r="G17" s="64">
        <f t="shared" si="0"/>
        <v>56260563.623719923</v>
      </c>
      <c r="H17" s="64">
        <f t="shared" si="0"/>
        <v>3712290.7528522345</v>
      </c>
      <c r="Q17" s="64">
        <f t="shared" si="1"/>
        <v>0</v>
      </c>
      <c r="R17" s="64">
        <f t="shared" si="2"/>
        <v>0</v>
      </c>
    </row>
    <row r="18" spans="2:18" x14ac:dyDescent="0.25">
      <c r="B18" s="17">
        <v>15</v>
      </c>
      <c r="C18" s="17" t="s">
        <v>95</v>
      </c>
      <c r="D18" s="64">
        <v>153394472.69999999</v>
      </c>
      <c r="E18" s="64">
        <v>11905626.510403479</v>
      </c>
      <c r="G18" s="64">
        <f t="shared" si="0"/>
        <v>53763826.895514958</v>
      </c>
      <c r="H18" s="64">
        <f t="shared" si="0"/>
        <v>4172849.4614003552</v>
      </c>
      <c r="Q18" s="64">
        <f t="shared" si="1"/>
        <v>-15339447.270000013</v>
      </c>
      <c r="R18" s="64">
        <f t="shared" si="2"/>
        <v>-1190562.6510403489</v>
      </c>
    </row>
    <row r="19" spans="2:18" x14ac:dyDescent="0.25">
      <c r="B19" s="17">
        <v>16</v>
      </c>
      <c r="C19" s="17" t="s">
        <v>96</v>
      </c>
      <c r="D19" s="64">
        <v>166056377.30000001</v>
      </c>
      <c r="E19" s="64">
        <v>12484066</v>
      </c>
      <c r="G19" s="64">
        <f t="shared" si="0"/>
        <v>52910679.285118498</v>
      </c>
      <c r="H19" s="64">
        <f t="shared" si="0"/>
        <v>3977808.1579300603</v>
      </c>
      <c r="Q19" s="64">
        <f t="shared" si="1"/>
        <v>-33211275.460000031</v>
      </c>
      <c r="R19" s="64">
        <f t="shared" si="2"/>
        <v>-2496813.200000002</v>
      </c>
    </row>
    <row r="20" spans="2:18" x14ac:dyDescent="0.25">
      <c r="B20" s="17">
        <v>17</v>
      </c>
      <c r="C20" s="17" t="s">
        <v>97</v>
      </c>
      <c r="D20" s="64">
        <v>185944593.40000001</v>
      </c>
      <c r="E20" s="64">
        <v>14907930</v>
      </c>
      <c r="G20" s="64">
        <f t="shared" si="0"/>
        <v>53861525.312601611</v>
      </c>
      <c r="H20" s="64">
        <f t="shared" si="0"/>
        <v>4318296.29660796</v>
      </c>
      <c r="Q20" s="64">
        <f t="shared" si="1"/>
        <v>-55783378.020000011</v>
      </c>
      <c r="R20" s="64">
        <f t="shared" si="2"/>
        <v>-4472379.0000000009</v>
      </c>
    </row>
    <row r="21" spans="2:18" x14ac:dyDescent="0.25">
      <c r="B21" s="17">
        <v>18</v>
      </c>
      <c r="C21" s="17" t="s">
        <v>98</v>
      </c>
      <c r="D21" s="64">
        <v>196733129.80000001</v>
      </c>
      <c r="E21" s="64">
        <v>15838538.000000002</v>
      </c>
      <c r="G21" s="64">
        <f t="shared" si="0"/>
        <v>51805981.833794795</v>
      </c>
      <c r="H21" s="64">
        <f t="shared" si="0"/>
        <v>4170782.0779145081</v>
      </c>
      <c r="Q21" s="64">
        <f t="shared" si="1"/>
        <v>-78693251.920000032</v>
      </c>
      <c r="R21" s="64">
        <f t="shared" si="2"/>
        <v>-6335415.200000003</v>
      </c>
    </row>
    <row r="22" spans="2:18" x14ac:dyDescent="0.25">
      <c r="B22" s="67">
        <v>19</v>
      </c>
      <c r="C22" s="67" t="s">
        <v>99</v>
      </c>
      <c r="D22" s="68">
        <v>194627646.5</v>
      </c>
      <c r="E22" s="68">
        <v>16180929.185052715</v>
      </c>
      <c r="G22" s="64">
        <f>D22*(1+$K$2)^($K$3-$B22)</f>
        <v>46592311.159532078</v>
      </c>
      <c r="H22" s="64">
        <f>E22*(1+$K$2)^($K$3-$B22)</f>
        <v>3873585.7983070766</v>
      </c>
      <c r="Q22" s="64">
        <f t="shared" si="1"/>
        <v>-97313823.25</v>
      </c>
      <c r="R22" s="64">
        <f t="shared" si="2"/>
        <v>-8090464.5925263576</v>
      </c>
    </row>
    <row r="23" spans="2:18" x14ac:dyDescent="0.25">
      <c r="Q23" s="16"/>
      <c r="R23" s="16"/>
    </row>
    <row r="24" spans="2:18" x14ac:dyDescent="0.25">
      <c r="C24" s="18" t="s">
        <v>102</v>
      </c>
      <c r="D24" s="65">
        <f>CORREL(D4:D22,E4:E22)</f>
        <v>0.9930842563624519</v>
      </c>
      <c r="G24" s="18" t="s">
        <v>102</v>
      </c>
      <c r="H24" s="65">
        <f>CORREL(G4:G22,H4:H22)</f>
        <v>0.95547520448139311</v>
      </c>
      <c r="Q24" s="18" t="s">
        <v>102</v>
      </c>
      <c r="R24" s="65">
        <f>CORREL(Q4:Q22,R4:R22)</f>
        <v>0.99141482292250505</v>
      </c>
    </row>
  </sheetData>
  <mergeCells count="2">
    <mergeCell ref="G2:H2"/>
    <mergeCell ref="Q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2022-05-30T11:36:32Z</dcterms:created>
  <dcterms:modified xsi:type="dcterms:W3CDTF">2022-05-30T14:16:25Z</dcterms:modified>
</cp:coreProperties>
</file>