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5"/>
  <workbookPr/>
  <mc:AlternateContent xmlns:mc="http://schemas.openxmlformats.org/markup-compatibility/2006">
    <mc:Choice Requires="x15">
      <x15ac:absPath xmlns:x15ac="http://schemas.microsoft.com/office/spreadsheetml/2010/11/ac" url="/Users/work/Library/Mobile Documents/com~apple~CloudDocs/Excel/"/>
    </mc:Choice>
  </mc:AlternateContent>
  <xr:revisionPtr revIDLastSave="0" documentId="13_ncr:1_{3B76DF9E-62F4-3643-975D-F8137A6BC2BD}" xr6:coauthVersionLast="45" xr6:coauthVersionMax="45" xr10:uidLastSave="{00000000-0000-0000-0000-000000000000}"/>
  <bookViews>
    <workbookView xWindow="0" yWindow="460" windowWidth="28800" windowHeight="17540" activeTab="3" xr2:uid="{5746141D-E7E8-714E-A98D-1CE69C8603B7}"/>
  </bookViews>
  <sheets>
    <sheet name="cases" sheetId="5" r:id="rId1"/>
    <sheet name="doubling time" sheetId="8" r:id="rId2"/>
    <sheet name="number of infections" sheetId="3" r:id="rId3"/>
    <sheet name="infection percentage" sheetId="4" r:id="rId4"/>
    <sheet name="infection odds" sheetId="2" r:id="rId5"/>
    <sheet name="dashboard" sheetId="6" r:id="rId6"/>
    <sheet name="data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C18" i="1"/>
  <c r="E18" i="1"/>
  <c r="F18" i="1"/>
  <c r="G18" i="1" s="1"/>
  <c r="M18" i="1"/>
  <c r="N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2" i="1"/>
  <c r="R1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R6" i="1"/>
  <c r="S24" i="1" s="1"/>
  <c r="R3" i="1"/>
  <c r="S20" i="1" s="1"/>
  <c r="H18" i="1" l="1"/>
  <c r="O18" i="1"/>
  <c r="J18" i="1"/>
  <c r="I18" i="1"/>
  <c r="R22" i="1"/>
  <c r="S34" i="1" s="1"/>
  <c r="G8" i="6" s="1"/>
  <c r="P18" i="1"/>
  <c r="S32" i="1"/>
  <c r="C8" i="6" s="1"/>
  <c r="C6" i="6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F2" i="1"/>
  <c r="J2" i="1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E2" i="1"/>
  <c r="I2" i="1" s="1"/>
  <c r="E3" i="1"/>
  <c r="I3" i="1" s="1"/>
  <c r="E4" i="1"/>
  <c r="I4" i="1" s="1"/>
  <c r="L4" i="1" s="1"/>
  <c r="E5" i="1"/>
  <c r="I5" i="1" s="1"/>
  <c r="L5" i="1" s="1"/>
  <c r="E6" i="1"/>
  <c r="I6" i="1" s="1"/>
  <c r="E7" i="1"/>
  <c r="I7" i="1" s="1"/>
  <c r="E8" i="1"/>
  <c r="H8" i="1" s="1"/>
  <c r="E9" i="1"/>
  <c r="I9" i="1" s="1"/>
  <c r="L9" i="1" s="1"/>
  <c r="E10" i="1"/>
  <c r="I10" i="1" s="1"/>
  <c r="E11" i="1"/>
  <c r="I11" i="1" s="1"/>
  <c r="E12" i="1"/>
  <c r="H12" i="1" s="1"/>
  <c r="E13" i="1"/>
  <c r="I13" i="1" s="1"/>
  <c r="L13" i="1" s="1"/>
  <c r="E14" i="1"/>
  <c r="I14" i="1" s="1"/>
  <c r="E15" i="1"/>
  <c r="I15" i="1" s="1"/>
  <c r="E16" i="1"/>
  <c r="E17" i="1"/>
  <c r="I17" i="1" s="1"/>
  <c r="K18" i="1" l="1"/>
  <c r="L18" i="1"/>
  <c r="L6" i="1"/>
  <c r="O7" i="1"/>
  <c r="P9" i="1"/>
  <c r="O6" i="1"/>
  <c r="P8" i="1"/>
  <c r="P13" i="1"/>
  <c r="O2" i="1"/>
  <c r="P4" i="1"/>
  <c r="P6" i="1"/>
  <c r="O8" i="1"/>
  <c r="P10" i="1"/>
  <c r="P12" i="1"/>
  <c r="O14" i="1"/>
  <c r="O12" i="1"/>
  <c r="P2" i="1"/>
  <c r="O4" i="1"/>
  <c r="O10" i="1"/>
  <c r="P14" i="1"/>
  <c r="P7" i="1"/>
  <c r="O9" i="1"/>
  <c r="O13" i="1"/>
  <c r="P15" i="1"/>
  <c r="O17" i="1"/>
  <c r="P11" i="1"/>
  <c r="L2" i="1"/>
  <c r="O11" i="1"/>
  <c r="P17" i="1"/>
  <c r="O15" i="1"/>
  <c r="H16" i="1"/>
  <c r="O16" i="1"/>
  <c r="P16" i="1"/>
  <c r="K10" i="1"/>
  <c r="L10" i="1"/>
  <c r="K17" i="1"/>
  <c r="L17" i="1"/>
  <c r="K6" i="1"/>
  <c r="K13" i="1"/>
  <c r="K9" i="1"/>
  <c r="K5" i="1"/>
  <c r="K14" i="1"/>
  <c r="L14" i="1"/>
  <c r="L15" i="1"/>
  <c r="L11" i="1"/>
  <c r="L7" i="1"/>
  <c r="L3" i="1"/>
  <c r="K4" i="1"/>
  <c r="I16" i="1"/>
  <c r="L16" i="1" s="1"/>
  <c r="I12" i="1"/>
  <c r="L12" i="1" s="1"/>
  <c r="I8" i="1"/>
  <c r="L8" i="1" s="1"/>
  <c r="K15" i="1"/>
  <c r="K11" i="1"/>
  <c r="K7" i="1"/>
  <c r="K3" i="1"/>
  <c r="K2" i="1"/>
  <c r="P3" i="1"/>
  <c r="G17" i="1"/>
  <c r="G13" i="1"/>
  <c r="H15" i="1"/>
  <c r="H11" i="1"/>
  <c r="H7" i="1"/>
  <c r="H3" i="1"/>
  <c r="G14" i="1"/>
  <c r="G10" i="1"/>
  <c r="G6" i="1"/>
  <c r="H2" i="1"/>
  <c r="O3" i="1"/>
  <c r="P5" i="1"/>
  <c r="O5" i="1"/>
  <c r="G9" i="1"/>
  <c r="G5" i="1"/>
  <c r="G16" i="1"/>
  <c r="G12" i="1"/>
  <c r="G8" i="1"/>
  <c r="G4" i="1"/>
  <c r="G15" i="1"/>
  <c r="G11" i="1"/>
  <c r="G7" i="1"/>
  <c r="G3" i="1"/>
  <c r="G2" i="1"/>
  <c r="H10" i="1"/>
  <c r="H6" i="1"/>
  <c r="H4" i="1"/>
  <c r="H17" i="1"/>
  <c r="H13" i="1"/>
  <c r="H9" i="1"/>
  <c r="H5" i="1"/>
  <c r="H14" i="1"/>
  <c r="R9" i="1" l="1"/>
  <c r="S26" i="1" s="1"/>
  <c r="R12" i="1"/>
  <c r="S28" i="1" s="1"/>
  <c r="R15" i="1"/>
  <c r="K16" i="1"/>
  <c r="K8" i="1"/>
  <c r="K12" i="1"/>
  <c r="C14" i="6" l="1"/>
  <c r="G6" i="6"/>
  <c r="S30" i="1"/>
  <c r="G14" i="6"/>
</calcChain>
</file>

<file path=xl/sharedStrings.xml><?xml version="1.0" encoding="utf-8"?>
<sst xmlns="http://schemas.openxmlformats.org/spreadsheetml/2006/main" count="44" uniqueCount="41">
  <si>
    <t>date</t>
  </si>
  <si>
    <t>cases</t>
  </si>
  <si>
    <t>1-in-X odds, estimating 5x cases infected</t>
  </si>
  <si>
    <t>1-in-X odds, estimating 7x cases infected</t>
  </si>
  <si>
    <t>infection count, estimating 7x cases infected</t>
  </si>
  <si>
    <t>infection count estimating 5x cases infected</t>
  </si>
  <si>
    <t>average infection count</t>
  </si>
  <si>
    <t>average 1-in-X odds</t>
  </si>
  <si>
    <t>infection count difference</t>
  </si>
  <si>
    <t>1-in-X odds difference</t>
  </si>
  <si>
    <t>infection percentage, estimating 7x cases infected</t>
  </si>
  <si>
    <t>infection percentage, estimating 5x cases infected</t>
  </si>
  <si>
    <t>infection percentage difference</t>
  </si>
  <si>
    <t>average infection percentage</t>
  </si>
  <si>
    <t>constants</t>
  </si>
  <si>
    <t>total population:</t>
  </si>
  <si>
    <t>COVID-19 cases</t>
  </si>
  <si>
    <t>SARS-CoV-2 infections</t>
  </si>
  <si>
    <t>estimated</t>
  </si>
  <si>
    <t>confirmed</t>
  </si>
  <si>
    <t>one in</t>
  </si>
  <si>
    <t>of total population</t>
  </si>
  <si>
    <t>people have had</t>
  </si>
  <si>
    <t>a SARS-CoV-2 infection</t>
  </si>
  <si>
    <t>Column1</t>
  </si>
  <si>
    <t>computed</t>
  </si>
  <si>
    <t>source: https://www.floridadisaster.org/news-media/news/</t>
  </si>
  <si>
    <t>info: https://github.com/endymion/SARS-CoV-2_Analysis</t>
  </si>
  <si>
    <t>labels</t>
  </si>
  <si>
    <t>insights</t>
  </si>
  <si>
    <t>cases:</t>
  </si>
  <si>
    <t>current date:</t>
  </si>
  <si>
    <t>infected:</t>
  </si>
  <si>
    <t>percentage:</t>
  </si>
  <si>
    <t>odds:</t>
  </si>
  <si>
    <t>doubling time</t>
  </si>
  <si>
    <t>doubling time:</t>
  </si>
  <si>
    <t>% increase</t>
  </si>
  <si>
    <t>% increase:</t>
  </si>
  <si>
    <t>data timing:</t>
  </si>
  <si>
    <t>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</si>
</sst>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409]mmmm\ d\,\ yyyy;@"/>
    <numFmt numFmtId="166" formatCode="0.0"/>
  </numFmts>
  <fonts count="14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b/>
      <sz val="11"/>
      <color theme="3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Calibri"/>
      <family val="2"/>
      <scheme val="minor"/>
    </font>
    <font>
      <b/>
      <sz val="69"/>
      <color theme="0"/>
      <name val="Helvetica"/>
      <family val="2"/>
    </font>
    <font>
      <sz val="12"/>
      <color theme="7"/>
      <name val="Helvetica"/>
      <family val="2"/>
    </font>
    <font>
      <b/>
      <sz val="12"/>
      <color theme="1"/>
      <name val="Helvetica"/>
      <family val="2"/>
    </font>
    <font>
      <b/>
      <sz val="36"/>
      <color rgb="FFFFFFFF"/>
      <name val="Helvetica"/>
      <family val="2"/>
    </font>
    <font>
      <b/>
      <sz val="36"/>
      <color theme="0"/>
      <name val="Helvetica"/>
      <family val="2"/>
    </font>
    <font>
      <b/>
      <sz val="22"/>
      <color theme="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wrapText="1" shrinkToFit="1"/>
    </xf>
    <xf numFmtId="0" fontId="4" fillId="0" borderId="1" xfId="1" applyFont="1" applyAlignment="1">
      <alignment horizontal="right" vertical="top"/>
    </xf>
    <xf numFmtId="0" fontId="4" fillId="0" borderId="1" xfId="1" applyFont="1" applyAlignment="1">
      <alignment horizontal="right" vertical="top" wrapText="1"/>
    </xf>
    <xf numFmtId="1" fontId="4" fillId="0" borderId="1" xfId="1" applyNumberFormat="1" applyFont="1" applyAlignment="1">
      <alignment horizontal="right" vertical="top" wrapText="1"/>
    </xf>
    <xf numFmtId="16" fontId="5" fillId="0" borderId="0" xfId="0" applyNumberFormat="1" applyFont="1"/>
    <xf numFmtId="0" fontId="6" fillId="0" borderId="0" xfId="0" applyFont="1"/>
    <xf numFmtId="1" fontId="4" fillId="0" borderId="1" xfId="1" applyNumberFormat="1" applyFont="1" applyFill="1" applyAlignment="1">
      <alignment horizontal="right" vertical="top"/>
    </xf>
    <xf numFmtId="1" fontId="2" fillId="0" borderId="0" xfId="0" applyNumberFormat="1" applyFont="1" applyAlignment="1">
      <alignment horizontal="right" wrapText="1" shrinkToFit="1"/>
    </xf>
    <xf numFmtId="1" fontId="6" fillId="0" borderId="0" xfId="0" applyNumberFormat="1" applyFont="1"/>
    <xf numFmtId="10" fontId="4" fillId="0" borderId="1" xfId="1" applyNumberFormat="1" applyFont="1" applyAlignment="1">
      <alignment horizontal="right" vertical="top" wrapText="1"/>
    </xf>
    <xf numFmtId="10" fontId="6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NumberFormat="1" applyFont="1"/>
    <xf numFmtId="1" fontId="8" fillId="3" borderId="0" xfId="0" applyNumberFormat="1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0" fillId="4" borderId="0" xfId="0" applyFill="1"/>
    <xf numFmtId="164" fontId="4" fillId="0" borderId="1" xfId="1" applyNumberFormat="1" applyFont="1" applyAlignment="1">
      <alignment horizontal="right" vertical="top" wrapText="1"/>
    </xf>
    <xf numFmtId="164" fontId="6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5" fontId="2" fillId="0" borderId="0" xfId="0" applyNumberFormat="1" applyFont="1"/>
    <xf numFmtId="0" fontId="4" fillId="0" borderId="1" xfId="1" applyFont="1" applyFill="1" applyAlignment="1">
      <alignment horizontal="right" vertical="top"/>
    </xf>
    <xf numFmtId="1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1" fontId="10" fillId="0" borderId="0" xfId="0" applyNumberFormat="1" applyFont="1"/>
    <xf numFmtId="0" fontId="7" fillId="0" borderId="0" xfId="0" applyFont="1"/>
    <xf numFmtId="1" fontId="2" fillId="0" borderId="0" xfId="0" applyNumberFormat="1" applyFont="1" applyAlignment="1">
      <alignment horizontal="right"/>
    </xf>
    <xf numFmtId="3" fontId="8" fillId="3" borderId="0" xfId="0" applyNumberFormat="1" applyFont="1" applyFill="1" applyAlignment="1">
      <alignment horizontal="center" vertical="center"/>
    </xf>
    <xf numFmtId="3" fontId="2" fillId="0" borderId="0" xfId="0" applyNumberFormat="1" applyFont="1"/>
    <xf numFmtId="165" fontId="10" fillId="0" borderId="0" xfId="0" applyNumberFormat="1" applyFont="1" applyAlignment="1">
      <alignment horizontal="right"/>
    </xf>
    <xf numFmtId="166" fontId="4" fillId="0" borderId="1" xfId="1" applyNumberFormat="1" applyFont="1" applyAlignment="1">
      <alignment horizontal="right" vertical="top" wrapText="1"/>
    </xf>
    <xf numFmtId="166" fontId="6" fillId="0" borderId="0" xfId="0" applyNumberFormat="1" applyFont="1" applyAlignment="1">
      <alignment wrapText="1"/>
    </xf>
    <xf numFmtId="166" fontId="0" fillId="0" borderId="0" xfId="0" applyNumberFormat="1"/>
    <xf numFmtId="0" fontId="11" fillId="5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0" fontId="0" fillId="2" borderId="0" xfId="0" applyFill="1" applyAlignment="1">
      <alignment vertical="top"/>
    </xf>
    <xf numFmtId="0" fontId="0" fillId="4" borderId="0" xfId="0" applyFill="1" applyAlignment="1">
      <alignment vertical="top"/>
    </xf>
    <xf numFmtId="0" fontId="13" fillId="4" borderId="0" xfId="0" applyFont="1" applyFill="1" applyAlignment="1">
      <alignment horizontal="center" vertical="top"/>
    </xf>
    <xf numFmtId="0" fontId="0" fillId="3" borderId="0" xfId="0" applyFill="1" applyAlignment="1">
      <alignment vertical="top"/>
    </xf>
    <xf numFmtId="0" fontId="13" fillId="3" borderId="0" xfId="0" applyFont="1" applyFill="1" applyAlignment="1">
      <alignment horizontal="center" vertical="top"/>
    </xf>
    <xf numFmtId="0" fontId="0" fillId="3" borderId="0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vertical="top"/>
    </xf>
    <xf numFmtId="164" fontId="4" fillId="0" borderId="1" xfId="1" applyNumberFormat="1" applyFont="1" applyAlignment="1">
      <alignment horizontal="right" vertical="top"/>
    </xf>
  </cellXfs>
  <cellStyles count="2">
    <cellStyle name="Heading 3" xfId="1" builtinId="18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numFmt numFmtId="166" formatCode="0.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3"/>
        <name val="Helvetica"/>
        <family val="2"/>
        <scheme val="none"/>
      </font>
      <alignment horizontal="righ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902575737355"/>
          <c:y val="0.15932203389830507"/>
          <c:w val="0.86388709462164692"/>
          <c:h val="0.71225997597757906"/>
        </c:manualLayout>
      </c:layout>
      <c:lineChart>
        <c:grouping val="standard"/>
        <c:varyColors val="0"/>
        <c:ser>
          <c:idx val="3"/>
          <c:order val="0"/>
          <c:tx>
            <c:strRef>
              <c:f>data!$B$1</c:f>
              <c:strCache>
                <c:ptCount val="1"/>
                <c:pt idx="0">
                  <c:v>cases</c:v>
                </c:pt>
              </c:strCache>
            </c:strRef>
          </c:tx>
          <c:spPr>
            <a:ln w="762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B1-2147-99CA-ED8FAC85464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B1-2147-99CA-ED8FAC8546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B1-2147-99CA-ED8FAC8546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B1-2147-99CA-ED8FAC8546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B1-2147-99CA-ED8FAC85464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B1-2147-99CA-ED8FAC8546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B1-2147-99CA-ED8FAC8546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B1-2147-99CA-ED8FAC8546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B1-2147-99CA-ED8FAC8546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B1-2147-99CA-ED8FAC8546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B1-2147-99CA-ED8FAC85464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B1-2147-99CA-ED8FAC85464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B1-2147-99CA-ED8FAC85464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B1-2147-99CA-ED8FAC854646}"/>
                </c:ext>
              </c:extLst>
            </c:dLbl>
            <c:dLbl>
              <c:idx val="14"/>
              <c:layout>
                <c:manualLayout>
                  <c:x val="-0.11186434698289745"/>
                  <c:y val="2.8846784933191905E-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4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B1-2147-99CA-ED8FAC854646}"/>
                </c:ext>
              </c:extLst>
            </c:dLbl>
            <c:dLbl>
              <c:idx val="15"/>
              <c:layout>
                <c:manualLayout>
                  <c:x val="-0.11017624810670208"/>
                  <c:y val="1.4423392466565142E-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accent4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B1-2147-99CA-ED8FAC854646}"/>
                </c:ext>
              </c:extLst>
            </c:dLbl>
            <c:dLbl>
              <c:idx val="16"/>
              <c:layout>
                <c:manualLayout>
                  <c:x val="-8.4754804707326381E-2"/>
                  <c:y val="1.4423392466565142E-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B1-2147-99CA-ED8FAC8546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data!$A$2:$A$10001</c:f>
              <c:numCache>
                <c:formatCode>d\-mmm</c:formatCode>
                <c:ptCount val="10000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</c:numCache>
            </c:numRef>
          </c:cat>
          <c:val>
            <c:numRef>
              <c:f>data!$B$2:$B$10001</c:f>
              <c:numCache>
                <c:formatCode>General</c:formatCode>
                <c:ptCount val="10000"/>
                <c:pt idx="0">
                  <c:v>33</c:v>
                </c:pt>
                <c:pt idx="1">
                  <c:v>46</c:v>
                </c:pt>
                <c:pt idx="2">
                  <c:v>63</c:v>
                </c:pt>
                <c:pt idx="3">
                  <c:v>76</c:v>
                </c:pt>
                <c:pt idx="4">
                  <c:v>90</c:v>
                </c:pt>
                <c:pt idx="5">
                  <c:v>118</c:v>
                </c:pt>
                <c:pt idx="6">
                  <c:v>160</c:v>
                </c:pt>
                <c:pt idx="7">
                  <c:v>197</c:v>
                </c:pt>
                <c:pt idx="8">
                  <c:v>238</c:v>
                </c:pt>
                <c:pt idx="9">
                  <c:v>266</c:v>
                </c:pt>
                <c:pt idx="10">
                  <c:v>294</c:v>
                </c:pt>
                <c:pt idx="11">
                  <c:v>310</c:v>
                </c:pt>
                <c:pt idx="12">
                  <c:v>347</c:v>
                </c:pt>
                <c:pt idx="13">
                  <c:v>365</c:v>
                </c:pt>
                <c:pt idx="14">
                  <c:v>396</c:v>
                </c:pt>
                <c:pt idx="15">
                  <c:v>428</c:v>
                </c:pt>
                <c:pt idx="16">
                  <c:v>463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C2B-6744-85B7-B87A6F15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4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463365808087549E-2"/>
          <c:y val="0.14237288135593221"/>
          <c:w val="0.89100573868944344"/>
          <c:h val="0.72938983050847461"/>
        </c:manualLayout>
      </c:layout>
      <c:lineChart>
        <c:grouping val="standard"/>
        <c:varyColors val="0"/>
        <c:ser>
          <c:idx val="3"/>
          <c:order val="0"/>
          <c:tx>
            <c:strRef>
              <c:f>data!$D$1</c:f>
              <c:strCache>
                <c:ptCount val="1"/>
                <c:pt idx="0">
                  <c:v>doubling time</c:v>
                </c:pt>
              </c:strCache>
            </c:strRef>
          </c:tx>
          <c:spPr>
            <a:ln w="762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numRef>
              <c:f>data!$A$3:$A$10001</c:f>
              <c:numCache>
                <c:formatCode>d\-mmm</c:formatCode>
                <c:ptCount val="999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</c:numCache>
            </c:numRef>
          </c:cat>
          <c:val>
            <c:numRef>
              <c:f>data!$D$3:$D$10001</c:f>
              <c:numCache>
                <c:formatCode>0.0</c:formatCode>
                <c:ptCount val="9999"/>
                <c:pt idx="0">
                  <c:v>2.0869514258092652</c:v>
                </c:pt>
                <c:pt idx="1">
                  <c:v>2.2040123419309841</c:v>
                </c:pt>
                <c:pt idx="2">
                  <c:v>3.6948416950918879</c:v>
                </c:pt>
                <c:pt idx="3">
                  <c:v>4.0996109885980694</c:v>
                </c:pt>
                <c:pt idx="4">
                  <c:v>2.55891942011541</c:v>
                </c:pt>
                <c:pt idx="5">
                  <c:v>2.276426229815518</c:v>
                </c:pt>
                <c:pt idx="6">
                  <c:v>3.3319591826205279</c:v>
                </c:pt>
                <c:pt idx="7">
                  <c:v>3.6661468285944667</c:v>
                </c:pt>
                <c:pt idx="8">
                  <c:v>6.2319013047040608</c:v>
                </c:pt>
                <c:pt idx="9">
                  <c:v>6.9256917232261834</c:v>
                </c:pt>
                <c:pt idx="10">
                  <c:v>13.080092207751859</c:v>
                </c:pt>
                <c:pt idx="11">
                  <c:v>6.1475114816980732</c:v>
                </c:pt>
                <c:pt idx="12">
                  <c:v>13.705989842517504</c:v>
                </c:pt>
                <c:pt idx="13">
                  <c:v>8.5031145747675918</c:v>
                </c:pt>
                <c:pt idx="14">
                  <c:v>8.9197817544539646</c:v>
                </c:pt>
                <c:pt idx="15">
                  <c:v>8.8182335288390004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436-104A-9C5A-DC29C2122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3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6010943547312"/>
          <c:y val="0.15593220338983052"/>
          <c:w val="0.84710743360469776"/>
          <c:h val="0.7173898305084746"/>
        </c:manualLayout>
      </c:layout>
      <c:areaChart>
        <c:grouping val="stacke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infection count estimating 5x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data!$A$2:$A$10001</c:f>
              <c:numCache>
                <c:formatCode>d\-mmm</c:formatCode>
                <c:ptCount val="10000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</c:numCache>
            </c:numRef>
          </c:cat>
          <c:val>
            <c:numRef>
              <c:f>data!$E$2:$E$10001</c:f>
              <c:numCache>
                <c:formatCode>General</c:formatCode>
                <c:ptCount val="10000"/>
                <c:pt idx="0">
                  <c:v>165</c:v>
                </c:pt>
                <c:pt idx="1">
                  <c:v>230</c:v>
                </c:pt>
                <c:pt idx="2">
                  <c:v>315</c:v>
                </c:pt>
                <c:pt idx="3">
                  <c:v>380</c:v>
                </c:pt>
                <c:pt idx="4">
                  <c:v>450</c:v>
                </c:pt>
                <c:pt idx="5">
                  <c:v>590</c:v>
                </c:pt>
                <c:pt idx="6">
                  <c:v>800</c:v>
                </c:pt>
                <c:pt idx="7">
                  <c:v>985</c:v>
                </c:pt>
                <c:pt idx="8">
                  <c:v>1190</c:v>
                </c:pt>
                <c:pt idx="9">
                  <c:v>1330</c:v>
                </c:pt>
                <c:pt idx="10">
                  <c:v>1470</c:v>
                </c:pt>
                <c:pt idx="11">
                  <c:v>1550</c:v>
                </c:pt>
                <c:pt idx="12">
                  <c:v>1735</c:v>
                </c:pt>
                <c:pt idx="13">
                  <c:v>1825</c:v>
                </c:pt>
                <c:pt idx="14">
                  <c:v>1980</c:v>
                </c:pt>
                <c:pt idx="15">
                  <c:v>2140</c:v>
                </c:pt>
                <c:pt idx="16">
                  <c:v>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D-CB43-A627-A86316C7767B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infection count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data!$A$2:$A$10001</c:f>
              <c:numCache>
                <c:formatCode>d\-mmm</c:formatCode>
                <c:ptCount val="10000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</c:numCache>
            </c:numRef>
          </c:cat>
          <c:val>
            <c:numRef>
              <c:f>data!$G$2:$G$10001</c:f>
              <c:numCache>
                <c:formatCode>General</c:formatCode>
                <c:ptCount val="10000"/>
                <c:pt idx="0">
                  <c:v>66</c:v>
                </c:pt>
                <c:pt idx="1">
                  <c:v>92</c:v>
                </c:pt>
                <c:pt idx="2">
                  <c:v>126</c:v>
                </c:pt>
                <c:pt idx="3">
                  <c:v>152</c:v>
                </c:pt>
                <c:pt idx="4">
                  <c:v>180</c:v>
                </c:pt>
                <c:pt idx="5">
                  <c:v>236</c:v>
                </c:pt>
                <c:pt idx="6">
                  <c:v>320</c:v>
                </c:pt>
                <c:pt idx="7">
                  <c:v>394</c:v>
                </c:pt>
                <c:pt idx="8">
                  <c:v>476</c:v>
                </c:pt>
                <c:pt idx="9">
                  <c:v>532</c:v>
                </c:pt>
                <c:pt idx="10">
                  <c:v>588</c:v>
                </c:pt>
                <c:pt idx="11">
                  <c:v>620</c:v>
                </c:pt>
                <c:pt idx="12">
                  <c:v>694</c:v>
                </c:pt>
                <c:pt idx="13">
                  <c:v>730</c:v>
                </c:pt>
                <c:pt idx="14">
                  <c:v>792</c:v>
                </c:pt>
                <c:pt idx="15">
                  <c:v>856</c:v>
                </c:pt>
                <c:pt idx="16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D-CB43-A627-A86316C7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35568"/>
        <c:axId val="1207600816"/>
      </c:areaChart>
      <c:lineChart>
        <c:grouping val="standard"/>
        <c:varyColors val="0"/>
        <c:ser>
          <c:idx val="4"/>
          <c:order val="2"/>
          <c:tx>
            <c:strRef>
              <c:f>data!$H$1</c:f>
              <c:strCache>
                <c:ptCount val="1"/>
                <c:pt idx="0">
                  <c:v>average infection count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0B-374E-B153-14719DA1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0B-374E-B153-14719DA1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0B-374E-B153-14719DA1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0B-374E-B153-14719DA1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0B-374E-B153-14719DA1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0B-374E-B153-14719DA1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0B-374E-B153-14719DA1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0B-374E-B153-14719DA14F1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8D-CB43-A627-A86316C7767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8D-CB43-A627-A86316C7767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8D-CB43-A627-A86316C7767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8D-CB43-A627-A86316C7767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8D-CB43-A627-A86316C7767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8D-CB43-A627-A86316C7767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0F-4244-96A2-807873A8045E}"/>
                </c:ext>
              </c:extLst>
            </c:dLbl>
            <c:dLbl>
              <c:idx val="15"/>
              <c:layout>
                <c:manualLayout>
                  <c:x val="-0.10334795410793525"/>
                  <c:y val="1.4762255221615584E-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4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0B-374E-B153-14719DA14F1B}"/>
                </c:ext>
              </c:extLst>
            </c:dLbl>
            <c:dLbl>
              <c:idx val="16"/>
              <c:layout>
                <c:manualLayout>
                  <c:x val="-7.1022292265121259E-2"/>
                  <c:y val="0"/>
                </c:manualLayout>
              </c:layout>
              <c:tx>
                <c:rich>
                  <a:bodyPr/>
                  <a:lstStyle/>
                  <a:p>
                    <a:fld id="{94B94E3D-E8D3-A542-8FA4-0805D52CBB84}" type="VALUE">
                      <a:rPr lang="en-US" sz="240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F0B-374E-B153-14719DA1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data!$A$2:$A$10001</c:f>
              <c:numCache>
                <c:formatCode>d\-mmm</c:formatCode>
                <c:ptCount val="10000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</c:numCache>
            </c:numRef>
          </c:cat>
          <c:val>
            <c:numRef>
              <c:f>data!$H$2:$H$10001</c:f>
              <c:numCache>
                <c:formatCode>General</c:formatCode>
                <c:ptCount val="10000"/>
                <c:pt idx="0">
                  <c:v>198</c:v>
                </c:pt>
                <c:pt idx="1">
                  <c:v>276</c:v>
                </c:pt>
                <c:pt idx="2">
                  <c:v>378</c:v>
                </c:pt>
                <c:pt idx="3">
                  <c:v>456</c:v>
                </c:pt>
                <c:pt idx="4">
                  <c:v>540</c:v>
                </c:pt>
                <c:pt idx="5">
                  <c:v>708</c:v>
                </c:pt>
                <c:pt idx="6">
                  <c:v>960</c:v>
                </c:pt>
                <c:pt idx="7">
                  <c:v>1182</c:v>
                </c:pt>
                <c:pt idx="8">
                  <c:v>1428</c:v>
                </c:pt>
                <c:pt idx="9">
                  <c:v>1596</c:v>
                </c:pt>
                <c:pt idx="10">
                  <c:v>1764</c:v>
                </c:pt>
                <c:pt idx="11">
                  <c:v>1860</c:v>
                </c:pt>
                <c:pt idx="12">
                  <c:v>2082</c:v>
                </c:pt>
                <c:pt idx="13">
                  <c:v>2190</c:v>
                </c:pt>
                <c:pt idx="14">
                  <c:v>2376</c:v>
                </c:pt>
                <c:pt idx="15">
                  <c:v>2568</c:v>
                </c:pt>
                <c:pt idx="16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D-CB43-A627-A86316C7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4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9947951421328"/>
          <c:y val="0.14745762711864407"/>
          <c:w val="0.84749713065527821"/>
          <c:h val="0.72430508474576272"/>
        </c:manualLayout>
      </c:layout>
      <c:areaChart>
        <c:grouping val="stacked"/>
        <c:varyColors val="0"/>
        <c:ser>
          <c:idx val="3"/>
          <c:order val="0"/>
          <c:tx>
            <c:strRef>
              <c:f>data!$I$1</c:f>
              <c:strCache>
                <c:ptCount val="1"/>
                <c:pt idx="0">
                  <c:v>infection percentage, estimating 5x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data!$A$2:$A$10001</c:f>
              <c:numCache>
                <c:formatCode>d\-mmm</c:formatCode>
                <c:ptCount val="10000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</c:numCache>
            </c:numRef>
          </c:cat>
          <c:val>
            <c:numRef>
              <c:f>data!$I$2:$I$10001</c:f>
              <c:numCache>
                <c:formatCode>0.00%</c:formatCode>
                <c:ptCount val="10000"/>
                <c:pt idx="0">
                  <c:v>1.7875134063505477E-3</c:v>
                </c:pt>
                <c:pt idx="1">
                  <c:v>2.4916853543068239E-3</c:v>
                </c:pt>
                <c:pt idx="2">
                  <c:v>3.4125255939419547E-3</c:v>
                </c:pt>
                <c:pt idx="3">
                  <c:v>4.116697541898231E-3</c:v>
                </c:pt>
                <c:pt idx="4">
                  <c:v>4.8750365627742206E-3</c:v>
                </c:pt>
                <c:pt idx="5">
                  <c:v>6.3917146045262005E-3</c:v>
                </c:pt>
                <c:pt idx="6">
                  <c:v>8.6667316671541709E-3</c:v>
                </c:pt>
                <c:pt idx="7">
                  <c:v>1.0670913365183572E-2</c:v>
                </c:pt>
                <c:pt idx="8">
                  <c:v>1.2891763354891828E-2</c:v>
                </c:pt>
                <c:pt idx="9">
                  <c:v>1.4408441396643807E-2</c:v>
                </c:pt>
                <c:pt idx="10">
                  <c:v>1.5925119438395786E-2</c:v>
                </c:pt>
                <c:pt idx="11">
                  <c:v>1.6791792605111204E-2</c:v>
                </c:pt>
                <c:pt idx="12">
                  <c:v>1.8795974303140606E-2</c:v>
                </c:pt>
                <c:pt idx="13">
                  <c:v>1.9770981615695449E-2</c:v>
                </c:pt>
                <c:pt idx="14">
                  <c:v>2.1450160876206572E-2</c:v>
                </c:pt>
                <c:pt idx="15">
                  <c:v>2.3183507209637407E-2</c:v>
                </c:pt>
                <c:pt idx="16">
                  <c:v>2.5079354761827381E-2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6-984F-B4E4-5660F27577B3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infection percentage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data!$A$2:$A$10001</c:f>
              <c:numCache>
                <c:formatCode>d\-mmm</c:formatCode>
                <c:ptCount val="10000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</c:numCache>
            </c:numRef>
          </c:cat>
          <c:val>
            <c:numRef>
              <c:f>data!$K$2:$K$10001</c:f>
              <c:numCache>
                <c:formatCode>0.00%</c:formatCode>
                <c:ptCount val="10000"/>
                <c:pt idx="0">
                  <c:v>7.1500536254021888E-4</c:v>
                </c:pt>
                <c:pt idx="1">
                  <c:v>9.9667414172272982E-4</c:v>
                </c:pt>
                <c:pt idx="2">
                  <c:v>1.3650102375767814E-3</c:v>
                </c:pt>
                <c:pt idx="3">
                  <c:v>1.6466790167592926E-3</c:v>
                </c:pt>
                <c:pt idx="4">
                  <c:v>1.9500146251096888E-3</c:v>
                </c:pt>
                <c:pt idx="5">
                  <c:v>2.5566858418104811E-3</c:v>
                </c:pt>
                <c:pt idx="6">
                  <c:v>3.466692666861667E-3</c:v>
                </c:pt>
                <c:pt idx="7">
                  <c:v>4.26836534607343E-3</c:v>
                </c:pt>
                <c:pt idx="8">
                  <c:v>5.1567053419567313E-3</c:v>
                </c:pt>
                <c:pt idx="9">
                  <c:v>5.7633765586575254E-3</c:v>
                </c:pt>
                <c:pt idx="10">
                  <c:v>6.370047775358316E-3</c:v>
                </c:pt>
                <c:pt idx="11">
                  <c:v>6.716717042044483E-3</c:v>
                </c:pt>
                <c:pt idx="12">
                  <c:v>7.5183897212562426E-3</c:v>
                </c:pt>
                <c:pt idx="13">
                  <c:v>7.9083926462781805E-3</c:v>
                </c:pt>
                <c:pt idx="14">
                  <c:v>8.5800643504826274E-3</c:v>
                </c:pt>
                <c:pt idx="15">
                  <c:v>9.273402883854958E-3</c:v>
                </c:pt>
                <c:pt idx="16">
                  <c:v>1.003174190473095E-2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6-984F-B4E4-5660F27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35568"/>
        <c:axId val="1207600816"/>
      </c:areaChart>
      <c:lineChart>
        <c:grouping val="standard"/>
        <c:varyColors val="0"/>
        <c:ser>
          <c:idx val="4"/>
          <c:order val="2"/>
          <c:tx>
            <c:strRef>
              <c:f>data!$L$1</c:f>
              <c:strCache>
                <c:ptCount val="1"/>
                <c:pt idx="0">
                  <c:v>average infection percentage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72-1848-8D14-2279B6F7C7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72-1848-8D14-2279B6F7C7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72-1848-8D14-2279B6F7C7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98-8A45-B605-B9194C49FA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72-1848-8D14-2279B6F7C7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98-8A45-B605-B9194C49FA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E6-984F-B4E4-5660F27577B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E6-984F-B4E4-5660F27577B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E6-984F-B4E4-5660F27577B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E6-984F-B4E4-5660F27577B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E6-984F-B4E4-5660F27577B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98-8A45-B605-B9194C49FAB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E6-984F-B4E4-5660F27577B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E6-984F-B4E4-5660F27577B3}"/>
                </c:ext>
              </c:extLst>
            </c:dLbl>
            <c:dLbl>
              <c:idx val="14"/>
              <c:layout>
                <c:manualLayout>
                  <c:x val="-0.1118644067796610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4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72-1848-8D14-2279B6F7C74F}"/>
                </c:ext>
              </c:extLst>
            </c:dLbl>
            <c:dLbl>
              <c:idx val="15"/>
              <c:layout>
                <c:manualLayout>
                  <c:x val="-0.1101694915254237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4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98-8A45-B605-B9194C49FAB8}"/>
                </c:ext>
              </c:extLst>
            </c:dLbl>
            <c:dLbl>
              <c:idx val="16"/>
              <c:layout>
                <c:manualLayout>
                  <c:x val="-7.118644067796610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7A-5E43-94E1-C998BAEA1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data!$A$2:$A$10001</c:f>
              <c:numCache>
                <c:formatCode>d\-mmm</c:formatCode>
                <c:ptCount val="10000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</c:numCache>
            </c:numRef>
          </c:cat>
          <c:val>
            <c:numRef>
              <c:f>data!$L$2:$L$10001</c:f>
              <c:numCache>
                <c:formatCode>0.0%</c:formatCode>
                <c:ptCount val="10000"/>
                <c:pt idx="0">
                  <c:v>2.1450160876206573E-3</c:v>
                </c:pt>
                <c:pt idx="1">
                  <c:v>2.990022425168189E-3</c:v>
                </c:pt>
                <c:pt idx="2">
                  <c:v>4.0950307127303456E-3</c:v>
                </c:pt>
                <c:pt idx="3">
                  <c:v>4.9400370502778769E-3</c:v>
                </c:pt>
                <c:pt idx="4">
                  <c:v>5.8500438753290654E-3</c:v>
                </c:pt>
                <c:pt idx="5">
                  <c:v>7.6700575254314406E-3</c:v>
                </c:pt>
                <c:pt idx="6">
                  <c:v>1.0400078000585004E-2</c:v>
                </c:pt>
                <c:pt idx="7">
                  <c:v>1.2805096038220286E-2</c:v>
                </c:pt>
                <c:pt idx="8">
                  <c:v>1.5470116025870194E-2</c:v>
                </c:pt>
                <c:pt idx="9">
                  <c:v>1.7290129675972571E-2</c:v>
                </c:pt>
                <c:pt idx="10">
                  <c:v>1.9110143326074944E-2</c:v>
                </c:pt>
                <c:pt idx="11">
                  <c:v>2.0150151126133446E-2</c:v>
                </c:pt>
                <c:pt idx="12">
                  <c:v>2.2555169163768728E-2</c:v>
                </c:pt>
                <c:pt idx="13">
                  <c:v>2.3725177938834538E-2</c:v>
                </c:pt>
                <c:pt idx="14">
                  <c:v>2.5740193051447886E-2</c:v>
                </c:pt>
                <c:pt idx="15">
                  <c:v>2.7820208651564884E-2</c:v>
                </c:pt>
                <c:pt idx="16">
                  <c:v>3.0095225714192854E-2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E6-984F-B4E4-5660F27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4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1427999466168"/>
          <c:y val="0.13728813559322034"/>
          <c:w val="0.87575150140130786"/>
          <c:h val="0.73277966101694914"/>
        </c:manualLayout>
      </c:layout>
      <c:areaChart>
        <c:grouping val="stacked"/>
        <c:varyColors val="0"/>
        <c:ser>
          <c:idx val="3"/>
          <c:order val="0"/>
          <c:tx>
            <c:strRef>
              <c:f>data!$N$1</c:f>
              <c:strCache>
                <c:ptCount val="1"/>
                <c:pt idx="0">
                  <c:v>1-in-X odds, estimating 7x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data!$A$2:$A$10001</c:f>
              <c:numCache>
                <c:formatCode>d\-mmm</c:formatCode>
                <c:ptCount val="10000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</c:numCache>
            </c:numRef>
          </c:cat>
          <c:val>
            <c:numRef>
              <c:f>data!$N$2:$N$10001</c:f>
              <c:numCache>
                <c:formatCode>0</c:formatCode>
                <c:ptCount val="10000"/>
                <c:pt idx="0">
                  <c:v>399.59740259740261</c:v>
                </c:pt>
                <c:pt idx="1">
                  <c:v>286.66770186335401</c:v>
                </c:pt>
                <c:pt idx="2">
                  <c:v>209.31292517006804</c:v>
                </c:pt>
                <c:pt idx="3">
                  <c:v>173.50939849624061</c:v>
                </c:pt>
                <c:pt idx="4">
                  <c:v>146.51904761904763</c:v>
                </c:pt>
                <c:pt idx="5">
                  <c:v>111.75181598062954</c:v>
                </c:pt>
                <c:pt idx="6">
                  <c:v>82.416964285714286</c:v>
                </c:pt>
                <c:pt idx="7">
                  <c:v>66.93763596809282</c:v>
                </c:pt>
                <c:pt idx="8">
                  <c:v>55.406362545018006</c:v>
                </c:pt>
                <c:pt idx="9">
                  <c:v>49.574113856068742</c:v>
                </c:pt>
                <c:pt idx="10">
                  <c:v>44.852769679300295</c:v>
                </c:pt>
                <c:pt idx="11">
                  <c:v>42.537788018433183</c:v>
                </c:pt>
                <c:pt idx="12">
                  <c:v>38.002058460271719</c:v>
                </c:pt>
                <c:pt idx="13">
                  <c:v>36.1279843444227</c:v>
                </c:pt>
                <c:pt idx="14">
                  <c:v>33.299783549783548</c:v>
                </c:pt>
                <c:pt idx="15">
                  <c:v>30.810080106809078</c:v>
                </c:pt>
                <c:pt idx="16">
                  <c:v>28.481024375192842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41-3245-911E-DFF54223F946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1-in-X odds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data!$A$2:$A$10001</c:f>
              <c:numCache>
                <c:formatCode>d\-mmm</c:formatCode>
                <c:ptCount val="10000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</c:numCache>
            </c:numRef>
          </c:cat>
          <c:val>
            <c:numRef>
              <c:f>data!$O$2:$O$10001</c:f>
              <c:numCache>
                <c:formatCode>0</c:formatCode>
                <c:ptCount val="10000"/>
                <c:pt idx="0">
                  <c:v>159.83896103896097</c:v>
                </c:pt>
                <c:pt idx="1">
                  <c:v>114.66708074534165</c:v>
                </c:pt>
                <c:pt idx="2">
                  <c:v>83.725170068027211</c:v>
                </c:pt>
                <c:pt idx="3">
                  <c:v>69.403759398496248</c:v>
                </c:pt>
                <c:pt idx="4">
                  <c:v>58.607619047619039</c:v>
                </c:pt>
                <c:pt idx="5">
                  <c:v>44.700726392251823</c:v>
                </c:pt>
                <c:pt idx="6">
                  <c:v>32.96678571428572</c:v>
                </c:pt>
                <c:pt idx="7">
                  <c:v>26.775054387237134</c:v>
                </c:pt>
                <c:pt idx="8">
                  <c:v>22.162545018007201</c:v>
                </c:pt>
                <c:pt idx="9">
                  <c:v>19.829645542427492</c:v>
                </c:pt>
                <c:pt idx="10">
                  <c:v>17.941107871720114</c:v>
                </c:pt>
                <c:pt idx="11">
                  <c:v>17.01511520737327</c:v>
                </c:pt>
                <c:pt idx="12">
                  <c:v>15.200823384108681</c:v>
                </c:pt>
                <c:pt idx="13">
                  <c:v>14.451193737769081</c:v>
                </c:pt>
                <c:pt idx="14">
                  <c:v>13.319913419913419</c:v>
                </c:pt>
                <c:pt idx="15">
                  <c:v>12.324032042723633</c:v>
                </c:pt>
                <c:pt idx="16">
                  <c:v>11.392409750077139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41-3245-911E-DFF5422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35568"/>
        <c:axId val="1207600816"/>
      </c:areaChart>
      <c:lineChart>
        <c:grouping val="standard"/>
        <c:varyColors val="0"/>
        <c:ser>
          <c:idx val="4"/>
          <c:order val="2"/>
          <c:tx>
            <c:strRef>
              <c:f>data!$P$1</c:f>
              <c:strCache>
                <c:ptCount val="1"/>
                <c:pt idx="0">
                  <c:v>average 1-in-X odds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2F-4144-9EFF-E347736B2CB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2F-4144-9EFF-E347736B2C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2F-4144-9EFF-E347736B2C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144-9EFF-E347736B2C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2F-4144-9EFF-E347736B2CB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2F-4144-9EFF-E347736B2C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2F-4144-9EFF-E347736B2CB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2F-4144-9EFF-E347736B2CB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2F-4144-9EFF-E347736B2CB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2F-4144-9EFF-E347736B2CB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2F-4144-9EFF-E347736B2CB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2F-4144-9EFF-E347736B2CB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53-D445-B33F-413FEAB8BC8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4.7881355932203391E-2"/>
                      <c:h val="3.72881355932203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553-D445-B33F-413FEAB8BC8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53-D445-B33F-413FEAB8BC8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2F-4144-9EFF-E347736B2CB7}"/>
                </c:ext>
              </c:extLst>
            </c:dLbl>
            <c:dLbl>
              <c:idx val="16"/>
              <c:layout>
                <c:manualLayout>
                  <c:x val="-4.2362200670454965E-2"/>
                  <c:y val="-5.2593158574203873E-2"/>
                </c:manualLayout>
              </c:layout>
              <c:tx>
                <c:rich>
                  <a:bodyPr/>
                  <a:lstStyle/>
                  <a:p>
                    <a:fld id="{9F84F7B1-ECFB-D34B-B48B-9E9458F6438D}" type="VALUE">
                      <a:rPr lang="en-US" sz="240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D67-6A4F-A927-DFEED01F98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data!$A$2:$A$10001</c:f>
              <c:numCache>
                <c:formatCode>d\-mmm</c:formatCode>
                <c:ptCount val="10000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</c:numCache>
            </c:numRef>
          </c:cat>
          <c:val>
            <c:numRef>
              <c:f>data!$P$2:$P$10001</c:f>
              <c:numCache>
                <c:formatCode>0</c:formatCode>
                <c:ptCount val="10000"/>
                <c:pt idx="0">
                  <c:v>479.51688311688309</c:v>
                </c:pt>
                <c:pt idx="1">
                  <c:v>344.00124223602484</c:v>
                </c:pt>
                <c:pt idx="2">
                  <c:v>251.17551020408166</c:v>
                </c:pt>
                <c:pt idx="3">
                  <c:v>208.21127819548872</c:v>
                </c:pt>
                <c:pt idx="4">
                  <c:v>175.82285714285715</c:v>
                </c:pt>
                <c:pt idx="5">
                  <c:v>134.10217917675544</c:v>
                </c:pt>
                <c:pt idx="6">
                  <c:v>98.900357142857146</c:v>
                </c:pt>
                <c:pt idx="7">
                  <c:v>80.325163161711387</c:v>
                </c:pt>
                <c:pt idx="8">
                  <c:v>66.487635054021609</c:v>
                </c:pt>
                <c:pt idx="9">
                  <c:v>59.488936627282484</c:v>
                </c:pt>
                <c:pt idx="10">
                  <c:v>53.823323615160348</c:v>
                </c:pt>
                <c:pt idx="11">
                  <c:v>51.045345622119818</c:v>
                </c:pt>
                <c:pt idx="12">
                  <c:v>45.602470152326063</c:v>
                </c:pt>
                <c:pt idx="13">
                  <c:v>43.353581213307237</c:v>
                </c:pt>
                <c:pt idx="14">
                  <c:v>39.959740259740258</c:v>
                </c:pt>
                <c:pt idx="15">
                  <c:v>36.972096128170897</c:v>
                </c:pt>
                <c:pt idx="16">
                  <c:v>34.177229250231413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41-3245-911E-DFF5422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4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F07AF-BA1B-CB43-AFFE-E1251D8247A6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0.33898</cdr:x>
      <cdr:y>0.32348</cdr:y>
    </cdr:from>
    <cdr:to>
      <cdr:x>0.85593</cdr:x>
      <cdr:y>0.47797</cdr:y>
    </cdr:to>
    <cdr:sp macro="" textlink="data!$S$30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C86D55-AD5D-0647-BDF9-E042E5833A90}"/>
            </a:ext>
          </a:extLst>
        </cdr:cNvPr>
        <cdr:cNvSpPr txBox="1"/>
      </cdr:nvSpPr>
      <cdr:spPr>
        <a:xfrm xmlns:a="http://schemas.openxmlformats.org/drawingml/2006/main">
          <a:off x="2540000" y="2423806"/>
          <a:ext cx="3873500" cy="1157594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824B62BF-AB09-2348-B33A-89A0AABA3DD2}" type="TxLink">
            <a:rPr lang="en-US" sz="1800" b="0" i="0" u="none" strike="noStrike">
              <a:solidFill>
                <a:schemeClr val="bg1"/>
              </a:solidFill>
              <a:latin typeface="Helvetica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The odds of any given person in Miami Beach having been infected with SARS-CoV-2 is currently estimated to be around one in 34.</a:t>
          </a:fld>
          <a:endParaRPr lang="en-US" sz="1800">
            <a:solidFill>
              <a:schemeClr val="bg1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0.77457</cdr:x>
      <cdr:y>0.75599</cdr:y>
    </cdr:from>
    <cdr:to>
      <cdr:x>0.92373</cdr:x>
      <cdr:y>0.78814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6340BD-9915-CB4B-9E72-92944620054E}"/>
            </a:ext>
          </a:extLst>
        </cdr:cNvPr>
        <cdr:cNvSpPr txBox="1"/>
      </cdr:nvSpPr>
      <cdr:spPr>
        <a:xfrm xmlns:a="http://schemas.openxmlformats.org/drawingml/2006/main">
          <a:off x="5803873" y="5664661"/>
          <a:ext cx="1117627" cy="2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sz="2400" b="1">
              <a:latin typeface="Helvetica" pitchFamily="2" charset="0"/>
            </a:rPr>
            <a:t>one in</a:t>
          </a:r>
        </a:p>
      </cdr:txBody>
    </cdr:sp>
  </cdr:relSizeAnchor>
  <cdr:relSizeAnchor xmlns:cdr="http://schemas.openxmlformats.org/drawingml/2006/chartDrawing">
    <cdr:from>
      <cdr:x>0.2479</cdr:x>
      <cdr:y>0.39494</cdr:y>
    </cdr:from>
    <cdr:to>
      <cdr:x>0.84009</cdr:x>
      <cdr:y>0.49894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DD772915-F01C-B04E-9B3E-7C21D346BBA0}"/>
            </a:ext>
          </a:extLst>
        </cdr:cNvPr>
        <cdr:cNvSpPr txBox="1"/>
      </cdr:nvSpPr>
      <cdr:spPr>
        <a:xfrm xmlns:a="http://schemas.openxmlformats.org/drawingml/2006/main">
          <a:off x="1870364" y="3024909"/>
          <a:ext cx="4468091" cy="796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0.90545</cdr:x>
      <cdr:y>0.95836</cdr:y>
    </cdr:from>
    <cdr:to>
      <cdr:x>0.93576</cdr:x>
      <cdr:y>0.98848</cdr:y>
    </cdr:to>
    <cdr:pic>
      <cdr:nvPicPr>
        <cdr:cNvPr id="31" name="Picture 30">
          <a:extLst xmlns:a="http://schemas.openxmlformats.org/drawingml/2006/main">
            <a:ext uri="{FF2B5EF4-FFF2-40B4-BE49-F238E27FC236}">
              <a16:creationId xmlns:a16="http://schemas.microsoft.com/office/drawing/2014/main" id="{6538EA02-6183-C740-9513-97B6C255881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84534" y="7180991"/>
          <a:ext cx="227113" cy="22569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0.93905</cdr:x>
      <cdr:y>0.95592</cdr:y>
    </cdr:from>
    <cdr:to>
      <cdr:x>0.9778</cdr:x>
      <cdr:y>0.99246</cdr:y>
    </cdr:to>
    <cdr:pic>
      <cdr:nvPicPr>
        <cdr:cNvPr id="32" name="Picture 31">
          <a:extLst xmlns:a="http://schemas.openxmlformats.org/drawingml/2006/main">
            <a:ext uri="{FF2B5EF4-FFF2-40B4-BE49-F238E27FC236}">
              <a16:creationId xmlns:a16="http://schemas.microsoft.com/office/drawing/2014/main" id="{7A600FF2-9B0F-9242-9F59-892C4BFF585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36299" y="7162709"/>
          <a:ext cx="290353" cy="27379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0.70543</cdr:x>
      <cdr:y>0.92233</cdr:y>
    </cdr:from>
    <cdr:to>
      <cdr:x>0.97323</cdr:x>
      <cdr:y>0.95534</cdr:y>
    </cdr:to>
    <cdr:sp macro="" textlink="">
      <cdr:nvSpPr>
        <cdr:cNvPr id="33" name="TextBox 3">
          <a:extLst xmlns:a="http://schemas.openxmlformats.org/drawingml/2006/main">
            <a:ext uri="{FF2B5EF4-FFF2-40B4-BE49-F238E27FC236}">
              <a16:creationId xmlns:a16="http://schemas.microsoft.com/office/drawing/2014/main" id="{67CED8F5-BCD6-1C42-8702-EB60CBC91970}"/>
            </a:ext>
          </a:extLst>
        </cdr:cNvPr>
        <cdr:cNvSpPr txBox="1"/>
      </cdr:nvSpPr>
      <cdr:spPr>
        <a:xfrm xmlns:a="http://schemas.openxmlformats.org/drawingml/2006/main">
          <a:off x="5285784" y="6911019"/>
          <a:ext cx="2006625" cy="24734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1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0.00678</cdr:x>
      <cdr:y>0.92527</cdr:y>
    </cdr:from>
    <cdr:to>
      <cdr:x>0.65704</cdr:x>
      <cdr:y>0.96372</cdr:y>
    </cdr:to>
    <cdr:sp macro="" textlink="">
      <cdr:nvSpPr>
        <cdr:cNvPr id="34" name="TextBox 4">
          <a:extLst xmlns:a="http://schemas.openxmlformats.org/drawingml/2006/main">
            <a:ext uri="{FF2B5EF4-FFF2-40B4-BE49-F238E27FC236}">
              <a16:creationId xmlns:a16="http://schemas.microsoft.com/office/drawing/2014/main" id="{D49156A1-9E14-8047-96DF-8832312F7659}"/>
            </a:ext>
          </a:extLst>
        </cdr:cNvPr>
        <cdr:cNvSpPr txBox="1"/>
      </cdr:nvSpPr>
      <cdr:spPr>
        <a:xfrm xmlns:a="http://schemas.openxmlformats.org/drawingml/2006/main">
          <a:off x="50800" y="6933048"/>
          <a:ext cx="4872398" cy="288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F74A1016-1E0F-9547-886D-CB4207A20D01}" type="TxLink">
            <a:rPr lang="en-US" sz="1200" b="0" i="0" u="none" strike="noStrike">
              <a:solidFill>
                <a:schemeClr val="accent4"/>
              </a:solidFill>
              <a:latin typeface="Helvetica"/>
            </a:rPr>
            <a:pPr algn="l"/>
            <a:t>source: https://www.floridadisaster.org/news-media/news/</a:t>
          </a:fld>
          <a:endParaRPr lang="en-US" sz="1100">
            <a:solidFill>
              <a:schemeClr val="accent4"/>
            </a:solidFill>
          </a:endParaRPr>
        </a:p>
      </cdr:txBody>
    </cdr:sp>
  </cdr:relSizeAnchor>
  <cdr:relSizeAnchor xmlns:cdr="http://schemas.openxmlformats.org/drawingml/2006/chartDrawing">
    <cdr:from>
      <cdr:x>0.00729</cdr:x>
      <cdr:y>0.95411</cdr:y>
    </cdr:from>
    <cdr:to>
      <cdr:x>0.7706</cdr:x>
      <cdr:y>1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75CF003F-8873-BC44-936B-6FECF7C0E332}"/>
            </a:ext>
          </a:extLst>
        </cdr:cNvPr>
        <cdr:cNvSpPr txBox="1"/>
      </cdr:nvSpPr>
      <cdr:spPr>
        <a:xfrm xmlns:a="http://schemas.openxmlformats.org/drawingml/2006/main">
          <a:off x="54621" y="7149146"/>
          <a:ext cx="5719482" cy="3438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5D2E9EB-F078-FA4B-AA0C-E2882BE1C2B7}" type="TxLink">
            <a:rPr lang="en-US" sz="1200" b="0" i="0" u="none" strike="noStrike">
              <a:solidFill>
                <a:schemeClr val="accent4"/>
              </a:solidFill>
              <a:latin typeface="Helvetica"/>
            </a:rPr>
            <a:pPr algn="l"/>
            <a:t>info: https://github.com/endymion/SARS-CoV-2_Analysis</a:t>
          </a:fld>
          <a:endParaRPr lang="en-US" sz="1100">
            <a:solidFill>
              <a:schemeClr val="accent4"/>
            </a:solidFill>
          </a:endParaRPr>
        </a:p>
      </cdr:txBody>
    </cdr:sp>
  </cdr:relSizeAnchor>
  <cdr:relSizeAnchor xmlns:cdr="http://schemas.openxmlformats.org/drawingml/2006/chartDrawing">
    <cdr:from>
      <cdr:x>0.00169</cdr:x>
      <cdr:y>0.00678</cdr:y>
    </cdr:from>
    <cdr:to>
      <cdr:x>1</cdr:x>
      <cdr:y>0.0565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450D876E-B27A-DB46-9B53-4DD233724BEE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7480337" cy="372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r>
            <a:rPr lang="en-US" sz="2400" b="1" i="0">
              <a:solidFill>
                <a:schemeClr val="accent1"/>
              </a:solidFill>
              <a:latin typeface="Helvetica" pitchFamily="2" charset="0"/>
            </a:rPr>
            <a:t>Estimated One-in-X</a:t>
          </a:r>
          <a:r>
            <a:rPr lang="en-US" sz="2400" b="1" i="0" baseline="0">
              <a:solidFill>
                <a:schemeClr val="accent1"/>
              </a:solidFill>
              <a:latin typeface="Helvetica" pitchFamily="2" charset="0"/>
            </a:rPr>
            <a:t> SARS-CoV-2 Infection Odds</a:t>
          </a:r>
          <a:br>
            <a:rPr lang="en-US" sz="2400" b="1" i="0" baseline="0">
              <a:solidFill>
                <a:schemeClr val="accent1"/>
              </a:solidFill>
              <a:latin typeface="Helvetica" pitchFamily="2" charset="0"/>
            </a:rPr>
          </a:br>
          <a:r>
            <a:rPr lang="en-US" sz="2400" b="1" i="0" baseline="0">
              <a:solidFill>
                <a:schemeClr val="accent1"/>
              </a:solidFill>
              <a:latin typeface="Helvetica" pitchFamily="2" charset="0"/>
            </a:rPr>
            <a:t>Miami Beach</a:t>
          </a:r>
          <a:endParaRPr lang="en-US" sz="2400" b="1" i="0">
            <a:solidFill>
              <a:schemeClr val="accent1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0.00339</cdr:x>
      <cdr:y>0.08475</cdr:y>
    </cdr:from>
    <cdr:to>
      <cdr:x>1</cdr:x>
      <cdr:y>0.14237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E5348E9D-3E1B-024A-A38E-AA14C32A92F3}"/>
            </a:ext>
          </a:extLst>
        </cdr:cNvPr>
        <cdr:cNvSpPr txBox="1"/>
      </cdr:nvSpPr>
      <cdr:spPr>
        <a:xfrm xmlns:a="http://schemas.openxmlformats.org/drawingml/2006/main">
          <a:off x="63538" y="635029"/>
          <a:ext cx="7467599" cy="431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i="0" u="none" strike="noStrike">
              <a:solidFill>
                <a:schemeClr val="accent1"/>
              </a:solidFill>
              <a:effectLst/>
              <a:latin typeface="Helvetica"/>
              <a:ea typeface="+mn-ea"/>
              <a:cs typeface="+mn-cs"/>
            </a:rPr>
            <a:t>updated April 8, 2020, morning</a:t>
          </a:r>
          <a:endParaRPr lang="en-US" sz="2000" b="1">
            <a:solidFill>
              <a:schemeClr val="accent1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25400</xdr:colOff>
      <xdr:row>2</xdr:row>
      <xdr:rowOff>190500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24AD20-4A36-ED40-A659-C2689E09641E}"/>
            </a:ext>
          </a:extLst>
        </xdr:cNvPr>
        <xdr:cNvSpPr txBox="1"/>
      </xdr:nvSpPr>
      <xdr:spPr>
        <a:xfrm>
          <a:off x="0" y="63500"/>
          <a:ext cx="7531100" cy="1143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r>
            <a:rPr lang="en-US" sz="2800" b="1" i="0" baseline="0">
              <a:solidFill>
                <a:schemeClr val="accent1"/>
              </a:solidFill>
              <a:latin typeface="Helvetica" pitchFamily="2" charset="0"/>
            </a:rPr>
            <a:t>SARS-CoV-2 Infection Estimates</a:t>
          </a:r>
          <a:br>
            <a:rPr lang="en-US" sz="2800" b="1" i="0" baseline="0">
              <a:solidFill>
                <a:schemeClr val="accent1"/>
              </a:solidFill>
              <a:latin typeface="Helvetica" pitchFamily="2" charset="0"/>
            </a:rPr>
          </a:br>
          <a:r>
            <a:rPr lang="en-US" sz="2800" b="1" i="0" baseline="0">
              <a:solidFill>
                <a:schemeClr val="accent1"/>
              </a:solidFill>
              <a:latin typeface="Helvetica" pitchFamily="2" charset="0"/>
            </a:rPr>
            <a:t>Miami Beach</a:t>
          </a:r>
          <a:endParaRPr lang="en-US" sz="2800" b="1" i="0">
            <a:solidFill>
              <a:schemeClr val="accent1"/>
            </a:solidFill>
            <a:latin typeface="Helvetica" pitchFamily="2" charset="0"/>
          </a:endParaRPr>
        </a:p>
      </xdr:txBody>
    </xdr:sp>
    <xdr:clientData/>
  </xdr:twoCellAnchor>
  <xdr:twoCellAnchor editAs="oneCell">
    <xdr:from>
      <xdr:col>6</xdr:col>
      <xdr:colOff>2735045</xdr:colOff>
      <xdr:row>18</xdr:row>
      <xdr:rowOff>121259</xdr:rowOff>
    </xdr:from>
    <xdr:to>
      <xdr:col>6</xdr:col>
      <xdr:colOff>2962172</xdr:colOff>
      <xdr:row>19</xdr:row>
      <xdr:rowOff>143722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1AE036-DA3D-A940-A8AD-98A994914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645" y="7004659"/>
          <a:ext cx="227127" cy="225663"/>
        </a:xfrm>
        <a:prstGeom prst="rect">
          <a:avLst/>
        </a:prstGeom>
      </xdr:spPr>
    </xdr:pic>
    <xdr:clientData/>
  </xdr:twoCellAnchor>
  <xdr:twoCellAnchor editAs="oneCell">
    <xdr:from>
      <xdr:col>6</xdr:col>
      <xdr:colOff>2986784</xdr:colOff>
      <xdr:row>18</xdr:row>
      <xdr:rowOff>102979</xdr:rowOff>
    </xdr:from>
    <xdr:to>
      <xdr:col>8</xdr:col>
      <xdr:colOff>17507</xdr:colOff>
      <xdr:row>19</xdr:row>
      <xdr:rowOff>173565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C44CBD-B441-0F49-9C94-710D7E1AD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384" y="6986379"/>
          <a:ext cx="281923" cy="273786"/>
        </a:xfrm>
        <a:prstGeom prst="rect">
          <a:avLst/>
        </a:prstGeom>
      </xdr:spPr>
    </xdr:pic>
    <xdr:clientData/>
  </xdr:twoCellAnchor>
  <xdr:twoCellAnchor>
    <xdr:from>
      <xdr:col>6</xdr:col>
      <xdr:colOff>1253572</xdr:colOff>
      <xdr:row>17</xdr:row>
      <xdr:rowOff>67217</xdr:rowOff>
    </xdr:from>
    <xdr:to>
      <xdr:col>9</xdr:col>
      <xdr:colOff>464789</xdr:colOff>
      <xdr:row>18</xdr:row>
      <xdr:rowOff>127408</xdr:rowOff>
    </xdr:to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id="{A7129D0C-0857-E042-BE56-0AE52D4E1244}"/>
            </a:ext>
          </a:extLst>
        </xdr:cNvPr>
        <xdr:cNvSpPr txBox="1"/>
      </xdr:nvSpPr>
      <xdr:spPr>
        <a:xfrm>
          <a:off x="5292172" y="6747417"/>
          <a:ext cx="2678317" cy="263391"/>
        </a:xfrm>
        <a:prstGeom prst="rect">
          <a:avLst/>
        </a:prstGeom>
        <a:noFill/>
      </xdr:spPr>
      <xdr:txBody>
        <a:bodyPr wrap="square" rIns="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1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118694</xdr:colOff>
      <xdr:row>17</xdr:row>
      <xdr:rowOff>84773</xdr:rowOff>
    </xdr:from>
    <xdr:to>
      <xdr:col>6</xdr:col>
      <xdr:colOff>927099</xdr:colOff>
      <xdr:row>18</xdr:row>
      <xdr:rowOff>169677</xdr:rowOff>
    </xdr:to>
    <xdr:sp macro="" textlink="data!$S$17">
      <xdr:nvSpPr>
        <xdr:cNvPr id="15" name="TextBox 4">
          <a:extLst>
            <a:ext uri="{FF2B5EF4-FFF2-40B4-BE49-F238E27FC236}">
              <a16:creationId xmlns:a16="http://schemas.microsoft.com/office/drawing/2014/main" id="{5C8B30FB-00E3-7B48-8F36-F07534A801B0}"/>
            </a:ext>
          </a:extLst>
        </xdr:cNvPr>
        <xdr:cNvSpPr txBox="1"/>
      </xdr:nvSpPr>
      <xdr:spPr>
        <a:xfrm>
          <a:off x="118694" y="5914073"/>
          <a:ext cx="4389805" cy="2881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fld id="{F74A1016-1E0F-9547-886D-CB4207A20D01}" type="TxLink">
            <a:rPr lang="en-US" sz="1200" b="0" i="0" u="none" strike="noStrike">
              <a:solidFill>
                <a:schemeClr val="accent4"/>
              </a:solidFill>
              <a:latin typeface="Helvetica"/>
            </a:rPr>
            <a:pPr algn="l"/>
            <a:t>source: https://www.floridadisaster.org/news-media/news/</a:t>
          </a:fld>
          <a:endParaRPr lang="en-US" sz="1100">
            <a:solidFill>
              <a:schemeClr val="accent4"/>
            </a:solidFill>
          </a:endParaRPr>
        </a:p>
      </xdr:txBody>
    </xdr:sp>
    <xdr:clientData/>
  </xdr:twoCellAnchor>
  <xdr:twoCellAnchor>
    <xdr:from>
      <xdr:col>0</xdr:col>
      <xdr:colOff>122544</xdr:colOff>
      <xdr:row>18</xdr:row>
      <xdr:rowOff>97669</xdr:rowOff>
    </xdr:from>
    <xdr:to>
      <xdr:col>6</xdr:col>
      <xdr:colOff>1778000</xdr:colOff>
      <xdr:row>19</xdr:row>
      <xdr:rowOff>238353</xdr:rowOff>
    </xdr:to>
    <xdr:sp macro="" textlink="data!$S$19">
      <xdr:nvSpPr>
        <xdr:cNvPr id="16" name="TextBox 1">
          <a:extLst>
            <a:ext uri="{FF2B5EF4-FFF2-40B4-BE49-F238E27FC236}">
              <a16:creationId xmlns:a16="http://schemas.microsoft.com/office/drawing/2014/main" id="{29562D62-8CB9-E848-BBD2-981BB4507AD5}"/>
            </a:ext>
          </a:extLst>
        </xdr:cNvPr>
        <xdr:cNvSpPr txBox="1"/>
      </xdr:nvSpPr>
      <xdr:spPr>
        <a:xfrm>
          <a:off x="122544" y="6130169"/>
          <a:ext cx="5236856" cy="34388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fld id="{85D2E9EB-F078-FA4B-AA0C-E2882BE1C2B7}" type="TxLink">
            <a:rPr lang="en-US" sz="1200" b="0" i="0" u="none" strike="noStrike">
              <a:solidFill>
                <a:schemeClr val="accent4"/>
              </a:solidFill>
              <a:latin typeface="Helvetica"/>
            </a:rPr>
            <a:pPr algn="l"/>
            <a:t>info: https://github.com/endymion/SARS-CoV-2_Analysis</a:t>
          </a:fld>
          <a:endParaRPr lang="en-US" sz="1100">
            <a:solidFill>
              <a:schemeClr val="accent4"/>
            </a:solidFill>
          </a:endParaRPr>
        </a:p>
      </xdr:txBody>
    </xdr:sp>
    <xdr:clientData/>
  </xdr:twoCellAnchor>
  <xdr:twoCellAnchor>
    <xdr:from>
      <xdr:col>0</xdr:col>
      <xdr:colOff>0</xdr:colOff>
      <xdr:row>1</xdr:row>
      <xdr:rowOff>723900</xdr:rowOff>
    </xdr:from>
    <xdr:to>
      <xdr:col>8</xdr:col>
      <xdr:colOff>203200</xdr:colOff>
      <xdr:row>1</xdr:row>
      <xdr:rowOff>919179</xdr:rowOff>
    </xdr:to>
    <xdr:sp macro="" textlink="data!S20">
      <xdr:nvSpPr>
        <xdr:cNvPr id="21" name="TextBox 1">
          <a:extLst>
            <a:ext uri="{FF2B5EF4-FFF2-40B4-BE49-F238E27FC236}">
              <a16:creationId xmlns:a16="http://schemas.microsoft.com/office/drawing/2014/main" id="{5B7F91F7-879E-D142-95EA-02D5ACD3B3D1}"/>
            </a:ext>
          </a:extLst>
        </xdr:cNvPr>
        <xdr:cNvSpPr txBox="1"/>
      </xdr:nvSpPr>
      <xdr:spPr>
        <a:xfrm>
          <a:off x="0" y="787400"/>
          <a:ext cx="7493000" cy="19527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77B141A-1E17-B44A-A467-33CF9A812A64}" type="TxLink">
            <a:rPr lang="en-US" sz="2800" b="1" i="0" u="none" strike="noStrike">
              <a:solidFill>
                <a:schemeClr val="accent1"/>
              </a:solidFill>
              <a:effectLst/>
              <a:latin typeface="Helvetica"/>
              <a:ea typeface="+mn-ea"/>
              <a:cs typeface="+mn-cs"/>
            </a:rPr>
            <a:pPr algn="ctr"/>
            <a:t>updated April 8, 2020, morning</a:t>
          </a:fld>
          <a:endParaRPr lang="en-US" sz="2800" b="1">
            <a:solidFill>
              <a:schemeClr val="accent1"/>
            </a:solidFill>
            <a:effectLst/>
            <a:latin typeface="Helvetica" pitchFamily="2" charset="0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190500</xdr:colOff>
      <xdr:row>0</xdr:row>
      <xdr:rowOff>215900</xdr:rowOff>
    </xdr:from>
    <xdr:ext cx="6261100" cy="32131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0AAF3AF-2F4A-8D47-8173-EC95961295FA}"/>
            </a:ext>
          </a:extLst>
        </xdr:cNvPr>
        <xdr:cNvSpPr txBox="1"/>
      </xdr:nvSpPr>
      <xdr:spPr>
        <a:xfrm>
          <a:off x="8521700" y="215900"/>
          <a:ext cx="6261100" cy="32131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Notes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data</a:t>
          </a:r>
          <a:r>
            <a:rPr lang="en-US" sz="1400" baseline="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 source: </a:t>
          </a:r>
          <a:r>
            <a:rPr lang="en-US" sz="1400">
              <a:latin typeface="Helvetica" pitchFamily="2" charset="0"/>
              <a:hlinkClick xmlns:r="http://schemas.openxmlformats.org/officeDocument/2006/relationships" r:id=""/>
            </a:rPr>
            <a:t>https://www.floridadisaster.org/news-media/news/</a:t>
          </a: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Mathematical modelers in the Centre for the Mathematical Modelling of Infectious Diseases at the London School of Hygiene &amp; Tropical Medicine found the U.S.’s case count likely represented just 14% to 19% of actual infections, so multiply the number of cases by five to seven.</a:t>
          </a:r>
        </a:p>
        <a:p>
          <a:r>
            <a:rPr lang="en-US" sz="1400">
              <a:latin typeface="Helvetica" pitchFamily="2" charset="0"/>
            </a:rPr>
            <a:t>https://cmmid.github.io/topics/covid19/severity/global_cfr_estimates.html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0.00339</cdr:x>
      <cdr:y>0.09153</cdr:y>
    </cdr:from>
    <cdr:to>
      <cdr:x>1</cdr:x>
      <cdr:y>0.14915</cdr:y>
    </cdr:to>
    <cdr:sp macro="" textlink="data!$S$20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79F44A7-087F-AD4F-A3B0-AC4862A1AEFD}"/>
            </a:ext>
          </a:extLst>
        </cdr:cNvPr>
        <cdr:cNvSpPr txBox="1"/>
      </cdr:nvSpPr>
      <cdr:spPr>
        <a:xfrm xmlns:a="http://schemas.openxmlformats.org/drawingml/2006/main">
          <a:off x="25400" y="685800"/>
          <a:ext cx="74676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120ABD06-6F38-A240-956E-9A6EE793BE3C}" type="TxLink">
            <a:rPr lang="en-US" sz="2000" b="1" i="0" u="none" strike="noStrike">
              <a:solidFill>
                <a:schemeClr val="accent1"/>
              </a:solidFill>
              <a:effectLst/>
              <a:latin typeface="Helvetica"/>
              <a:ea typeface="+mn-ea"/>
              <a:cs typeface="+mn-cs"/>
            </a:rPr>
            <a:pPr algn="ctr"/>
            <a:t>updated April 8, 2020, morning</a:t>
          </a:fld>
          <a:endParaRPr lang="en-US" sz="2000" b="1">
            <a:solidFill>
              <a:schemeClr val="accent1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0.13898</cdr:x>
      <cdr:y>0.12203</cdr:y>
    </cdr:from>
    <cdr:to>
      <cdr:x>0.61864</cdr:x>
      <cdr:y>0.31525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ACEC6B-C4C5-3E47-91AE-E9058A2F8EE6}"/>
            </a:ext>
          </a:extLst>
        </cdr:cNvPr>
        <cdr:cNvSpPr txBox="1"/>
      </cdr:nvSpPr>
      <cdr:spPr>
        <a:xfrm xmlns:a="http://schemas.openxmlformats.org/drawingml/2006/main">
          <a:off x="1041400" y="914400"/>
          <a:ext cx="35941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0.15593</cdr:x>
      <cdr:y>0.18305</cdr:y>
    </cdr:from>
    <cdr:to>
      <cdr:x>0.55085</cdr:x>
      <cdr:y>0.25932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5659CE-BE5D-AB4A-907B-C8AF8C8EB654}"/>
            </a:ext>
          </a:extLst>
        </cdr:cNvPr>
        <cdr:cNvSpPr txBox="1"/>
      </cdr:nvSpPr>
      <cdr:spPr>
        <a:xfrm xmlns:a="http://schemas.openxmlformats.org/drawingml/2006/main">
          <a:off x="1168400" y="1371600"/>
          <a:ext cx="29591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0.5661</cdr:x>
      <cdr:y>0.54915</cdr:y>
    </cdr:from>
    <cdr:to>
      <cdr:x>0.9322</cdr:x>
      <cdr:y>0.75085</cdr:y>
    </cdr:to>
    <cdr:sp macro="" textlink="data!$S$24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392376A0-31A3-B644-97AA-7A0FEBDB7298}"/>
            </a:ext>
          </a:extLst>
        </cdr:cNvPr>
        <cdr:cNvSpPr txBox="1"/>
      </cdr:nvSpPr>
      <cdr:spPr>
        <a:xfrm xmlns:a="http://schemas.openxmlformats.org/drawingml/2006/main">
          <a:off x="4241800" y="4114801"/>
          <a:ext cx="2743200" cy="1511299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/>
        </a:solidFill>
        <a:effectLst xmlns:a="http://schemas.openxmlformats.org/drawingml/2006/main"/>
      </cdr:spPr>
      <cdr:txBody>
        <a:bodyPr xmlns:a="http://schemas.openxmlformats.org/drawingml/2006/main" wrap="square" tIns="91440" rIns="91440" bIns="91440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3E65A84A-3AC8-A84B-9A0A-45C27F639C53}" type="TxLink">
            <a:rPr lang="en-US" sz="1800" b="0" i="0" u="none" strike="noStrike">
              <a:solidFill>
                <a:schemeClr val="bg1"/>
              </a:solidFill>
              <a:latin typeface="Helvetica"/>
            </a:rPr>
            <a:pPr/>
            <a:t>There have been 463 confirmed cases of COVID-19 disease in Miami Beach since the start of the outbreak.</a:t>
          </a:fld>
          <a:endParaRPr lang="en-US" sz="1800">
            <a:solidFill>
              <a:schemeClr val="bg1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0.00169</cdr:x>
      <cdr:y>0.01525</cdr:y>
    </cdr:from>
    <cdr:to>
      <cdr:x>1</cdr:x>
      <cdr:y>0.11525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E3F0F92A-1260-664A-9FF1-30BE75677695}"/>
            </a:ext>
          </a:extLst>
        </cdr:cNvPr>
        <cdr:cNvSpPr txBox="1"/>
      </cdr:nvSpPr>
      <cdr:spPr>
        <a:xfrm xmlns:a="http://schemas.openxmlformats.org/drawingml/2006/main">
          <a:off x="12700" y="114300"/>
          <a:ext cx="7480300" cy="749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bIns="0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>
              <a:solidFill>
                <a:schemeClr val="accent1"/>
              </a:solidFill>
              <a:latin typeface="Helvetica" pitchFamily="2" charset="0"/>
            </a:rPr>
            <a:t>Number</a:t>
          </a:r>
          <a:r>
            <a:rPr lang="en-US" sz="2400" b="1" i="0" baseline="0">
              <a:solidFill>
                <a:schemeClr val="accent1"/>
              </a:solidFill>
              <a:latin typeface="Helvetica" pitchFamily="2" charset="0"/>
            </a:rPr>
            <a:t> of Confirmed COVID-19 Cases</a:t>
          </a:r>
          <a:br>
            <a:rPr lang="en-US" sz="2400" b="1" i="0" baseline="0">
              <a:solidFill>
                <a:schemeClr val="accent1"/>
              </a:solidFill>
              <a:latin typeface="Helvetica" pitchFamily="2" charset="0"/>
            </a:rPr>
          </a:br>
          <a:r>
            <a:rPr lang="en-US" sz="2400" b="1" i="0" baseline="0">
              <a:solidFill>
                <a:schemeClr val="accent1"/>
              </a:solidFill>
              <a:latin typeface="Helvetica" pitchFamily="2" charset="0"/>
            </a:rPr>
            <a:t>Miami Beach</a:t>
          </a:r>
          <a:endParaRPr lang="en-US" sz="2400" b="1" i="0">
            <a:solidFill>
              <a:schemeClr val="accent1"/>
            </a:solidFill>
            <a:latin typeface="Helvetica" pitchFamily="2" charset="0"/>
          </a:endParaRPr>
        </a:p>
        <a:p xmlns:a="http://schemas.openxmlformats.org/drawingml/2006/main">
          <a:endParaRPr lang="en-US" sz="2400">
            <a:solidFill>
              <a:schemeClr val="accent1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0.90839</cdr:x>
      <cdr:y>0.95836</cdr:y>
    </cdr:from>
    <cdr:to>
      <cdr:x>0.9387</cdr:x>
      <cdr:y>0.98848</cdr:y>
    </cdr:to>
    <cdr:pic>
      <cdr:nvPicPr>
        <cdr:cNvPr id="20" name="Picture 19">
          <a:extLst xmlns:a="http://schemas.openxmlformats.org/drawingml/2006/main">
            <a:ext uri="{FF2B5EF4-FFF2-40B4-BE49-F238E27FC236}">
              <a16:creationId xmlns:a16="http://schemas.microsoft.com/office/drawing/2014/main" id="{DB1AE036-DA3D-A940-A8AD-98A994914C3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824446" y="7120553"/>
          <a:ext cx="227724" cy="2237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0.94198</cdr:x>
      <cdr:y>0.95592</cdr:y>
    </cdr:from>
    <cdr:to>
      <cdr:x>0.98074</cdr:x>
      <cdr:y>0.99246</cdr:y>
    </cdr:to>
    <cdr:pic>
      <cdr:nvPicPr>
        <cdr:cNvPr id="21" name="Picture 20">
          <a:extLst xmlns:a="http://schemas.openxmlformats.org/drawingml/2006/main">
            <a:ext uri="{FF2B5EF4-FFF2-40B4-BE49-F238E27FC236}">
              <a16:creationId xmlns:a16="http://schemas.microsoft.com/office/drawing/2014/main" id="{89C44CBD-B441-0F49-9C94-710D7E1AD82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76847" y="7102427"/>
          <a:ext cx="291153" cy="27148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0.70837</cdr:x>
      <cdr:y>0.92233</cdr:y>
    </cdr:from>
    <cdr:to>
      <cdr:x>0.97616</cdr:x>
      <cdr:y>0.95534</cdr:y>
    </cdr:to>
    <cdr:sp macro="" textlink="">
      <cdr:nvSpPr>
        <cdr:cNvPr id="22" name="TextBox 3">
          <a:extLst xmlns:a="http://schemas.openxmlformats.org/drawingml/2006/main">
            <a:ext uri="{FF2B5EF4-FFF2-40B4-BE49-F238E27FC236}">
              <a16:creationId xmlns:a16="http://schemas.microsoft.com/office/drawing/2014/main" id="{A7129D0C-0857-E042-BE56-0AE52D4E1244}"/>
            </a:ext>
          </a:extLst>
        </cdr:cNvPr>
        <cdr:cNvSpPr txBox="1"/>
      </cdr:nvSpPr>
      <cdr:spPr>
        <a:xfrm xmlns:a="http://schemas.openxmlformats.org/drawingml/2006/main">
          <a:off x="5321753" y="6852884"/>
          <a:ext cx="2011877" cy="24525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1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0.00972</cdr:x>
      <cdr:y>0.92527</cdr:y>
    </cdr:from>
    <cdr:to>
      <cdr:x>0.65998</cdr:x>
      <cdr:y>0.96372</cdr:y>
    </cdr:to>
    <cdr:sp macro="" textlink="">
      <cdr:nvSpPr>
        <cdr:cNvPr id="23" name="TextBox 4">
          <a:extLst xmlns:a="http://schemas.openxmlformats.org/drawingml/2006/main">
            <a:ext uri="{FF2B5EF4-FFF2-40B4-BE49-F238E27FC236}">
              <a16:creationId xmlns:a16="http://schemas.microsoft.com/office/drawing/2014/main" id="{5C8B30FB-00E3-7B48-8F36-F07534A801B0}"/>
            </a:ext>
          </a:extLst>
        </cdr:cNvPr>
        <cdr:cNvSpPr txBox="1"/>
      </cdr:nvSpPr>
      <cdr:spPr>
        <a:xfrm xmlns:a="http://schemas.openxmlformats.org/drawingml/2006/main">
          <a:off x="72430" y="7093481"/>
          <a:ext cx="4846775" cy="294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F74A1016-1E0F-9547-886D-CB4207A20D01}" type="TxLink">
            <a:rPr lang="en-US" sz="1200" b="0" i="0" u="none" strike="noStrike">
              <a:solidFill>
                <a:schemeClr val="accent4"/>
              </a:solidFill>
              <a:latin typeface="Helvetica"/>
            </a:rPr>
            <a:pPr algn="l"/>
            <a:t>source: https://www.floridadisaster.org/news-media/news/</a:t>
          </a:fld>
          <a:endParaRPr lang="en-US" sz="1100">
            <a:solidFill>
              <a:schemeClr val="accent4"/>
            </a:solidFill>
          </a:endParaRPr>
        </a:p>
      </cdr:txBody>
    </cdr:sp>
  </cdr:relSizeAnchor>
  <cdr:relSizeAnchor xmlns:cdr="http://schemas.openxmlformats.org/drawingml/2006/chartDrawing">
    <cdr:from>
      <cdr:x>0.01023</cdr:x>
      <cdr:y>0.95411</cdr:y>
    </cdr:from>
    <cdr:to>
      <cdr:x>0.77354</cdr:x>
      <cdr:y>1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29562D62-8CB9-E848-BBD2-981BB4507AD5}"/>
            </a:ext>
          </a:extLst>
        </cdr:cNvPr>
        <cdr:cNvSpPr txBox="1"/>
      </cdr:nvSpPr>
      <cdr:spPr>
        <a:xfrm xmlns:a="http://schemas.openxmlformats.org/drawingml/2006/main">
          <a:off x="76260" y="7314578"/>
          <a:ext cx="5689371" cy="351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5D2E9EB-F078-FA4B-AA0C-E2882BE1C2B7}" type="TxLink">
            <a:rPr lang="en-US" sz="1200" b="0" i="0" u="none" strike="noStrike">
              <a:solidFill>
                <a:schemeClr val="accent4"/>
              </a:solidFill>
              <a:latin typeface="Helvetica"/>
            </a:rPr>
            <a:pPr algn="l"/>
            <a:t>info: https://github.com/endymion/SARS-CoV-2_Analysis</a:t>
          </a:fld>
          <a:endParaRPr lang="en-US" sz="1100">
            <a:solidFill>
              <a:schemeClr val="accent4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0FC31-0A86-664B-981F-F4071B94840E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101600</xdr:rowOff>
    </xdr:from>
    <xdr:to>
      <xdr:col>9</xdr:col>
      <xdr:colOff>50800</xdr:colOff>
      <xdr:row>2</xdr:row>
      <xdr:rowOff>67733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6FFE232-9113-BE4E-AB57-F0B2E16DAF39}"/>
            </a:ext>
          </a:extLst>
        </xdr:cNvPr>
        <xdr:cNvSpPr txBox="1"/>
      </xdr:nvSpPr>
      <xdr:spPr>
        <a:xfrm>
          <a:off x="0" y="101600"/>
          <a:ext cx="7518400" cy="372533"/>
        </a:xfrm>
        <a:prstGeom prst="rect">
          <a:avLst/>
        </a:prstGeom>
      </xdr:spPr>
      <xdr:txBody>
        <a:bodyPr wrap="square" lIns="0" tIns="0" bIns="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000" b="1" i="0" u="none" strike="noStrike" kern="1200" spc="0" baseline="0">
              <a:solidFill>
                <a:srgbClr val="242852"/>
              </a:solidFill>
              <a:latin typeface="Helvetica" pitchFamily="2" charset="0"/>
              <a:ea typeface="+mn-ea"/>
              <a:cs typeface="+mn-cs"/>
            </a:defRPr>
          </a:pPr>
          <a:r>
            <a:rPr lang="en-US" sz="2400" b="1" i="0">
              <a:solidFill>
                <a:schemeClr val="accent1"/>
              </a:solidFill>
              <a:latin typeface="Helvetica" pitchFamily="2" charset="0"/>
            </a:rPr>
            <a:t>Doubling Time</a:t>
          </a:r>
          <a:r>
            <a:rPr lang="en-US" sz="2400" b="1" i="0" baseline="0">
              <a:solidFill>
                <a:schemeClr val="accent1"/>
              </a:solidFill>
              <a:latin typeface="Helvetica" pitchFamily="2" charset="0"/>
            </a:rPr>
            <a:t> of Confirmed COVID-19 Cases</a:t>
          </a:r>
          <a:br>
            <a:rPr lang="en-US" sz="2400" b="1" i="0" baseline="0">
              <a:solidFill>
                <a:schemeClr val="accent1"/>
              </a:solidFill>
              <a:latin typeface="Helvetica" pitchFamily="2" charset="0"/>
            </a:rPr>
          </a:br>
          <a:r>
            <a:rPr lang="en-US" sz="2400" b="1" i="0" baseline="0">
              <a:solidFill>
                <a:schemeClr val="accent1"/>
              </a:solidFill>
              <a:latin typeface="Helvetica" pitchFamily="2" charset="0"/>
            </a:rPr>
            <a:t>Miami Beach</a:t>
          </a:r>
          <a:endParaRPr lang="en-US" sz="2400" b="1" i="0">
            <a:solidFill>
              <a:schemeClr val="accent1"/>
            </a:solidFill>
            <a:latin typeface="Helvetica" pitchFamily="2" charset="0"/>
          </a:endParaRPr>
        </a:p>
        <a:p>
          <a:endParaRPr lang="en-US" sz="2400">
            <a:solidFill>
              <a:schemeClr val="accent1"/>
            </a:solidFill>
            <a:latin typeface="Helvetica" pitchFamily="2" charset="0"/>
          </a:endParaRPr>
        </a:p>
      </xdr:txBody>
    </xdr:sp>
    <xdr:clientData/>
  </xdr:twoCellAnchor>
  <xdr:twoCellAnchor>
    <xdr:from>
      <xdr:col>0</xdr:col>
      <xdr:colOff>38100</xdr:colOff>
      <xdr:row>3</xdr:row>
      <xdr:rowOff>76200</xdr:rowOff>
    </xdr:from>
    <xdr:to>
      <xdr:col>9</xdr:col>
      <xdr:colOff>76200</xdr:colOff>
      <xdr:row>5</xdr:row>
      <xdr:rowOff>101600</xdr:rowOff>
    </xdr:to>
    <xdr:sp macro="" textlink="data!S20">
      <xdr:nvSpPr>
        <xdr:cNvPr id="3" name="TextBox 1">
          <a:extLst>
            <a:ext uri="{FF2B5EF4-FFF2-40B4-BE49-F238E27FC236}">
              <a16:creationId xmlns:a16="http://schemas.microsoft.com/office/drawing/2014/main" id="{AB069C17-9194-424B-A8B3-DCA97DD9BC2A}"/>
            </a:ext>
          </a:extLst>
        </xdr:cNvPr>
        <xdr:cNvSpPr txBox="1"/>
      </xdr:nvSpPr>
      <xdr:spPr>
        <a:xfrm>
          <a:off x="38100" y="685800"/>
          <a:ext cx="7467600" cy="4318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6EEE9AC8-E3C6-E848-8C61-621A2EF76AD9}" type="TxLink">
            <a:rPr lang="en-US" sz="2000" b="1" i="0" u="none" strike="noStrike">
              <a:solidFill>
                <a:schemeClr val="accent1"/>
              </a:solidFill>
              <a:effectLst/>
              <a:latin typeface="Helvetica"/>
              <a:ea typeface="+mn-ea"/>
              <a:cs typeface="+mn-cs"/>
            </a:rPr>
            <a:pPr algn="ctr"/>
            <a:t>updated April 8, 2020, morning</a:t>
          </a:fld>
          <a:endParaRPr lang="en-US" sz="2000" b="1">
            <a:solidFill>
              <a:schemeClr val="accent1"/>
            </a:solidFill>
            <a:effectLst/>
            <a:latin typeface="Helvetica" pitchFamily="2" charset="0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0.13898</cdr:x>
      <cdr:y>0.12203</cdr:y>
    </cdr:from>
    <cdr:to>
      <cdr:x>0.61864</cdr:x>
      <cdr:y>0.31525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ACEC6B-C4C5-3E47-91AE-E9058A2F8EE6}"/>
            </a:ext>
          </a:extLst>
        </cdr:cNvPr>
        <cdr:cNvSpPr txBox="1"/>
      </cdr:nvSpPr>
      <cdr:spPr>
        <a:xfrm xmlns:a="http://schemas.openxmlformats.org/drawingml/2006/main">
          <a:off x="1041400" y="914400"/>
          <a:ext cx="35941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0.15593</cdr:x>
      <cdr:y>0.18305</cdr:y>
    </cdr:from>
    <cdr:to>
      <cdr:x>0.55085</cdr:x>
      <cdr:y>0.25932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5659CE-BE5D-AB4A-907B-C8AF8C8EB654}"/>
            </a:ext>
          </a:extLst>
        </cdr:cNvPr>
        <cdr:cNvSpPr txBox="1"/>
      </cdr:nvSpPr>
      <cdr:spPr>
        <a:xfrm xmlns:a="http://schemas.openxmlformats.org/drawingml/2006/main">
          <a:off x="1168400" y="1371600"/>
          <a:ext cx="29591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0.90714</cdr:x>
      <cdr:y>0.95836</cdr:y>
    </cdr:from>
    <cdr:to>
      <cdr:x>0.93746</cdr:x>
      <cdr:y>0.98848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7836F1DB-B198-994F-9A7A-4FD7651CBD8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97231" y="7180989"/>
          <a:ext cx="227127" cy="22566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0.94074</cdr:x>
      <cdr:y>0.95592</cdr:y>
    </cdr:from>
    <cdr:to>
      <cdr:x>0.9795</cdr:x>
      <cdr:y>0.99246</cdr:y>
    </cdr:to>
    <cdr:pic>
      <cdr:nvPicPr>
        <cdr:cNvPr id="20" name="Picture 19">
          <a:extLst xmlns:a="http://schemas.openxmlformats.org/drawingml/2006/main">
            <a:ext uri="{FF2B5EF4-FFF2-40B4-BE49-F238E27FC236}">
              <a16:creationId xmlns:a16="http://schemas.microsoft.com/office/drawing/2014/main" id="{03FEF3C4-ED33-514D-B409-BB26E75593A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48970" y="7162709"/>
          <a:ext cx="290390" cy="27378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0.70712</cdr:x>
      <cdr:y>0.92233</cdr:y>
    </cdr:from>
    <cdr:to>
      <cdr:x>0.97492</cdr:x>
      <cdr:y>0.95534</cdr:y>
    </cdr:to>
    <cdr:sp macro="" textlink="">
      <cdr:nvSpPr>
        <cdr:cNvPr id="21" name="TextBox 3">
          <a:extLst xmlns:a="http://schemas.openxmlformats.org/drawingml/2006/main">
            <a:ext uri="{FF2B5EF4-FFF2-40B4-BE49-F238E27FC236}">
              <a16:creationId xmlns:a16="http://schemas.microsoft.com/office/drawing/2014/main" id="{7A189BFC-E335-9140-8F76-C6BF9E498393}"/>
            </a:ext>
          </a:extLst>
        </cdr:cNvPr>
        <cdr:cNvSpPr txBox="1"/>
      </cdr:nvSpPr>
      <cdr:spPr>
        <a:xfrm xmlns:a="http://schemas.openxmlformats.org/drawingml/2006/main">
          <a:off x="5298480" y="6911048"/>
          <a:ext cx="2006600" cy="24733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1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0.00847</cdr:x>
      <cdr:y>0.92527</cdr:y>
    </cdr:from>
    <cdr:to>
      <cdr:x>0.65874</cdr:x>
      <cdr:y>0.96372</cdr:y>
    </cdr:to>
    <cdr:sp macro="" textlink="">
      <cdr:nvSpPr>
        <cdr:cNvPr id="22" name="TextBox 4">
          <a:extLst xmlns:a="http://schemas.openxmlformats.org/drawingml/2006/main">
            <a:ext uri="{FF2B5EF4-FFF2-40B4-BE49-F238E27FC236}">
              <a16:creationId xmlns:a16="http://schemas.microsoft.com/office/drawing/2014/main" id="{BAA264E8-CBBC-FE4F-B3AC-8EEBC057E879}"/>
            </a:ext>
          </a:extLst>
        </cdr:cNvPr>
        <cdr:cNvSpPr txBox="1"/>
      </cdr:nvSpPr>
      <cdr:spPr>
        <a:xfrm xmlns:a="http://schemas.openxmlformats.org/drawingml/2006/main">
          <a:off x="63500" y="6933020"/>
          <a:ext cx="4872404" cy="288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F74A1016-1E0F-9547-886D-CB4207A20D01}" type="TxLink">
            <a:rPr lang="en-US" sz="1200" b="0" i="0" u="none" strike="noStrike">
              <a:solidFill>
                <a:schemeClr val="accent4"/>
              </a:solidFill>
              <a:latin typeface="Helvetica"/>
            </a:rPr>
            <a:pPr algn="l"/>
            <a:t>source: https://www.floridadisaster.org/news-media/news/</a:t>
          </a:fld>
          <a:endParaRPr lang="en-US" sz="1100">
            <a:solidFill>
              <a:schemeClr val="accent4"/>
            </a:solidFill>
          </a:endParaRPr>
        </a:p>
      </cdr:txBody>
    </cdr:sp>
  </cdr:relSizeAnchor>
  <cdr:relSizeAnchor xmlns:cdr="http://schemas.openxmlformats.org/drawingml/2006/chartDrawing">
    <cdr:from>
      <cdr:x>0.00899</cdr:x>
      <cdr:y>0.95411</cdr:y>
    </cdr:from>
    <cdr:to>
      <cdr:x>0.77229</cdr:x>
      <cdr:y>1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21E3DD29-9641-6244-8825-141056FB1ED4}"/>
            </a:ext>
          </a:extLst>
        </cdr:cNvPr>
        <cdr:cNvSpPr txBox="1"/>
      </cdr:nvSpPr>
      <cdr:spPr>
        <a:xfrm xmlns:a="http://schemas.openxmlformats.org/drawingml/2006/main">
          <a:off x="67350" y="7149116"/>
          <a:ext cx="5719456" cy="343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5D2E9EB-F078-FA4B-AA0C-E2882BE1C2B7}" type="TxLink">
            <a:rPr lang="en-US" sz="1200" b="0" i="0" u="none" strike="noStrike">
              <a:solidFill>
                <a:schemeClr val="accent4"/>
              </a:solidFill>
              <a:latin typeface="Helvetica"/>
            </a:rPr>
            <a:pPr algn="l"/>
            <a:t>info: https://github.com/endymion/SARS-CoV-2_Analysis</a:t>
          </a:fld>
          <a:endParaRPr lang="en-US" sz="1100">
            <a:solidFill>
              <a:schemeClr val="accent4"/>
            </a:solidFill>
          </a:endParaRPr>
        </a:p>
      </cdr:txBody>
    </cdr:sp>
  </cdr:relSizeAnchor>
  <cdr:relSizeAnchor xmlns:cdr="http://schemas.openxmlformats.org/drawingml/2006/chartDrawing">
    <cdr:from>
      <cdr:x>0.12034</cdr:x>
      <cdr:y>0.28983</cdr:y>
    </cdr:from>
    <cdr:to>
      <cdr:x>0.58814</cdr:x>
      <cdr:y>0.45254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141F9311-692A-F840-B5D7-D3C585DA9D2E}"/>
            </a:ext>
          </a:extLst>
        </cdr:cNvPr>
        <cdr:cNvSpPr txBox="1"/>
      </cdr:nvSpPr>
      <cdr:spPr>
        <a:xfrm xmlns:a="http://schemas.openxmlformats.org/drawingml/2006/main">
          <a:off x="901700" y="2171701"/>
          <a:ext cx="3505200" cy="1219199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/>
        </a:solidFill>
      </cdr:spPr>
      <cdr:txBody>
        <a:bodyPr xmlns:a="http://schemas.openxmlformats.org/drawingml/2006/main" wrap="square" tIns="91440" rIns="91440" bIns="91440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 u="none" strike="noStrike">
              <a:solidFill>
                <a:schemeClr val="bg1"/>
              </a:solidFill>
              <a:latin typeface="Helvetica"/>
            </a:rPr>
            <a:t>The</a:t>
          </a:r>
          <a:r>
            <a:rPr lang="en-US" sz="1800" b="0" i="0" u="none" strike="noStrike" baseline="0">
              <a:solidFill>
                <a:schemeClr val="bg1"/>
              </a:solidFill>
              <a:latin typeface="Helvetica"/>
            </a:rPr>
            <a:t> increase in doubling time indicates that social distancing is successfully slowing the spread in Miami Beach.</a:t>
          </a:r>
          <a:endParaRPr lang="en-US" sz="1800">
            <a:solidFill>
              <a:schemeClr val="bg1"/>
            </a:solidFill>
            <a:latin typeface="Helvetica" pitchFamily="2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3B9B0-3433-2A43-A939-51D78C203FCD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0.13898</cdr:x>
      <cdr:y>0.12203</cdr:y>
    </cdr:from>
    <cdr:to>
      <cdr:x>0.61864</cdr:x>
      <cdr:y>0.31525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ACEC6B-C4C5-3E47-91AE-E9058A2F8EE6}"/>
            </a:ext>
          </a:extLst>
        </cdr:cNvPr>
        <cdr:cNvSpPr txBox="1"/>
      </cdr:nvSpPr>
      <cdr:spPr>
        <a:xfrm xmlns:a="http://schemas.openxmlformats.org/drawingml/2006/main">
          <a:off x="1041400" y="914400"/>
          <a:ext cx="35941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0.22034</cdr:x>
      <cdr:y>0.21017</cdr:y>
    </cdr:from>
    <cdr:to>
      <cdr:x>0.62034</cdr:x>
      <cdr:y>0.44237</cdr:y>
    </cdr:to>
    <cdr:sp macro="" textlink="data!$S$26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DF3BFB61-C5E4-624F-9591-5EF8EC0509E9}"/>
            </a:ext>
          </a:extLst>
        </cdr:cNvPr>
        <cdr:cNvSpPr txBox="1"/>
      </cdr:nvSpPr>
      <cdr:spPr>
        <a:xfrm xmlns:a="http://schemas.openxmlformats.org/drawingml/2006/main">
          <a:off x="1651000" y="1574800"/>
          <a:ext cx="2997200" cy="1739900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/>
        </a:solidFill>
      </cdr:spPr>
      <cdr:txBody>
        <a:bodyPr xmlns:a="http://schemas.openxmlformats.org/drawingml/2006/main" wrap="square" tIns="91440" rIns="91440" bIns="9144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7E67BFC-B66B-6E47-A8B5-B0078C99A391}" type="TxLink">
            <a:rPr lang="en-US" sz="1800" b="0" i="0" u="none" strike="noStrike">
              <a:solidFill>
                <a:schemeClr val="bg1"/>
              </a:solidFill>
              <a:latin typeface="Helvetica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Around 2,778 people in Miami Beach may have already been infected with the SARS-CoV-2 virus, based on a population count of 92307</a:t>
          </a:fld>
          <a:endParaRPr lang="en-US" sz="1800" b="0" i="0" u="none" strike="noStrike">
            <a:solidFill>
              <a:schemeClr val="bg1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0.00169</cdr:x>
      <cdr:y>0.00678</cdr:y>
    </cdr:from>
    <cdr:to>
      <cdr:x>1</cdr:x>
      <cdr:y>0.0565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9C48F96D-756E-C84D-B079-67BBC87F4DFD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7480300" cy="372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r>
            <a:rPr lang="en-US" sz="2400" b="1" i="0">
              <a:solidFill>
                <a:schemeClr val="accent1"/>
              </a:solidFill>
              <a:latin typeface="Helvetica" pitchFamily="2" charset="0"/>
            </a:rPr>
            <a:t>Estimated Number</a:t>
          </a:r>
          <a:r>
            <a:rPr lang="en-US" sz="2400" b="1" i="0" baseline="0">
              <a:solidFill>
                <a:schemeClr val="accent1"/>
              </a:solidFill>
              <a:latin typeface="Helvetica" pitchFamily="2" charset="0"/>
            </a:rPr>
            <a:t> of SARS-CoV-2 Infections</a:t>
          </a:r>
          <a:br>
            <a:rPr lang="en-US" sz="2400" b="1" i="0" baseline="0">
              <a:solidFill>
                <a:schemeClr val="accent1"/>
              </a:solidFill>
              <a:latin typeface="Helvetica" pitchFamily="2" charset="0"/>
            </a:rPr>
          </a:br>
          <a:r>
            <a:rPr lang="en-US" sz="2400" b="1" i="0" baseline="0">
              <a:solidFill>
                <a:schemeClr val="accent1"/>
              </a:solidFill>
              <a:latin typeface="Helvetica" pitchFamily="2" charset="0"/>
            </a:rPr>
            <a:t>Miami Beach</a:t>
          </a:r>
          <a:endParaRPr lang="en-US" sz="2400" b="1" i="0">
            <a:solidFill>
              <a:schemeClr val="accent1"/>
            </a:solidFill>
            <a:latin typeface="Helvetica" pitchFamily="2" charset="0"/>
          </a:endParaRPr>
        </a:p>
        <a:p xmlns:a="http://schemas.openxmlformats.org/drawingml/2006/main">
          <a:endParaRPr lang="en-US" sz="2400">
            <a:solidFill>
              <a:schemeClr val="accent1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0.00339</cdr:x>
      <cdr:y>0.08475</cdr:y>
    </cdr:from>
    <cdr:to>
      <cdr:x>1</cdr:x>
      <cdr:y>0.14237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6DCF0B85-7E03-E544-9590-CF36BA5F8589}"/>
            </a:ext>
          </a:extLst>
        </cdr:cNvPr>
        <cdr:cNvSpPr txBox="1"/>
      </cdr:nvSpPr>
      <cdr:spPr>
        <a:xfrm xmlns:a="http://schemas.openxmlformats.org/drawingml/2006/main">
          <a:off x="88900" y="635000"/>
          <a:ext cx="74676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EEE9AC8-E3C6-E848-8C61-621A2EF76AD9}" type="TxLink">
            <a:rPr lang="en-US" sz="2000" b="1" i="0" u="none" strike="noStrike">
              <a:solidFill>
                <a:schemeClr val="accent1"/>
              </a:solidFill>
              <a:effectLst/>
              <a:latin typeface="Helvetica"/>
              <a:ea typeface="+mn-ea"/>
              <a:cs typeface="+mn-cs"/>
            </a:rPr>
            <a:pPr algn="ctr"/>
            <a:t>updated April 8, 2020, morning</a:t>
          </a:fld>
          <a:endParaRPr lang="en-US" sz="2000" b="1">
            <a:solidFill>
              <a:schemeClr val="accent1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0.90545</cdr:x>
      <cdr:y>0.95836</cdr:y>
    </cdr:from>
    <cdr:to>
      <cdr:x>0.93576</cdr:x>
      <cdr:y>0.98848</cdr:y>
    </cdr:to>
    <cdr:pic>
      <cdr:nvPicPr>
        <cdr:cNvPr id="29" name="Picture 28">
          <a:extLst xmlns:a="http://schemas.openxmlformats.org/drawingml/2006/main">
            <a:ext uri="{FF2B5EF4-FFF2-40B4-BE49-F238E27FC236}">
              <a16:creationId xmlns:a16="http://schemas.microsoft.com/office/drawing/2014/main" id="{0546680B-D254-6740-B0CC-CE310CB32FE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84531" y="7180989"/>
          <a:ext cx="227127" cy="22566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0.93905</cdr:x>
      <cdr:y>0.95592</cdr:y>
    </cdr:from>
    <cdr:to>
      <cdr:x>0.9778</cdr:x>
      <cdr:y>0.99246</cdr:y>
    </cdr:to>
    <cdr:pic>
      <cdr:nvPicPr>
        <cdr:cNvPr id="30" name="Picture 29">
          <a:extLst xmlns:a="http://schemas.openxmlformats.org/drawingml/2006/main">
            <a:ext uri="{FF2B5EF4-FFF2-40B4-BE49-F238E27FC236}">
              <a16:creationId xmlns:a16="http://schemas.microsoft.com/office/drawing/2014/main" id="{74D212B2-D185-594D-9E0F-0C22A2FC22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36270" y="7162709"/>
          <a:ext cx="290390" cy="27378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0.70543</cdr:x>
      <cdr:y>0.92233</cdr:y>
    </cdr:from>
    <cdr:to>
      <cdr:x>0.97323</cdr:x>
      <cdr:y>0.95534</cdr:y>
    </cdr:to>
    <cdr:sp macro="" textlink="">
      <cdr:nvSpPr>
        <cdr:cNvPr id="31" name="TextBox 3">
          <a:extLst xmlns:a="http://schemas.openxmlformats.org/drawingml/2006/main">
            <a:ext uri="{FF2B5EF4-FFF2-40B4-BE49-F238E27FC236}">
              <a16:creationId xmlns:a16="http://schemas.microsoft.com/office/drawing/2014/main" id="{24172883-DB4F-9E43-B5A4-C35B28F580EE}"/>
            </a:ext>
          </a:extLst>
        </cdr:cNvPr>
        <cdr:cNvSpPr txBox="1"/>
      </cdr:nvSpPr>
      <cdr:spPr>
        <a:xfrm xmlns:a="http://schemas.openxmlformats.org/drawingml/2006/main">
          <a:off x="5285780" y="6911048"/>
          <a:ext cx="2006600" cy="24733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1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0.00678</cdr:x>
      <cdr:y>0.92527</cdr:y>
    </cdr:from>
    <cdr:to>
      <cdr:x>0.65704</cdr:x>
      <cdr:y>0.96372</cdr:y>
    </cdr:to>
    <cdr:sp macro="" textlink="">
      <cdr:nvSpPr>
        <cdr:cNvPr id="32" name="TextBox 4">
          <a:extLst xmlns:a="http://schemas.openxmlformats.org/drawingml/2006/main">
            <a:ext uri="{FF2B5EF4-FFF2-40B4-BE49-F238E27FC236}">
              <a16:creationId xmlns:a16="http://schemas.microsoft.com/office/drawing/2014/main" id="{B472FC9E-3411-E54F-A386-B27419331790}"/>
            </a:ext>
          </a:extLst>
        </cdr:cNvPr>
        <cdr:cNvSpPr txBox="1"/>
      </cdr:nvSpPr>
      <cdr:spPr>
        <a:xfrm xmlns:a="http://schemas.openxmlformats.org/drawingml/2006/main">
          <a:off x="50800" y="6933020"/>
          <a:ext cx="4872404" cy="288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F74A1016-1E0F-9547-886D-CB4207A20D01}" type="TxLink">
            <a:rPr lang="en-US" sz="1200" b="0" i="0" u="none" strike="noStrike">
              <a:solidFill>
                <a:schemeClr val="accent4"/>
              </a:solidFill>
              <a:latin typeface="Helvetica"/>
            </a:rPr>
            <a:pPr algn="l"/>
            <a:t>source: https://www.floridadisaster.org/news-media/news/</a:t>
          </a:fld>
          <a:endParaRPr lang="en-US" sz="1100">
            <a:solidFill>
              <a:schemeClr val="accent4"/>
            </a:solidFill>
          </a:endParaRPr>
        </a:p>
      </cdr:txBody>
    </cdr:sp>
  </cdr:relSizeAnchor>
  <cdr:relSizeAnchor xmlns:cdr="http://schemas.openxmlformats.org/drawingml/2006/chartDrawing">
    <cdr:from>
      <cdr:x>0.00729</cdr:x>
      <cdr:y>0.95411</cdr:y>
    </cdr:from>
    <cdr:to>
      <cdr:x>0.7706</cdr:x>
      <cdr:y>1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09DC6F31-5940-284C-BC10-983E3118A9EC}"/>
            </a:ext>
          </a:extLst>
        </cdr:cNvPr>
        <cdr:cNvSpPr txBox="1"/>
      </cdr:nvSpPr>
      <cdr:spPr>
        <a:xfrm xmlns:a="http://schemas.openxmlformats.org/drawingml/2006/main">
          <a:off x="54650" y="7149116"/>
          <a:ext cx="5719456" cy="343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5D2E9EB-F078-FA4B-AA0C-E2882BE1C2B7}" type="TxLink">
            <a:rPr lang="en-US" sz="1200" b="0" i="0" u="none" strike="noStrike">
              <a:solidFill>
                <a:schemeClr val="accent4"/>
              </a:solidFill>
              <a:latin typeface="Helvetica"/>
            </a:rPr>
            <a:pPr algn="l"/>
            <a:t>info: https://github.com/endymion/SARS-CoV-2_Analysis</a:t>
          </a:fld>
          <a:endParaRPr lang="en-US" sz="1100">
            <a:solidFill>
              <a:schemeClr val="accent4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BEAE7-4F3E-A94C-B5FB-BBA57AF82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0.18644</cdr:x>
      <cdr:y>0.19153</cdr:y>
    </cdr:from>
    <cdr:to>
      <cdr:x>0.68136</cdr:x>
      <cdr:y>0.38136</cdr:y>
    </cdr:to>
    <cdr:sp macro="" textlink="data!$S$28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B85ABA93-089B-4B4C-BFA6-8C7675044928}"/>
            </a:ext>
          </a:extLst>
        </cdr:cNvPr>
        <cdr:cNvSpPr txBox="1"/>
      </cdr:nvSpPr>
      <cdr:spPr>
        <a:xfrm xmlns:a="http://schemas.openxmlformats.org/drawingml/2006/main">
          <a:off x="1396971" y="1435113"/>
          <a:ext cx="3708429" cy="1422387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3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1BBCAA78-C3A5-544E-AC7C-9911593E2973}" type="TxLink">
            <a:rPr lang="en-US" sz="1800" b="0" i="0" u="none" strike="noStrike">
              <a:solidFill>
                <a:schemeClr val="bg1"/>
              </a:solidFill>
              <a:latin typeface="Helvetica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Around 3.0% of the total population of Miami Beach may have already been infected with the SARS-CoV-2 virus, based on a population count of 92307.</a:t>
          </a:fld>
          <a:endParaRPr lang="en-US" sz="1800" b="0" i="0" u="none" strike="noStrike">
            <a:solidFill>
              <a:schemeClr val="bg1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0.00169</cdr:x>
      <cdr:y>0.00678</cdr:y>
    </cdr:from>
    <cdr:to>
      <cdr:x>1</cdr:x>
      <cdr:y>0.0565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1F47E581-E529-BE43-B3C9-CE4A6682B34E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7480337" cy="372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r>
            <a:rPr lang="en-US" sz="2400" b="1" i="0" baseline="0">
              <a:solidFill>
                <a:schemeClr val="accent1"/>
              </a:solidFill>
              <a:latin typeface="Helvetica" pitchFamily="2" charset="0"/>
            </a:rPr>
            <a:t>Estimated SARS-CoV-2 Infection Percentage</a:t>
          </a:r>
          <a:br>
            <a:rPr lang="en-US" sz="2400" b="1" i="0" baseline="0">
              <a:solidFill>
                <a:schemeClr val="accent1"/>
              </a:solidFill>
              <a:latin typeface="Helvetica" pitchFamily="2" charset="0"/>
            </a:rPr>
          </a:br>
          <a:r>
            <a:rPr lang="en-US" sz="2400" b="1" i="0" baseline="0">
              <a:solidFill>
                <a:schemeClr val="accent1"/>
              </a:solidFill>
              <a:latin typeface="Helvetica" pitchFamily="2" charset="0"/>
            </a:rPr>
            <a:t>Miami Beach</a:t>
          </a:r>
          <a:endParaRPr lang="en-US" sz="2400" b="1" i="0">
            <a:solidFill>
              <a:schemeClr val="accent1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0.00339</cdr:x>
      <cdr:y>0.08475</cdr:y>
    </cdr:from>
    <cdr:to>
      <cdr:x>1</cdr:x>
      <cdr:y>0.14237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82948475-335F-6B48-886C-365D5D76475F}"/>
            </a:ext>
          </a:extLst>
        </cdr:cNvPr>
        <cdr:cNvSpPr txBox="1"/>
      </cdr:nvSpPr>
      <cdr:spPr>
        <a:xfrm xmlns:a="http://schemas.openxmlformats.org/drawingml/2006/main">
          <a:off x="63538" y="635029"/>
          <a:ext cx="7467599" cy="431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5BB9F76-71B3-AC4F-8CB2-88C2B2304CA5}" type="TxLink">
            <a:rPr lang="en-US" sz="2000" b="1" i="0" u="none" strike="noStrike">
              <a:solidFill>
                <a:schemeClr val="accent1"/>
              </a:solidFill>
              <a:effectLst/>
              <a:latin typeface="Helvetica"/>
              <a:ea typeface="+mn-ea"/>
              <a:cs typeface="+mn-cs"/>
            </a:rPr>
            <a:pPr algn="ctr"/>
            <a:t>updated April 8, 2020, morning</a:t>
          </a:fld>
          <a:endParaRPr lang="en-US" sz="2000" b="1">
            <a:solidFill>
              <a:schemeClr val="accent1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0.90545</cdr:x>
      <cdr:y>0.95836</cdr:y>
    </cdr:from>
    <cdr:to>
      <cdr:x>0.93576</cdr:x>
      <cdr:y>0.98848</cdr:y>
    </cdr:to>
    <cdr:pic>
      <cdr:nvPicPr>
        <cdr:cNvPr id="20" name="Picture 19">
          <a:extLst xmlns:a="http://schemas.openxmlformats.org/drawingml/2006/main">
            <a:ext uri="{FF2B5EF4-FFF2-40B4-BE49-F238E27FC236}">
              <a16:creationId xmlns:a16="http://schemas.microsoft.com/office/drawing/2014/main" id="{3CD48F64-5EF4-0E49-9F86-15DEE96CE2C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84534" y="7180991"/>
          <a:ext cx="227113" cy="22569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0.93905</cdr:x>
      <cdr:y>0.95592</cdr:y>
    </cdr:from>
    <cdr:to>
      <cdr:x>0.9778</cdr:x>
      <cdr:y>0.99246</cdr:y>
    </cdr:to>
    <cdr:pic>
      <cdr:nvPicPr>
        <cdr:cNvPr id="21" name="Picture 20">
          <a:extLst xmlns:a="http://schemas.openxmlformats.org/drawingml/2006/main">
            <a:ext uri="{FF2B5EF4-FFF2-40B4-BE49-F238E27FC236}">
              <a16:creationId xmlns:a16="http://schemas.microsoft.com/office/drawing/2014/main" id="{3288A545-B28D-3946-BF5C-230762E53CA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36299" y="7162709"/>
          <a:ext cx="290353" cy="27379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0.70543</cdr:x>
      <cdr:y>0.92233</cdr:y>
    </cdr:from>
    <cdr:to>
      <cdr:x>0.97323</cdr:x>
      <cdr:y>0.95534</cdr:y>
    </cdr:to>
    <cdr:sp macro="" textlink="">
      <cdr:nvSpPr>
        <cdr:cNvPr id="22" name="TextBox 3">
          <a:extLst xmlns:a="http://schemas.openxmlformats.org/drawingml/2006/main">
            <a:ext uri="{FF2B5EF4-FFF2-40B4-BE49-F238E27FC236}">
              <a16:creationId xmlns:a16="http://schemas.microsoft.com/office/drawing/2014/main" id="{9A137CE0-05E3-C044-96F4-E7A053725531}"/>
            </a:ext>
          </a:extLst>
        </cdr:cNvPr>
        <cdr:cNvSpPr txBox="1"/>
      </cdr:nvSpPr>
      <cdr:spPr>
        <a:xfrm xmlns:a="http://schemas.openxmlformats.org/drawingml/2006/main">
          <a:off x="5285784" y="6911019"/>
          <a:ext cx="2006625" cy="24734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1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0.00678</cdr:x>
      <cdr:y>0.92527</cdr:y>
    </cdr:from>
    <cdr:to>
      <cdr:x>0.65704</cdr:x>
      <cdr:y>0.96372</cdr:y>
    </cdr:to>
    <cdr:sp macro="" textlink="">
      <cdr:nvSpPr>
        <cdr:cNvPr id="23" name="TextBox 4">
          <a:extLst xmlns:a="http://schemas.openxmlformats.org/drawingml/2006/main">
            <a:ext uri="{FF2B5EF4-FFF2-40B4-BE49-F238E27FC236}">
              <a16:creationId xmlns:a16="http://schemas.microsoft.com/office/drawing/2014/main" id="{5237F7D0-BDC5-6C48-8687-1BE94B5AC4D4}"/>
            </a:ext>
          </a:extLst>
        </cdr:cNvPr>
        <cdr:cNvSpPr txBox="1"/>
      </cdr:nvSpPr>
      <cdr:spPr>
        <a:xfrm xmlns:a="http://schemas.openxmlformats.org/drawingml/2006/main">
          <a:off x="50800" y="6933048"/>
          <a:ext cx="4872398" cy="288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F74A1016-1E0F-9547-886D-CB4207A20D01}" type="TxLink">
            <a:rPr lang="en-US" sz="1200" b="0" i="0" u="none" strike="noStrike">
              <a:solidFill>
                <a:schemeClr val="accent4"/>
              </a:solidFill>
              <a:latin typeface="Helvetica"/>
            </a:rPr>
            <a:pPr algn="l"/>
            <a:t>source: https://www.floridadisaster.org/news-media/news/</a:t>
          </a:fld>
          <a:endParaRPr lang="en-US" sz="1100">
            <a:solidFill>
              <a:schemeClr val="accent4"/>
            </a:solidFill>
          </a:endParaRPr>
        </a:p>
      </cdr:txBody>
    </cdr:sp>
  </cdr:relSizeAnchor>
  <cdr:relSizeAnchor xmlns:cdr="http://schemas.openxmlformats.org/drawingml/2006/chartDrawing">
    <cdr:from>
      <cdr:x>0.00729</cdr:x>
      <cdr:y>0.95411</cdr:y>
    </cdr:from>
    <cdr:to>
      <cdr:x>0.7706</cdr:x>
      <cdr:y>1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4AA57101-9D6A-6848-9C88-3AD1F0BBF196}"/>
            </a:ext>
          </a:extLst>
        </cdr:cNvPr>
        <cdr:cNvSpPr txBox="1"/>
      </cdr:nvSpPr>
      <cdr:spPr>
        <a:xfrm xmlns:a="http://schemas.openxmlformats.org/drawingml/2006/main">
          <a:off x="54621" y="7149146"/>
          <a:ext cx="5719482" cy="3438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5D2E9EB-F078-FA4B-AA0C-E2882BE1C2B7}" type="TxLink">
            <a:rPr lang="en-US" sz="1200" b="0" i="0" u="none" strike="noStrike">
              <a:solidFill>
                <a:schemeClr val="accent4"/>
              </a:solidFill>
              <a:latin typeface="Helvetica"/>
            </a:rPr>
            <a:pPr algn="l"/>
            <a:t>info: https://github.com/endymion/SARS-CoV-2_Analysis</a:t>
          </a:fld>
          <a:endParaRPr lang="en-US" sz="1100">
            <a:solidFill>
              <a:schemeClr val="accent4"/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43D07-9895-1749-A6D0-89B65ACAC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E4AE7D-0714-C143-A688-292634C906F9}" name="Table2" displayName="Table2" ref="A1:S18" totalsRowShown="0" headerRowDxfId="20" dataDxfId="19" headerRowCellStyle="Heading 3">
  <autoFilter ref="A1:S18" xr:uid="{550F0C45-D7F8-B94B-924D-6E337BF889A7}"/>
  <tableColumns count="19">
    <tableColumn id="1" xr3:uid="{5A8F4760-7ADB-5643-B32D-8C30EC7E1E18}" name="date" dataDxfId="18"/>
    <tableColumn id="2" xr3:uid="{1A056131-5760-2749-834E-BF55DAB2649A}" name="cases" dataDxfId="17"/>
    <tableColumn id="20" xr3:uid="{583731BA-1864-EF40-AEF7-A80834F00231}" name="% increase" dataDxfId="16">
      <calculatedColumnFormula>(Table2[[#This Row],[cases]]-B1)/B1</calculatedColumnFormula>
    </tableColumn>
    <tableColumn id="19" xr3:uid="{C3C6B808-3CB5-8B45-A4B9-4A6CDF5E27BE}" name="doubling time" dataDxfId="15">
      <calculatedColumnFormula>(LN(2)/LN(B2/B1))</calculatedColumnFormula>
    </tableColumn>
    <tableColumn id="8" xr3:uid="{C899EFA6-17F8-B447-A1DB-6D7083A2F531}" name="infection count estimating 5x cases infected" dataDxfId="14">
      <calculatedColumnFormula>Table2[[#This Row],[cases]]*5</calculatedColumnFormula>
    </tableColumn>
    <tableColumn id="9" xr3:uid="{9DA1C9E0-36F7-DE43-8448-4D8CE8B57839}" name="infection count, estimating 7x cases infected" dataDxfId="13">
      <calculatedColumnFormula>Table2[[#This Row],[cases]]*7</calculatedColumnFormula>
    </tableColumn>
    <tableColumn id="11" xr3:uid="{DF5E18EF-399D-9948-A8F2-9862C2232353}" name="infection count difference" dataDxfId="12">
      <calculatedColumnFormula>Table2[[#This Row],[infection count, estimating 7x cases infected]]-Table2[[#This Row],[infection count estimating 5x cases infected]]</calculatedColumnFormula>
    </tableColumn>
    <tableColumn id="10" xr3:uid="{F5EF272D-BCCD-9A42-A437-406EF6A3644D}" name="average infection count" dataDxfId="11">
      <calculatedColumnFormula>(Table2[[#This Row],[infection count estimating 5x cases infected]]+Table2[[#This Row],[infection count, estimating 7x cases infected]])/2</calculatedColumnFormula>
    </tableColumn>
    <tableColumn id="12" xr3:uid="{8AB0CE19-F28B-1B41-B08C-6F528E4C628D}" name="infection percentage, estimating 5x cases infected" dataDxfId="10">
      <calculatedColumnFormula>Table2[[#This Row],[infection count estimating 5x cases infected]]/$Q$3</calculatedColumnFormula>
    </tableColumn>
    <tableColumn id="13" xr3:uid="{1109EB50-6E0E-5D49-923A-162321C9390D}" name="infection percentage, estimating 7x cases infected" dataDxfId="9">
      <calculatedColumnFormula>Table2[[#This Row],[infection count, estimating 7x cases infected]]/$Q$3</calculatedColumnFormula>
    </tableColumn>
    <tableColumn id="14" xr3:uid="{238DA9D3-166B-A04A-B1CF-89D64E5C9BCE}" name="infection percentage difference" dataDxfId="8">
      <calculatedColumnFormula>Table2[[#This Row],[infection percentage, estimating 7x cases infected]]-Table2[[#This Row],[infection percentage, estimating 5x cases infected]]</calculatedColumnFormula>
    </tableColumn>
    <tableColumn id="15" xr3:uid="{DE45558E-71C3-0C4E-A3A2-8B967C3E17AB}" name="average infection percentage" dataDxfId="7">
      <calculatedColumnFormula>(Table2[[#This Row],[infection percentage, estimating 5x cases infected]]+Table2[[#This Row],[infection percentage, estimating 7x cases infected]])/2</calculatedColumnFormula>
    </tableColumn>
    <tableColumn id="3" xr3:uid="{02005BA0-C3BB-F54B-908A-B7ECE76A73E8}" name="1-in-X odds, estimating 5x cases infected" dataDxfId="6">
      <calculatedColumnFormula>$Q$3/(Table2[[#This Row],[cases]]*5)</calculatedColumnFormula>
    </tableColumn>
    <tableColumn id="4" xr3:uid="{244EEAB7-EA2F-9142-A896-C40C6D4A9BE9}" name="1-in-X odds, estimating 7x cases infected" dataDxfId="5">
      <calculatedColumnFormula>$Q$3/(Table2[[#This Row],[cases]]*7)</calculatedColumnFormula>
    </tableColumn>
    <tableColumn id="5" xr3:uid="{8F986CA1-2145-0B4C-AAAE-6153D0E4F495}" name="1-in-X odds difference" dataDxfId="4">
      <calculatedColumnFormula>Table2[[#This Row],[1-in-X odds, estimating 5x cases infected]]-Table2[[#This Row],[1-in-X odds, estimating 7x cases infected]]</calculatedColumnFormula>
    </tableColumn>
    <tableColumn id="6" xr3:uid="{A840ABA5-36ED-FF4A-9BD9-42132A34A0D4}" name="average 1-in-X odds" dataDxfId="3">
      <calculatedColumnFormula>(Table2[[#This Row],[1-in-X odds, estimating 5x cases infected]]+Table2[[#This Row],[1-in-X odds, estimating 7x cases infected]])/2</calculatedColumnFormula>
    </tableColumn>
    <tableColumn id="16" xr3:uid="{3F9CC5ED-74BF-8D4B-A8C4-40AA15D26E71}" name="constants" dataDxfId="2"/>
    <tableColumn id="17" xr3:uid="{B5DA71D5-91C3-F54E-9A79-5F7DD2472B6E}" name="computed" dataDxfId="1"/>
    <tableColumn id="18" xr3:uid="{22EA3CBE-6B18-9845-9A5C-8FD79B240D43}" name="Column1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C3CE-5E19-6B41-9872-01F52BB95541}">
  <dimension ref="A1"/>
  <sheetViews>
    <sheetView zoomScaleNormal="100" workbookViewId="0">
      <selection activeCell="K35" sqref="K35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325F-4CB1-3F40-94C5-A1802ACCE420}">
  <dimension ref="A1"/>
  <sheetViews>
    <sheetView zoomScaleNormal="100" workbookViewId="0">
      <selection activeCell="J8" sqref="J8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6BEB-40E2-ED4B-A542-5EA1102CBE4A}">
  <dimension ref="A1"/>
  <sheetViews>
    <sheetView zoomScaleNormal="100" workbookViewId="0">
      <selection activeCell="K28" sqref="K28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10BE-52FE-794B-890A-D6D4B91A185A}">
  <dimension ref="A1"/>
  <sheetViews>
    <sheetView tabSelected="1" zoomScaleNormal="100" workbookViewId="0">
      <selection activeCell="L31" sqref="L31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F80D-2857-A34D-922F-CA38FC7127B2}">
  <dimension ref="A1"/>
  <sheetViews>
    <sheetView zoomScaleNormal="100" workbookViewId="0">
      <selection activeCell="J32" sqref="J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7C01-C3D2-1847-9FB2-9AC9F9E0C4BE}">
  <sheetPr>
    <pageSetUpPr autoPageBreaks="0"/>
  </sheetPr>
  <dimension ref="A1:L20"/>
  <sheetViews>
    <sheetView zoomScaleNormal="100" workbookViewId="0">
      <selection activeCell="N10" sqref="N10"/>
    </sheetView>
  </sheetViews>
  <sheetFormatPr baseColWidth="10" defaultRowHeight="16" x14ac:dyDescent="0.2"/>
  <cols>
    <col min="1" max="1" width="2.83203125" customWidth="1"/>
    <col min="2" max="2" width="1.83203125" customWidth="1"/>
    <col min="3" max="3" width="40.83203125" customWidth="1"/>
    <col min="4" max="4" width="1.83203125" customWidth="1"/>
    <col min="5" max="5" width="3.83203125" customWidth="1"/>
    <col min="6" max="6" width="1.83203125" customWidth="1"/>
    <col min="7" max="7" width="40.83203125" customWidth="1"/>
    <col min="8" max="8" width="1.83203125" style="25" customWidth="1"/>
    <col min="9" max="9" width="2.83203125" customWidth="1"/>
  </cols>
  <sheetData>
    <row r="1" spans="1:12" ht="5" customHeight="1" x14ac:dyDescent="0.2">
      <c r="A1" s="18"/>
      <c r="B1" s="18"/>
      <c r="C1" s="18"/>
      <c r="D1" s="18"/>
      <c r="E1" s="18"/>
      <c r="F1" s="18"/>
      <c r="G1" s="18"/>
      <c r="H1" s="23"/>
      <c r="I1" s="23"/>
    </row>
    <row r="2" spans="1:12" ht="75" customHeight="1" x14ac:dyDescent="0.2">
      <c r="A2" s="18"/>
      <c r="B2" s="18"/>
      <c r="C2" s="18"/>
      <c r="D2" s="18"/>
      <c r="E2" s="18"/>
      <c r="F2" s="18"/>
      <c r="G2" s="18"/>
      <c r="H2" s="23"/>
      <c r="I2" s="23"/>
    </row>
    <row r="3" spans="1:12" ht="18" customHeight="1" x14ac:dyDescent="0.2">
      <c r="A3" s="18"/>
      <c r="B3" s="18"/>
      <c r="C3" s="18"/>
      <c r="D3" s="18"/>
      <c r="E3" s="18"/>
      <c r="F3" s="18"/>
      <c r="G3" s="18"/>
      <c r="H3" s="23"/>
      <c r="I3" s="23"/>
    </row>
    <row r="4" spans="1:12" ht="15" customHeight="1" x14ac:dyDescent="0.2">
      <c r="A4" s="18"/>
      <c r="B4" s="26"/>
      <c r="C4" s="26"/>
      <c r="D4" s="26"/>
      <c r="E4" s="18"/>
      <c r="F4" s="19"/>
      <c r="G4" s="19"/>
      <c r="H4" s="24"/>
      <c r="I4" s="23"/>
      <c r="L4" s="4"/>
    </row>
    <row r="5" spans="1:12" ht="40" customHeight="1" x14ac:dyDescent="0.45">
      <c r="A5" s="18"/>
      <c r="B5" s="26"/>
      <c r="C5" s="44" t="s">
        <v>19</v>
      </c>
      <c r="D5" s="26"/>
      <c r="E5" s="18"/>
      <c r="F5" s="19"/>
      <c r="G5" s="45" t="s">
        <v>18</v>
      </c>
      <c r="H5" s="24"/>
      <c r="I5" s="23"/>
    </row>
    <row r="6" spans="1:12" ht="79" customHeight="1" x14ac:dyDescent="0.85">
      <c r="A6" s="18"/>
      <c r="B6" s="26"/>
      <c r="C6" s="47">
        <f ca="1">Table2[[#This Row],[computed]]</f>
        <v>463</v>
      </c>
      <c r="D6" s="26"/>
      <c r="E6" s="18"/>
      <c r="F6" s="19"/>
      <c r="G6" s="38">
        <f ca="1">data!R9</f>
        <v>2778</v>
      </c>
      <c r="H6" s="24"/>
      <c r="I6" s="23"/>
    </row>
    <row r="7" spans="1:12" s="55" customFormat="1" ht="35" customHeight="1" x14ac:dyDescent="0.2">
      <c r="A7" s="48"/>
      <c r="B7" s="49"/>
      <c r="C7" s="50" t="s">
        <v>16</v>
      </c>
      <c r="D7" s="49"/>
      <c r="E7" s="48"/>
      <c r="F7" s="51"/>
      <c r="G7" s="52" t="s">
        <v>17</v>
      </c>
      <c r="H7" s="53"/>
      <c r="I7" s="54"/>
    </row>
    <row r="8" spans="1:12" s="55" customFormat="1" ht="37" customHeight="1" x14ac:dyDescent="0.2">
      <c r="A8" s="48"/>
      <c r="B8" s="49"/>
      <c r="C8" s="50" t="str">
        <f ca="1">data!S32</f>
        <v>doubing in 8.8 days</v>
      </c>
      <c r="D8" s="49"/>
      <c r="E8" s="48"/>
      <c r="F8" s="51"/>
      <c r="G8" s="52" t="str">
        <f ca="1">data!S34</f>
        <v>+8.2% per day</v>
      </c>
      <c r="H8" s="53"/>
      <c r="I8" s="54"/>
    </row>
    <row r="9" spans="1:12" ht="2" customHeight="1" x14ac:dyDescent="0.2">
      <c r="A9" s="18"/>
      <c r="B9" s="26"/>
      <c r="C9" s="26"/>
      <c r="D9" s="26"/>
      <c r="E9" s="18"/>
      <c r="F9" s="19"/>
      <c r="G9" s="19"/>
      <c r="H9" s="24"/>
      <c r="I9" s="23"/>
    </row>
    <row r="10" spans="1:12" x14ac:dyDescent="0.2">
      <c r="A10" s="18"/>
      <c r="B10" s="18"/>
      <c r="C10" s="18"/>
      <c r="D10" s="18"/>
      <c r="E10" s="18"/>
      <c r="F10" s="18"/>
      <c r="G10" s="18"/>
      <c r="H10" s="23"/>
      <c r="I10" s="23"/>
    </row>
    <row r="11" spans="1:12" x14ac:dyDescent="0.2">
      <c r="A11" s="18"/>
      <c r="B11" s="19"/>
      <c r="C11" s="19"/>
      <c r="D11" s="19"/>
      <c r="E11" s="18"/>
      <c r="F11" s="19"/>
      <c r="G11" s="19"/>
      <c r="H11" s="24"/>
      <c r="I11" s="23"/>
    </row>
    <row r="12" spans="1:12" ht="33" customHeight="1" x14ac:dyDescent="0.45">
      <c r="A12" s="18"/>
      <c r="B12" s="19"/>
      <c r="C12" s="45" t="s">
        <v>18</v>
      </c>
      <c r="D12" s="19"/>
      <c r="E12" s="18"/>
      <c r="F12" s="19"/>
      <c r="G12" s="45" t="s">
        <v>18</v>
      </c>
      <c r="H12" s="24"/>
      <c r="I12" s="23"/>
    </row>
    <row r="13" spans="1:12" ht="28" customHeight="1" x14ac:dyDescent="0.3">
      <c r="A13" s="18"/>
      <c r="B13" s="19"/>
      <c r="C13" s="19"/>
      <c r="D13" s="19"/>
      <c r="E13" s="18"/>
      <c r="F13" s="19"/>
      <c r="G13" s="46" t="s">
        <v>20</v>
      </c>
      <c r="H13" s="24"/>
      <c r="I13" s="23"/>
    </row>
    <row r="14" spans="1:12" ht="59" customHeight="1" x14ac:dyDescent="0.2">
      <c r="A14" s="18"/>
      <c r="B14" s="19"/>
      <c r="C14" s="22">
        <f ca="1">data!R12</f>
        <v>3.0095225714192854E-2</v>
      </c>
      <c r="D14" s="19"/>
      <c r="E14" s="18"/>
      <c r="F14" s="19"/>
      <c r="G14" s="21">
        <f ca="1">data!R15</f>
        <v>34.177229250231413</v>
      </c>
      <c r="H14" s="24"/>
      <c r="I14" s="23"/>
    </row>
    <row r="15" spans="1:12" ht="32" customHeight="1" x14ac:dyDescent="0.2">
      <c r="A15" s="18"/>
      <c r="B15" s="19"/>
      <c r="C15" s="52" t="s">
        <v>21</v>
      </c>
      <c r="D15" s="19"/>
      <c r="E15" s="18"/>
      <c r="F15" s="19"/>
      <c r="G15" s="52" t="s">
        <v>22</v>
      </c>
      <c r="H15" s="24"/>
      <c r="I15" s="23"/>
    </row>
    <row r="16" spans="1:12" ht="34" customHeight="1" x14ac:dyDescent="0.3">
      <c r="A16" s="18"/>
      <c r="B16" s="19"/>
      <c r="C16" s="46" t="s">
        <v>17</v>
      </c>
      <c r="D16" s="19"/>
      <c r="E16" s="18"/>
      <c r="F16" s="19"/>
      <c r="G16" s="46" t="s">
        <v>23</v>
      </c>
      <c r="H16" s="24"/>
      <c r="I16" s="23"/>
    </row>
    <row r="17" spans="1:9" ht="10" customHeight="1" x14ac:dyDescent="0.2">
      <c r="A17" s="18"/>
      <c r="B17" s="19"/>
      <c r="C17" s="19"/>
      <c r="D17" s="19"/>
      <c r="E17" s="18"/>
      <c r="F17" s="19"/>
      <c r="G17" s="19"/>
      <c r="H17" s="24"/>
      <c r="I17" s="23"/>
    </row>
    <row r="18" spans="1:9" x14ac:dyDescent="0.2">
      <c r="A18" s="18"/>
      <c r="B18" s="18"/>
      <c r="C18" s="18"/>
      <c r="D18" s="18"/>
      <c r="E18" s="18"/>
      <c r="F18" s="18"/>
      <c r="G18" s="18"/>
      <c r="H18" s="23"/>
      <c r="I18" s="23"/>
    </row>
    <row r="19" spans="1:9" x14ac:dyDescent="0.2">
      <c r="A19" s="18"/>
      <c r="B19" s="18"/>
      <c r="C19" s="18"/>
      <c r="D19" s="18"/>
      <c r="E19" s="18"/>
      <c r="F19" s="18"/>
      <c r="G19" s="18"/>
      <c r="H19" s="23"/>
      <c r="I19" s="23"/>
    </row>
    <row r="20" spans="1:9" ht="25" customHeight="1" x14ac:dyDescent="0.2">
      <c r="A20" s="18"/>
      <c r="B20" s="18"/>
      <c r="C20" s="18"/>
      <c r="D20" s="18"/>
      <c r="E20" s="18"/>
      <c r="F20" s="18"/>
      <c r="G20" s="18"/>
      <c r="H20" s="23"/>
      <c r="I20" s="23"/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0E18-E130-924E-B8A9-7F036230CE4B}">
  <dimension ref="A1:S34"/>
  <sheetViews>
    <sheetView topLeftCell="D1" workbookViewId="0">
      <selection activeCell="B19" sqref="B19"/>
    </sheetView>
  </sheetViews>
  <sheetFormatPr baseColWidth="10" defaultRowHeight="16" x14ac:dyDescent="0.2"/>
  <cols>
    <col min="1" max="1" width="10.1640625" customWidth="1"/>
    <col min="2" max="2" width="8.83203125" customWidth="1"/>
    <col min="3" max="3" width="12.5" style="30" customWidth="1"/>
    <col min="4" max="4" width="11.1640625" style="43" customWidth="1"/>
    <col min="5" max="5" width="16.6640625" customWidth="1"/>
    <col min="6" max="6" width="15.6640625" customWidth="1"/>
    <col min="7" max="7" width="10.83203125" customWidth="1"/>
    <col min="8" max="8" width="9" customWidth="1"/>
    <col min="9" max="10" width="15.83203125" style="17" customWidth="1"/>
    <col min="11" max="11" width="12.6640625" style="17" customWidth="1"/>
    <col min="12" max="12" width="12.83203125" style="30" customWidth="1"/>
    <col min="13" max="13" width="14" customWidth="1"/>
    <col min="14" max="14" width="15.33203125" customWidth="1"/>
    <col min="15" max="15" width="11.5" style="4" customWidth="1"/>
    <col min="16" max="16" width="8.1640625" style="4" customWidth="1"/>
    <col min="17" max="18" width="18.1640625" style="3" customWidth="1"/>
    <col min="19" max="19" width="87.83203125" customWidth="1"/>
  </cols>
  <sheetData>
    <row r="1" spans="1:19" s="2" customFormat="1" ht="81" customHeight="1" thickBot="1" x14ac:dyDescent="0.25">
      <c r="A1" s="6" t="s">
        <v>0</v>
      </c>
      <c r="B1" s="6" t="s">
        <v>1</v>
      </c>
      <c r="C1" s="56" t="s">
        <v>37</v>
      </c>
      <c r="D1" s="41" t="s">
        <v>35</v>
      </c>
      <c r="E1" s="7" t="s">
        <v>5</v>
      </c>
      <c r="F1" s="7" t="s">
        <v>4</v>
      </c>
      <c r="G1" s="7" t="s">
        <v>8</v>
      </c>
      <c r="H1" s="7" t="s">
        <v>6</v>
      </c>
      <c r="I1" s="14" t="s">
        <v>11</v>
      </c>
      <c r="J1" s="14" t="s">
        <v>10</v>
      </c>
      <c r="K1" s="14" t="s">
        <v>12</v>
      </c>
      <c r="L1" s="27" t="s">
        <v>13</v>
      </c>
      <c r="M1" s="7" t="s">
        <v>2</v>
      </c>
      <c r="N1" s="7" t="s">
        <v>3</v>
      </c>
      <c r="O1" s="8" t="s">
        <v>9</v>
      </c>
      <c r="P1" s="8" t="s">
        <v>7</v>
      </c>
      <c r="Q1" s="11" t="s">
        <v>14</v>
      </c>
      <c r="R1" s="11" t="s">
        <v>25</v>
      </c>
      <c r="S1" s="32" t="s">
        <v>24</v>
      </c>
    </row>
    <row r="2" spans="1:19" ht="17" x14ac:dyDescent="0.2">
      <c r="A2" s="9">
        <v>43913</v>
      </c>
      <c r="B2" s="10">
        <v>33</v>
      </c>
      <c r="C2" s="28" t="e">
        <f>(Table2[[#This Row],[cases]]-B1)/B1</f>
        <v>#VALUE!</v>
      </c>
      <c r="D2" s="42" t="e">
        <f t="shared" ref="D2:D18" si="0">(LN(2)/LN(B2/B1))</f>
        <v>#VALUE!</v>
      </c>
      <c r="E2" s="10">
        <f>Table2[[#This Row],[cases]]*5</f>
        <v>165</v>
      </c>
      <c r="F2" s="10">
        <f>Table2[[#This Row],[cases]]*7</f>
        <v>231</v>
      </c>
      <c r="G2" s="10">
        <f>Table2[[#This Row],[infection count, estimating 7x cases infected]]-Table2[[#This Row],[infection count estimating 5x cases infected]]</f>
        <v>66</v>
      </c>
      <c r="H2" s="10">
        <f>(Table2[[#This Row],[infection count estimating 5x cases infected]]+Table2[[#This Row],[infection count, estimating 7x cases infected]])/2</f>
        <v>198</v>
      </c>
      <c r="I2" s="15">
        <f>Table2[[#This Row],[infection count estimating 5x cases infected]]/$Q$3</f>
        <v>1.7875134063505477E-3</v>
      </c>
      <c r="J2" s="15">
        <f>Table2[[#This Row],[infection count, estimating 7x cases infected]]/$Q$3</f>
        <v>2.5025187688907666E-3</v>
      </c>
      <c r="K2" s="15">
        <f>Table2[[#This Row],[infection percentage, estimating 7x cases infected]]-Table2[[#This Row],[infection percentage, estimating 5x cases infected]]</f>
        <v>7.1500536254021888E-4</v>
      </c>
      <c r="L2" s="28">
        <f>(Table2[[#This Row],[infection percentage, estimating 5x cases infected]]+Table2[[#This Row],[infection percentage, estimating 7x cases infected]])/2</f>
        <v>2.1450160876206573E-3</v>
      </c>
      <c r="M2" s="13">
        <f>$Q$3/(Table2[[#This Row],[cases]]*5)</f>
        <v>559.43636363636358</v>
      </c>
      <c r="N2" s="13">
        <f>$Q$3/(Table2[[#This Row],[cases]]*7)</f>
        <v>399.59740259740261</v>
      </c>
      <c r="O2" s="3">
        <f>Table2[[#This Row],[1-in-X odds, estimating 5x cases infected]]-Table2[[#This Row],[1-in-X odds, estimating 7x cases infected]]</f>
        <v>159.83896103896097</v>
      </c>
      <c r="P2" s="5">
        <f>(Table2[[#This Row],[1-in-X odds, estimating 5x cases infected]]+Table2[[#This Row],[1-in-X odds, estimating 7x cases infected]])/2</f>
        <v>479.51688311688309</v>
      </c>
      <c r="Q2" s="12" t="s">
        <v>15</v>
      </c>
      <c r="R2" s="12" t="s">
        <v>31</v>
      </c>
      <c r="S2" s="3"/>
    </row>
    <row r="3" spans="1:19" x14ac:dyDescent="0.2">
      <c r="A3" s="9">
        <v>43914</v>
      </c>
      <c r="B3" s="10">
        <v>46</v>
      </c>
      <c r="C3" s="28">
        <f>(Table2[[#This Row],[cases]]-B2)/B2</f>
        <v>0.39393939393939392</v>
      </c>
      <c r="D3" s="42">
        <f t="shared" si="0"/>
        <v>2.0869514258092652</v>
      </c>
      <c r="E3" s="10">
        <f>Table2[[#This Row],[cases]]*5</f>
        <v>230</v>
      </c>
      <c r="F3" s="10">
        <f>Table2[[#This Row],[cases]]*7</f>
        <v>322</v>
      </c>
      <c r="G3" s="10">
        <f>Table2[[#This Row],[infection count, estimating 7x cases infected]]-Table2[[#This Row],[infection count estimating 5x cases infected]]</f>
        <v>92</v>
      </c>
      <c r="H3" s="10">
        <f>(Table2[[#This Row],[infection count estimating 5x cases infected]]+Table2[[#This Row],[infection count, estimating 7x cases infected]])/2</f>
        <v>276</v>
      </c>
      <c r="I3" s="15">
        <f>Table2[[#This Row],[infection count estimating 5x cases infected]]/$Q$3</f>
        <v>2.4916853543068239E-3</v>
      </c>
      <c r="J3" s="15">
        <f>Table2[[#This Row],[infection count, estimating 7x cases infected]]/$Q$3</f>
        <v>3.4883594960295537E-3</v>
      </c>
      <c r="K3" s="15">
        <f>Table2[[#This Row],[infection percentage, estimating 7x cases infected]]-Table2[[#This Row],[infection percentage, estimating 5x cases infected]]</f>
        <v>9.9667414172272982E-4</v>
      </c>
      <c r="L3" s="28">
        <f>(Table2[[#This Row],[infection percentage, estimating 5x cases infected]]+Table2[[#This Row],[infection percentage, estimating 7x cases infected]])/2</f>
        <v>2.990022425168189E-3</v>
      </c>
      <c r="M3" s="13">
        <f>$Q$3/(Table2[[#This Row],[cases]]*5)</f>
        <v>401.33478260869566</v>
      </c>
      <c r="N3" s="13">
        <f>$Q$3/(Table2[[#This Row],[cases]]*7)</f>
        <v>286.66770186335401</v>
      </c>
      <c r="O3" s="3">
        <f>Table2[[#This Row],[1-in-X odds, estimating 5x cases infected]]-Table2[[#This Row],[1-in-X odds, estimating 7x cases infected]]</f>
        <v>114.66708074534165</v>
      </c>
      <c r="P3" s="3">
        <f>(Table2[[#This Row],[1-in-X odds, estimating 5x cases infected]]+Table2[[#This Row],[1-in-X odds, estimating 7x cases infected]])/2</f>
        <v>344.00124223602484</v>
      </c>
      <c r="Q3" s="3">
        <v>92307</v>
      </c>
      <c r="R3" s="31">
        <f ca="1">OFFSET(data!A1,COUNTA(data!A:A)-1,0)</f>
        <v>43929</v>
      </c>
      <c r="S3" s="3"/>
    </row>
    <row r="4" spans="1:19" x14ac:dyDescent="0.2">
      <c r="A4" s="9">
        <v>43915</v>
      </c>
      <c r="B4" s="10">
        <v>63</v>
      </c>
      <c r="C4" s="28">
        <f>(Table2[[#This Row],[cases]]-B3)/B3</f>
        <v>0.36956521739130432</v>
      </c>
      <c r="D4" s="42">
        <f t="shared" si="0"/>
        <v>2.2040123419309841</v>
      </c>
      <c r="E4" s="10">
        <f>Table2[[#This Row],[cases]]*5</f>
        <v>315</v>
      </c>
      <c r="F4" s="10">
        <f>Table2[[#This Row],[cases]]*7</f>
        <v>441</v>
      </c>
      <c r="G4" s="10">
        <f>Table2[[#This Row],[infection count, estimating 7x cases infected]]-Table2[[#This Row],[infection count estimating 5x cases infected]]</f>
        <v>126</v>
      </c>
      <c r="H4" s="10">
        <f>(Table2[[#This Row],[infection count estimating 5x cases infected]]+Table2[[#This Row],[infection count, estimating 7x cases infected]])/2</f>
        <v>378</v>
      </c>
      <c r="I4" s="15">
        <f>Table2[[#This Row],[infection count estimating 5x cases infected]]/$Q$3</f>
        <v>3.4125255939419547E-3</v>
      </c>
      <c r="J4" s="15">
        <f>Table2[[#This Row],[infection count, estimating 7x cases infected]]/$Q$3</f>
        <v>4.7775358315187361E-3</v>
      </c>
      <c r="K4" s="15">
        <f>Table2[[#This Row],[infection percentage, estimating 7x cases infected]]-Table2[[#This Row],[infection percentage, estimating 5x cases infected]]</f>
        <v>1.3650102375767814E-3</v>
      </c>
      <c r="L4" s="28">
        <f>(Table2[[#This Row],[infection percentage, estimating 5x cases infected]]+Table2[[#This Row],[infection percentage, estimating 7x cases infected]])/2</f>
        <v>4.0950307127303456E-3</v>
      </c>
      <c r="M4" s="13">
        <f>$Q$3/(Table2[[#This Row],[cases]]*5)</f>
        <v>293.03809523809525</v>
      </c>
      <c r="N4" s="13">
        <f>$Q$3/(Table2[[#This Row],[cases]]*7)</f>
        <v>209.31292517006804</v>
      </c>
      <c r="O4" s="3">
        <f>Table2[[#This Row],[1-in-X odds, estimating 5x cases infected]]-Table2[[#This Row],[1-in-X odds, estimating 7x cases infected]]</f>
        <v>83.725170068027211</v>
      </c>
      <c r="P4" s="3">
        <f>(Table2[[#This Row],[1-in-X odds, estimating 5x cases infected]]+Table2[[#This Row],[1-in-X odds, estimating 7x cases infected]])/2</f>
        <v>251.17551020408166</v>
      </c>
      <c r="S4" s="3"/>
    </row>
    <row r="5" spans="1:19" x14ac:dyDescent="0.2">
      <c r="A5" s="9">
        <v>43916</v>
      </c>
      <c r="B5" s="10">
        <v>76</v>
      </c>
      <c r="C5" s="28">
        <f>(Table2[[#This Row],[cases]]-B4)/B4</f>
        <v>0.20634920634920634</v>
      </c>
      <c r="D5" s="42">
        <f t="shared" si="0"/>
        <v>3.6948416950918879</v>
      </c>
      <c r="E5" s="10">
        <f>Table2[[#This Row],[cases]]*5</f>
        <v>380</v>
      </c>
      <c r="F5" s="10">
        <f>Table2[[#This Row],[cases]]*7</f>
        <v>532</v>
      </c>
      <c r="G5" s="10">
        <f>Table2[[#This Row],[infection count, estimating 7x cases infected]]-Table2[[#This Row],[infection count estimating 5x cases infected]]</f>
        <v>152</v>
      </c>
      <c r="H5" s="10">
        <f>(Table2[[#This Row],[infection count estimating 5x cases infected]]+Table2[[#This Row],[infection count, estimating 7x cases infected]])/2</f>
        <v>456</v>
      </c>
      <c r="I5" s="15">
        <f>Table2[[#This Row],[infection count estimating 5x cases infected]]/$Q$3</f>
        <v>4.116697541898231E-3</v>
      </c>
      <c r="J5" s="15">
        <f>Table2[[#This Row],[infection count, estimating 7x cases infected]]/$Q$3</f>
        <v>5.7633765586575236E-3</v>
      </c>
      <c r="K5" s="15">
        <f>Table2[[#This Row],[infection percentage, estimating 7x cases infected]]-Table2[[#This Row],[infection percentage, estimating 5x cases infected]]</f>
        <v>1.6466790167592926E-3</v>
      </c>
      <c r="L5" s="28">
        <f>(Table2[[#This Row],[infection percentage, estimating 5x cases infected]]+Table2[[#This Row],[infection percentage, estimating 7x cases infected]])/2</f>
        <v>4.9400370502778769E-3</v>
      </c>
      <c r="M5" s="13">
        <f>$Q$3/(Table2[[#This Row],[cases]]*5)</f>
        <v>242.91315789473686</v>
      </c>
      <c r="N5" s="13">
        <f>$Q$3/(Table2[[#This Row],[cases]]*7)</f>
        <v>173.50939849624061</v>
      </c>
      <c r="O5" s="3">
        <f>Table2[[#This Row],[1-in-X odds, estimating 5x cases infected]]-Table2[[#This Row],[1-in-X odds, estimating 7x cases infected]]</f>
        <v>69.403759398496248</v>
      </c>
      <c r="P5" s="3">
        <f>(Table2[[#This Row],[1-in-X odds, estimating 5x cases infected]]+Table2[[#This Row],[1-in-X odds, estimating 7x cases infected]])/2</f>
        <v>208.21127819548872</v>
      </c>
      <c r="Q5" s="37" t="s">
        <v>39</v>
      </c>
      <c r="R5" s="37" t="s">
        <v>30</v>
      </c>
      <c r="S5" s="3"/>
    </row>
    <row r="6" spans="1:19" x14ac:dyDescent="0.2">
      <c r="A6" s="9">
        <v>43917</v>
      </c>
      <c r="B6" s="10">
        <v>90</v>
      </c>
      <c r="C6" s="28">
        <f>(Table2[[#This Row],[cases]]-B5)/B5</f>
        <v>0.18421052631578946</v>
      </c>
      <c r="D6" s="42">
        <f t="shared" si="0"/>
        <v>4.0996109885980694</v>
      </c>
      <c r="E6" s="10">
        <f>Table2[[#This Row],[cases]]*5</f>
        <v>450</v>
      </c>
      <c r="F6" s="10">
        <f>Table2[[#This Row],[cases]]*7</f>
        <v>630</v>
      </c>
      <c r="G6" s="10">
        <f>Table2[[#This Row],[infection count, estimating 7x cases infected]]-Table2[[#This Row],[infection count estimating 5x cases infected]]</f>
        <v>180</v>
      </c>
      <c r="H6" s="10">
        <f>(Table2[[#This Row],[infection count estimating 5x cases infected]]+Table2[[#This Row],[infection count, estimating 7x cases infected]])/2</f>
        <v>540</v>
      </c>
      <c r="I6" s="15">
        <f>Table2[[#This Row],[infection count estimating 5x cases infected]]/$Q$3</f>
        <v>4.8750365627742206E-3</v>
      </c>
      <c r="J6" s="15">
        <f>Table2[[#This Row],[infection count, estimating 7x cases infected]]/$Q$3</f>
        <v>6.8250511878839093E-3</v>
      </c>
      <c r="K6" s="15">
        <f>Table2[[#This Row],[infection percentage, estimating 7x cases infected]]-Table2[[#This Row],[infection percentage, estimating 5x cases infected]]</f>
        <v>1.9500146251096888E-3</v>
      </c>
      <c r="L6" s="28">
        <f>(Table2[[#This Row],[infection percentage, estimating 5x cases infected]]+Table2[[#This Row],[infection percentage, estimating 7x cases infected]])/2</f>
        <v>5.8500438753290654E-3</v>
      </c>
      <c r="M6" s="13">
        <f>$Q$3/(Table2[[#This Row],[cases]]*5)</f>
        <v>205.12666666666667</v>
      </c>
      <c r="N6" s="13">
        <f>$Q$3/(Table2[[#This Row],[cases]]*7)</f>
        <v>146.51904761904763</v>
      </c>
      <c r="O6" s="3">
        <f>Table2[[#This Row],[1-in-X odds, estimating 5x cases infected]]-Table2[[#This Row],[1-in-X odds, estimating 7x cases infected]]</f>
        <v>58.607619047619039</v>
      </c>
      <c r="P6" s="3">
        <f>(Table2[[#This Row],[1-in-X odds, estimating 5x cases infected]]+Table2[[#This Row],[1-in-X odds, estimating 7x cases infected]])/2</f>
        <v>175.82285714285715</v>
      </c>
      <c r="Q6" s="37" t="s">
        <v>40</v>
      </c>
      <c r="R6" s="3">
        <f ca="1">OFFSET(data!B1,COUNTA(data!B:B)-1,0)</f>
        <v>463</v>
      </c>
      <c r="S6" s="3"/>
    </row>
    <row r="7" spans="1:19" x14ac:dyDescent="0.2">
      <c r="A7" s="9">
        <v>43918</v>
      </c>
      <c r="B7" s="10">
        <v>118</v>
      </c>
      <c r="C7" s="28">
        <f>(Table2[[#This Row],[cases]]-B6)/B6</f>
        <v>0.31111111111111112</v>
      </c>
      <c r="D7" s="42">
        <f t="shared" si="0"/>
        <v>2.55891942011541</v>
      </c>
      <c r="E7" s="10">
        <f>Table2[[#This Row],[cases]]*5</f>
        <v>590</v>
      </c>
      <c r="F7" s="10">
        <f>Table2[[#This Row],[cases]]*7</f>
        <v>826</v>
      </c>
      <c r="G7" s="10">
        <f>Table2[[#This Row],[infection count, estimating 7x cases infected]]-Table2[[#This Row],[infection count estimating 5x cases infected]]</f>
        <v>236</v>
      </c>
      <c r="H7" s="10">
        <f>(Table2[[#This Row],[infection count estimating 5x cases infected]]+Table2[[#This Row],[infection count, estimating 7x cases infected]])/2</f>
        <v>708</v>
      </c>
      <c r="I7" s="15">
        <f>Table2[[#This Row],[infection count estimating 5x cases infected]]/$Q$3</f>
        <v>6.3917146045262005E-3</v>
      </c>
      <c r="J7" s="15">
        <f>Table2[[#This Row],[infection count, estimating 7x cases infected]]/$Q$3</f>
        <v>8.9484004463366816E-3</v>
      </c>
      <c r="K7" s="15">
        <f>Table2[[#This Row],[infection percentage, estimating 7x cases infected]]-Table2[[#This Row],[infection percentage, estimating 5x cases infected]]</f>
        <v>2.5566858418104811E-3</v>
      </c>
      <c r="L7" s="28">
        <f>(Table2[[#This Row],[infection percentage, estimating 5x cases infected]]+Table2[[#This Row],[infection percentage, estimating 7x cases infected]])/2</f>
        <v>7.6700575254314406E-3</v>
      </c>
      <c r="M7" s="13">
        <f>$Q$3/(Table2[[#This Row],[cases]]*5)</f>
        <v>156.45254237288137</v>
      </c>
      <c r="N7" s="13">
        <f>$Q$3/(Table2[[#This Row],[cases]]*7)</f>
        <v>111.75181598062954</v>
      </c>
      <c r="O7" s="3">
        <f>Table2[[#This Row],[1-in-X odds, estimating 5x cases infected]]-Table2[[#This Row],[1-in-X odds, estimating 7x cases infected]]</f>
        <v>44.700726392251823</v>
      </c>
      <c r="P7" s="3">
        <f>(Table2[[#This Row],[1-in-X odds, estimating 5x cases infected]]+Table2[[#This Row],[1-in-X odds, estimating 7x cases infected]])/2</f>
        <v>134.10217917675544</v>
      </c>
      <c r="S7" s="3"/>
    </row>
    <row r="8" spans="1:19" x14ac:dyDescent="0.2">
      <c r="A8" s="9">
        <v>43919</v>
      </c>
      <c r="B8" s="10">
        <v>160</v>
      </c>
      <c r="C8" s="28">
        <f>(Table2[[#This Row],[cases]]-B7)/B7</f>
        <v>0.3559322033898305</v>
      </c>
      <c r="D8" s="42">
        <f t="shared" si="0"/>
        <v>2.276426229815518</v>
      </c>
      <c r="E8" s="10">
        <f>Table2[[#This Row],[cases]]*5</f>
        <v>800</v>
      </c>
      <c r="F8" s="10">
        <f>Table2[[#This Row],[cases]]*7</f>
        <v>1120</v>
      </c>
      <c r="G8" s="10">
        <f>Table2[[#This Row],[infection count, estimating 7x cases infected]]-Table2[[#This Row],[infection count estimating 5x cases infected]]</f>
        <v>320</v>
      </c>
      <c r="H8" s="10">
        <f>(Table2[[#This Row],[infection count estimating 5x cases infected]]+Table2[[#This Row],[infection count, estimating 7x cases infected]])/2</f>
        <v>960</v>
      </c>
      <c r="I8" s="15">
        <f>Table2[[#This Row],[infection count estimating 5x cases infected]]/$Q$3</f>
        <v>8.6667316671541709E-3</v>
      </c>
      <c r="J8" s="15">
        <f>Table2[[#This Row],[infection count, estimating 7x cases infected]]/$Q$3</f>
        <v>1.2133424334015838E-2</v>
      </c>
      <c r="K8" s="15">
        <f>Table2[[#This Row],[infection percentage, estimating 7x cases infected]]-Table2[[#This Row],[infection percentage, estimating 5x cases infected]]</f>
        <v>3.466692666861667E-3</v>
      </c>
      <c r="L8" s="28">
        <f>(Table2[[#This Row],[infection percentage, estimating 5x cases infected]]+Table2[[#This Row],[infection percentage, estimating 7x cases infected]])/2</f>
        <v>1.0400078000585004E-2</v>
      </c>
      <c r="M8" s="13">
        <f>$Q$3/(Table2[[#This Row],[cases]]*5)</f>
        <v>115.38375000000001</v>
      </c>
      <c r="N8" s="13">
        <f>$Q$3/(Table2[[#This Row],[cases]]*7)</f>
        <v>82.416964285714286</v>
      </c>
      <c r="O8" s="3">
        <f>Table2[[#This Row],[1-in-X odds, estimating 5x cases infected]]-Table2[[#This Row],[1-in-X odds, estimating 7x cases infected]]</f>
        <v>32.96678571428572</v>
      </c>
      <c r="P8" s="3">
        <f>(Table2[[#This Row],[1-in-X odds, estimating 5x cases infected]]+Table2[[#This Row],[1-in-X odds, estimating 7x cases infected]])/2</f>
        <v>98.900357142857146</v>
      </c>
      <c r="R8" s="37" t="s">
        <v>32</v>
      </c>
      <c r="S8" s="3"/>
    </row>
    <row r="9" spans="1:19" x14ac:dyDescent="0.2">
      <c r="A9" s="9">
        <v>43920</v>
      </c>
      <c r="B9" s="10">
        <v>197</v>
      </c>
      <c r="C9" s="28">
        <f>(Table2[[#This Row],[cases]]-B8)/B8</f>
        <v>0.23125000000000001</v>
      </c>
      <c r="D9" s="42">
        <f t="shared" si="0"/>
        <v>3.3319591826205279</v>
      </c>
      <c r="E9" s="10">
        <f>Table2[[#This Row],[cases]]*5</f>
        <v>985</v>
      </c>
      <c r="F9" s="10">
        <f>Table2[[#This Row],[cases]]*7</f>
        <v>1379</v>
      </c>
      <c r="G9" s="10">
        <f>Table2[[#This Row],[infection count, estimating 7x cases infected]]-Table2[[#This Row],[infection count estimating 5x cases infected]]</f>
        <v>394</v>
      </c>
      <c r="H9" s="10">
        <f>(Table2[[#This Row],[infection count estimating 5x cases infected]]+Table2[[#This Row],[infection count, estimating 7x cases infected]])/2</f>
        <v>1182</v>
      </c>
      <c r="I9" s="15">
        <f>Table2[[#This Row],[infection count estimating 5x cases infected]]/$Q$3</f>
        <v>1.0670913365183572E-2</v>
      </c>
      <c r="J9" s="15">
        <f>Table2[[#This Row],[infection count, estimating 7x cases infected]]/$Q$3</f>
        <v>1.4939278711257001E-2</v>
      </c>
      <c r="K9" s="15">
        <f>Table2[[#This Row],[infection percentage, estimating 7x cases infected]]-Table2[[#This Row],[infection percentage, estimating 5x cases infected]]</f>
        <v>4.26836534607343E-3</v>
      </c>
      <c r="L9" s="28">
        <f>(Table2[[#This Row],[infection percentage, estimating 5x cases infected]]+Table2[[#This Row],[infection percentage, estimating 7x cases infected]])/2</f>
        <v>1.2805096038220286E-2</v>
      </c>
      <c r="M9" s="13">
        <f>$Q$3/(Table2[[#This Row],[cases]]*5)</f>
        <v>93.712690355329954</v>
      </c>
      <c r="N9" s="13">
        <f>$Q$3/(Table2[[#This Row],[cases]]*7)</f>
        <v>66.93763596809282</v>
      </c>
      <c r="O9" s="3">
        <f>Table2[[#This Row],[1-in-X odds, estimating 5x cases infected]]-Table2[[#This Row],[1-in-X odds, estimating 7x cases infected]]</f>
        <v>26.775054387237134</v>
      </c>
      <c r="P9" s="3">
        <f>(Table2[[#This Row],[1-in-X odds, estimating 5x cases infected]]+Table2[[#This Row],[1-in-X odds, estimating 7x cases infected]])/2</f>
        <v>80.325163161711387</v>
      </c>
      <c r="R9" s="39">
        <f ca="1">OFFSET(data!H1,COUNTA(data!H:H)-1,0)</f>
        <v>2778</v>
      </c>
      <c r="S9" s="3"/>
    </row>
    <row r="10" spans="1:19" x14ac:dyDescent="0.2">
      <c r="A10" s="9">
        <v>43921</v>
      </c>
      <c r="B10" s="10">
        <v>238</v>
      </c>
      <c r="C10" s="28">
        <f>(Table2[[#This Row],[cases]]-B9)/B9</f>
        <v>0.20812182741116753</v>
      </c>
      <c r="D10" s="42">
        <f t="shared" si="0"/>
        <v>3.6661468285944667</v>
      </c>
      <c r="E10" s="10">
        <f>Table2[[#This Row],[cases]]*5</f>
        <v>1190</v>
      </c>
      <c r="F10" s="10">
        <f>Table2[[#This Row],[cases]]*7</f>
        <v>1666</v>
      </c>
      <c r="G10" s="10">
        <f>Table2[[#This Row],[infection count, estimating 7x cases infected]]-Table2[[#This Row],[infection count estimating 5x cases infected]]</f>
        <v>476</v>
      </c>
      <c r="H10" s="10">
        <f>(Table2[[#This Row],[infection count estimating 5x cases infected]]+Table2[[#This Row],[infection count, estimating 7x cases infected]])/2</f>
        <v>1428</v>
      </c>
      <c r="I10" s="15">
        <f>Table2[[#This Row],[infection count estimating 5x cases infected]]/$Q$3</f>
        <v>1.2891763354891828E-2</v>
      </c>
      <c r="J10" s="15">
        <f>Table2[[#This Row],[infection count, estimating 7x cases infected]]/$Q$3</f>
        <v>1.804846869684856E-2</v>
      </c>
      <c r="K10" s="15">
        <f>Table2[[#This Row],[infection percentage, estimating 7x cases infected]]-Table2[[#This Row],[infection percentage, estimating 5x cases infected]]</f>
        <v>5.1567053419567313E-3</v>
      </c>
      <c r="L10" s="28">
        <f>(Table2[[#This Row],[infection percentage, estimating 5x cases infected]]+Table2[[#This Row],[infection percentage, estimating 7x cases infected]])/2</f>
        <v>1.5470116025870194E-2</v>
      </c>
      <c r="M10" s="13">
        <f>$Q$3/(Table2[[#This Row],[cases]]*5)</f>
        <v>77.568907563025206</v>
      </c>
      <c r="N10" s="13">
        <f>$Q$3/(Table2[[#This Row],[cases]]*7)</f>
        <v>55.406362545018006</v>
      </c>
      <c r="O10" s="3">
        <f>Table2[[#This Row],[1-in-X odds, estimating 5x cases infected]]-Table2[[#This Row],[1-in-X odds, estimating 7x cases infected]]</f>
        <v>22.162545018007201</v>
      </c>
      <c r="P10" s="3">
        <f>(Table2[[#This Row],[1-in-X odds, estimating 5x cases infected]]+Table2[[#This Row],[1-in-X odds, estimating 7x cases infected]])/2</f>
        <v>66.487635054021609</v>
      </c>
      <c r="S10" s="3"/>
    </row>
    <row r="11" spans="1:19" x14ac:dyDescent="0.2">
      <c r="A11" s="9">
        <v>43922</v>
      </c>
      <c r="B11" s="10">
        <v>266</v>
      </c>
      <c r="C11" s="28">
        <f>(Table2[[#This Row],[cases]]-B10)/B10</f>
        <v>0.11764705882352941</v>
      </c>
      <c r="D11" s="42">
        <f t="shared" si="0"/>
        <v>6.2319013047040608</v>
      </c>
      <c r="E11" s="10">
        <f>Table2[[#This Row],[cases]]*5</f>
        <v>1330</v>
      </c>
      <c r="F11" s="10">
        <f>Table2[[#This Row],[cases]]*7</f>
        <v>1862</v>
      </c>
      <c r="G11" s="10">
        <f>Table2[[#This Row],[infection count, estimating 7x cases infected]]-Table2[[#This Row],[infection count estimating 5x cases infected]]</f>
        <v>532</v>
      </c>
      <c r="H11" s="10">
        <f>(Table2[[#This Row],[infection count estimating 5x cases infected]]+Table2[[#This Row],[infection count, estimating 7x cases infected]])/2</f>
        <v>1596</v>
      </c>
      <c r="I11" s="15">
        <f>Table2[[#This Row],[infection count estimating 5x cases infected]]/$Q$3</f>
        <v>1.4408441396643807E-2</v>
      </c>
      <c r="J11" s="15">
        <f>Table2[[#This Row],[infection count, estimating 7x cases infected]]/$Q$3</f>
        <v>2.0171817955301333E-2</v>
      </c>
      <c r="K11" s="15">
        <f>Table2[[#This Row],[infection percentage, estimating 7x cases infected]]-Table2[[#This Row],[infection percentage, estimating 5x cases infected]]</f>
        <v>5.7633765586575254E-3</v>
      </c>
      <c r="L11" s="28">
        <f>(Table2[[#This Row],[infection percentage, estimating 5x cases infected]]+Table2[[#This Row],[infection percentage, estimating 7x cases infected]])/2</f>
        <v>1.7290129675972571E-2</v>
      </c>
      <c r="M11" s="13">
        <f>$Q$3/(Table2[[#This Row],[cases]]*5)</f>
        <v>69.403759398496234</v>
      </c>
      <c r="N11" s="13">
        <f>$Q$3/(Table2[[#This Row],[cases]]*7)</f>
        <v>49.574113856068742</v>
      </c>
      <c r="O11" s="3">
        <f>Table2[[#This Row],[1-in-X odds, estimating 5x cases infected]]-Table2[[#This Row],[1-in-X odds, estimating 7x cases infected]]</f>
        <v>19.829645542427492</v>
      </c>
      <c r="P11" s="3">
        <f>(Table2[[#This Row],[1-in-X odds, estimating 5x cases infected]]+Table2[[#This Row],[1-in-X odds, estimating 7x cases infected]])/2</f>
        <v>59.488936627282484</v>
      </c>
      <c r="R11" s="37" t="s">
        <v>33</v>
      </c>
      <c r="S11" s="3"/>
    </row>
    <row r="12" spans="1:19" x14ac:dyDescent="0.2">
      <c r="A12" s="9">
        <v>43923</v>
      </c>
      <c r="B12" s="10">
        <v>294</v>
      </c>
      <c r="C12" s="28">
        <f>(Table2[[#This Row],[cases]]-B11)/B11</f>
        <v>0.10526315789473684</v>
      </c>
      <c r="D12" s="42">
        <f t="shared" si="0"/>
        <v>6.9256917232261834</v>
      </c>
      <c r="E12" s="10">
        <f>Table2[[#This Row],[cases]]*5</f>
        <v>1470</v>
      </c>
      <c r="F12" s="10">
        <f>Table2[[#This Row],[cases]]*7</f>
        <v>2058</v>
      </c>
      <c r="G12" s="10">
        <f>Table2[[#This Row],[infection count, estimating 7x cases infected]]-Table2[[#This Row],[infection count estimating 5x cases infected]]</f>
        <v>588</v>
      </c>
      <c r="H12" s="10">
        <f>(Table2[[#This Row],[infection count estimating 5x cases infected]]+Table2[[#This Row],[infection count, estimating 7x cases infected]])/2</f>
        <v>1764</v>
      </c>
      <c r="I12" s="15">
        <f>Table2[[#This Row],[infection count estimating 5x cases infected]]/$Q$3</f>
        <v>1.5925119438395786E-2</v>
      </c>
      <c r="J12" s="15">
        <f>Table2[[#This Row],[infection count, estimating 7x cases infected]]/$Q$3</f>
        <v>2.2295167213754102E-2</v>
      </c>
      <c r="K12" s="15">
        <f>Table2[[#This Row],[infection percentage, estimating 7x cases infected]]-Table2[[#This Row],[infection percentage, estimating 5x cases infected]]</f>
        <v>6.370047775358316E-3</v>
      </c>
      <c r="L12" s="28">
        <f>(Table2[[#This Row],[infection percentage, estimating 5x cases infected]]+Table2[[#This Row],[infection percentage, estimating 7x cases infected]])/2</f>
        <v>1.9110143326074944E-2</v>
      </c>
      <c r="M12" s="13">
        <f>$Q$3/(Table2[[#This Row],[cases]]*5)</f>
        <v>62.793877551020408</v>
      </c>
      <c r="N12" s="13">
        <f>$Q$3/(Table2[[#This Row],[cases]]*7)</f>
        <v>44.852769679300295</v>
      </c>
      <c r="O12" s="3">
        <f>Table2[[#This Row],[1-in-X odds, estimating 5x cases infected]]-Table2[[#This Row],[1-in-X odds, estimating 7x cases infected]]</f>
        <v>17.941107871720114</v>
      </c>
      <c r="P12" s="3">
        <f>(Table2[[#This Row],[1-in-X odds, estimating 5x cases infected]]+Table2[[#This Row],[1-in-X odds, estimating 7x cases infected]])/2</f>
        <v>53.823323615160348</v>
      </c>
      <c r="R12" s="29">
        <f ca="1">OFFSET(data!L1,COUNTA(data!L:L)-1,0)</f>
        <v>3.0095225714192854E-2</v>
      </c>
      <c r="S12" s="3"/>
    </row>
    <row r="13" spans="1:19" x14ac:dyDescent="0.2">
      <c r="A13" s="9">
        <v>43924</v>
      </c>
      <c r="B13" s="10">
        <v>310</v>
      </c>
      <c r="C13" s="28">
        <f>(Table2[[#This Row],[cases]]-B12)/B12</f>
        <v>5.4421768707482991E-2</v>
      </c>
      <c r="D13" s="42">
        <f t="shared" si="0"/>
        <v>13.080092207751859</v>
      </c>
      <c r="E13" s="10">
        <f>Table2[[#This Row],[cases]]*5</f>
        <v>1550</v>
      </c>
      <c r="F13" s="10">
        <f>Table2[[#This Row],[cases]]*7</f>
        <v>2170</v>
      </c>
      <c r="G13" s="10">
        <f>Table2[[#This Row],[infection count, estimating 7x cases infected]]-Table2[[#This Row],[infection count estimating 5x cases infected]]</f>
        <v>620</v>
      </c>
      <c r="H13" s="10">
        <f>(Table2[[#This Row],[infection count estimating 5x cases infected]]+Table2[[#This Row],[infection count, estimating 7x cases infected]])/2</f>
        <v>1860</v>
      </c>
      <c r="I13" s="15">
        <f>Table2[[#This Row],[infection count estimating 5x cases infected]]/$Q$3</f>
        <v>1.6791792605111204E-2</v>
      </c>
      <c r="J13" s="15">
        <f>Table2[[#This Row],[infection count, estimating 7x cases infected]]/$Q$3</f>
        <v>2.3508509647155687E-2</v>
      </c>
      <c r="K13" s="15">
        <f>Table2[[#This Row],[infection percentage, estimating 7x cases infected]]-Table2[[#This Row],[infection percentage, estimating 5x cases infected]]</f>
        <v>6.716717042044483E-3</v>
      </c>
      <c r="L13" s="28">
        <f>(Table2[[#This Row],[infection percentage, estimating 5x cases infected]]+Table2[[#This Row],[infection percentage, estimating 7x cases infected]])/2</f>
        <v>2.0150151126133446E-2</v>
      </c>
      <c r="M13" s="13">
        <f>$Q$3/(Table2[[#This Row],[cases]]*5)</f>
        <v>59.552903225806453</v>
      </c>
      <c r="N13" s="13">
        <f>$Q$3/(Table2[[#This Row],[cases]]*7)</f>
        <v>42.537788018433183</v>
      </c>
      <c r="O13" s="3">
        <f>Table2[[#This Row],[1-in-X odds, estimating 5x cases infected]]-Table2[[#This Row],[1-in-X odds, estimating 7x cases infected]]</f>
        <v>17.01511520737327</v>
      </c>
      <c r="P13" s="3">
        <f>(Table2[[#This Row],[1-in-X odds, estimating 5x cases infected]]+Table2[[#This Row],[1-in-X odds, estimating 7x cases infected]])/2</f>
        <v>51.045345622119818</v>
      </c>
      <c r="S13" s="3"/>
    </row>
    <row r="14" spans="1:19" x14ac:dyDescent="0.2">
      <c r="A14" s="9">
        <v>43925</v>
      </c>
      <c r="B14" s="10">
        <v>347</v>
      </c>
      <c r="C14" s="28">
        <f>(Table2[[#This Row],[cases]]-B13)/B13</f>
        <v>0.11935483870967742</v>
      </c>
      <c r="D14" s="42">
        <f t="shared" si="0"/>
        <v>6.1475114816980732</v>
      </c>
      <c r="E14" s="10">
        <f>Table2[[#This Row],[cases]]*5</f>
        <v>1735</v>
      </c>
      <c r="F14" s="10">
        <f>Table2[[#This Row],[cases]]*7</f>
        <v>2429</v>
      </c>
      <c r="G14" s="10">
        <f>Table2[[#This Row],[infection count, estimating 7x cases infected]]-Table2[[#This Row],[infection count estimating 5x cases infected]]</f>
        <v>694</v>
      </c>
      <c r="H14" s="10">
        <f>(Table2[[#This Row],[infection count estimating 5x cases infected]]+Table2[[#This Row],[infection count, estimating 7x cases infected]])/2</f>
        <v>2082</v>
      </c>
      <c r="I14" s="15">
        <f>Table2[[#This Row],[infection count estimating 5x cases infected]]/$Q$3</f>
        <v>1.8795974303140606E-2</v>
      </c>
      <c r="J14" s="15">
        <f>Table2[[#This Row],[infection count, estimating 7x cases infected]]/$Q$3</f>
        <v>2.6314364024396849E-2</v>
      </c>
      <c r="K14" s="15">
        <f>Table2[[#This Row],[infection percentage, estimating 7x cases infected]]-Table2[[#This Row],[infection percentage, estimating 5x cases infected]]</f>
        <v>7.5183897212562426E-3</v>
      </c>
      <c r="L14" s="28">
        <f>(Table2[[#This Row],[infection percentage, estimating 5x cases infected]]+Table2[[#This Row],[infection percentage, estimating 7x cases infected]])/2</f>
        <v>2.2555169163768728E-2</v>
      </c>
      <c r="M14" s="13">
        <f>$Q$3/(Table2[[#This Row],[cases]]*5)</f>
        <v>53.2028818443804</v>
      </c>
      <c r="N14" s="13">
        <f>$Q$3/(Table2[[#This Row],[cases]]*7)</f>
        <v>38.002058460271719</v>
      </c>
      <c r="O14" s="3">
        <f>Table2[[#This Row],[1-in-X odds, estimating 5x cases infected]]-Table2[[#This Row],[1-in-X odds, estimating 7x cases infected]]</f>
        <v>15.200823384108681</v>
      </c>
      <c r="P14" s="3">
        <f>(Table2[[#This Row],[1-in-X odds, estimating 5x cases infected]]+Table2[[#This Row],[1-in-X odds, estimating 7x cases infected]])/2</f>
        <v>45.602470152326063</v>
      </c>
      <c r="R14" s="37" t="s">
        <v>34</v>
      </c>
      <c r="S14" s="3"/>
    </row>
    <row r="15" spans="1:19" x14ac:dyDescent="0.2">
      <c r="A15" s="9">
        <v>43926</v>
      </c>
      <c r="B15" s="10">
        <v>365</v>
      </c>
      <c r="C15" s="28">
        <f>(Table2[[#This Row],[cases]]-B14)/B14</f>
        <v>5.1873198847262249E-2</v>
      </c>
      <c r="D15" s="42">
        <f t="shared" si="0"/>
        <v>13.705989842517504</v>
      </c>
      <c r="E15" s="10">
        <f>Table2[[#This Row],[cases]]*5</f>
        <v>1825</v>
      </c>
      <c r="F15" s="10">
        <f>Table2[[#This Row],[cases]]*7</f>
        <v>2555</v>
      </c>
      <c r="G15" s="10">
        <f>Table2[[#This Row],[infection count, estimating 7x cases infected]]-Table2[[#This Row],[infection count estimating 5x cases infected]]</f>
        <v>730</v>
      </c>
      <c r="H15" s="10">
        <f>(Table2[[#This Row],[infection count estimating 5x cases infected]]+Table2[[#This Row],[infection count, estimating 7x cases infected]])/2</f>
        <v>2190</v>
      </c>
      <c r="I15" s="15">
        <f>Table2[[#This Row],[infection count estimating 5x cases infected]]/$Q$3</f>
        <v>1.9770981615695449E-2</v>
      </c>
      <c r="J15" s="15">
        <f>Table2[[#This Row],[infection count, estimating 7x cases infected]]/$Q$3</f>
        <v>2.767937426197363E-2</v>
      </c>
      <c r="K15" s="15">
        <f>Table2[[#This Row],[infection percentage, estimating 7x cases infected]]-Table2[[#This Row],[infection percentage, estimating 5x cases infected]]</f>
        <v>7.9083926462781805E-3</v>
      </c>
      <c r="L15" s="28">
        <f>(Table2[[#This Row],[infection percentage, estimating 5x cases infected]]+Table2[[#This Row],[infection percentage, estimating 7x cases infected]])/2</f>
        <v>2.3725177938834538E-2</v>
      </c>
      <c r="M15" s="13">
        <f>$Q$3/(Table2[[#This Row],[cases]]*5)</f>
        <v>50.579178082191781</v>
      </c>
      <c r="N15" s="13">
        <f>$Q$3/(Table2[[#This Row],[cases]]*7)</f>
        <v>36.1279843444227</v>
      </c>
      <c r="O15" s="3">
        <f>Table2[[#This Row],[1-in-X odds, estimating 5x cases infected]]-Table2[[#This Row],[1-in-X odds, estimating 7x cases infected]]</f>
        <v>14.451193737769081</v>
      </c>
      <c r="P15" s="3">
        <f>(Table2[[#This Row],[1-in-X odds, estimating 5x cases infected]]+Table2[[#This Row],[1-in-X odds, estimating 7x cases infected]])/2</f>
        <v>43.353581213307237</v>
      </c>
      <c r="R15" s="3">
        <f ca="1">OFFSET(data!P1,COUNTA(data!P:P)-1,0)</f>
        <v>34.177229250231413</v>
      </c>
      <c r="S15" s="3"/>
    </row>
    <row r="16" spans="1:19" x14ac:dyDescent="0.2">
      <c r="A16" s="9">
        <v>43927</v>
      </c>
      <c r="B16" s="10">
        <v>396</v>
      </c>
      <c r="C16" s="28">
        <f>(Table2[[#This Row],[cases]]-B15)/B15</f>
        <v>8.4931506849315067E-2</v>
      </c>
      <c r="D16" s="42">
        <f t="shared" si="0"/>
        <v>8.5031145747675918</v>
      </c>
      <c r="E16" s="1">
        <f>Table2[[#This Row],[cases]]*5</f>
        <v>1980</v>
      </c>
      <c r="F16" s="1">
        <f>Table2[[#This Row],[cases]]*7</f>
        <v>2772</v>
      </c>
      <c r="G16" s="1">
        <f>Table2[[#This Row],[infection count, estimating 7x cases infected]]-Table2[[#This Row],[infection count estimating 5x cases infected]]</f>
        <v>792</v>
      </c>
      <c r="H16" s="1">
        <f>(Table2[[#This Row],[infection count estimating 5x cases infected]]+Table2[[#This Row],[infection count, estimating 7x cases infected]])/2</f>
        <v>2376</v>
      </c>
      <c r="I16" s="16">
        <f>Table2[[#This Row],[infection count estimating 5x cases infected]]/$Q$3</f>
        <v>2.1450160876206572E-2</v>
      </c>
      <c r="J16" s="15">
        <f>Table2[[#This Row],[infection count, estimating 7x cases infected]]/$Q$3</f>
        <v>3.0030225226689199E-2</v>
      </c>
      <c r="K16" s="16">
        <f>Table2[[#This Row],[infection percentage, estimating 7x cases infected]]-Table2[[#This Row],[infection percentage, estimating 5x cases infected]]</f>
        <v>8.5800643504826274E-3</v>
      </c>
      <c r="L16" s="29">
        <f>(Table2[[#This Row],[infection percentage, estimating 5x cases infected]]+Table2[[#This Row],[infection percentage, estimating 7x cases infected]])/2</f>
        <v>2.5740193051447886E-2</v>
      </c>
      <c r="M16" s="3">
        <f>$Q$3/(Table2[[#This Row],[cases]]*5)</f>
        <v>46.619696969696967</v>
      </c>
      <c r="N16" s="3">
        <f>$Q$3/(Table2[[#This Row],[cases]]*7)</f>
        <v>33.299783549783548</v>
      </c>
      <c r="O16" s="3">
        <f>Table2[[#This Row],[1-in-X odds, estimating 5x cases infected]]-Table2[[#This Row],[1-in-X odds, estimating 7x cases infected]]</f>
        <v>13.319913419913419</v>
      </c>
      <c r="P16" s="3">
        <f>(Table2[[#This Row],[1-in-X odds, estimating 5x cases infected]]+Table2[[#This Row],[1-in-X odds, estimating 7x cases infected]])/2</f>
        <v>39.959740259740258</v>
      </c>
      <c r="S16" s="35" t="s">
        <v>28</v>
      </c>
    </row>
    <row r="17" spans="1:19" x14ac:dyDescent="0.2">
      <c r="A17" s="9">
        <v>43928</v>
      </c>
      <c r="B17" s="10">
        <v>428</v>
      </c>
      <c r="C17" s="28">
        <f>(Table2[[#This Row],[cases]]-B16)/B16</f>
        <v>8.0808080808080815E-2</v>
      </c>
      <c r="D17" s="42">
        <f t="shared" si="0"/>
        <v>8.9197817544539646</v>
      </c>
      <c r="E17" s="1">
        <f>Table2[[#This Row],[cases]]*5</f>
        <v>2140</v>
      </c>
      <c r="F17" s="1">
        <f>Table2[[#This Row],[cases]]*7</f>
        <v>2996</v>
      </c>
      <c r="G17" s="1">
        <f>Table2[[#This Row],[infection count, estimating 7x cases infected]]-Table2[[#This Row],[infection count estimating 5x cases infected]]</f>
        <v>856</v>
      </c>
      <c r="H17" s="1">
        <f>(Table2[[#This Row],[infection count estimating 5x cases infected]]+Table2[[#This Row],[infection count, estimating 7x cases infected]])/2</f>
        <v>2568</v>
      </c>
      <c r="I17" s="16">
        <f>Table2[[#This Row],[infection count estimating 5x cases infected]]/$Q$3</f>
        <v>2.3183507209637407E-2</v>
      </c>
      <c r="J17" s="15">
        <f>Table2[[#This Row],[infection count, estimating 7x cases infected]]/$Q$3</f>
        <v>3.2456910093492365E-2</v>
      </c>
      <c r="K17" s="16">
        <f>Table2[[#This Row],[infection percentage, estimating 7x cases infected]]-Table2[[#This Row],[infection percentage, estimating 5x cases infected]]</f>
        <v>9.273402883854958E-3</v>
      </c>
      <c r="L17" s="29">
        <f>(Table2[[#This Row],[infection percentage, estimating 5x cases infected]]+Table2[[#This Row],[infection percentage, estimating 7x cases infected]])/2</f>
        <v>2.7820208651564884E-2</v>
      </c>
      <c r="M17" s="3">
        <f>$Q$3/(Table2[[#This Row],[cases]]*5)</f>
        <v>43.134112149532712</v>
      </c>
      <c r="N17" s="3">
        <f>$Q$3/(Table2[[#This Row],[cases]]*7)</f>
        <v>30.810080106809078</v>
      </c>
      <c r="O17" s="3">
        <f>Table2[[#This Row],[1-in-X odds, estimating 5x cases infected]]-Table2[[#This Row],[1-in-X odds, estimating 7x cases infected]]</f>
        <v>12.324032042723633</v>
      </c>
      <c r="P17" s="3">
        <f>(Table2[[#This Row],[1-in-X odds, estimating 5x cases infected]]+Table2[[#This Row],[1-in-X odds, estimating 7x cases infected]])/2</f>
        <v>36.972096128170897</v>
      </c>
      <c r="R17" s="37" t="s">
        <v>36</v>
      </c>
      <c r="S17" s="34" t="s">
        <v>26</v>
      </c>
    </row>
    <row r="18" spans="1:19" x14ac:dyDescent="0.2">
      <c r="A18" s="9">
        <v>43929</v>
      </c>
      <c r="B18" s="10">
        <v>463</v>
      </c>
      <c r="C18" s="28">
        <f>(Table2[[#This Row],[cases]]-B17)/B17</f>
        <v>8.1775700934579434E-2</v>
      </c>
      <c r="D18" s="42">
        <f t="shared" si="0"/>
        <v>8.8182335288390004</v>
      </c>
      <c r="E18" s="20">
        <f>Table2[[#This Row],[cases]]*5</f>
        <v>2315</v>
      </c>
      <c r="F18" s="20">
        <f>Table2[[#This Row],[cases]]*7</f>
        <v>3241</v>
      </c>
      <c r="G18" s="20">
        <f>Table2[[#This Row],[infection count, estimating 7x cases infected]]-Table2[[#This Row],[infection count estimating 5x cases infected]]</f>
        <v>926</v>
      </c>
      <c r="H18" s="20">
        <f>(Table2[[#This Row],[infection count estimating 5x cases infected]]+Table2[[#This Row],[infection count, estimating 7x cases infected]])/2</f>
        <v>2778</v>
      </c>
      <c r="I18" s="16">
        <f>Table2[[#This Row],[infection count estimating 5x cases infected]]/$Q$3</f>
        <v>2.5079354761827381E-2</v>
      </c>
      <c r="J18" s="16">
        <f>Table2[[#This Row],[infection count, estimating 7x cases infected]]/$Q$3</f>
        <v>3.5111096666558331E-2</v>
      </c>
      <c r="K18" s="16">
        <f>Table2[[#This Row],[infection percentage, estimating 7x cases infected]]-Table2[[#This Row],[infection percentage, estimating 5x cases infected]]</f>
        <v>1.003174190473095E-2</v>
      </c>
      <c r="L18" s="29">
        <f>(Table2[[#This Row],[infection percentage, estimating 5x cases infected]]+Table2[[#This Row],[infection percentage, estimating 7x cases infected]])/2</f>
        <v>3.0095225714192854E-2</v>
      </c>
      <c r="M18" s="3">
        <f>$Q$3/(Table2[[#This Row],[cases]]*5)</f>
        <v>39.873434125269981</v>
      </c>
      <c r="N18" s="3">
        <f>$Q$3/(Table2[[#This Row],[cases]]*7)</f>
        <v>28.481024375192842</v>
      </c>
      <c r="O18" s="3">
        <f>Table2[[#This Row],[1-in-X odds, estimating 5x cases infected]]-Table2[[#This Row],[1-in-X odds, estimating 7x cases infected]]</f>
        <v>11.392409750077139</v>
      </c>
      <c r="P18" s="3">
        <f>(Table2[[#This Row],[1-in-X odds, estimating 5x cases infected]]+Table2[[#This Row],[1-in-X odds, estimating 7x cases infected]])/2</f>
        <v>34.177229250231413</v>
      </c>
      <c r="R18" s="37"/>
      <c r="S18" s="33"/>
    </row>
    <row r="19" spans="1:19" x14ac:dyDescent="0.2">
      <c r="R19" s="3">
        <f ca="1">OFFSET(data!D1,COUNTA(data!D:D)-1,0)</f>
        <v>8.8182335288390004</v>
      </c>
      <c r="S19" s="34" t="s">
        <v>27</v>
      </c>
    </row>
    <row r="20" spans="1:19" x14ac:dyDescent="0.2">
      <c r="S20" s="40" t="str">
        <f ca="1">"updated " &amp; TEXT($R3,"MMMM d, yyyy") &amp; ", morning"</f>
        <v>updated April 8, 2020, morning</v>
      </c>
    </row>
    <row r="21" spans="1:19" x14ac:dyDescent="0.2">
      <c r="R21" s="37" t="s">
        <v>38</v>
      </c>
      <c r="S21" s="40"/>
    </row>
    <row r="22" spans="1:19" x14ac:dyDescent="0.2">
      <c r="R22" s="29">
        <f ca="1">OFFSET(data!C1,COUNTA(data!C:C)-1,0)</f>
        <v>8.1775700934579434E-2</v>
      </c>
    </row>
    <row r="23" spans="1:19" x14ac:dyDescent="0.2">
      <c r="S23" s="36" t="s">
        <v>29</v>
      </c>
    </row>
    <row r="24" spans="1:19" x14ac:dyDescent="0.2">
      <c r="S24" s="1" t="str">
        <f ca="1">"There have been " &amp; R6 &amp; " confirmed cases of COVID-19 disease in Miami Beach since the start of the outbreak."</f>
        <v>There have been 463 confirmed cases of COVID-19 disease in Miami Beach since the start of the outbreak.</v>
      </c>
    </row>
    <row r="26" spans="1:19" x14ac:dyDescent="0.2">
      <c r="S26" s="1" t="str">
        <f ca="1">"Around " &amp;TEXT(R9,"#,##0") &amp;" people in Miami Beach may have already been infected with the SARS-CoV-2 virus, based on a population count of " &amp; Q3</f>
        <v>Around 2,778 people in Miami Beach may have already been infected with the SARS-CoV-2 virus, based on a population count of 92307</v>
      </c>
    </row>
    <row r="28" spans="1:19" x14ac:dyDescent="0.2">
      <c r="S28" s="1" t="str">
        <f ca="1">"Around " &amp; TEXT(R12,"0.0%") &amp; " of the total population of Miami Beach may have already been infected with the SARS-CoV-2 virus, based on a population count of " &amp; Q3 &amp; "."</f>
        <v>Around 3.0% of the total population of Miami Beach may have already been infected with the SARS-CoV-2 virus, based on a population count of 92307.</v>
      </c>
    </row>
    <row r="30" spans="1:19" x14ac:dyDescent="0.2">
      <c r="S30" s="1" t="str">
        <f ca="1">"The odds of any given person in Miami Beach having been infected with SARS-CoV-2 is currently estimated to be around one in " &amp; TEXT(R15,"#,##0")  &amp; "."</f>
        <v>The odds of any given person in Miami Beach having been infected with SARS-CoV-2 is currently estimated to be around one in 34.</v>
      </c>
    </row>
    <row r="32" spans="1:19" x14ac:dyDescent="0.2">
      <c r="S32" s="1" t="str">
        <f ca="1">"doubing in " &amp; TEXT(R19,"0.0") &amp; " days"</f>
        <v>doubing in 8.8 days</v>
      </c>
    </row>
    <row r="34" spans="19:19" x14ac:dyDescent="0.2">
      <c r="S34" t="str">
        <f ca="1">TEXT(R22, "+0.0%;-0.0%") &amp; " per day"</f>
        <v>+8.2% per day</v>
      </c>
    </row>
  </sheetData>
  <phoneticPr fontId="3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cases</vt:lpstr>
      <vt:lpstr>doubling time</vt:lpstr>
      <vt:lpstr>number of infections</vt:lpstr>
      <vt:lpstr>infection percentage</vt:lpstr>
      <vt:lpstr>infection odds</vt:lpstr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Porter</dc:creator>
  <cp:lastModifiedBy>Ryan Porter</cp:lastModifiedBy>
  <dcterms:created xsi:type="dcterms:W3CDTF">2020-04-06T13:55:13Z</dcterms:created>
  <dcterms:modified xsi:type="dcterms:W3CDTF">2020-04-08T15:20:38Z</dcterms:modified>
</cp:coreProperties>
</file>