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ork/projects/BeachAnalytics/analysis/"/>
    </mc:Choice>
  </mc:AlternateContent>
  <xr:revisionPtr revIDLastSave="0" documentId="13_ncr:1_{036313A7-020D-7944-8301-5AAEB24352A5}" xr6:coauthVersionLast="45" xr6:coauthVersionMax="45" xr10:uidLastSave="{00000000-0000-0000-0000-000000000000}"/>
  <bookViews>
    <workbookView xWindow="0" yWindow="0" windowWidth="28800" windowHeight="18000" xr2:uid="{B3DEE8B6-B165-0444-A2CF-347D664BBB9D}"/>
  </bookViews>
  <sheets>
    <sheet name="US" sheetId="1" r:id="rId1"/>
    <sheet name="Florida" sheetId="4" r:id="rId2"/>
    <sheet name="Miami-Dade" sheetId="5" r:id="rId3"/>
    <sheet name="Broward" sheetId="6" r:id="rId4"/>
    <sheet name="data" sheetId="2" r:id="rId5"/>
  </sheets>
  <definedNames>
    <definedName name="_xlchart.v1.0" hidden="1">US!$K$11</definedName>
    <definedName name="_xlchart.v1.1" hidden="1">US!$K$12</definedName>
    <definedName name="_xlchart.v1.10" hidden="1">US!$L$4</definedName>
    <definedName name="_xlchart.v1.11" hidden="1">US!$L$5</definedName>
    <definedName name="_xlchart.v1.12" hidden="1">US!$K$11</definedName>
    <definedName name="_xlchart.v1.13" hidden="1">US!$K$12</definedName>
    <definedName name="_xlchart.v1.14" hidden="1">US!$K$4</definedName>
    <definedName name="_xlchart.v1.15" hidden="1">US!$K$5</definedName>
    <definedName name="_xlchart.v1.16" hidden="1">US!$L$4</definedName>
    <definedName name="_xlchart.v1.17" hidden="1">US!$L$5</definedName>
    <definedName name="_xlchart.v1.18" hidden="1">US!$K$11</definedName>
    <definedName name="_xlchart.v1.19" hidden="1">US!$K$12</definedName>
    <definedName name="_xlchart.v1.2" hidden="1">US!$K$4</definedName>
    <definedName name="_xlchart.v1.20" hidden="1">US!$K$4</definedName>
    <definedName name="_xlchart.v1.21" hidden="1">US!$K$5</definedName>
    <definedName name="_xlchart.v1.22" hidden="1">US!$L$4</definedName>
    <definedName name="_xlchart.v1.23" hidden="1">US!$L$5</definedName>
    <definedName name="_xlchart.v1.24" hidden="1">US!$K$11</definedName>
    <definedName name="_xlchart.v1.25" hidden="1">US!$K$12</definedName>
    <definedName name="_xlchart.v1.26" hidden="1">US!$K$4</definedName>
    <definedName name="_xlchart.v1.27" hidden="1">US!$K$5</definedName>
    <definedName name="_xlchart.v1.28" hidden="1">US!$L$4</definedName>
    <definedName name="_xlchart.v1.29" hidden="1">US!$L$5</definedName>
    <definedName name="_xlchart.v1.3" hidden="1">US!$K$5</definedName>
    <definedName name="_xlchart.v1.30" hidden="1">US!$K$11</definedName>
    <definedName name="_xlchart.v1.31" hidden="1">US!$K$12</definedName>
    <definedName name="_xlchart.v1.32" hidden="1">US!$K$4</definedName>
    <definedName name="_xlchart.v1.33" hidden="1">US!$K$5</definedName>
    <definedName name="_xlchart.v1.34" hidden="1">US!$L$4</definedName>
    <definedName name="_xlchart.v1.35" hidden="1">US!$L$5</definedName>
    <definedName name="_xlchart.v1.36" hidden="1">US!$K$11</definedName>
    <definedName name="_xlchart.v1.37" hidden="1">US!$K$12</definedName>
    <definedName name="_xlchart.v1.38" hidden="1">US!$K$4</definedName>
    <definedName name="_xlchart.v1.39" hidden="1">US!$K$5</definedName>
    <definedName name="_xlchart.v1.4" hidden="1">US!$L$4</definedName>
    <definedName name="_xlchart.v1.40" hidden="1">US!$L$4</definedName>
    <definedName name="_xlchart.v1.41" hidden="1">US!$L$5</definedName>
    <definedName name="_xlchart.v1.42" hidden="1">US!$K$11</definedName>
    <definedName name="_xlchart.v1.43" hidden="1">US!$K$12</definedName>
    <definedName name="_xlchart.v1.44" hidden="1">US!$K$4</definedName>
    <definedName name="_xlchart.v1.45" hidden="1">US!$K$5</definedName>
    <definedName name="_xlchart.v1.46" hidden="1">US!$L$4</definedName>
    <definedName name="_xlchart.v1.47" hidden="1">US!$L$5</definedName>
    <definedName name="_xlchart.v1.5" hidden="1">US!$L$5</definedName>
    <definedName name="_xlchart.v1.6" hidden="1">US!$K$11</definedName>
    <definedName name="_xlchart.v1.7" hidden="1">US!$K$12</definedName>
    <definedName name="_xlchart.v1.8" hidden="1">US!$K$4</definedName>
    <definedName name="_xlchart.v1.9" hidden="1">US!$K$5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6" l="1"/>
  <c r="K15" i="5"/>
  <c r="K15" i="4"/>
  <c r="K15" i="1"/>
  <c r="K12" i="6"/>
  <c r="L9" i="6"/>
  <c r="O9" i="6" s="1"/>
  <c r="K9" i="6"/>
  <c r="K17" i="6" s="1"/>
  <c r="L5" i="6"/>
  <c r="K5" i="6"/>
  <c r="N5" i="6" s="1"/>
  <c r="O5" i="6" s="1"/>
  <c r="P5" i="6" s="1" a="1"/>
  <c r="P5" i="6" s="1"/>
  <c r="K16" i="6"/>
  <c r="K12" i="5"/>
  <c r="L9" i="5"/>
  <c r="O9" i="5" s="1"/>
  <c r="K9" i="5"/>
  <c r="L5" i="5"/>
  <c r="K5" i="5"/>
  <c r="K16" i="5"/>
  <c r="N9" i="5"/>
  <c r="K17" i="5"/>
  <c r="K17" i="1"/>
  <c r="K17" i="4"/>
  <c r="K12" i="4"/>
  <c r="L9" i="4"/>
  <c r="O9" i="4" s="1"/>
  <c r="K9" i="4"/>
  <c r="L5" i="4"/>
  <c r="K5" i="4"/>
  <c r="N5" i="4" s="1"/>
  <c r="O5" i="4" s="1"/>
  <c r="P5" i="4" s="1" a="1"/>
  <c r="P5" i="4" s="1"/>
  <c r="K16" i="4"/>
  <c r="K16" i="1"/>
  <c r="P5" i="1" a="1"/>
  <c r="P5" i="1"/>
  <c r="P9" i="1" a="1"/>
  <c r="P9" i="1"/>
  <c r="O9" i="1"/>
  <c r="N9" i="1"/>
  <c r="O5" i="1"/>
  <c r="N5" i="1"/>
  <c r="K9" i="1"/>
  <c r="K12" i="1"/>
  <c r="K5" i="1"/>
  <c r="L9" i="1"/>
  <c r="G2" i="2"/>
  <c r="G3" i="2"/>
  <c r="G4" i="2"/>
  <c r="G5" i="2"/>
  <c r="L5" i="1"/>
  <c r="F2" i="2"/>
  <c r="F3" i="2"/>
  <c r="F5" i="2"/>
  <c r="H2" i="2"/>
  <c r="H3" i="2"/>
  <c r="E5" i="2"/>
  <c r="H5" i="2" s="1"/>
  <c r="E4" i="2"/>
  <c r="H4" i="2" s="1"/>
  <c r="N9" i="6" l="1"/>
  <c r="P9" i="6" s="1" a="1"/>
  <c r="P9" i="6" s="1"/>
  <c r="P9" i="5" a="1"/>
  <c r="P9" i="5" s="1"/>
  <c r="N5" i="5"/>
  <c r="O5" i="5" s="1"/>
  <c r="P5" i="5" s="1" a="1"/>
  <c r="P5" i="5" s="1"/>
  <c r="N9" i="4"/>
  <c r="P9" i="4" s="1" a="1"/>
  <c r="P9" i="4" s="1"/>
  <c r="F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<sst xmlns="http://schemas.openxmlformats.org/spreadsheetml/2006/main" count="77" uniqueCount="19">
  <si>
    <t>area</t>
  </si>
  <si>
    <t>population</t>
  </si>
  <si>
    <t>prevalence</t>
  </si>
  <si>
    <t>deaths</t>
  </si>
  <si>
    <t>US</t>
  </si>
  <si>
    <t>Florida</t>
  </si>
  <si>
    <t>Miami-Dade County</t>
  </si>
  <si>
    <t>Broward County</t>
  </si>
  <si>
    <t>cases</t>
  </si>
  <si>
    <t>projected deaths at 81% prevalence</t>
  </si>
  <si>
    <t>estimated number of infections</t>
  </si>
  <si>
    <t>Chart I</t>
  </si>
  <si>
    <t>Chart II</t>
  </si>
  <si>
    <t>number of infections at 81% prevalence</t>
  </si>
  <si>
    <t>number of infections</t>
  </si>
  <si>
    <t>explanation</t>
  </si>
  <si>
    <t>bars</t>
  </si>
  <si>
    <t>infections</t>
  </si>
  <si>
    <t>https://beachanalytics.info/2020/05/23/estimating-the-cost-of-reaching-herd-immunity.html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</si>
</sst>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Inconsolata"/>
    </font>
    <font>
      <b/>
      <sz val="12"/>
      <color theme="1"/>
      <name val="Inconsolat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ECF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1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3" fontId="2" fillId="3" borderId="0" xfId="0" applyNumberFormat="1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</dxfs>
  <tableStyles count="0" defaultTableStyle="TableStyleMedium2" defaultPivotStyle="PivotStyleLight16"/>
  <colors>
    <mruColors>
      <color rgb="FFDEECF7"/>
      <color rgb="FFDEE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US!$K$11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US!$K$12</c:f>
              <c:numCache>
                <c:formatCode>#,##0</c:formatCode>
                <c:ptCount val="1"/>
                <c:pt idx="0">
                  <c:v>328200000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58-0540-A45B-2E5E2FAE3FC7}"/>
            </c:ext>
          </c:extLst>
        </c:ser>
        <c:ser>
          <c:idx val="1"/>
          <c:order val="1"/>
          <c:tx>
            <c:strRef>
              <c:f>US!$L$4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US!$L$5</c:f>
              <c:numCache>
                <c:formatCode>#,##0</c:formatCode>
                <c:ptCount val="1"/>
                <c:pt idx="0">
                  <c:v>13456200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8-0540-A45B-2E5E2FAE3FC7}"/>
            </c:ext>
          </c:extLst>
        </c:ser>
        <c:ser>
          <c:idx val="0"/>
          <c:order val="2"/>
          <c:tx>
            <c:strRef>
              <c:f>US!$K$4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US!$K$5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8-0540-A45B-2E5E2FAE3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A-154F-AC00-41DF44B0D05A}"/>
            </c:ext>
          </c:extLst>
        </c:ser>
        <c:ser>
          <c:idx val="1"/>
          <c:order val="1"/>
          <c:tx>
            <c:strRef>
              <c:f>US!$O$4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US!$O$5</c:f>
              <c:numCache>
                <c:formatCode>#,##0</c:formatCode>
                <c:ptCount val="1"/>
                <c:pt idx="0">
                  <c:v>13360229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A-154F-AC00-41DF44B0D05A}"/>
            </c:ext>
          </c:extLst>
        </c:ser>
        <c:ser>
          <c:idx val="2"/>
          <c:order val="2"/>
          <c:tx>
            <c:strRef>
              <c:f>US!$P$4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US!$P$5</c:f>
              <c:numCache>
                <c:formatCode>#,##0</c:formatCode>
                <c:ptCount val="1"/>
                <c:pt idx="0">
                  <c:v>314743800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A-154F-AC00-41DF44B0D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2-6048-91CF-5A0390315E6E}"/>
            </c:ext>
          </c:extLst>
        </c:ser>
        <c:ser>
          <c:idx val="1"/>
          <c:order val="1"/>
          <c:tx>
            <c:strRef>
              <c:f>US!$O$8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US!$O$9</c:f>
              <c:numCache>
                <c:formatCode>#,##0</c:formatCode>
                <c:ptCount val="1"/>
                <c:pt idx="0">
                  <c:v>263945987.56097564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2-6048-91CF-5A0390315E6E}"/>
            </c:ext>
          </c:extLst>
        </c:ser>
        <c:ser>
          <c:idx val="2"/>
          <c:order val="2"/>
          <c:tx>
            <c:strRef>
              <c:f>US!$P$8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US!$P$9</c:f>
              <c:numCache>
                <c:formatCode>#,##0</c:formatCode>
                <c:ptCount val="1"/>
                <c:pt idx="0">
                  <c:v>62357999.99999997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2-6048-91CF-5A0390315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D-464D-AE15-C995293C0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Florida!$K$11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Florida!$K$12</c:f>
              <c:numCache>
                <c:formatCode>#,##0</c:formatCode>
                <c:ptCount val="1"/>
                <c:pt idx="0">
                  <c:v>21480000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6-B44A-8A44-11B1AAAC65F4}"/>
            </c:ext>
          </c:extLst>
        </c:ser>
        <c:ser>
          <c:idx val="1"/>
          <c:order val="1"/>
          <c:tx>
            <c:strRef>
              <c:f>Florida!$L$4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Florida!$L$5</c:f>
              <c:numCache>
                <c:formatCode>#,##0</c:formatCode>
                <c:ptCount val="1"/>
                <c:pt idx="0">
                  <c:v>279240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6-B44A-8A44-11B1AAAC65F4}"/>
            </c:ext>
          </c:extLst>
        </c:ser>
        <c:ser>
          <c:idx val="0"/>
          <c:order val="2"/>
          <c:tx>
            <c:strRef>
              <c:f>Florida!$K$4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Florida!$K$5</c:f>
              <c:numCache>
                <c:formatCode>#,##0</c:formatCode>
                <c:ptCount val="1"/>
                <c:pt idx="0">
                  <c:v>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6-B44A-8A44-11B1AAAC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Florida!$N$5</c:f>
              <c:numCache>
                <c:formatCode>#,##0</c:formatCode>
                <c:ptCount val="1"/>
                <c:pt idx="0">
                  <c:v>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4-E444-862F-7E4C1E039B09}"/>
            </c:ext>
          </c:extLst>
        </c:ser>
        <c:ser>
          <c:idx val="1"/>
          <c:order val="1"/>
          <c:tx>
            <c:strRef>
              <c:f>Florida!$O$4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Florida!$O$5</c:f>
              <c:numCache>
                <c:formatCode>#,##0</c:formatCode>
                <c:ptCount val="1"/>
                <c:pt idx="0">
                  <c:v>277008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04-E444-862F-7E4C1E039B09}"/>
            </c:ext>
          </c:extLst>
        </c:ser>
        <c:ser>
          <c:idx val="2"/>
          <c:order val="2"/>
          <c:tx>
            <c:strRef>
              <c:f>Florida!$P$4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Florida!$P$5</c:f>
              <c:numCache>
                <c:formatCode>#,##0</c:formatCode>
                <c:ptCount val="1"/>
                <c:pt idx="0">
                  <c:v>21200760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04-E444-862F-7E4C1E03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Florida!$N$9</c:f>
              <c:numCache>
                <c:formatCode>#,##0</c:formatCode>
                <c:ptCount val="1"/>
                <c:pt idx="0">
                  <c:v>139070.76923076925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A-D24B-91CC-ECFF71FD4780}"/>
            </c:ext>
          </c:extLst>
        </c:ser>
        <c:ser>
          <c:idx val="1"/>
          <c:order val="1"/>
          <c:tx>
            <c:strRef>
              <c:f>Florida!$O$8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Florida!$O$9</c:f>
              <c:numCache>
                <c:formatCode>#,##0</c:formatCode>
                <c:ptCount val="1"/>
                <c:pt idx="0">
                  <c:v>17259729.230769232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A-D24B-91CC-ECFF71FD4780}"/>
            </c:ext>
          </c:extLst>
        </c:ser>
        <c:ser>
          <c:idx val="2"/>
          <c:order val="2"/>
          <c:tx>
            <c:strRef>
              <c:f>Florida!$P$8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Florida!$P$9</c:f>
              <c:numCache>
                <c:formatCode>#,##0</c:formatCode>
                <c:ptCount val="1"/>
                <c:pt idx="0">
                  <c:v>4081200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A-D24B-91CC-ECFF71FD4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Florida!$N$9</c:f>
              <c:numCache>
                <c:formatCode>#,##0</c:formatCode>
                <c:ptCount val="1"/>
                <c:pt idx="0">
                  <c:v>139070.76923076925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7-9B47-A4C1-738555B19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'Miami-Dade'!$K$11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'Miami-Dade'!$K$12</c:f>
              <c:numCache>
                <c:formatCode>#,##0</c:formatCode>
                <c:ptCount val="1"/>
                <c:pt idx="0">
                  <c:v>2717000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1-EC4F-9792-B614B0D2D5CA}"/>
            </c:ext>
          </c:extLst>
        </c:ser>
        <c:ser>
          <c:idx val="1"/>
          <c:order val="1"/>
          <c:tx>
            <c:strRef>
              <c:f>'Miami-Dade'!$L$4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'Miami-Dade'!$L$5</c:f>
              <c:numCache>
                <c:formatCode>#,##0</c:formatCode>
                <c:ptCount val="1"/>
                <c:pt idx="0">
                  <c:v>66048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1-EC4F-9792-B614B0D2D5CA}"/>
            </c:ext>
          </c:extLst>
        </c:ser>
        <c:ser>
          <c:idx val="0"/>
          <c:order val="2"/>
          <c:tx>
            <c:strRef>
              <c:f>'Miami-Dade'!$K$4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'Miami-Dade'!$K$5</c:f>
              <c:numCache>
                <c:formatCode>#,##0</c:formatCode>
                <c:ptCount val="1"/>
                <c:pt idx="0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1-EC4F-9792-B614B0D2D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'Miami-Dade'!$N$5</c:f>
              <c:numCache>
                <c:formatCode>#,##0</c:formatCode>
                <c:ptCount val="1"/>
                <c:pt idx="0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6-9944-B06E-0B808F2BC9E7}"/>
            </c:ext>
          </c:extLst>
        </c:ser>
        <c:ser>
          <c:idx val="1"/>
          <c:order val="1"/>
          <c:tx>
            <c:strRef>
              <c:f>'Miami-Dade'!$O$4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'Miami-Dade'!$O$5</c:f>
              <c:numCache>
                <c:formatCode>#,##0</c:formatCode>
                <c:ptCount val="1"/>
                <c:pt idx="0">
                  <c:v>65419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6-9944-B06E-0B808F2BC9E7}"/>
            </c:ext>
          </c:extLst>
        </c:ser>
        <c:ser>
          <c:idx val="2"/>
          <c:order val="2"/>
          <c:tx>
            <c:strRef>
              <c:f>'Miami-Dade'!$P$4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'Miami-Dade'!$P$5</c:f>
              <c:numCache>
                <c:formatCode>#,##0</c:formatCode>
                <c:ptCount val="1"/>
                <c:pt idx="0">
                  <c:v>2650952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6-9944-B06E-0B808F2B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'Miami-Dade'!$N$9</c:f>
              <c:numCache>
                <c:formatCode>#,##0</c:formatCode>
                <c:ptCount val="1"/>
                <c:pt idx="0">
                  <c:v>20958.762263808138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B-7941-B831-7F219D8ECC02}"/>
            </c:ext>
          </c:extLst>
        </c:ser>
        <c:ser>
          <c:idx val="1"/>
          <c:order val="1"/>
          <c:tx>
            <c:strRef>
              <c:f>'Miami-Dade'!$O$8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'Miami-Dade'!$O$9</c:f>
              <c:numCache>
                <c:formatCode>#,##0</c:formatCode>
                <c:ptCount val="1"/>
                <c:pt idx="0">
                  <c:v>2179811.2377361921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B-7941-B831-7F219D8ECC02}"/>
            </c:ext>
          </c:extLst>
        </c:ser>
        <c:ser>
          <c:idx val="2"/>
          <c:order val="2"/>
          <c:tx>
            <c:strRef>
              <c:f>'Miami-Dade'!$P$8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'Miami-Dade'!$P$9</c:f>
              <c:numCache>
                <c:formatCode>#,##0</c:formatCode>
                <c:ptCount val="1"/>
                <c:pt idx="0">
                  <c:v>516230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6B-7941-B831-7F219D8EC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'Miami-Dade'!$N$9</c:f>
              <c:numCache>
                <c:formatCode>#,##0</c:formatCode>
                <c:ptCount val="1"/>
                <c:pt idx="0">
                  <c:v>20958.762263808138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6-6F4E-A0A8-1F76AE8FE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Broward!$K$11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Broward!$K$12</c:f>
              <c:numCache>
                <c:formatCode>#,##0</c:formatCode>
                <c:ptCount val="1"/>
                <c:pt idx="0">
                  <c:v>1953000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B-274A-B722-08C43E65B5CE}"/>
            </c:ext>
          </c:extLst>
        </c:ser>
        <c:ser>
          <c:idx val="1"/>
          <c:order val="1"/>
          <c:tx>
            <c:strRef>
              <c:f>Broward!$L$4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Broward!$L$5</c:f>
              <c:numCache>
                <c:formatCode>#,##0</c:formatCode>
                <c:ptCount val="1"/>
                <c:pt idx="0">
                  <c:v>25944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CB-274A-B722-08C43E65B5CE}"/>
            </c:ext>
          </c:extLst>
        </c:ser>
        <c:ser>
          <c:idx val="0"/>
          <c:order val="2"/>
          <c:tx>
            <c:strRef>
              <c:f>Broward!$K$4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Broward!$K$5</c:f>
              <c:numCache>
                <c:formatCode>#,##0</c:formatCode>
                <c:ptCount val="1"/>
                <c:pt idx="0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CB-274A-B722-08C43E65B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Broward!$N$5</c:f>
              <c:numCache>
                <c:formatCode>#,##0</c:formatCode>
                <c:ptCount val="1"/>
                <c:pt idx="0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F-3241-8A55-E5E684A14862}"/>
            </c:ext>
          </c:extLst>
        </c:ser>
        <c:ser>
          <c:idx val="1"/>
          <c:order val="1"/>
          <c:tx>
            <c:strRef>
              <c:f>Broward!$O$4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Broward!$O$5</c:f>
              <c:numCache>
                <c:formatCode>#,##0</c:formatCode>
                <c:ptCount val="1"/>
                <c:pt idx="0">
                  <c:v>25652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F-3241-8A55-E5E684A14862}"/>
            </c:ext>
          </c:extLst>
        </c:ser>
        <c:ser>
          <c:idx val="2"/>
          <c:order val="2"/>
          <c:tx>
            <c:strRef>
              <c:f>Broward!$P$4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Broward!$P$5</c:f>
              <c:numCache>
                <c:formatCode>#,##0</c:formatCode>
                <c:ptCount val="1"/>
                <c:pt idx="0">
                  <c:v>1927056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8F-3241-8A55-E5E684A14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Broward!$N$9</c:f>
              <c:numCache>
                <c:formatCode>#,##0</c:formatCode>
                <c:ptCount val="1"/>
                <c:pt idx="0">
                  <c:v>17804.639222941722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3-0A4E-B0E8-4D7D05DE4B5E}"/>
            </c:ext>
          </c:extLst>
        </c:ser>
        <c:ser>
          <c:idx val="1"/>
          <c:order val="1"/>
          <c:tx>
            <c:strRef>
              <c:f>Broward!$O$8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Broward!$O$9</c:f>
              <c:numCache>
                <c:formatCode>#,##0</c:formatCode>
                <c:ptCount val="1"/>
                <c:pt idx="0">
                  <c:v>1564125.3607770582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3-0A4E-B0E8-4D7D05DE4B5E}"/>
            </c:ext>
          </c:extLst>
        </c:ser>
        <c:ser>
          <c:idx val="2"/>
          <c:order val="2"/>
          <c:tx>
            <c:strRef>
              <c:f>Broward!$P$8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Broward!$P$9</c:f>
              <c:numCache>
                <c:formatCode>#,##0</c:formatCode>
                <c:ptCount val="1"/>
                <c:pt idx="0">
                  <c:v>371070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B3-0A4E-B0E8-4D7D05DE4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Broward!$N$9</c:f>
              <c:numCache>
                <c:formatCode>#,##0</c:formatCode>
                <c:ptCount val="1"/>
                <c:pt idx="0">
                  <c:v>17804.639222941722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9-384D-8E70-AACEF6A91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5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3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5D6E289-7038-554C-9C05-D29414CE7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B80158B-E8CD-AD4E-81C9-C367D0E698EE}"/>
            </a:ext>
          </a:extLst>
        </xdr:cNvPr>
        <xdr:cNvSpPr txBox="1"/>
      </xdr:nvSpPr>
      <xdr:spPr>
        <a:xfrm>
          <a:off x="0" y="0"/>
          <a:ext cx="7533592" cy="5080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the United States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A51EBD-E21B-E54C-AE69-FF459C7C6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144403"/>
          <a:ext cx="225614" cy="218702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7AC93F-F650-DD4F-A73D-68E8A77F2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08071"/>
          <a:ext cx="308167" cy="293592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13" name="TextBox 3">
          <a:extLst>
            <a:ext uri="{FF2B5EF4-FFF2-40B4-BE49-F238E27FC236}">
              <a16:creationId xmlns:a16="http://schemas.microsoft.com/office/drawing/2014/main" id="{6722A9F1-2975-D147-9AC6-2CB0FB5BB618}"/>
            </a:ext>
          </a:extLst>
        </xdr:cNvPr>
        <xdr:cNvSpPr txBox="1"/>
      </xdr:nvSpPr>
      <xdr:spPr>
        <a:xfrm flipH="1">
          <a:off x="5429859" y="7125698"/>
          <a:ext cx="1399134" cy="239067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95073</xdr:rowOff>
    </xdr:from>
    <xdr:to>
      <xdr:col>6</xdr:col>
      <xdr:colOff>602152</xdr:colOff>
      <xdr:row>36</xdr:row>
      <xdr:rowOff>144517</xdr:rowOff>
    </xdr:to>
    <xdr:sp macro="" textlink="">
      <xdr:nvSpPr>
        <xdr:cNvPr id="20" name="TextBox 3">
          <a:extLst>
            <a:ext uri="{FF2B5EF4-FFF2-40B4-BE49-F238E27FC236}">
              <a16:creationId xmlns:a16="http://schemas.microsoft.com/office/drawing/2014/main" id="{29DF489D-40DD-3942-82C8-47863D757409}"/>
            </a:ext>
          </a:extLst>
        </xdr:cNvPr>
        <xdr:cNvSpPr txBox="1"/>
      </xdr:nvSpPr>
      <xdr:spPr>
        <a:xfrm flipH="1">
          <a:off x="0" y="7145763"/>
          <a:ext cx="5568290" cy="250892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Explanation and sources at https://BeachAnalytics.info/cost-of-herd-immunity</a:t>
          </a: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7D0610B-CE32-AF4A-A9C7-6A8A4C1F7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28" name="TextBox 27">
          <a:extLst>
            <a:ext uri="{FF2B5EF4-FFF2-40B4-BE49-F238E27FC236}">
              <a16:creationId xmlns:a16="http://schemas.microsoft.com/office/drawing/2014/main" id="{31E27ACE-7FE1-2D4D-BB0D-E46CBEBA43AD}"/>
            </a:ext>
          </a:extLst>
        </xdr:cNvPr>
        <xdr:cNvSpPr txBox="1"/>
      </xdr:nvSpPr>
      <xdr:spPr>
        <a:xfrm>
          <a:off x="466486" y="6254919"/>
          <a:ext cx="6618480" cy="279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t>There have been about 96 thousand deaths out of about 13.5 million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29" name="TextBox 28">
          <a:extLst>
            <a:ext uri="{FF2B5EF4-FFF2-40B4-BE49-F238E27FC236}">
              <a16:creationId xmlns:a16="http://schemas.microsoft.com/office/drawing/2014/main" id="{A725F1B5-0191-5547-8F87-D246288A2EB3}"/>
            </a:ext>
          </a:extLst>
        </xdr:cNvPr>
        <xdr:cNvSpPr txBox="1"/>
      </xdr:nvSpPr>
      <xdr:spPr>
        <a:xfrm>
          <a:off x="466486" y="6578093"/>
          <a:ext cx="6641511" cy="2955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30" name="TextBox 29">
          <a:extLst>
            <a:ext uri="{FF2B5EF4-FFF2-40B4-BE49-F238E27FC236}">
              <a16:creationId xmlns:a16="http://schemas.microsoft.com/office/drawing/2014/main" id="{D6EDC302-5B03-BC47-86EA-5E5C1F2C8E9E}"/>
            </a:ext>
          </a:extLst>
        </xdr:cNvPr>
        <xdr:cNvSpPr txBox="1"/>
      </xdr:nvSpPr>
      <xdr:spPr>
        <a:xfrm>
          <a:off x="466486" y="6776291"/>
          <a:ext cx="6710485" cy="271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At the current fatality rate, reaching herd immunity could cost about 1.9 million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34" name="TextBox 33">
          <a:extLst>
            <a:ext uri="{FF2B5EF4-FFF2-40B4-BE49-F238E27FC236}">
              <a16:creationId xmlns:a16="http://schemas.microsoft.com/office/drawing/2014/main" id="{C5DB23BA-87F8-F847-B478-E0F3C17522C2}"/>
            </a:ext>
          </a:extLst>
        </xdr:cNvPr>
        <xdr:cNvSpPr txBox="1"/>
      </xdr:nvSpPr>
      <xdr:spPr>
        <a:xfrm>
          <a:off x="687917" y="708991"/>
          <a:ext cx="1565458" cy="5913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35" name="TextBox 34">
          <a:extLst>
            <a:ext uri="{FF2B5EF4-FFF2-40B4-BE49-F238E27FC236}">
              <a16:creationId xmlns:a16="http://schemas.microsoft.com/office/drawing/2014/main" id="{8AE58ECD-5891-D845-A393-3003F7279E63}"/>
            </a:ext>
          </a:extLst>
        </xdr:cNvPr>
        <xdr:cNvSpPr txBox="1"/>
      </xdr:nvSpPr>
      <xdr:spPr>
        <a:xfrm>
          <a:off x="3304688" y="868149"/>
          <a:ext cx="1467702" cy="2730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651650</xdr:colOff>
      <xdr:row>33</xdr:row>
      <xdr:rowOff>160381</xdr:rowOff>
    </xdr:from>
    <xdr:to>
      <xdr:col>8</xdr:col>
      <xdr:colOff>191220</xdr:colOff>
      <xdr:row>34</xdr:row>
      <xdr:rowOff>195183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AA71FDF-2643-1143-8D2F-B275D60749B8}"/>
            </a:ext>
          </a:extLst>
        </xdr:cNvPr>
        <xdr:cNvSpPr/>
      </xdr:nvSpPr>
      <xdr:spPr>
        <a:xfrm>
          <a:off x="5607140" y="6871459"/>
          <a:ext cx="1191400" cy="238168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A6BD36FE-1FF7-234D-B159-A3A65D91E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675ACB90-CA1A-BF4C-B3EB-BC60CD442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41" name="TextBox 40">
          <a:extLst>
            <a:ext uri="{FF2B5EF4-FFF2-40B4-BE49-F238E27FC236}">
              <a16:creationId xmlns:a16="http://schemas.microsoft.com/office/drawing/2014/main" id="{A65658FA-09D6-F041-8C51-28E1FD13169B}"/>
            </a:ext>
          </a:extLst>
        </xdr:cNvPr>
        <xdr:cNvSpPr txBox="1"/>
      </xdr:nvSpPr>
      <xdr:spPr>
        <a:xfrm>
          <a:off x="5795162" y="708148"/>
          <a:ext cx="1466953" cy="593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11</xdr:row>
      <xdr:rowOff>141563</xdr:rowOff>
    </xdr:from>
    <xdr:to>
      <xdr:col>4</xdr:col>
      <xdr:colOff>447005</xdr:colOff>
      <xdr:row>29</xdr:row>
      <xdr:rowOff>26736</xdr:rowOff>
    </xdr:to>
    <xdr:sp macro="" textlink="">
      <xdr:nvSpPr>
        <xdr:cNvPr id="38" name="Rectangle 36">
          <a:extLst>
            <a:ext uri="{FF2B5EF4-FFF2-40B4-BE49-F238E27FC236}">
              <a16:creationId xmlns:a16="http://schemas.microsoft.com/office/drawing/2014/main" id="{3B8DC1F9-3607-C643-B2F8-00355F5246CF}"/>
            </a:ext>
          </a:extLst>
        </xdr:cNvPr>
        <xdr:cNvSpPr/>
      </xdr:nvSpPr>
      <xdr:spPr>
        <a:xfrm>
          <a:off x="1746632" y="2353480"/>
          <a:ext cx="2002373" cy="3504673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5511" h="3565851">
              <a:moveTo>
                <a:pt x="305" y="3142791"/>
              </a:moveTo>
              <a:lnTo>
                <a:pt x="1942335" y="0"/>
              </a:lnTo>
              <a:cubicBezTo>
                <a:pt x="1942335" y="52779"/>
                <a:pt x="1945511" y="3253010"/>
                <a:pt x="1945511" y="3305789"/>
              </a:cubicBezTo>
              <a:lnTo>
                <a:pt x="305" y="3299603"/>
              </a:lnTo>
              <a:cubicBezTo>
                <a:pt x="1362" y="1899683"/>
                <a:pt x="-752" y="4542711"/>
                <a:pt x="305" y="3142791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133274</xdr:colOff>
      <xdr:row>7</xdr:row>
      <xdr:rowOff>125077</xdr:rowOff>
    </xdr:from>
    <xdr:to>
      <xdr:col>7</xdr:col>
      <xdr:colOff>488866</xdr:colOff>
      <xdr:row>29</xdr:row>
      <xdr:rowOff>148870</xdr:rowOff>
    </xdr:to>
    <xdr:sp macro="" textlink="">
      <xdr:nvSpPr>
        <xdr:cNvPr id="42" name="Rectangle 36">
          <a:extLst>
            <a:ext uri="{FF2B5EF4-FFF2-40B4-BE49-F238E27FC236}">
              <a16:creationId xmlns:a16="http://schemas.microsoft.com/office/drawing/2014/main" id="{6B285925-7931-E543-9AA8-A60069EA4786}"/>
            </a:ext>
          </a:extLst>
        </xdr:cNvPr>
        <xdr:cNvSpPr/>
      </xdr:nvSpPr>
      <xdr:spPr>
        <a:xfrm>
          <a:off x="4260774" y="1532660"/>
          <a:ext cx="2006592" cy="444762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4707" h="4523470">
              <a:moveTo>
                <a:pt x="305" y="4117474"/>
              </a:moveTo>
              <a:lnTo>
                <a:pt x="1954707" y="0"/>
              </a:lnTo>
              <a:cubicBezTo>
                <a:pt x="1954707" y="52779"/>
                <a:pt x="1951697" y="4087083"/>
                <a:pt x="1951697" y="4139862"/>
              </a:cubicBezTo>
              <a:lnTo>
                <a:pt x="305" y="4133676"/>
              </a:lnTo>
              <a:cubicBezTo>
                <a:pt x="1362" y="2733756"/>
                <a:pt x="-752" y="5517394"/>
                <a:pt x="305" y="4117474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52E05-7F6C-EA42-81D1-326784CFB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77B239-1D3A-724C-9259-27DC553E03EC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Florida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812D2B-0C67-4C40-BB2D-7FCD5640B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688511-7E09-3A41-BBBE-AA35043B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DFB9BD7B-DCD6-0D47-8079-6BC0F9D4E726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96608</xdr:rowOff>
    </xdr:from>
    <xdr:to>
      <xdr:col>6</xdr:col>
      <xdr:colOff>602152</xdr:colOff>
      <xdr:row>36</xdr:row>
      <xdr:rowOff>155576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D2C92E55-C551-2E4E-AC5E-5D73199BD57D}"/>
            </a:ext>
          </a:extLst>
        </xdr:cNvPr>
        <xdr:cNvSpPr txBox="1"/>
      </xdr:nvSpPr>
      <xdr:spPr>
        <a:xfrm flipH="1">
          <a:off x="0" y="7208608"/>
          <a:ext cx="5555152" cy="262168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Explanation and sources at https://BeachAnalytics.info/cost-of-herd-immunity</a:t>
          </a: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D66CBF-9569-C241-9998-A2BA1653A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2CE5DFAD-7ABB-CF4C-99F3-30DC2170B680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There have been about 2,200 deaths out of about 279,000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BE9F8E5A-E2F0-6449-B7F9-5B778C3F494D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0444E888-D566-8E4F-B6B9-4E4BC938E53D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t>At the current fatality rate, reaching herd immunity could cost about 140,000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352AAB67-35F0-FF48-B265-3F899273A81C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8657D5C3-890C-FF43-8F27-D30D2B0F434F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641086</xdr:colOff>
      <xdr:row>33</xdr:row>
      <xdr:rowOff>168496</xdr:rowOff>
    </xdr:from>
    <xdr:to>
      <xdr:col>8</xdr:col>
      <xdr:colOff>0</xdr:colOff>
      <xdr:row>35</xdr:row>
      <xdr:rowOff>423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993673-4727-A447-86BD-48CE47A13204}"/>
            </a:ext>
          </a:extLst>
        </xdr:cNvPr>
        <xdr:cNvSpPr/>
      </xdr:nvSpPr>
      <xdr:spPr>
        <a:xfrm>
          <a:off x="5583131" y="6863384"/>
          <a:ext cx="1006262" cy="237678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443F33E-A1F0-804E-B643-1C8A56B7B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C80675-D247-734C-8FCC-210460E04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FAA4D62C-6F7D-D349-AB4B-07048236BC17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13</xdr:row>
      <xdr:rowOff>1863</xdr:rowOff>
    </xdr:from>
    <xdr:to>
      <xdr:col>4</xdr:col>
      <xdr:colOff>447005</xdr:colOff>
      <xdr:row>29</xdr:row>
      <xdr:rowOff>128592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4D35D107-B0AD-9D4C-AA89-8193F22894A5}"/>
            </a:ext>
          </a:extLst>
        </xdr:cNvPr>
        <xdr:cNvSpPr/>
      </xdr:nvSpPr>
      <xdr:spPr>
        <a:xfrm>
          <a:off x="1746632" y="2643463"/>
          <a:ext cx="2002373" cy="3377929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5511" h="3399996">
              <a:moveTo>
                <a:pt x="305" y="2991222"/>
              </a:moveTo>
              <a:lnTo>
                <a:pt x="1942335" y="0"/>
              </a:lnTo>
              <a:cubicBezTo>
                <a:pt x="1942335" y="52779"/>
                <a:pt x="1945511" y="2984568"/>
                <a:pt x="1945511" y="3037347"/>
              </a:cubicBezTo>
              <a:lnTo>
                <a:pt x="305" y="3031161"/>
              </a:lnTo>
              <a:cubicBezTo>
                <a:pt x="1362" y="1631241"/>
                <a:pt x="-752" y="4391142"/>
                <a:pt x="305" y="299122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133274</xdr:colOff>
      <xdr:row>9</xdr:row>
      <xdr:rowOff>67927</xdr:rowOff>
    </xdr:from>
    <xdr:to>
      <xdr:col>7</xdr:col>
      <xdr:colOff>485776</xdr:colOff>
      <xdr:row>29</xdr:row>
      <xdr:rowOff>140455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88D34390-47C9-8E48-8A91-EA5C47830B97}"/>
            </a:ext>
          </a:extLst>
        </xdr:cNvPr>
        <xdr:cNvSpPr/>
      </xdr:nvSpPr>
      <xdr:spPr>
        <a:xfrm>
          <a:off x="4260774" y="1896727"/>
          <a:ext cx="2003502" cy="4136528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697" h="4163475">
              <a:moveTo>
                <a:pt x="305" y="3756362"/>
              </a:moveTo>
              <a:lnTo>
                <a:pt x="1948521" y="0"/>
              </a:lnTo>
              <a:cubicBezTo>
                <a:pt x="1948521" y="52779"/>
                <a:pt x="1951697" y="3735558"/>
                <a:pt x="1951697" y="3788337"/>
              </a:cubicBezTo>
              <a:lnTo>
                <a:pt x="305" y="3782151"/>
              </a:lnTo>
              <a:cubicBezTo>
                <a:pt x="1362" y="2382231"/>
                <a:pt x="-752" y="5156282"/>
                <a:pt x="305" y="375636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0C845-A4FE-8E4C-935A-A20DE8161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258453-C769-4A44-B4FD-3D455FCAE599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Miami-Dade County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914237-9B11-A14E-829A-A6ED2231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8A1D9B-65B4-864A-850B-1E7CAB2C9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7542D447-0DEF-7D41-8B1E-45CA87E6C09C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87301</xdr:rowOff>
    </xdr:from>
    <xdr:to>
      <xdr:col>6</xdr:col>
      <xdr:colOff>602153</xdr:colOff>
      <xdr:row>36</xdr:row>
      <xdr:rowOff>146163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C7C2078D-E9AE-1D42-A255-EB3B002CCB56}"/>
            </a:ext>
          </a:extLst>
        </xdr:cNvPr>
        <xdr:cNvSpPr txBox="1"/>
      </xdr:nvSpPr>
      <xdr:spPr>
        <a:xfrm flipH="1">
          <a:off x="0" y="7249321"/>
          <a:ext cx="5552230" cy="263492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Explanation and sources at https://BeachAnalytics.info/cost-of-herd-immunity</a:t>
          </a: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7F6B74-EED2-644F-8320-063E8817A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6F205C2E-AE9E-B44A-83DD-CC1CF1B93A26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There have been about 600 deaths out of about 66,000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EC0347DE-3B5A-6C4E-B577-5B01F85A0F4B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FB744FF6-6954-6546-9C3F-E3FF691D198D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t>At the current fatality rate, reaching herd immunity could cost about 20,000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7366BEFD-AE8C-0349-A7E7-104A8F6B2E5B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08C56170-D828-694C-916D-67AA97086570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610375</xdr:colOff>
      <xdr:row>33</xdr:row>
      <xdr:rowOff>166731</xdr:rowOff>
    </xdr:from>
    <xdr:to>
      <xdr:col>7</xdr:col>
      <xdr:colOff>711200</xdr:colOff>
      <xdr:row>34</xdr:row>
      <xdr:rowOff>201533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FA487E4-3DED-014F-B288-BFA97A9F5B1B}"/>
            </a:ext>
          </a:extLst>
        </xdr:cNvPr>
        <xdr:cNvSpPr/>
      </xdr:nvSpPr>
      <xdr:spPr>
        <a:xfrm>
          <a:off x="5563375" y="6872331"/>
          <a:ext cx="926325" cy="238002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7E127CA-D20E-A641-8B8E-A00289EE1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B673269-E924-CB4A-ABD3-07B62E443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0144A5DA-6603-4F46-A641-F5606B463849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95633</xdr:colOff>
      <xdr:row>12</xdr:row>
      <xdr:rowOff>47570</xdr:rowOff>
    </xdr:from>
    <xdr:to>
      <xdr:col>4</xdr:col>
      <xdr:colOff>456795</xdr:colOff>
      <xdr:row>29</xdr:row>
      <xdr:rowOff>91217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85B95329-FF1F-584B-9EB6-7DEB36807D81}"/>
            </a:ext>
          </a:extLst>
        </xdr:cNvPr>
        <xdr:cNvSpPr/>
      </xdr:nvSpPr>
      <xdr:spPr>
        <a:xfrm>
          <a:off x="1747612" y="2476567"/>
          <a:ext cx="2013142" cy="348472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  <a:gd name="connsiteX0" fmla="*/ 305 w 1945511"/>
            <a:gd name="connsiteY0" fmla="*/ 2948342 h 3362238"/>
            <a:gd name="connsiteX1" fmla="*/ 1942335 w 1945511"/>
            <a:gd name="connsiteY1" fmla="*/ 0 h 3362238"/>
            <a:gd name="connsiteX2" fmla="*/ 1945511 w 1945511"/>
            <a:gd name="connsiteY2" fmla="*/ 3037347 h 3362238"/>
            <a:gd name="connsiteX3" fmla="*/ 305 w 1945511"/>
            <a:gd name="connsiteY3" fmla="*/ 3031161 h 3362238"/>
            <a:gd name="connsiteX4" fmla="*/ 305 w 1945511"/>
            <a:gd name="connsiteY4" fmla="*/ 2948342 h 3362238"/>
            <a:gd name="connsiteX0" fmla="*/ 305 w 1955017"/>
            <a:gd name="connsiteY0" fmla="*/ 3106662 h 3520558"/>
            <a:gd name="connsiteX1" fmla="*/ 1955017 w 1955017"/>
            <a:gd name="connsiteY1" fmla="*/ 0 h 3520558"/>
            <a:gd name="connsiteX2" fmla="*/ 1945511 w 1955017"/>
            <a:gd name="connsiteY2" fmla="*/ 3195667 h 3520558"/>
            <a:gd name="connsiteX3" fmla="*/ 305 w 1955017"/>
            <a:gd name="connsiteY3" fmla="*/ 3189481 h 3520558"/>
            <a:gd name="connsiteX4" fmla="*/ 305 w 1955017"/>
            <a:gd name="connsiteY4" fmla="*/ 3106662 h 35205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5017" h="3520558">
              <a:moveTo>
                <a:pt x="305" y="3106662"/>
              </a:moveTo>
              <a:lnTo>
                <a:pt x="1955017" y="0"/>
              </a:lnTo>
              <a:cubicBezTo>
                <a:pt x="1955017" y="52779"/>
                <a:pt x="1945511" y="3142888"/>
                <a:pt x="1945511" y="3195667"/>
              </a:cubicBezTo>
              <a:lnTo>
                <a:pt x="305" y="3189481"/>
              </a:lnTo>
              <a:cubicBezTo>
                <a:pt x="1362" y="1789561"/>
                <a:pt x="-752" y="4506582"/>
                <a:pt x="305" y="310666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133275</xdr:colOff>
      <xdr:row>9</xdr:row>
      <xdr:rowOff>195254</xdr:rowOff>
    </xdr:from>
    <xdr:to>
      <xdr:col>7</xdr:col>
      <xdr:colOff>485780</xdr:colOff>
      <xdr:row>29</xdr:row>
      <xdr:rowOff>134690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0FE48347-6B4F-2C40-B63E-7FFC14646ECA}"/>
            </a:ext>
          </a:extLst>
        </xdr:cNvPr>
        <xdr:cNvSpPr/>
      </xdr:nvSpPr>
      <xdr:spPr>
        <a:xfrm>
          <a:off x="4263224" y="2017002"/>
          <a:ext cx="2004484" cy="3987765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  <a:gd name="connsiteX0" fmla="*/ 305 w 1951700"/>
            <a:gd name="connsiteY0" fmla="*/ 3627718 h 4034831"/>
            <a:gd name="connsiteX1" fmla="*/ 1951700 w 1951700"/>
            <a:gd name="connsiteY1" fmla="*/ 0 h 4034831"/>
            <a:gd name="connsiteX2" fmla="*/ 1951697 w 1951700"/>
            <a:gd name="connsiteY2" fmla="*/ 3659693 h 4034831"/>
            <a:gd name="connsiteX3" fmla="*/ 305 w 1951700"/>
            <a:gd name="connsiteY3" fmla="*/ 3653507 h 4034831"/>
            <a:gd name="connsiteX4" fmla="*/ 305 w 1951700"/>
            <a:gd name="connsiteY4" fmla="*/ 3627718 h 4034831"/>
            <a:gd name="connsiteX0" fmla="*/ 305 w 1951700"/>
            <a:gd name="connsiteY0" fmla="*/ 3621120 h 4029006"/>
            <a:gd name="connsiteX1" fmla="*/ 1951700 w 1951700"/>
            <a:gd name="connsiteY1" fmla="*/ 0 h 4029006"/>
            <a:gd name="connsiteX2" fmla="*/ 1951697 w 1951700"/>
            <a:gd name="connsiteY2" fmla="*/ 3659693 h 4029006"/>
            <a:gd name="connsiteX3" fmla="*/ 305 w 1951700"/>
            <a:gd name="connsiteY3" fmla="*/ 3653507 h 4029006"/>
            <a:gd name="connsiteX4" fmla="*/ 305 w 1951700"/>
            <a:gd name="connsiteY4" fmla="*/ 3621120 h 40290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700" h="4029006">
              <a:moveTo>
                <a:pt x="305" y="3621120"/>
              </a:moveTo>
              <a:lnTo>
                <a:pt x="1951700" y="0"/>
              </a:lnTo>
              <a:cubicBezTo>
                <a:pt x="1951700" y="52779"/>
                <a:pt x="1951697" y="3606914"/>
                <a:pt x="1951697" y="3659693"/>
              </a:cubicBezTo>
              <a:lnTo>
                <a:pt x="305" y="3653507"/>
              </a:lnTo>
              <a:cubicBezTo>
                <a:pt x="1362" y="2253587"/>
                <a:pt x="-752" y="5021040"/>
                <a:pt x="305" y="3621120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1C33D-1ADE-5A4B-8411-070AC1418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72C3D0-631F-A343-8320-D962DC30CEA5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Broward County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378456-B97B-4640-8186-2ECF54FB5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F14A1B-9285-EB44-BAB8-3597F3B9C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F22B49C3-F2DF-0342-8764-F692F2FEFC0E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77557</xdr:rowOff>
    </xdr:from>
    <xdr:to>
      <xdr:col>6</xdr:col>
      <xdr:colOff>602154</xdr:colOff>
      <xdr:row>36</xdr:row>
      <xdr:rowOff>152400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378BDDE4-2AD6-7A4C-A0BC-99778E0D0CA7}"/>
            </a:ext>
          </a:extLst>
        </xdr:cNvPr>
        <xdr:cNvSpPr txBox="1"/>
      </xdr:nvSpPr>
      <xdr:spPr>
        <a:xfrm flipH="1">
          <a:off x="0" y="7189557"/>
          <a:ext cx="5555154" cy="278043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Explanation and sources at https://BeachAnalytics.info/cost-of-herd-immunity</a:t>
          </a: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56594-BFE4-9D4B-BD8E-4050D30E2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08D04100-A849-104F-9FC7-E2E9CF5D5DCF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There have been about 300 deaths out of about 26,000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A1A6AA4B-FEEB-F948-B25F-17D6866D0FF0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B717223B-0614-A642-AA57-5514D9F0DAA0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t>At the current fatality rate, reaching herd immunity could cost about 20,000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9B3CCC51-75DC-DA45-8C8F-AF7ABE42BB6B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4DDA357B-FDF7-F940-A44C-52F496218E29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619900</xdr:colOff>
      <xdr:row>33</xdr:row>
      <xdr:rowOff>163556</xdr:rowOff>
    </xdr:from>
    <xdr:to>
      <xdr:col>7</xdr:col>
      <xdr:colOff>708025</xdr:colOff>
      <xdr:row>34</xdr:row>
      <xdr:rowOff>198358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AE3E6BA-708E-0944-9451-52AC5CDD3AFF}"/>
            </a:ext>
          </a:extLst>
        </xdr:cNvPr>
        <xdr:cNvSpPr/>
      </xdr:nvSpPr>
      <xdr:spPr>
        <a:xfrm>
          <a:off x="5572900" y="6869156"/>
          <a:ext cx="913625" cy="238002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1910B83-8C73-9F46-8745-D41118822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A4E88DF-3BC9-F040-9869-0BD7949B1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39EDC148-4843-F248-BA34-3378809BFE63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14</xdr:row>
      <xdr:rowOff>69963</xdr:rowOff>
    </xdr:from>
    <xdr:to>
      <xdr:col>4</xdr:col>
      <xdr:colOff>453595</xdr:colOff>
      <xdr:row>29</xdr:row>
      <xdr:rowOff>91217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B7C07D79-9995-6F41-948C-DB43137336EB}"/>
            </a:ext>
          </a:extLst>
        </xdr:cNvPr>
        <xdr:cNvSpPr/>
      </xdr:nvSpPr>
      <xdr:spPr>
        <a:xfrm>
          <a:off x="1746312" y="2936260"/>
          <a:ext cx="2008643" cy="309228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  <a:gd name="connsiteX0" fmla="*/ 305 w 1945511"/>
            <a:gd name="connsiteY0" fmla="*/ 2948342 h 3362238"/>
            <a:gd name="connsiteX1" fmla="*/ 1942335 w 1945511"/>
            <a:gd name="connsiteY1" fmla="*/ 0 h 3362238"/>
            <a:gd name="connsiteX2" fmla="*/ 1945511 w 1945511"/>
            <a:gd name="connsiteY2" fmla="*/ 3037347 h 3362238"/>
            <a:gd name="connsiteX3" fmla="*/ 305 w 1945511"/>
            <a:gd name="connsiteY3" fmla="*/ 3031161 h 3362238"/>
            <a:gd name="connsiteX4" fmla="*/ 305 w 1945511"/>
            <a:gd name="connsiteY4" fmla="*/ 2948342 h 3362238"/>
            <a:gd name="connsiteX0" fmla="*/ 305 w 1955017"/>
            <a:gd name="connsiteY0" fmla="*/ 3106662 h 3520558"/>
            <a:gd name="connsiteX1" fmla="*/ 1955017 w 1955017"/>
            <a:gd name="connsiteY1" fmla="*/ 0 h 3520558"/>
            <a:gd name="connsiteX2" fmla="*/ 1945511 w 1955017"/>
            <a:gd name="connsiteY2" fmla="*/ 3195667 h 3520558"/>
            <a:gd name="connsiteX3" fmla="*/ 305 w 1955017"/>
            <a:gd name="connsiteY3" fmla="*/ 3189481 h 3520558"/>
            <a:gd name="connsiteX4" fmla="*/ 305 w 1955017"/>
            <a:gd name="connsiteY4" fmla="*/ 3106662 h 3520558"/>
            <a:gd name="connsiteX0" fmla="*/ 305 w 1951908"/>
            <a:gd name="connsiteY0" fmla="*/ 2675238 h 3089134"/>
            <a:gd name="connsiteX1" fmla="*/ 1951908 w 1951908"/>
            <a:gd name="connsiteY1" fmla="*/ 0 h 3089134"/>
            <a:gd name="connsiteX2" fmla="*/ 1945511 w 1951908"/>
            <a:gd name="connsiteY2" fmla="*/ 2764243 h 3089134"/>
            <a:gd name="connsiteX3" fmla="*/ 305 w 1951908"/>
            <a:gd name="connsiteY3" fmla="*/ 2758057 h 3089134"/>
            <a:gd name="connsiteX4" fmla="*/ 305 w 1951908"/>
            <a:gd name="connsiteY4" fmla="*/ 2675238 h 30891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908" h="3089134">
              <a:moveTo>
                <a:pt x="305" y="2675238"/>
              </a:moveTo>
              <a:lnTo>
                <a:pt x="1951908" y="0"/>
              </a:lnTo>
              <a:cubicBezTo>
                <a:pt x="1951908" y="52779"/>
                <a:pt x="1945511" y="2711464"/>
                <a:pt x="1945511" y="2764243"/>
              </a:cubicBezTo>
              <a:lnTo>
                <a:pt x="305" y="2758057"/>
              </a:lnTo>
              <a:cubicBezTo>
                <a:pt x="1362" y="1358137"/>
                <a:pt x="-752" y="4075158"/>
                <a:pt x="305" y="2675238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133276</xdr:colOff>
      <xdr:row>8</xdr:row>
      <xdr:rowOff>166464</xdr:rowOff>
    </xdr:from>
    <xdr:to>
      <xdr:col>7</xdr:col>
      <xdr:colOff>488980</xdr:colOff>
      <xdr:row>29</xdr:row>
      <xdr:rowOff>134690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690B2F98-E187-8E44-A267-737401ABE386}"/>
            </a:ext>
          </a:extLst>
        </xdr:cNvPr>
        <xdr:cNvSpPr/>
      </xdr:nvSpPr>
      <xdr:spPr>
        <a:xfrm>
          <a:off x="4259976" y="1804348"/>
          <a:ext cx="2006384" cy="4267672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  <a:gd name="connsiteX0" fmla="*/ 305 w 1951700"/>
            <a:gd name="connsiteY0" fmla="*/ 3627718 h 4034831"/>
            <a:gd name="connsiteX1" fmla="*/ 1951700 w 1951700"/>
            <a:gd name="connsiteY1" fmla="*/ 0 h 4034831"/>
            <a:gd name="connsiteX2" fmla="*/ 1951697 w 1951700"/>
            <a:gd name="connsiteY2" fmla="*/ 3659693 h 4034831"/>
            <a:gd name="connsiteX3" fmla="*/ 305 w 1951700"/>
            <a:gd name="connsiteY3" fmla="*/ 3653507 h 4034831"/>
            <a:gd name="connsiteX4" fmla="*/ 305 w 1951700"/>
            <a:gd name="connsiteY4" fmla="*/ 3627718 h 4034831"/>
            <a:gd name="connsiteX0" fmla="*/ 305 w 1951700"/>
            <a:gd name="connsiteY0" fmla="*/ 3621120 h 4029006"/>
            <a:gd name="connsiteX1" fmla="*/ 1951700 w 1951700"/>
            <a:gd name="connsiteY1" fmla="*/ 0 h 4029006"/>
            <a:gd name="connsiteX2" fmla="*/ 1951697 w 1951700"/>
            <a:gd name="connsiteY2" fmla="*/ 3659693 h 4029006"/>
            <a:gd name="connsiteX3" fmla="*/ 305 w 1951700"/>
            <a:gd name="connsiteY3" fmla="*/ 3653507 h 4029006"/>
            <a:gd name="connsiteX4" fmla="*/ 305 w 1951700"/>
            <a:gd name="connsiteY4" fmla="*/ 3621120 h 4029006"/>
            <a:gd name="connsiteX0" fmla="*/ 305 w 1954817"/>
            <a:gd name="connsiteY0" fmla="*/ 3854348 h 4262234"/>
            <a:gd name="connsiteX1" fmla="*/ 1954817 w 1954817"/>
            <a:gd name="connsiteY1" fmla="*/ 0 h 4262234"/>
            <a:gd name="connsiteX2" fmla="*/ 1951697 w 1954817"/>
            <a:gd name="connsiteY2" fmla="*/ 3892921 h 4262234"/>
            <a:gd name="connsiteX3" fmla="*/ 305 w 1954817"/>
            <a:gd name="connsiteY3" fmla="*/ 3886735 h 4262234"/>
            <a:gd name="connsiteX4" fmla="*/ 305 w 1954817"/>
            <a:gd name="connsiteY4" fmla="*/ 3854348 h 42622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4817" h="4262234">
              <a:moveTo>
                <a:pt x="305" y="3854348"/>
              </a:moveTo>
              <a:lnTo>
                <a:pt x="1954817" y="0"/>
              </a:lnTo>
              <a:cubicBezTo>
                <a:pt x="1954817" y="52779"/>
                <a:pt x="1951697" y="3840142"/>
                <a:pt x="1951697" y="3892921"/>
              </a:cubicBezTo>
              <a:lnTo>
                <a:pt x="305" y="3886735"/>
              </a:lnTo>
              <a:cubicBezTo>
                <a:pt x="1362" y="2486815"/>
                <a:pt x="-752" y="5254268"/>
                <a:pt x="305" y="3854348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793985</xdr:colOff>
      <xdr:row>0</xdr:row>
      <xdr:rowOff>185796</xdr:rowOff>
    </xdr:from>
    <xdr:ext cx="14346748" cy="31393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FA35D9-8615-7145-BD33-43AB4B0222F6}"/>
            </a:ext>
          </a:extLst>
        </xdr:cNvPr>
        <xdr:cNvSpPr txBox="1"/>
      </xdr:nvSpPr>
      <xdr:spPr>
        <a:xfrm>
          <a:off x="11330281" y="185796"/>
          <a:ext cx="14346748" cy="31393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sng">
              <a:latin typeface="Roboto" panose="02000000000000000000" pitchFamily="2" charset="0"/>
              <a:ea typeface="Roboto" panose="02000000000000000000" pitchFamily="2" charset="0"/>
            </a:rPr>
            <a:t>Notes</a:t>
          </a: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Estimates are available from the Imperial College of London for the infection prevalence at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the national and state levels.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source: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https://www.imperial.ac.uk/media/imperial-college/medicine/mrc-gida/2020-05-21-COVID19-Report-23.pdf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Estimated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prevalence at the county level is based on the confirmed case counts and the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estimate for under-reporting from the CMMID at the London School of Hygeine and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Tropical Diseases.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https://cmmid.github.io/topics/covid19/global_cfr_estimates.html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 for the US is from the New York Times.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https://www.nytimes.com/interactive/2020/us/coronavirus-us-cases.html?action=click&amp;pgtype=Article&amp;state=default&amp;module=styln-coronavirus-national&amp;variant=show&amp;region=TOP_BANNER&amp;context=storylines_menu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counts for counties in Florida is from the Florida Department of Health.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https://experience.arcgis.com/experience/96dd742462124fa0b38ddedb9b25e429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last data update: Saturday, May 23, 2020 @ 11 AM Eastern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37E22-76C4-CD45-A428-8FAD25BA84D8}" name="Table2" displayName="Table2" ref="K4:L5" totalsRowShown="0" headerRowDxfId="78" dataDxfId="81">
  <tableColumns count="2">
    <tableColumn id="3" xr3:uid="{E180202B-D5B3-D748-9987-31BA1F47523E}" name="deaths" dataDxfId="80">
      <calculatedColumnFormula>data!B2</calculatedColumnFormula>
    </tableColumn>
    <tableColumn id="1" xr3:uid="{7FDFD004-E1E7-2A47-9BBC-A4FDBC7E9D8B}" name="estimated number of infections" dataDxfId="82">
      <calculatedColumnFormula>data!F2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CA9C6A-2531-2B4B-8FAF-58B7CE42D209}" name="Table3" displayName="Table3" ref="K8:L9" totalsRowShown="0" headerRowDxfId="77" dataDxfId="83">
  <tableColumns count="2">
    <tableColumn id="3" xr3:uid="{7D8A9872-A8DB-7E4F-85C7-887729C862CC}" name="projected deaths at 81% prevalence" dataDxfId="79">
      <calculatedColumnFormula>data!H2</calculatedColumnFormula>
    </tableColumn>
    <tableColumn id="1" xr3:uid="{3C5B7FFB-7FAE-CA4C-B052-88563B410A23}" name="number of infections" dataDxfId="84">
      <calculatedColumnFormula>data!G2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0D7983-4F7F-554D-8761-730075E27FCA}" name="Table4" displayName="Table4" ref="K11:K12" totalsRowShown="0" headerRowDxfId="73" dataDxfId="74">
  <tableColumns count="1">
    <tableColumn id="1" xr3:uid="{4FC70CE1-3458-4641-B584-0FBA0119753C}" name="population" dataDxfId="75">
      <calculatedColumnFormula>data!C2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A37B68-5552-5C4A-8F96-91516F4E7A10}" name="Table5" displayName="Table5" ref="N4:P5" totalsRowShown="0" headerRowDxfId="64" dataDxfId="69">
  <tableColumns count="3">
    <tableColumn id="1" xr3:uid="{60CA5D12-B956-D342-82EB-BD808A3A3601}" name="deaths" dataDxfId="72">
      <calculatedColumnFormula>Table2[[#This Row],[deaths]]</calculatedColumnFormula>
    </tableColumn>
    <tableColumn id="2" xr3:uid="{7BFC9353-E4A2-3143-AA65-686B731F3A20}" name="infections" dataDxfId="71">
      <calculatedColumnFormula>Table2[[#This Row],[estimated number of infections]]-N5</calculatedColumnFormula>
    </tableColumn>
    <tableColumn id="3" xr3:uid="{BCB75EDD-97D2-B44F-AFB2-ECEB5A52DA81}" name="population" dataDxfId="70">
      <calculatedColumnFormula array="1">Table4[population]-(Table5[[#This Row],[infections]]+Table5[[#This Row],[deaths]])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61ABC3-3D7E-5F46-B26D-BB4379107720}" name="Table6" displayName="Table6" ref="N8:P9" totalsRowShown="0" headerRowDxfId="63" dataDxfId="65">
  <tableColumns count="3">
    <tableColumn id="1" xr3:uid="{A7AFD05D-7BC4-B04C-B1C1-1D7136959CD8}" name="deaths" dataDxfId="68">
      <calculatedColumnFormula>Table3[[#This Row],[projected deaths at 81% prevalence]]</calculatedColumnFormula>
    </tableColumn>
    <tableColumn id="2" xr3:uid="{D924AA7E-2CC7-4D43-8D6B-BFBA1E2F2176}" name="infections" dataDxfId="67">
      <calculatedColumnFormula>Table3[[#This Row],[number of infections]]-Table3[[#This Row],[projected deaths at 81% prevalence]]</calculatedColumnFormula>
    </tableColumn>
    <tableColumn id="3" xr3:uid="{0E93C2E3-97A4-5F43-8722-C4A83FC2585B}" name="population" dataDxfId="66">
      <calculatedColumnFormula array="1">Table4[population]-(O9+N9)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DA9B4D-517A-C145-9BC1-62CF94988E47}" name="Table213" displayName="Table213" ref="K4:L5" totalsRowShown="0" headerRowDxfId="62" dataDxfId="61">
  <tableColumns count="2">
    <tableColumn id="3" xr3:uid="{D6448E5D-51F6-B644-816D-3C13B20046E6}" name="deaths" dataDxfId="60">
      <calculatedColumnFormula>data!B3</calculatedColumnFormula>
    </tableColumn>
    <tableColumn id="1" xr3:uid="{2AF07C21-1EC8-4F47-951F-FDBB73154890}" name="estimated number of infections" dataDxfId="59">
      <calculatedColumnFormula>data!F3</calculatedColumnFormula>
    </tableColumn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A1EB80-EAF8-F246-A4FF-094E04AB3C0A}" name="Table314" displayName="Table314" ref="K8:L9" totalsRowShown="0" headerRowDxfId="58" dataDxfId="57">
  <tableColumns count="2">
    <tableColumn id="3" xr3:uid="{79893942-9BB0-E349-8D6E-328CFD81E53D}" name="projected deaths at 81% prevalence" dataDxfId="56">
      <calculatedColumnFormula>data!H3</calculatedColumnFormula>
    </tableColumn>
    <tableColumn id="1" xr3:uid="{253A7139-E89E-7743-BA78-E3A1D80D64CC}" name="number of infections" dataDxfId="55">
      <calculatedColumnFormula>data!G3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F593C-3038-CA49-AC98-0BBA694BE38D}" name="Table415" displayName="Table415" ref="K11:K12" totalsRowShown="0" headerRowDxfId="54" dataDxfId="53">
  <tableColumns count="1">
    <tableColumn id="1" xr3:uid="{2C1D4FA2-690F-734D-876C-272740594F2E}" name="population" dataDxfId="52">
      <calculatedColumnFormula>data!C3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BBB74E-E8CC-104C-8D29-987D39B5B0B9}" name="Table516" displayName="Table516" ref="N4:P5" totalsRowShown="0" headerRowDxfId="51" dataDxfId="50">
  <tableColumns count="3">
    <tableColumn id="1" xr3:uid="{23DC4DE4-93DB-5A49-8613-2282BE919F57}" name="deaths" dataDxfId="49">
      <calculatedColumnFormula>Table213[[#This Row],[deaths]]</calculatedColumnFormula>
    </tableColumn>
    <tableColumn id="2" xr3:uid="{FEE56615-8DF2-CE4D-A85D-051908B22A75}" name="infections" dataDxfId="48">
      <calculatedColumnFormula>Table213[[#This Row],[estimated number of infections]]-N5</calculatedColumnFormula>
    </tableColumn>
    <tableColumn id="3" xr3:uid="{0B07E1D7-5C80-7340-AF25-61083F962D20}" name="population" dataDxfId="47">
      <calculatedColumnFormula array="1">Table415[population]-(Table516[[#This Row],[infections]]+Table516[[#This Row],[deaths]])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1BF5025-29AD-BD45-B117-E670B85E6687}" name="Table617" displayName="Table617" ref="N8:P9" totalsRowShown="0" headerRowDxfId="46" dataDxfId="45">
  <tableColumns count="3">
    <tableColumn id="1" xr3:uid="{BD3EB270-B4B0-C146-B4A0-D227CE94FB85}" name="deaths" dataDxfId="44">
      <calculatedColumnFormula>Table314[[#This Row],[projected deaths at 81% prevalence]]</calculatedColumnFormula>
    </tableColumn>
    <tableColumn id="2" xr3:uid="{E08C978F-0670-114C-8F46-50CDC4F4FA6A}" name="infections" dataDxfId="43">
      <calculatedColumnFormula>Table314[[#This Row],[number of infections]]-Table314[[#This Row],[projected deaths at 81% prevalence]]</calculatedColumnFormula>
    </tableColumn>
    <tableColumn id="3" xr3:uid="{BA1A334E-04F6-2D4A-A0BE-BAD26F3921D0}" name="population" dataDxfId="42">
      <calculatedColumnFormula array="1">Table415[population]-(O9+N9)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DA19CC-3088-4144-8B82-AEAB0F7CC8D0}" name="Table21318" displayName="Table21318" ref="K4:L5" totalsRowShown="0" headerRowDxfId="41" dataDxfId="40">
  <tableColumns count="2">
    <tableColumn id="3" xr3:uid="{58614EA6-2D78-BD44-997F-C09426388E83}" name="deaths" dataDxfId="39">
      <calculatedColumnFormula>data!B4</calculatedColumnFormula>
    </tableColumn>
    <tableColumn id="1" xr3:uid="{829F51ED-B66A-5F47-AB0D-19EE23DBAA12}" name="estimated number of infections" dataDxfId="38">
      <calculatedColumnFormula>data!F4</calculatedColumnFormula>
    </tableColumn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8073B54-F6EA-F741-839A-352408146B3D}" name="Table31419" displayName="Table31419" ref="K8:L9" totalsRowShown="0" headerRowDxfId="37" dataDxfId="36">
  <tableColumns count="2">
    <tableColumn id="3" xr3:uid="{BCC16318-4AC1-0240-B0DD-A288AD2F0632}" name="projected deaths at 81% prevalence" dataDxfId="35">
      <calculatedColumnFormula>data!H4</calculatedColumnFormula>
    </tableColumn>
    <tableColumn id="1" xr3:uid="{3870A287-BC3F-B346-98A2-2E45C07E4D19}" name="number of infections" dataDxfId="34">
      <calculatedColumnFormula>data!G4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034DC94-401E-6A42-A6CB-DD47F86E04FC}" name="Table41520" displayName="Table41520" ref="K11:K12" totalsRowShown="0" headerRowDxfId="33" dataDxfId="32">
  <tableColumns count="1">
    <tableColumn id="1" xr3:uid="{07122545-26F0-0640-8EA3-87D8D4439587}" name="population" dataDxfId="31">
      <calculatedColumnFormula>data!C4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92F3784-6F3E-0B43-A70B-0A7BD18DB0B0}" name="Table51621" displayName="Table51621" ref="N4:P5" totalsRowShown="0" headerRowDxfId="30" dataDxfId="29">
  <tableColumns count="3">
    <tableColumn id="1" xr3:uid="{A318F5C1-C985-2646-9EF6-A65AC959B1F8}" name="deaths" dataDxfId="28">
      <calculatedColumnFormula>Table21318[[#This Row],[deaths]]</calculatedColumnFormula>
    </tableColumn>
    <tableColumn id="2" xr3:uid="{8AB70894-0C9F-854E-B008-9BC55264895C}" name="infections" dataDxfId="27">
      <calculatedColumnFormula>Table21318[[#This Row],[estimated number of infections]]-N5</calculatedColumnFormula>
    </tableColumn>
    <tableColumn id="3" xr3:uid="{3C6E783B-60EC-F249-9BBB-E5313DD53FB2}" name="population" dataDxfId="26">
      <calculatedColumnFormula array="1">Table41520[population]-(Table51621[[#This Row],[infections]]+Table51621[[#This Row],[deaths]])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954438-C961-AE4A-A490-58381C034BF8}" name="Table61722" displayName="Table61722" ref="N8:P9" totalsRowShown="0" headerRowDxfId="25" dataDxfId="24">
  <tableColumns count="3">
    <tableColumn id="1" xr3:uid="{B7560F4C-52C8-E34B-AD0A-0C02AD7A6C08}" name="deaths" dataDxfId="23">
      <calculatedColumnFormula>Table31419[[#This Row],[projected deaths at 81% prevalence]]</calculatedColumnFormula>
    </tableColumn>
    <tableColumn id="2" xr3:uid="{24D708A2-8BA3-4744-8C40-D1EEBD44BE67}" name="infections" dataDxfId="22">
      <calculatedColumnFormula>Table31419[[#This Row],[number of infections]]-Table31419[[#This Row],[projected deaths at 81% prevalence]]</calculatedColumnFormula>
    </tableColumn>
    <tableColumn id="3" xr3:uid="{BAC9388F-C9DB-AC4D-A490-15460A77116A}" name="population" dataDxfId="21">
      <calculatedColumnFormula array="1">Table41520[population]-(O9+N9)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863356E-2B9D-634F-956A-5CCE0DE37682}" name="Table2131823" displayName="Table2131823" ref="K4:L5" totalsRowShown="0" headerRowDxfId="20" dataDxfId="19">
  <tableColumns count="2">
    <tableColumn id="3" xr3:uid="{82EE0150-82AE-AB42-A252-FCDA50CCEC9C}" name="deaths" dataDxfId="18">
      <calculatedColumnFormula>data!B5</calculatedColumnFormula>
    </tableColumn>
    <tableColumn id="1" xr3:uid="{A0224290-B752-E042-AF6E-6106E8DCF67B}" name="estimated number of infections" dataDxfId="17">
      <calculatedColumnFormula>data!F5</calculatedColumnFormula>
    </tableColumn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F9770C3-F64A-8642-8C75-69CA9E2B88BB}" name="Table3141924" displayName="Table3141924" ref="K8:L9" totalsRowShown="0" headerRowDxfId="16" dataDxfId="15">
  <tableColumns count="2">
    <tableColumn id="3" xr3:uid="{38BDA4EE-AB4B-1B45-97FA-43E969A7AA8E}" name="projected deaths at 81% prevalence" dataDxfId="14">
      <calculatedColumnFormula>data!H5</calculatedColumnFormula>
    </tableColumn>
    <tableColumn id="1" xr3:uid="{28263471-4CB5-FA42-BA4B-7E8E7E1BEAA5}" name="number of infections" dataDxfId="13">
      <calculatedColumnFormula>data!G5</calculatedColumnFormula>
    </tableColumn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19FBBC7-36CC-A844-A1C7-458ABE012AD6}" name="Table4152025" displayName="Table4152025" ref="K11:K12" totalsRowShown="0" headerRowDxfId="12" dataDxfId="11">
  <tableColumns count="1">
    <tableColumn id="1" xr3:uid="{5514E89F-165C-9249-9681-75DACE02926B}" name="population" dataDxfId="10">
      <calculatedColumnFormula>data!C5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705DA8-B332-5D46-899A-589255D616B4}" name="Table5162126" displayName="Table5162126" ref="N4:P5" totalsRowShown="0" headerRowDxfId="9" dataDxfId="8">
  <tableColumns count="3">
    <tableColumn id="1" xr3:uid="{FADB59F1-A516-2A46-BDC0-5B29FD45563E}" name="deaths" dataDxfId="7">
      <calculatedColumnFormula>Table2131823[[#This Row],[deaths]]</calculatedColumnFormula>
    </tableColumn>
    <tableColumn id="2" xr3:uid="{B86124CD-BF81-6248-B768-6164C47E35A6}" name="infections" dataDxfId="6">
      <calculatedColumnFormula>Table2131823[[#This Row],[estimated number of infections]]-N5</calculatedColumnFormula>
    </tableColumn>
    <tableColumn id="3" xr3:uid="{081F0396-2223-D44C-B7A6-778B6BB7A4D6}" name="population" dataDxfId="5">
      <calculatedColumnFormula array="1">Table4152025[population]-(Table5162126[[#This Row],[infections]]+Table5162126[[#This Row],[deaths]])</calculatedColumnFormula>
    </tableColumn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F98D2C0-C5E4-D94B-A6A8-E0F3FF1D80AF}" name="Table6172227" displayName="Table6172227" ref="N8:P9" totalsRowShown="0" headerRowDxfId="4" dataDxfId="3">
  <tableColumns count="3">
    <tableColumn id="1" xr3:uid="{9C469E6E-EC80-294D-B92A-3DC5B6C571FE}" name="deaths" dataDxfId="2">
      <calculatedColumnFormula>Table3141924[[#This Row],[projected deaths at 81% prevalence]]</calculatedColumnFormula>
    </tableColumn>
    <tableColumn id="2" xr3:uid="{DD82B430-41C2-2643-9826-EFEE811F580E}" name="infections" dataDxfId="1">
      <calculatedColumnFormula>Table3141924[[#This Row],[number of infections]]-Table3141924[[#This Row],[projected deaths at 81% prevalence]]</calculatedColumnFormula>
    </tableColumn>
    <tableColumn id="3" xr3:uid="{5F4E84A5-0BE1-244E-AD31-2A639034598D}" name="population" dataDxfId="0">
      <calculatedColumnFormula array="1">Table4152025[population]-(O9+N9)</calculatedColumnFormula>
    </tableColumn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03A02-55D4-514F-80A7-E6766F836180}" name="Table1" displayName="Table1" ref="A1:H5" totalsRowShown="0" headerRowDxfId="76" dataDxfId="93">
  <autoFilter ref="A1:H5" xr:uid="{CFC51504-B2BD-0348-AF40-9E28EEFE0406}"/>
  <tableColumns count="8">
    <tableColumn id="1" xr3:uid="{83D2458A-BBAC-254F-9784-7E4CF229585E}" name="area" dataDxfId="92"/>
    <tableColumn id="6" xr3:uid="{78E323B4-589E-BF43-B290-DA5DB82962E5}" name="deaths" dataDxfId="89"/>
    <tableColumn id="2" xr3:uid="{0FEA8723-478D-D64A-AA53-906CC15B70E5}" name="population" dataDxfId="91"/>
    <tableColumn id="5" xr3:uid="{ACA4CF98-00AC-ED44-AF5A-96D4FC80A888}" name="cases" dataDxfId="90"/>
    <tableColumn id="7" xr3:uid="{F39933B7-21F9-A545-8552-480AF4911D1C}" name="prevalence" dataDxfId="88"/>
    <tableColumn id="9" xr3:uid="{4D44F59A-FD3E-D94A-913B-0E2C3B6CC7E6}" name="estimated number of infections" dataDxfId="86">
      <calculatedColumnFormula>Table1[[#This Row],[population]]*Table1[[#This Row],[prevalence]]</calculatedColumnFormula>
    </tableColumn>
    <tableColumn id="10" xr3:uid="{B6D84FAD-9695-BC4F-8D7F-0E1F18FFDFDA}" name="number of infections at 81% prevalence" dataDxfId="85">
      <calculatedColumnFormula>Table1[[#This Row],[population]]*0.81</calculatedColumnFormula>
    </tableColumn>
    <tableColumn id="3" xr3:uid="{52C792E5-13CC-D646-B591-5280A7562CF3}" name="projected deaths at 81% prevalence" dataDxfId="87">
      <calculatedColumnFormula>Table1[[#This Row],[deaths]]*0.81/Table1[[#This Row],[prevalence]]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5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7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722A-BA5A-8646-9F79-9A5DAC7DF673}">
  <dimension ref="A1:P37"/>
  <sheetViews>
    <sheetView tabSelected="1" zoomScale="120" zoomScaleNormal="120" workbookViewId="0">
      <selection activeCell="K31" sqref="K31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data!B2</f>
        <v>95971</v>
      </c>
      <c r="L5" s="8">
        <f>data!F2</f>
        <v>13456200</v>
      </c>
      <c r="N5" s="4">
        <f>Table2[[#This Row],[deaths]]</f>
        <v>95971</v>
      </c>
      <c r="O5" s="4">
        <f>Table2[[#This Row],[estimated number of infections]]-N5</f>
        <v>13360229</v>
      </c>
      <c r="P5" s="4" cm="1">
        <f t="array" ref="P5">Table4[population]-(Table5[[#This Row],[infections]]+Table5[[#This Row],[deaths]])</f>
        <v>314743800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data!H2</f>
        <v>1896012.4390243904</v>
      </c>
      <c r="L9" s="4">
        <f>data!G2</f>
        <v>265842000.00000003</v>
      </c>
      <c r="N9" s="4">
        <f>Table3[[#This Row],[projected deaths at 81% prevalence]]</f>
        <v>1896012.4390243904</v>
      </c>
      <c r="O9" s="4">
        <f>Table3[[#This Row],[number of infections]]-Table3[[#This Row],[projected deaths at 81% prevalence]]</f>
        <v>263945987.56097564</v>
      </c>
      <c r="P9" s="4" cm="1">
        <f t="array" ref="P9">Table4[population]-(O9+N9)</f>
        <v>62357999.99999997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data!C2</f>
        <v>328200000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TEXT(ROUND(K5/1000, 3),"#") &amp; " thousand deaths out of about " &amp; TEXT(ROUND(L5/1000000, 3),"#.#") &amp; " million infections so far."</f>
        <v>There have been about 96 thousand deaths out of about 13.5 million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TEXT(ROUND(K9/1000000, 2),"#.#") &amp; " million lives."</f>
        <v>At the current fatality rate, reaching herd immunity could cost about 1.9 million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  <c r="K18" s="2" t="s">
        <v>18</v>
      </c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3B9E-9E91-2746-B9A3-D8CD57A4E626}">
  <dimension ref="A1:P37"/>
  <sheetViews>
    <sheetView topLeftCell="C27" zoomScale="297" zoomScaleNormal="120" workbookViewId="0">
      <selection activeCell="F39" sqref="F39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data!B3</f>
        <v>2232</v>
      </c>
      <c r="L5" s="8">
        <f>data!F3</f>
        <v>279240</v>
      </c>
      <c r="N5" s="4">
        <f>Table213[[#This Row],[deaths]]</f>
        <v>2232</v>
      </c>
      <c r="O5" s="4">
        <f>Table213[[#This Row],[estimated number of infections]]-N5</f>
        <v>277008</v>
      </c>
      <c r="P5" s="4" cm="1">
        <f t="array" ref="P5">Table415[population]-(Table516[[#This Row],[infections]]+Table516[[#This Row],[deaths]])</f>
        <v>21200760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data!H3</f>
        <v>139070.76923076925</v>
      </c>
      <c r="L9" s="4">
        <f>data!G3</f>
        <v>17398800</v>
      </c>
      <c r="N9" s="4">
        <f>Table314[[#This Row],[projected deaths at 81% prevalence]]</f>
        <v>139070.76923076925</v>
      </c>
      <c r="O9" s="4">
        <f>Table314[[#This Row],[number of infections]]-Table314[[#This Row],[projected deaths at 81% prevalence]]</f>
        <v>17259729.230769232</v>
      </c>
      <c r="P9" s="4" cm="1">
        <f t="array" ref="P9">Table415[population]-(O9+N9)</f>
        <v>4081200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data!C3</f>
        <v>21480000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TEXT(ROUND(L5, -3),"#,#") &amp; " infections so far."</f>
        <v>There have been about 2,200 deaths out of about 279,000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140,000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BA92-0C2C-B545-8B1C-D6A67FE7E424}">
  <dimension ref="A1:P37"/>
  <sheetViews>
    <sheetView topLeftCell="A11" zoomScale="120" zoomScaleNormal="120" workbookViewId="0">
      <selection activeCell="K34" sqref="K34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data!B4</f>
        <v>629</v>
      </c>
      <c r="L5" s="8">
        <f>data!F4</f>
        <v>66048</v>
      </c>
      <c r="N5" s="4">
        <f>Table21318[[#This Row],[deaths]]</f>
        <v>629</v>
      </c>
      <c r="O5" s="4">
        <f>Table21318[[#This Row],[estimated number of infections]]-N5</f>
        <v>65419</v>
      </c>
      <c r="P5" s="4" cm="1">
        <f t="array" ref="P5">Table41520[population]-(Table51621[[#This Row],[infections]]+Table51621[[#This Row],[deaths]])</f>
        <v>2650952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data!H4</f>
        <v>20958.762263808138</v>
      </c>
      <c r="L9" s="4">
        <f>data!G4</f>
        <v>2200770</v>
      </c>
      <c r="N9" s="4">
        <f>Table31419[[#This Row],[projected deaths at 81% prevalence]]</f>
        <v>20958.762263808138</v>
      </c>
      <c r="O9" s="4">
        <f>Table31419[[#This Row],[number of infections]]-Table31419[[#This Row],[projected deaths at 81% prevalence]]</f>
        <v>2179811.2377361921</v>
      </c>
      <c r="P9" s="4" cm="1">
        <f t="array" ref="P9">Table41520[population]-(O9+N9)</f>
        <v>516230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data!C4</f>
        <v>2717000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TEXT(ROUND(L5, -3),"#,#") &amp; " infections so far."</f>
        <v>There have been about 600 deaths out of about 66,000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20,000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4B9D-CC0D-3D4F-95FE-FAB091587049}">
  <dimension ref="A1:P37"/>
  <sheetViews>
    <sheetView topLeftCell="A9" zoomScale="120" zoomScaleNormal="120" workbookViewId="0">
      <selection activeCell="K29" sqref="K29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data!B5</f>
        <v>292</v>
      </c>
      <c r="L5" s="8">
        <f>data!F5</f>
        <v>25944</v>
      </c>
      <c r="N5" s="4">
        <f>Table2131823[[#This Row],[deaths]]</f>
        <v>292</v>
      </c>
      <c r="O5" s="4">
        <f>Table2131823[[#This Row],[estimated number of infections]]-N5</f>
        <v>25652</v>
      </c>
      <c r="P5" s="4" cm="1">
        <f t="array" ref="P5">Table4152025[population]-(Table5162126[[#This Row],[infections]]+Table5162126[[#This Row],[deaths]])</f>
        <v>1927056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data!H5</f>
        <v>17804.639222941722</v>
      </c>
      <c r="L9" s="4">
        <f>data!G5</f>
        <v>1581930</v>
      </c>
      <c r="N9" s="4">
        <f>Table3141924[[#This Row],[projected deaths at 81% prevalence]]</f>
        <v>17804.639222941722</v>
      </c>
      <c r="O9" s="4">
        <f>Table3141924[[#This Row],[number of infections]]-Table3141924[[#This Row],[projected deaths at 81% prevalence]]</f>
        <v>1564125.3607770582</v>
      </c>
      <c r="P9" s="4" cm="1">
        <f t="array" ref="P9">Table4152025[population]-(O9+N9)</f>
        <v>371070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data!C5</f>
        <v>1953000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TEXT(ROUND(L5, -3),"#,#") &amp; " infections so far."</f>
        <v>There have been about 300 deaths out of about 26,000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20,000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EC49-C193-144B-A833-04A41856AF07}">
  <dimension ref="A1:H5"/>
  <sheetViews>
    <sheetView zoomScaleNormal="100" workbookViewId="0">
      <selection activeCell="H3" sqref="H3"/>
    </sheetView>
  </sheetViews>
  <sheetFormatPr baseColWidth="10" defaultRowHeight="16"/>
  <cols>
    <col min="1" max="1" width="24.5" style="1" customWidth="1"/>
    <col min="2" max="2" width="14.33203125" style="1" customWidth="1"/>
    <col min="3" max="3" width="18" style="5" customWidth="1"/>
    <col min="4" max="5" width="15.1640625" style="5" customWidth="1"/>
    <col min="6" max="6" width="36.83203125" style="5" customWidth="1"/>
    <col min="7" max="7" width="44.6640625" style="5" customWidth="1"/>
    <col min="8" max="8" width="40.1640625" style="5" customWidth="1"/>
    <col min="9" max="9" width="10.83203125" customWidth="1"/>
  </cols>
  <sheetData>
    <row r="1" spans="1:8">
      <c r="A1" s="10" t="s">
        <v>0</v>
      </c>
      <c r="B1" s="10" t="s">
        <v>3</v>
      </c>
      <c r="C1" s="11" t="s">
        <v>1</v>
      </c>
      <c r="D1" s="11" t="s">
        <v>8</v>
      </c>
      <c r="E1" s="12" t="s">
        <v>2</v>
      </c>
      <c r="F1" s="11" t="s">
        <v>10</v>
      </c>
      <c r="G1" s="11" t="s">
        <v>13</v>
      </c>
      <c r="H1" s="11" t="s">
        <v>9</v>
      </c>
    </row>
    <row r="2" spans="1:8">
      <c r="A2" s="2" t="s">
        <v>4</v>
      </c>
      <c r="B2" s="4">
        <v>95971</v>
      </c>
      <c r="C2" s="4">
        <v>328200000</v>
      </c>
      <c r="D2" s="4"/>
      <c r="E2" s="6">
        <v>4.1000000000000002E-2</v>
      </c>
      <c r="F2" s="4">
        <f>Table1[[#This Row],[population]]*Table1[[#This Row],[prevalence]]</f>
        <v>13456200</v>
      </c>
      <c r="G2" s="4">
        <f>Table1[[#This Row],[population]]*0.81</f>
        <v>265842000.00000003</v>
      </c>
      <c r="H2" s="4">
        <f>Table1[[#This Row],[deaths]]*0.81/Table1[[#This Row],[prevalence]]</f>
        <v>1896012.4390243904</v>
      </c>
    </row>
    <row r="3" spans="1:8">
      <c r="A3" s="2" t="s">
        <v>5</v>
      </c>
      <c r="B3" s="4">
        <v>2232</v>
      </c>
      <c r="C3" s="4">
        <v>21480000</v>
      </c>
      <c r="D3" s="4"/>
      <c r="E3" s="6">
        <v>1.2999999999999999E-2</v>
      </c>
      <c r="F3" s="4">
        <f>Table1[[#This Row],[population]]*Table1[[#This Row],[prevalence]]</f>
        <v>279240</v>
      </c>
      <c r="G3" s="4">
        <f>Table1[[#This Row],[population]]*0.81</f>
        <v>17398800</v>
      </c>
      <c r="H3" s="4">
        <f>Table1[[#This Row],[deaths]]*0.81/Table1[[#This Row],[prevalence]]</f>
        <v>139070.76923076925</v>
      </c>
    </row>
    <row r="4" spans="1:8">
      <c r="A4" s="2" t="s">
        <v>6</v>
      </c>
      <c r="B4" s="2">
        <v>629</v>
      </c>
      <c r="C4" s="4">
        <v>2717000</v>
      </c>
      <c r="D4" s="4">
        <v>16512</v>
      </c>
      <c r="E4" s="6">
        <f>(Table1[[#This Row],[cases]]/0.25)/Table1[[#This Row],[population]]</f>
        <v>2.4309164519690837E-2</v>
      </c>
      <c r="F4" s="4">
        <f>Table1[[#This Row],[population]]*Table1[[#This Row],[prevalence]]</f>
        <v>66048</v>
      </c>
      <c r="G4" s="4">
        <f>Table1[[#This Row],[population]]*0.81</f>
        <v>2200770</v>
      </c>
      <c r="H4" s="4">
        <f>Table1[[#This Row],[deaths]]*0.81/Table1[[#This Row],[prevalence]]</f>
        <v>20958.762263808138</v>
      </c>
    </row>
    <row r="5" spans="1:8">
      <c r="A5" s="2" t="s">
        <v>7</v>
      </c>
      <c r="B5" s="2">
        <v>292</v>
      </c>
      <c r="C5" s="4">
        <v>1953000</v>
      </c>
      <c r="D5" s="4">
        <v>6486</v>
      </c>
      <c r="E5" s="6">
        <f>(Table1[[#This Row],[cases]]/0.25)/Table1[[#This Row],[population]]</f>
        <v>1.3284178187403994E-2</v>
      </c>
      <c r="F5" s="4">
        <f>Table1[[#This Row],[population]]*Table1[[#This Row],[prevalence]]</f>
        <v>25944</v>
      </c>
      <c r="G5" s="4">
        <f>Table1[[#This Row],[population]]*0.81</f>
        <v>1581930</v>
      </c>
      <c r="H5" s="4">
        <f>Table1[[#This Row],[deaths]]*0.81/Table1[[#This Row],[prevalence]]</f>
        <v>17804.639222941722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</vt:lpstr>
      <vt:lpstr>Florida</vt:lpstr>
      <vt:lpstr>Miami-Dade</vt:lpstr>
      <vt:lpstr>Broward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Porter</dc:creator>
  <cp:lastModifiedBy>Ryan Porter</cp:lastModifiedBy>
  <dcterms:created xsi:type="dcterms:W3CDTF">2020-05-23T14:07:12Z</dcterms:created>
  <dcterms:modified xsi:type="dcterms:W3CDTF">2020-05-24T17:20:19Z</dcterms:modified>
</cp:coreProperties>
</file>