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L:\4_Inventaires d'émissions, prospective et évaluation\42_Prospective\421_Scénarios prospectifs DGEC\4218_Scénarios 2016\AME 2016-17\résults\finaux finaux\"/>
    </mc:Choice>
  </mc:AlternateContent>
  <bookViews>
    <workbookView xWindow="0" yWindow="0" windowWidth="23040" windowHeight="8820" activeTab="8"/>
  </bookViews>
  <sheets>
    <sheet name="Intro" sheetId="13" r:id="rId1"/>
    <sheet name="Cadrage macro" sheetId="4" r:id="rId2"/>
    <sheet name="Industrie" sheetId="1" r:id="rId3"/>
    <sheet name="Transport" sheetId="9" r:id="rId4"/>
    <sheet name="Détail Transport" sheetId="14" r:id="rId5"/>
    <sheet name="Résidentiel" sheetId="10" r:id="rId6"/>
    <sheet name="Détail résidentiel" sheetId="19" r:id="rId7"/>
    <sheet name="Tertiaire" sheetId="18" r:id="rId8"/>
    <sheet name="Agriculture" sheetId="12" r:id="rId9"/>
    <sheet name="CEE" sheetId="20" r:id="rId10"/>
    <sheet name="Mix énergétique" sheetId="16" r:id="rId11"/>
  </sheets>
  <definedNames>
    <definedName name="INDSC1">#REF!</definedName>
    <definedName name="RES_IND">#REF!</definedName>
    <definedName name="RES_IND_OLD">#REF!</definedName>
    <definedName name="RES_RES">#REF!</definedName>
    <definedName name="RES_RES_OLD">#REF!</definedName>
    <definedName name="RES_TER">#REF!</definedName>
    <definedName name="RES_TER_OLD">#REF!</definedName>
    <definedName name="RES_TOT">#REF!</definedName>
    <definedName name="RES_TOT_OLD">#REF!</definedName>
    <definedName name="RES_TRA">#REF!</definedName>
    <definedName name="RES_TRA_OLD">#REF!</definedName>
    <definedName name="RESSC1">#REF!</definedName>
    <definedName name="RESSC2">#REF!</definedName>
    <definedName name="Substrat">#REF!</definedName>
    <definedName name="TERSC1">#REF!</definedName>
    <definedName name="TERSC2">#REF!</definedName>
    <definedName name="TRANSSC1">#REF!</definedName>
    <definedName name="TRANSSC2">#REF!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84" i="10" l="1"/>
  <c r="U84" i="10"/>
  <c r="V84" i="10"/>
  <c r="T85" i="10"/>
  <c r="U85" i="10"/>
  <c r="V85" i="10"/>
  <c r="T86" i="10"/>
  <c r="U86" i="10"/>
  <c r="V86" i="10"/>
  <c r="T87" i="10"/>
  <c r="U87" i="10"/>
  <c r="V87" i="10"/>
  <c r="T88" i="10"/>
  <c r="U88" i="10"/>
  <c r="V88" i="10"/>
  <c r="T89" i="10"/>
  <c r="U89" i="10"/>
  <c r="V89" i="10"/>
  <c r="T90" i="10"/>
  <c r="U90" i="10"/>
  <c r="V90" i="10"/>
  <c r="T91" i="10"/>
  <c r="U91" i="10"/>
  <c r="V91" i="10"/>
  <c r="T92" i="10"/>
  <c r="U92" i="10"/>
  <c r="V92" i="10"/>
  <c r="T93" i="10"/>
  <c r="U93" i="10"/>
  <c r="V93" i="10"/>
  <c r="S93" i="10"/>
  <c r="S92" i="10"/>
  <c r="S91" i="10"/>
  <c r="S90" i="10"/>
  <c r="S89" i="10"/>
  <c r="S88" i="10"/>
  <c r="S87" i="10"/>
  <c r="S86" i="10"/>
  <c r="S85" i="10"/>
  <c r="S84" i="10"/>
  <c r="AB139" i="19" l="1"/>
  <c r="AB140" i="19"/>
  <c r="AB141" i="19"/>
  <c r="AB142" i="19"/>
  <c r="AB143" i="19"/>
  <c r="AB144" i="19"/>
  <c r="AB145" i="19"/>
  <c r="AB146" i="19"/>
  <c r="AB147" i="19"/>
  <c r="AB148" i="19"/>
  <c r="AB149" i="19"/>
  <c r="AB150" i="19"/>
  <c r="AB151" i="19"/>
  <c r="AB152" i="19"/>
  <c r="AB153" i="19"/>
  <c r="AB154" i="19"/>
  <c r="AB155" i="19"/>
  <c r="AB156" i="19"/>
  <c r="AB157" i="19"/>
  <c r="AB158" i="19"/>
  <c r="AB159" i="19"/>
  <c r="AB160" i="19"/>
  <c r="AB161" i="19"/>
  <c r="AB162" i="19"/>
  <c r="AB163" i="19"/>
  <c r="AB164" i="19"/>
  <c r="AB165" i="19"/>
  <c r="AB166" i="19"/>
  <c r="T71" i="10" l="1"/>
  <c r="U71" i="10"/>
  <c r="V71" i="10"/>
  <c r="T72" i="10"/>
  <c r="U72" i="10"/>
  <c r="V72" i="10"/>
  <c r="T73" i="10"/>
  <c r="U73" i="10"/>
  <c r="V73" i="10"/>
  <c r="T74" i="10"/>
  <c r="U74" i="10"/>
  <c r="V74" i="10"/>
  <c r="T75" i="10"/>
  <c r="U75" i="10"/>
  <c r="V75" i="10"/>
  <c r="T76" i="10"/>
  <c r="U76" i="10"/>
  <c r="V76" i="10"/>
  <c r="T77" i="10"/>
  <c r="U77" i="10"/>
  <c r="V77" i="10"/>
  <c r="T78" i="10"/>
  <c r="U78" i="10"/>
  <c r="V78" i="10"/>
  <c r="T79" i="10"/>
  <c r="U79" i="10"/>
  <c r="V79" i="10"/>
  <c r="T80" i="10"/>
  <c r="U80" i="10"/>
  <c r="V80" i="10"/>
  <c r="S72" i="10"/>
  <c r="S73" i="10"/>
  <c r="S74" i="10"/>
  <c r="S75" i="10"/>
  <c r="S76" i="10"/>
  <c r="S77" i="10"/>
  <c r="S78" i="10"/>
  <c r="S79" i="10"/>
  <c r="S80" i="10"/>
  <c r="S71" i="10"/>
  <c r="V60" i="10"/>
  <c r="U60" i="10"/>
  <c r="S60" i="10"/>
  <c r="R60" i="10"/>
  <c r="V59" i="10"/>
  <c r="U59" i="10"/>
  <c r="S59" i="10"/>
  <c r="R59" i="10"/>
  <c r="V58" i="10"/>
  <c r="U58" i="10"/>
  <c r="S58" i="10"/>
  <c r="R58" i="10"/>
  <c r="V57" i="10"/>
  <c r="U57" i="10"/>
  <c r="S57" i="10"/>
  <c r="R57" i="10"/>
  <c r="V56" i="10"/>
  <c r="U56" i="10"/>
  <c r="S56" i="10"/>
  <c r="R56" i="10"/>
  <c r="S44" i="10"/>
  <c r="U44" i="10"/>
  <c r="V44" i="10"/>
  <c r="S45" i="10"/>
  <c r="U45" i="10"/>
  <c r="V45" i="10"/>
  <c r="S46" i="10"/>
  <c r="U46" i="10"/>
  <c r="V46" i="10"/>
  <c r="S47" i="10"/>
  <c r="U47" i="10"/>
  <c r="V47" i="10"/>
  <c r="S48" i="10"/>
  <c r="U48" i="10"/>
  <c r="V48" i="10"/>
  <c r="S49" i="10"/>
  <c r="U49" i="10"/>
  <c r="V49" i="10"/>
  <c r="R45" i="10"/>
  <c r="R46" i="10"/>
  <c r="R47" i="10"/>
  <c r="R48" i="10"/>
  <c r="R49" i="10"/>
  <c r="R44" i="10"/>
  <c r="D47" i="14" l="1"/>
  <c r="AE24" i="20" l="1"/>
  <c r="AD24" i="20"/>
  <c r="AC24" i="20"/>
  <c r="AB24" i="20"/>
  <c r="AA24" i="20"/>
  <c r="Z24" i="20"/>
  <c r="Y24" i="20"/>
  <c r="X24" i="20"/>
  <c r="W24" i="20"/>
  <c r="V24" i="20"/>
  <c r="U24" i="20"/>
  <c r="T24" i="20"/>
  <c r="S24" i="20"/>
  <c r="R24" i="20"/>
  <c r="Q24" i="20"/>
  <c r="P24" i="20"/>
  <c r="O24" i="20"/>
  <c r="N24" i="20"/>
  <c r="M24" i="20"/>
  <c r="L24" i="20"/>
  <c r="C3" i="20"/>
  <c r="C2" i="20"/>
  <c r="F21" i="20" s="1"/>
  <c r="F22" i="20" l="1"/>
  <c r="F9" i="20"/>
  <c r="I8" i="20" s="1"/>
  <c r="F18" i="20"/>
  <c r="I17" i="20" s="1"/>
  <c r="F10" i="20"/>
  <c r="I9" i="20" s="1"/>
  <c r="F7" i="20"/>
  <c r="F11" i="20"/>
  <c r="F20" i="20"/>
  <c r="I19" i="20" s="1"/>
  <c r="F8" i="20"/>
  <c r="I7" i="20" s="1"/>
  <c r="F12" i="20"/>
  <c r="F19" i="20"/>
  <c r="I18" i="20" s="1"/>
  <c r="F17" i="20"/>
  <c r="I20" i="20" l="1"/>
  <c r="I21" i="20" s="1"/>
  <c r="I10" i="20"/>
  <c r="I11" i="20" s="1"/>
  <c r="H49" i="16" l="1"/>
  <c r="H50" i="16"/>
  <c r="H51" i="16"/>
  <c r="H52" i="16"/>
  <c r="H53" i="16"/>
  <c r="H54" i="16"/>
  <c r="H55" i="16"/>
  <c r="E58" i="16"/>
  <c r="I55" i="16" s="1"/>
  <c r="L55" i="16" s="1"/>
  <c r="F58" i="16"/>
  <c r="H78" i="16"/>
  <c r="I73" i="16" s="1"/>
  <c r="I53" i="16" l="1"/>
  <c r="L53" i="16" s="1"/>
  <c r="M53" i="16" s="1"/>
  <c r="I50" i="16"/>
  <c r="L50" i="16" s="1"/>
  <c r="M50" i="16" s="1"/>
  <c r="M55" i="16"/>
  <c r="N55" i="16"/>
  <c r="I75" i="16"/>
  <c r="I77" i="16"/>
  <c r="I51" i="16"/>
  <c r="L51" i="16" s="1"/>
  <c r="I74" i="16"/>
  <c r="I54" i="16"/>
  <c r="L54" i="16" s="1"/>
  <c r="I49" i="16"/>
  <c r="L49" i="16" s="1"/>
  <c r="I76" i="16"/>
  <c r="I52" i="16"/>
  <c r="L52" i="16" s="1"/>
  <c r="N53" i="16" l="1"/>
  <c r="N50" i="16"/>
  <c r="M49" i="16"/>
  <c r="N49" i="16"/>
  <c r="M54" i="16"/>
  <c r="N54" i="16"/>
  <c r="M51" i="16"/>
  <c r="N51" i="16"/>
  <c r="M52" i="16"/>
  <c r="N52" i="16"/>
  <c r="AG166" i="19" l="1"/>
  <c r="AF166" i="19"/>
  <c r="AE166" i="19"/>
  <c r="AD166" i="19"/>
  <c r="AC166" i="19"/>
  <c r="AA166" i="19"/>
  <c r="AG165" i="19"/>
  <c r="AF165" i="19"/>
  <c r="AE165" i="19"/>
  <c r="AD165" i="19"/>
  <c r="AC165" i="19"/>
  <c r="AA165" i="19"/>
  <c r="AG164" i="19"/>
  <c r="AF164" i="19"/>
  <c r="AE164" i="19"/>
  <c r="AD164" i="19"/>
  <c r="AC164" i="19"/>
  <c r="AA164" i="19"/>
  <c r="AG163" i="19"/>
  <c r="AF163" i="19"/>
  <c r="AE163" i="19"/>
  <c r="AD163" i="19"/>
  <c r="AC163" i="19"/>
  <c r="AA163" i="19"/>
  <c r="AG162" i="19"/>
  <c r="AF162" i="19"/>
  <c r="AE162" i="19"/>
  <c r="AD162" i="19"/>
  <c r="AC162" i="19"/>
  <c r="AA162" i="19"/>
  <c r="AG161" i="19"/>
  <c r="AF161" i="19"/>
  <c r="AE161" i="19"/>
  <c r="AD161" i="19"/>
  <c r="AC161" i="19"/>
  <c r="AA161" i="19"/>
  <c r="AG160" i="19"/>
  <c r="AF160" i="19"/>
  <c r="AE160" i="19"/>
  <c r="AD160" i="19"/>
  <c r="AC160" i="19"/>
  <c r="AA160" i="19"/>
  <c r="AG159" i="19"/>
  <c r="AF159" i="19"/>
  <c r="AE159" i="19"/>
  <c r="AD159" i="19"/>
  <c r="AC159" i="19"/>
  <c r="AA159" i="19"/>
  <c r="AG158" i="19"/>
  <c r="AF158" i="19"/>
  <c r="AE158" i="19"/>
  <c r="AD158" i="19"/>
  <c r="AC158" i="19"/>
  <c r="AA158" i="19"/>
  <c r="AG157" i="19"/>
  <c r="AF157" i="19"/>
  <c r="AE157" i="19"/>
  <c r="AD157" i="19"/>
  <c r="AC157" i="19"/>
  <c r="AA157" i="19"/>
  <c r="AG156" i="19"/>
  <c r="AF156" i="19"/>
  <c r="AE156" i="19"/>
  <c r="AD156" i="19"/>
  <c r="AC156" i="19"/>
  <c r="AA156" i="19"/>
  <c r="AG155" i="19"/>
  <c r="AF155" i="19"/>
  <c r="AE155" i="19"/>
  <c r="AD155" i="19"/>
  <c r="AC155" i="19"/>
  <c r="AA155" i="19"/>
  <c r="AG154" i="19"/>
  <c r="AF154" i="19"/>
  <c r="AE154" i="19"/>
  <c r="AD154" i="19"/>
  <c r="AC154" i="19"/>
  <c r="AA154" i="19"/>
  <c r="AG153" i="19"/>
  <c r="AF153" i="19"/>
  <c r="AE153" i="19"/>
  <c r="AD153" i="19"/>
  <c r="AC153" i="19"/>
  <c r="AA153" i="19"/>
  <c r="AG152" i="19"/>
  <c r="AF152" i="19"/>
  <c r="AE152" i="19"/>
  <c r="AD152" i="19"/>
  <c r="AC152" i="19"/>
  <c r="AA152" i="19"/>
  <c r="AG151" i="19"/>
  <c r="AF151" i="19"/>
  <c r="AE151" i="19"/>
  <c r="AD151" i="19"/>
  <c r="AC151" i="19"/>
  <c r="AA151" i="19"/>
  <c r="AG150" i="19"/>
  <c r="AF150" i="19"/>
  <c r="AE150" i="19"/>
  <c r="AD150" i="19"/>
  <c r="AC150" i="19"/>
  <c r="AA150" i="19"/>
  <c r="AG149" i="19"/>
  <c r="AF149" i="19"/>
  <c r="AE149" i="19"/>
  <c r="AD149" i="19"/>
  <c r="AC149" i="19"/>
  <c r="AA149" i="19"/>
  <c r="AG148" i="19"/>
  <c r="AF148" i="19"/>
  <c r="AE148" i="19"/>
  <c r="AD148" i="19"/>
  <c r="AC148" i="19"/>
  <c r="AA148" i="19"/>
  <c r="AG147" i="19"/>
  <c r="AF147" i="19"/>
  <c r="AE147" i="19"/>
  <c r="AD147" i="19"/>
  <c r="AC147" i="19"/>
  <c r="AA147" i="19"/>
  <c r="AG146" i="19"/>
  <c r="AF146" i="19"/>
  <c r="AE146" i="19"/>
  <c r="AD146" i="19"/>
  <c r="AC146" i="19"/>
  <c r="AA146" i="19"/>
  <c r="AG145" i="19"/>
  <c r="AF145" i="19"/>
  <c r="AE145" i="19"/>
  <c r="AD145" i="19"/>
  <c r="AC145" i="19"/>
  <c r="AA145" i="19"/>
  <c r="AG144" i="19"/>
  <c r="AF144" i="19"/>
  <c r="AE144" i="19"/>
  <c r="AD144" i="19"/>
  <c r="AC144" i="19"/>
  <c r="AA144" i="19"/>
  <c r="AG143" i="19"/>
  <c r="AF143" i="19"/>
  <c r="AE143" i="19"/>
  <c r="AD143" i="19"/>
  <c r="AC143" i="19"/>
  <c r="AA143" i="19"/>
  <c r="AG142" i="19"/>
  <c r="AF142" i="19"/>
  <c r="AE142" i="19"/>
  <c r="AD142" i="19"/>
  <c r="AC142" i="19"/>
  <c r="AA142" i="19"/>
  <c r="AG141" i="19"/>
  <c r="AF141" i="19"/>
  <c r="AE141" i="19"/>
  <c r="AD141" i="19"/>
  <c r="AC141" i="19"/>
  <c r="AA141" i="19"/>
  <c r="AG140" i="19"/>
  <c r="AF140" i="19"/>
  <c r="AE140" i="19"/>
  <c r="AD140" i="19"/>
  <c r="AC140" i="19"/>
  <c r="AA140" i="19"/>
  <c r="AG139" i="19"/>
  <c r="AF139" i="19"/>
  <c r="AE139" i="19"/>
  <c r="AD139" i="19"/>
  <c r="AC139" i="19"/>
  <c r="AA139" i="19"/>
  <c r="U131" i="19"/>
  <c r="T131" i="19"/>
  <c r="S131" i="19"/>
  <c r="R131" i="19"/>
  <c r="Q131" i="19"/>
  <c r="U130" i="19"/>
  <c r="T130" i="19"/>
  <c r="S130" i="19"/>
  <c r="R130" i="19"/>
  <c r="Q130" i="19"/>
  <c r="U129" i="19"/>
  <c r="T129" i="19"/>
  <c r="S129" i="19"/>
  <c r="R129" i="19"/>
  <c r="Q129" i="19"/>
  <c r="U128" i="19"/>
  <c r="T128" i="19"/>
  <c r="S128" i="19"/>
  <c r="R128" i="19"/>
  <c r="Q128" i="19"/>
  <c r="U127" i="19"/>
  <c r="T127" i="19"/>
  <c r="S127" i="19"/>
  <c r="R127" i="19"/>
  <c r="Q127" i="19"/>
  <c r="U126" i="19"/>
  <c r="T126" i="19"/>
  <c r="S126" i="19"/>
  <c r="R126" i="19"/>
  <c r="Q126" i="19"/>
  <c r="U125" i="19"/>
  <c r="T125" i="19"/>
  <c r="S125" i="19"/>
  <c r="R125" i="19"/>
  <c r="Q125" i="19"/>
  <c r="U124" i="19"/>
  <c r="T124" i="19"/>
  <c r="S124" i="19"/>
  <c r="R124" i="19"/>
  <c r="Q124" i="19"/>
  <c r="U123" i="19"/>
  <c r="T123" i="19"/>
  <c r="S123" i="19"/>
  <c r="R123" i="19"/>
  <c r="Q123" i="19"/>
  <c r="U122" i="19"/>
  <c r="T122" i="19"/>
  <c r="S122" i="19"/>
  <c r="R122" i="19"/>
  <c r="Q122" i="19"/>
  <c r="U121" i="19"/>
  <c r="T121" i="19"/>
  <c r="S121" i="19"/>
  <c r="R121" i="19"/>
  <c r="Q121" i="19"/>
  <c r="U120" i="19"/>
  <c r="T120" i="19"/>
  <c r="S120" i="19"/>
  <c r="R120" i="19"/>
  <c r="Q120" i="19"/>
  <c r="U119" i="19"/>
  <c r="T119" i="19"/>
  <c r="S119" i="19"/>
  <c r="R119" i="19"/>
  <c r="Q119" i="19"/>
  <c r="U118" i="19"/>
  <c r="T118" i="19"/>
  <c r="S118" i="19"/>
  <c r="R118" i="19"/>
  <c r="Q118" i="19"/>
  <c r="U117" i="19"/>
  <c r="T117" i="19"/>
  <c r="S117" i="19"/>
  <c r="R117" i="19"/>
  <c r="Q117" i="19"/>
  <c r="U116" i="19"/>
  <c r="T116" i="19"/>
  <c r="S116" i="19"/>
  <c r="R116" i="19"/>
  <c r="Q116" i="19"/>
  <c r="U115" i="19"/>
  <c r="T115" i="19"/>
  <c r="S115" i="19"/>
  <c r="R115" i="19"/>
  <c r="Q115" i="19"/>
  <c r="U114" i="19"/>
  <c r="T114" i="19"/>
  <c r="S114" i="19"/>
  <c r="R114" i="19"/>
  <c r="Q114" i="19"/>
  <c r="U113" i="19"/>
  <c r="T113" i="19"/>
  <c r="S113" i="19"/>
  <c r="R113" i="19"/>
  <c r="Q113" i="19"/>
  <c r="U112" i="19"/>
  <c r="T112" i="19"/>
  <c r="S112" i="19"/>
  <c r="R112" i="19"/>
  <c r="Q112" i="19"/>
  <c r="U111" i="19"/>
  <c r="T111" i="19"/>
  <c r="S111" i="19"/>
  <c r="R111" i="19"/>
  <c r="Q111" i="19"/>
  <c r="U110" i="19"/>
  <c r="T110" i="19"/>
  <c r="S110" i="19"/>
  <c r="R110" i="19"/>
  <c r="Q110" i="19"/>
  <c r="U109" i="19"/>
  <c r="T109" i="19"/>
  <c r="S109" i="19"/>
  <c r="R109" i="19"/>
  <c r="Q109" i="19"/>
  <c r="U108" i="19"/>
  <c r="T108" i="19"/>
  <c r="S108" i="19"/>
  <c r="R108" i="19"/>
  <c r="Q108" i="19"/>
  <c r="U107" i="19"/>
  <c r="T107" i="19"/>
  <c r="S107" i="19"/>
  <c r="R107" i="19"/>
  <c r="Q107" i="19"/>
  <c r="U106" i="19"/>
  <c r="T106" i="19"/>
  <c r="S106" i="19"/>
  <c r="R106" i="19"/>
  <c r="Q106" i="19"/>
  <c r="U105" i="19"/>
  <c r="T105" i="19"/>
  <c r="S105" i="19"/>
  <c r="R105" i="19"/>
  <c r="Q105" i="19"/>
  <c r="U104" i="19"/>
  <c r="T104" i="19"/>
  <c r="S104" i="19"/>
  <c r="R104" i="19"/>
  <c r="Q104" i="19"/>
  <c r="AC95" i="19"/>
  <c r="AB95" i="19"/>
  <c r="M95" i="19"/>
  <c r="L95" i="19"/>
  <c r="AF95" i="19"/>
  <c r="AA94" i="19"/>
  <c r="N94" i="19"/>
  <c r="K94" i="19"/>
  <c r="AE94" i="19"/>
  <c r="AD94" i="19"/>
  <c r="L94" i="19"/>
  <c r="AF93" i="19"/>
  <c r="AE93" i="19"/>
  <c r="N93" i="19"/>
  <c r="AB93" i="19"/>
  <c r="K93" i="19"/>
  <c r="AE92" i="19"/>
  <c r="AD92" i="19"/>
  <c r="AC92" i="19"/>
  <c r="AB92" i="19"/>
  <c r="N92" i="19"/>
  <c r="M92" i="19"/>
  <c r="L92" i="19"/>
  <c r="AE91" i="19"/>
  <c r="AC91" i="19"/>
  <c r="AB91" i="19"/>
  <c r="AF91" i="19"/>
  <c r="AF90" i="19"/>
  <c r="AA90" i="19"/>
  <c r="AE90" i="19"/>
  <c r="AD90" i="19"/>
  <c r="L90" i="19"/>
  <c r="AF89" i="19"/>
  <c r="AE89" i="19"/>
  <c r="AD89" i="19"/>
  <c r="O89" i="19"/>
  <c r="AC89" i="19"/>
  <c r="AB89" i="19"/>
  <c r="AF88" i="19"/>
  <c r="AE88" i="19"/>
  <c r="AD88" i="19"/>
  <c r="AC88" i="19"/>
  <c r="AB88" i="19"/>
  <c r="K88" i="19"/>
  <c r="P88" i="19"/>
  <c r="M89" i="19"/>
  <c r="L88" i="19"/>
  <c r="AA88" i="19"/>
  <c r="AE87" i="19"/>
  <c r="AC87" i="19"/>
  <c r="AB87" i="19"/>
  <c r="AA87" i="19"/>
  <c r="P87" i="19"/>
  <c r="K87" i="19"/>
  <c r="AF87" i="19"/>
  <c r="AF86" i="19"/>
  <c r="AC86" i="19"/>
  <c r="AB86" i="19"/>
  <c r="AA86" i="19"/>
  <c r="O86" i="19"/>
  <c r="N86" i="19"/>
  <c r="P86" i="19"/>
  <c r="AE86" i="19"/>
  <c r="AD86" i="19"/>
  <c r="L86" i="19"/>
  <c r="AF85" i="19"/>
  <c r="O85" i="19"/>
  <c r="M85" i="19"/>
  <c r="L85" i="19"/>
  <c r="AE85" i="19"/>
  <c r="AC85" i="19"/>
  <c r="AB85" i="19"/>
  <c r="AE84" i="19"/>
  <c r="AD84" i="19"/>
  <c r="AB84" i="19"/>
  <c r="O84" i="19"/>
  <c r="M84" i="19"/>
  <c r="L84" i="19"/>
  <c r="AA84" i="19"/>
  <c r="AE83" i="19"/>
  <c r="AD83" i="19"/>
  <c r="AC83" i="19"/>
  <c r="AB83" i="19"/>
  <c r="P83" i="19"/>
  <c r="M83" i="19"/>
  <c r="AF83" i="19"/>
  <c r="O83" i="19"/>
  <c r="N83" i="19"/>
  <c r="AC82" i="19"/>
  <c r="AB82" i="19"/>
  <c r="AA82" i="19"/>
  <c r="O82" i="19"/>
  <c r="N82" i="19"/>
  <c r="K82" i="19"/>
  <c r="P82" i="19"/>
  <c r="AE82" i="19"/>
  <c r="AD82" i="19"/>
  <c r="M82" i="19"/>
  <c r="L82" i="19"/>
  <c r="AF81" i="19"/>
  <c r="AA81" i="19"/>
  <c r="P81" i="19"/>
  <c r="O81" i="19"/>
  <c r="AE81" i="19"/>
  <c r="AB81" i="19"/>
  <c r="AE80" i="19"/>
  <c r="AD80" i="19"/>
  <c r="AC80" i="19"/>
  <c r="N80" i="19"/>
  <c r="M80" i="19"/>
  <c r="P80" i="19"/>
  <c r="AF79" i="19"/>
  <c r="AD79" i="19"/>
  <c r="AC79" i="19"/>
  <c r="M79" i="19"/>
  <c r="P79" i="19"/>
  <c r="O80" i="19"/>
  <c r="AA79" i="19"/>
  <c r="AC78" i="19"/>
  <c r="AB78" i="19"/>
  <c r="M78" i="19"/>
  <c r="L78" i="19"/>
  <c r="AF78" i="19"/>
  <c r="AB77" i="19"/>
  <c r="O77" i="19"/>
  <c r="L77" i="19"/>
  <c r="K77" i="19"/>
  <c r="AF77" i="19"/>
  <c r="AE77" i="19"/>
  <c r="AA77" i="19"/>
  <c r="BJ76" i="19"/>
  <c r="BJ77" i="19" s="1"/>
  <c r="AC76" i="19"/>
  <c r="AA76" i="19"/>
  <c r="O76" i="19"/>
  <c r="N76" i="19"/>
  <c r="K76" i="19"/>
  <c r="AE76" i="19"/>
  <c r="AD76" i="19"/>
  <c r="M76" i="19"/>
  <c r="AR75" i="19"/>
  <c r="AF75" i="19"/>
  <c r="AE75" i="19"/>
  <c r="AC75" i="19"/>
  <c r="BO75" i="19" s="1"/>
  <c r="AB75" i="19"/>
  <c r="BN75" i="19" s="1"/>
  <c r="P75" i="19"/>
  <c r="AD75" i="19"/>
  <c r="BP75" i="19" s="1"/>
  <c r="AR74" i="19"/>
  <c r="AE74" i="19"/>
  <c r="AB74" i="19"/>
  <c r="BN74" i="19" s="1"/>
  <c r="P74" i="19"/>
  <c r="L74" i="19"/>
  <c r="K74" i="19"/>
  <c r="AF74" i="19"/>
  <c r="O75" i="19"/>
  <c r="AA74" i="19"/>
  <c r="BM74" i="19" s="1"/>
  <c r="AR73" i="19"/>
  <c r="AF73" i="19"/>
  <c r="AD73" i="19"/>
  <c r="BP73" i="19" s="1"/>
  <c r="AC73" i="19"/>
  <c r="BO73" i="19" s="1"/>
  <c r="AA73" i="19"/>
  <c r="BM73" i="19" s="1"/>
  <c r="P73" i="19"/>
  <c r="L73" i="19"/>
  <c r="K73" i="19"/>
  <c r="N73" i="19"/>
  <c r="AB73" i="19"/>
  <c r="BN73" i="19" s="1"/>
  <c r="AR72" i="19"/>
  <c r="AE72" i="19"/>
  <c r="AD72" i="19"/>
  <c r="BP72" i="19" s="1"/>
  <c r="AB72" i="19"/>
  <c r="BN72" i="19" s="1"/>
  <c r="O72" i="19"/>
  <c r="L72" i="19"/>
  <c r="AF72" i="19"/>
  <c r="AC72" i="19"/>
  <c r="BO72" i="19" s="1"/>
  <c r="AV71" i="19"/>
  <c r="AV74" i="19" s="1"/>
  <c r="BC76" i="19" s="1"/>
  <c r="BC77" i="19" s="1"/>
  <c r="AN71" i="19"/>
  <c r="AN72" i="19" s="1"/>
  <c r="AJ71" i="19"/>
  <c r="AJ73" i="19" s="1"/>
  <c r="AE71" i="19"/>
  <c r="AC71" i="19"/>
  <c r="BO71" i="19" s="1"/>
  <c r="AB71" i="19"/>
  <c r="BN71" i="19" s="1"/>
  <c r="N71" i="19"/>
  <c r="M71" i="19"/>
  <c r="AD71" i="19"/>
  <c r="BP71" i="19" s="1"/>
  <c r="AJ70" i="19"/>
  <c r="AD70" i="19"/>
  <c r="BP70" i="19" s="1"/>
  <c r="BY70" i="19" s="1"/>
  <c r="AC70" i="19"/>
  <c r="BO70" i="19" s="1"/>
  <c r="BX70" i="19" s="1"/>
  <c r="AB70" i="19"/>
  <c r="BN70" i="19" s="1"/>
  <c r="BW70" i="19" s="1"/>
  <c r="M70" i="19"/>
  <c r="L70" i="19"/>
  <c r="AF70" i="19"/>
  <c r="AJ69" i="19"/>
  <c r="AF69" i="19"/>
  <c r="AC69" i="19"/>
  <c r="BO69" i="19" s="1"/>
  <c r="BX69" i="19" s="1"/>
  <c r="AB69" i="19"/>
  <c r="BN69" i="19" s="1"/>
  <c r="P69" i="19"/>
  <c r="L69" i="19"/>
  <c r="K69" i="19"/>
  <c r="BH68" i="19"/>
  <c r="AR68" i="19"/>
  <c r="AV69" i="19" s="1"/>
  <c r="AY76" i="19" s="1"/>
  <c r="AN68" i="19"/>
  <c r="AN70" i="19" s="1"/>
  <c r="AJ68" i="19"/>
  <c r="AF68" i="19"/>
  <c r="AE68" i="19"/>
  <c r="AB68" i="19"/>
  <c r="BN68" i="19" s="1"/>
  <c r="AA68" i="19"/>
  <c r="BM68" i="19" s="1"/>
  <c r="AD68" i="19"/>
  <c r="BP68" i="19" s="1"/>
  <c r="AV70" i="19" l="1"/>
  <c r="AZ76" i="19" s="1"/>
  <c r="AZ77" i="19" s="1"/>
  <c r="AZ78" i="19" s="1"/>
  <c r="N35" i="19"/>
  <c r="V35" i="19" s="1"/>
  <c r="L35" i="19"/>
  <c r="T35" i="19" s="1"/>
  <c r="BY71" i="19"/>
  <c r="M34" i="19"/>
  <c r="U34" i="19" s="1"/>
  <c r="U35" i="19"/>
  <c r="M35" i="19"/>
  <c r="AV75" i="19"/>
  <c r="BD76" i="19" s="1"/>
  <c r="BW68" i="19"/>
  <c r="BY73" i="19"/>
  <c r="BX72" i="19"/>
  <c r="BY68" i="19"/>
  <c r="BY72" i="19"/>
  <c r="BY75" i="19"/>
  <c r="AY77" i="19"/>
  <c r="AC68" i="19"/>
  <c r="BO68" i="19" s="1"/>
  <c r="BX68" i="19" s="1"/>
  <c r="M69" i="19"/>
  <c r="BX71" i="19"/>
  <c r="AE73" i="19"/>
  <c r="O74" i="19"/>
  <c r="O73" i="19"/>
  <c r="AA80" i="19"/>
  <c r="K80" i="19"/>
  <c r="N74" i="19"/>
  <c r="AD74" i="19"/>
  <c r="BP74" i="19" s="1"/>
  <c r="BY74" i="19" s="1"/>
  <c r="N75" i="19"/>
  <c r="L80" i="19"/>
  <c r="AB80" i="19"/>
  <c r="L81" i="19"/>
  <c r="O94" i="19"/>
  <c r="O93" i="19"/>
  <c r="AD69" i="19"/>
  <c r="BP69" i="19" s="1"/>
  <c r="BY69" i="19" s="1"/>
  <c r="N70" i="19"/>
  <c r="N69" i="19"/>
  <c r="BW71" i="19"/>
  <c r="M72" i="19"/>
  <c r="BW72" i="19"/>
  <c r="N78" i="19"/>
  <c r="N79" i="19"/>
  <c r="AD78" i="19"/>
  <c r="N85" i="19"/>
  <c r="AD85" i="19"/>
  <c r="O90" i="19"/>
  <c r="M94" i="19"/>
  <c r="AC94" i="19"/>
  <c r="O79" i="19"/>
  <c r="AE79" i="19"/>
  <c r="K85" i="19"/>
  <c r="K86" i="19"/>
  <c r="AA85" i="19"/>
  <c r="K79" i="19"/>
  <c r="AA69" i="19"/>
  <c r="BM69" i="19" s="1"/>
  <c r="L76" i="19"/>
  <c r="AB76" i="19"/>
  <c r="P94" i="19"/>
  <c r="AF94" i="19"/>
  <c r="P95" i="19"/>
  <c r="BI68" i="19"/>
  <c r="BI69" i="19" s="1"/>
  <c r="AA78" i="19"/>
  <c r="K78" i="19"/>
  <c r="AY78" i="19" s="1"/>
  <c r="AY79" i="19" s="1"/>
  <c r="AY80" i="19" s="1"/>
  <c r="AY81" i="19" s="1"/>
  <c r="AY82" i="19" s="1"/>
  <c r="AY83" i="19" s="1"/>
  <c r="AY84" i="19" s="1"/>
  <c r="AY85" i="19" s="1"/>
  <c r="AY86" i="19" s="1"/>
  <c r="AY87" i="19" s="1"/>
  <c r="AY88" i="19" s="1"/>
  <c r="AY89" i="19" s="1"/>
  <c r="P84" i="19"/>
  <c r="P85" i="19"/>
  <c r="N95" i="19"/>
  <c r="AD95" i="19"/>
  <c r="O69" i="19"/>
  <c r="AE69" i="19"/>
  <c r="P70" i="19"/>
  <c r="L79" i="19"/>
  <c r="AB79" i="19"/>
  <c r="AF84" i="19"/>
  <c r="BW73" i="19"/>
  <c r="BX75" i="19"/>
  <c r="BQ68" i="19"/>
  <c r="P71" i="19"/>
  <c r="AF71" i="19"/>
  <c r="P72" i="19"/>
  <c r="M90" i="19"/>
  <c r="AC90" i="19"/>
  <c r="M91" i="19"/>
  <c r="K91" i="19"/>
  <c r="AA91" i="19"/>
  <c r="K70" i="19"/>
  <c r="AA70" i="19"/>
  <c r="BM70" i="19" s="1"/>
  <c r="BV68" i="19" s="1"/>
  <c r="AA71" i="19"/>
  <c r="BM71" i="19" s="1"/>
  <c r="BV71" i="19" s="1"/>
  <c r="K71" i="19"/>
  <c r="BW74" i="19"/>
  <c r="AA83" i="19"/>
  <c r="K83" i="19"/>
  <c r="K84" i="19"/>
  <c r="AR70" i="19"/>
  <c r="AR69" i="19"/>
  <c r="M75" i="19"/>
  <c r="M74" i="19"/>
  <c r="AC74" i="19"/>
  <c r="BO74" i="19" s="1"/>
  <c r="BX74" i="19" s="1"/>
  <c r="P76" i="19"/>
  <c r="AF76" i="19"/>
  <c r="N77" i="19"/>
  <c r="AD77" i="19"/>
  <c r="M88" i="19"/>
  <c r="AA93" i="19"/>
  <c r="AB94" i="19"/>
  <c r="BW69" i="19"/>
  <c r="AJ75" i="19"/>
  <c r="AJ72" i="19"/>
  <c r="AA72" i="19"/>
  <c r="BM72" i="19" s="1"/>
  <c r="K72" i="19"/>
  <c r="AJ74" i="19"/>
  <c r="AA75" i="19"/>
  <c r="BM75" i="19" s="1"/>
  <c r="BV75" i="19" s="1"/>
  <c r="K75" i="19"/>
  <c r="O78" i="19"/>
  <c r="BC78" i="19" s="1"/>
  <c r="BC79" i="19" s="1"/>
  <c r="BC80" i="19" s="1"/>
  <c r="AE78" i="19"/>
  <c r="AF80" i="19"/>
  <c r="N81" i="19"/>
  <c r="AD81" i="19"/>
  <c r="K89" i="19"/>
  <c r="AA89" i="19"/>
  <c r="K90" i="19"/>
  <c r="O70" i="19"/>
  <c r="O71" i="19"/>
  <c r="AE70" i="19"/>
  <c r="AN75" i="19"/>
  <c r="AN74" i="19"/>
  <c r="AN73" i="19"/>
  <c r="BX73" i="19"/>
  <c r="N87" i="19"/>
  <c r="N88" i="19"/>
  <c r="AD87" i="19"/>
  <c r="AA92" i="19"/>
  <c r="K92" i="19"/>
  <c r="P92" i="19"/>
  <c r="AF92" i="19"/>
  <c r="AC93" i="19"/>
  <c r="M93" i="19"/>
  <c r="O95" i="19"/>
  <c r="AE95" i="19"/>
  <c r="N72" i="19"/>
  <c r="M77" i="19"/>
  <c r="AC77" i="19"/>
  <c r="AC81" i="19"/>
  <c r="M81" i="19"/>
  <c r="P90" i="19"/>
  <c r="P91" i="19"/>
  <c r="N91" i="19"/>
  <c r="AD91" i="19"/>
  <c r="AN69" i="19"/>
  <c r="L71" i="19"/>
  <c r="M73" i="19"/>
  <c r="BD77" i="19"/>
  <c r="BD78" i="19" s="1"/>
  <c r="BD79" i="19" s="1"/>
  <c r="BD80" i="19" s="1"/>
  <c r="BD81" i="19" s="1"/>
  <c r="BD82" i="19" s="1"/>
  <c r="BD83" i="19" s="1"/>
  <c r="AC84" i="19"/>
  <c r="AB90" i="19"/>
  <c r="AA95" i="19"/>
  <c r="K95" i="19"/>
  <c r="BW75" i="19"/>
  <c r="BJ78" i="19"/>
  <c r="N89" i="19"/>
  <c r="N90" i="19"/>
  <c r="L91" i="19"/>
  <c r="P93" i="19"/>
  <c r="AV73" i="19"/>
  <c r="BB76" i="19" s="1"/>
  <c r="BB77" i="19" s="1"/>
  <c r="BB78" i="19" s="1"/>
  <c r="BB79" i="19" s="1"/>
  <c r="BB80" i="19" s="1"/>
  <c r="BB81" i="19" s="1"/>
  <c r="BB82" i="19" s="1"/>
  <c r="BB83" i="19" s="1"/>
  <c r="P77" i="19"/>
  <c r="L83" i="19"/>
  <c r="O87" i="19"/>
  <c r="O88" i="19"/>
  <c r="L89" i="19"/>
  <c r="AD93" i="19"/>
  <c r="L75" i="19"/>
  <c r="P78" i="19"/>
  <c r="AF82" i="19"/>
  <c r="L87" i="19"/>
  <c r="P89" i="19"/>
  <c r="O91" i="19"/>
  <c r="O92" i="19"/>
  <c r="L93" i="19"/>
  <c r="AV72" i="19"/>
  <c r="BA76" i="19" s="1"/>
  <c r="K81" i="19"/>
  <c r="N84" i="19"/>
  <c r="M86" i="19"/>
  <c r="M87" i="19"/>
  <c r="L37" i="19" l="1"/>
  <c r="T37" i="19" s="1"/>
  <c r="N37" i="19"/>
  <c r="V37" i="19" s="1"/>
  <c r="BD84" i="19"/>
  <c r="BD85" i="19" s="1"/>
  <c r="BD86" i="19" s="1"/>
  <c r="BD87" i="19" s="1"/>
  <c r="BD88" i="19" s="1"/>
  <c r="BD89" i="19" s="1"/>
  <c r="BD90" i="19" s="1"/>
  <c r="BD91" i="19" s="1"/>
  <c r="BD92" i="19" s="1"/>
  <c r="BD93" i="19" s="1"/>
  <c r="BD94" i="19" s="1"/>
  <c r="BD95" i="19" s="1"/>
  <c r="M38" i="19"/>
  <c r="U38" i="19" s="1"/>
  <c r="S40" i="19"/>
  <c r="K40" i="19"/>
  <c r="S36" i="19"/>
  <c r="K36" i="19"/>
  <c r="AZ79" i="19"/>
  <c r="AZ80" i="19" s="1"/>
  <c r="AZ81" i="19" s="1"/>
  <c r="AY90" i="19"/>
  <c r="AY91" i="19" s="1"/>
  <c r="AY92" i="19" s="1"/>
  <c r="AY93" i="19" s="1"/>
  <c r="AY94" i="19" s="1"/>
  <c r="AY95" i="19" s="1"/>
  <c r="K33" i="19"/>
  <c r="S33" i="19" s="1"/>
  <c r="T36" i="19"/>
  <c r="L36" i="19"/>
  <c r="V33" i="19"/>
  <c r="N33" i="19"/>
  <c r="M36" i="19"/>
  <c r="U36" i="19" s="1"/>
  <c r="M37" i="19"/>
  <c r="U37" i="19" s="1"/>
  <c r="V36" i="19"/>
  <c r="N36" i="19"/>
  <c r="T40" i="19"/>
  <c r="L40" i="19"/>
  <c r="N39" i="19"/>
  <c r="V39" i="19" s="1"/>
  <c r="N38" i="19"/>
  <c r="V38" i="19" s="1"/>
  <c r="U40" i="19"/>
  <c r="M40" i="19"/>
  <c r="V34" i="19"/>
  <c r="N34" i="19"/>
  <c r="M33" i="19"/>
  <c r="U33" i="19" s="1"/>
  <c r="L33" i="19"/>
  <c r="T33" i="19" s="1"/>
  <c r="T38" i="19"/>
  <c r="L38" i="19"/>
  <c r="T34" i="19"/>
  <c r="L34" i="19"/>
  <c r="M39" i="19"/>
  <c r="U39" i="19" s="1"/>
  <c r="L39" i="19"/>
  <c r="T39" i="19" s="1"/>
  <c r="V40" i="19"/>
  <c r="N40" i="19"/>
  <c r="BV69" i="19"/>
  <c r="BB84" i="19"/>
  <c r="BB85" i="19" s="1"/>
  <c r="BB86" i="19" s="1"/>
  <c r="BB87" i="19" s="1"/>
  <c r="BB88" i="19" s="1"/>
  <c r="BB89" i="19" s="1"/>
  <c r="BB90" i="19" s="1"/>
  <c r="BB91" i="19" s="1"/>
  <c r="BB92" i="19" s="1"/>
  <c r="BB93" i="19" s="1"/>
  <c r="BB94" i="19" s="1"/>
  <c r="BB95" i="19" s="1"/>
  <c r="BV74" i="19"/>
  <c r="BM90" i="19"/>
  <c r="BV90" i="19" s="1"/>
  <c r="BR69" i="19"/>
  <c r="BI70" i="19"/>
  <c r="BR70" i="19" s="1"/>
  <c r="CA70" i="19" s="1"/>
  <c r="BC81" i="19"/>
  <c r="BC82" i="19" s="1"/>
  <c r="BC83" i="19" s="1"/>
  <c r="BC84" i="19" s="1"/>
  <c r="AZ82" i="19"/>
  <c r="BN81" i="19"/>
  <c r="BW81" i="19" s="1"/>
  <c r="BH69" i="19"/>
  <c r="BQ69" i="19" s="1"/>
  <c r="BM78" i="19"/>
  <c r="BV78" i="19" s="1"/>
  <c r="BP78" i="19"/>
  <c r="BY78" i="19" s="1"/>
  <c r="BM86" i="19"/>
  <c r="BV86" i="19" s="1"/>
  <c r="BP86" i="19"/>
  <c r="BY86" i="19" s="1"/>
  <c r="BM76" i="19"/>
  <c r="BV76" i="19" s="1"/>
  <c r="BP77" i="19"/>
  <c r="BY77" i="19" s="1"/>
  <c r="BN78" i="19"/>
  <c r="BW78" i="19" s="1"/>
  <c r="BP95" i="19"/>
  <c r="BY95" i="19" s="1"/>
  <c r="BR68" i="19"/>
  <c r="CA68" i="19" s="1"/>
  <c r="BN76" i="19"/>
  <c r="BW76" i="19" s="1"/>
  <c r="BM80" i="19"/>
  <c r="BV80" i="19" s="1"/>
  <c r="BM82" i="19"/>
  <c r="BV82" i="19" s="1"/>
  <c r="BM83" i="19"/>
  <c r="BV83" i="19" s="1"/>
  <c r="BM94" i="19"/>
  <c r="BV94" i="19" s="1"/>
  <c r="BP94" i="19"/>
  <c r="BY94" i="19" s="1"/>
  <c r="BM87" i="19"/>
  <c r="BV87" i="19" s="1"/>
  <c r="BM88" i="19"/>
  <c r="BV88" i="19" s="1"/>
  <c r="BP81" i="19"/>
  <c r="BY81" i="19" s="1"/>
  <c r="BV73" i="19"/>
  <c r="BV70" i="19"/>
  <c r="BN79" i="19"/>
  <c r="BW79" i="19" s="1"/>
  <c r="BN77" i="19"/>
  <c r="BW77" i="19" s="1"/>
  <c r="BP79" i="19"/>
  <c r="BY79" i="19" s="1"/>
  <c r="BM85" i="19"/>
  <c r="BV85" i="19" s="1"/>
  <c r="BP76" i="19"/>
  <c r="BY76" i="19" s="1"/>
  <c r="BM95" i="19"/>
  <c r="BV95" i="19" s="1"/>
  <c r="BI71" i="19"/>
  <c r="BI72" i="19" s="1"/>
  <c r="BP83" i="19"/>
  <c r="BY83" i="19" s="1"/>
  <c r="BN80" i="19"/>
  <c r="BW80" i="19" s="1"/>
  <c r="BP80" i="19"/>
  <c r="BY80" i="19" s="1"/>
  <c r="BJ79" i="19"/>
  <c r="BM93" i="19"/>
  <c r="BV93" i="19" s="1"/>
  <c r="BM77" i="19"/>
  <c r="BV77" i="19" s="1"/>
  <c r="BO76" i="19"/>
  <c r="BX76" i="19" s="1"/>
  <c r="BP87" i="19"/>
  <c r="BY87" i="19" s="1"/>
  <c r="BM89" i="19"/>
  <c r="BV89" i="19" s="1"/>
  <c r="BP89" i="19"/>
  <c r="BY89" i="19" s="1"/>
  <c r="BM84" i="19"/>
  <c r="BV84" i="19" s="1"/>
  <c r="BP90" i="19"/>
  <c r="BY90" i="19" s="1"/>
  <c r="BA77" i="19"/>
  <c r="BA78" i="19" s="1"/>
  <c r="BA79" i="19" s="1"/>
  <c r="BA80" i="19" s="1"/>
  <c r="BA81" i="19" s="1"/>
  <c r="BA82" i="19" s="1"/>
  <c r="BA83" i="19" s="1"/>
  <c r="BA84" i="19" s="1"/>
  <c r="BA85" i="19" s="1"/>
  <c r="BA86" i="19" s="1"/>
  <c r="BA87" i="19" s="1"/>
  <c r="BA88" i="19" s="1"/>
  <c r="BA89" i="19" s="1"/>
  <c r="BA90" i="19" s="1"/>
  <c r="BA91" i="19" s="1"/>
  <c r="BA92" i="19" s="1"/>
  <c r="BA93" i="19" s="1"/>
  <c r="BA94" i="19" s="1"/>
  <c r="BA95" i="19" s="1"/>
  <c r="BO95" i="19" s="1"/>
  <c r="BX95" i="19" s="1"/>
  <c r="BO85" i="19"/>
  <c r="BX85" i="19" s="1"/>
  <c r="BV72" i="19"/>
  <c r="BP82" i="19"/>
  <c r="BY82" i="19" s="1"/>
  <c r="BP85" i="19"/>
  <c r="BY85" i="19" s="1"/>
  <c r="BP88" i="19"/>
  <c r="BY88" i="19" s="1"/>
  <c r="BM81" i="19"/>
  <c r="BV81" i="19" s="1"/>
  <c r="BM79" i="19"/>
  <c r="BV79" i="19" s="1"/>
  <c r="N52" i="19" l="1"/>
  <c r="V52" i="19" s="1"/>
  <c r="V59" i="19"/>
  <c r="N59" i="19"/>
  <c r="M60" i="19"/>
  <c r="U60" i="19" s="1"/>
  <c r="K50" i="19"/>
  <c r="S50" i="19" s="1"/>
  <c r="K53" i="19"/>
  <c r="S53" i="19" s="1"/>
  <c r="BO83" i="19"/>
  <c r="BX83" i="19" s="1"/>
  <c r="N42" i="19"/>
  <c r="V42" i="19" s="1"/>
  <c r="K55" i="19"/>
  <c r="S55" i="19" s="1"/>
  <c r="S44" i="19"/>
  <c r="K44" i="19"/>
  <c r="N55" i="19"/>
  <c r="V55" i="19" s="1"/>
  <c r="N44" i="19"/>
  <c r="V44" i="19" s="1"/>
  <c r="BO86" i="19"/>
  <c r="BX86" i="19" s="1"/>
  <c r="BO91" i="19"/>
  <c r="BX91" i="19" s="1"/>
  <c r="S41" i="19"/>
  <c r="K41" i="19"/>
  <c r="BM91" i="19"/>
  <c r="BV91" i="19" s="1"/>
  <c r="S39" i="19"/>
  <c r="K39" i="19"/>
  <c r="K37" i="19"/>
  <c r="S37" i="19" s="1"/>
  <c r="K60" i="19"/>
  <c r="S60" i="19" s="1"/>
  <c r="N46" i="19"/>
  <c r="V46" i="19" s="1"/>
  <c r="V60" i="19"/>
  <c r="N60" i="19"/>
  <c r="N43" i="19"/>
  <c r="V43" i="19" s="1"/>
  <c r="M50" i="19"/>
  <c r="U50" i="19" s="1"/>
  <c r="N41" i="19"/>
  <c r="V41" i="19" s="1"/>
  <c r="BO93" i="19"/>
  <c r="BX93" i="19" s="1"/>
  <c r="L43" i="19"/>
  <c r="T43" i="19" s="1"/>
  <c r="K58" i="19"/>
  <c r="S58" i="19" s="1"/>
  <c r="S46" i="19"/>
  <c r="K46" i="19"/>
  <c r="K49" i="19"/>
  <c r="S49" i="19" s="1"/>
  <c r="N45" i="19"/>
  <c r="V45" i="19" s="1"/>
  <c r="L42" i="19"/>
  <c r="T42" i="19" s="1"/>
  <c r="BM92" i="19"/>
  <c r="BV92" i="19" s="1"/>
  <c r="K47" i="19"/>
  <c r="S47" i="19" s="1"/>
  <c r="V51" i="19"/>
  <c r="N51" i="19"/>
  <c r="BO92" i="19"/>
  <c r="BX92" i="19" s="1"/>
  <c r="N47" i="19"/>
  <c r="V47" i="19" s="1"/>
  <c r="S38" i="19"/>
  <c r="K38" i="19"/>
  <c r="P33" i="19"/>
  <c r="X33" i="19" s="1"/>
  <c r="K51" i="19"/>
  <c r="S51" i="19" s="1"/>
  <c r="M41" i="19"/>
  <c r="U41" i="19" s="1"/>
  <c r="S59" i="19"/>
  <c r="K59" i="19"/>
  <c r="P35" i="19"/>
  <c r="X35" i="19" s="1"/>
  <c r="K42" i="19"/>
  <c r="S42" i="19" s="1"/>
  <c r="K48" i="19"/>
  <c r="S48" i="19" s="1"/>
  <c r="S43" i="19"/>
  <c r="K43" i="19"/>
  <c r="N53" i="19"/>
  <c r="V53" i="19" s="1"/>
  <c r="N54" i="19"/>
  <c r="V54" i="19" s="1"/>
  <c r="L45" i="19"/>
  <c r="T45" i="19" s="1"/>
  <c r="T44" i="19"/>
  <c r="L44" i="19"/>
  <c r="BH70" i="19"/>
  <c r="BH71" i="19" s="1"/>
  <c r="S45" i="19"/>
  <c r="K45" i="19"/>
  <c r="BO77" i="19"/>
  <c r="BX77" i="19" s="1"/>
  <c r="L46" i="19"/>
  <c r="T46" i="19" s="1"/>
  <c r="S34" i="19"/>
  <c r="K34" i="19"/>
  <c r="N50" i="19"/>
  <c r="V50" i="19" s="1"/>
  <c r="K54" i="19"/>
  <c r="S54" i="19" s="1"/>
  <c r="N48" i="19"/>
  <c r="V48" i="19" s="1"/>
  <c r="S35" i="19"/>
  <c r="K35" i="19"/>
  <c r="K52" i="19"/>
  <c r="S52" i="19" s="1"/>
  <c r="L41" i="19"/>
  <c r="T41" i="19" s="1"/>
  <c r="BO90" i="19"/>
  <c r="BX90" i="19" s="1"/>
  <c r="BP92" i="19"/>
  <c r="BY92" i="19" s="1"/>
  <c r="BP93" i="19"/>
  <c r="BY93" i="19" s="1"/>
  <c r="BP91" i="19"/>
  <c r="BY91" i="19" s="1"/>
  <c r="BP84" i="19"/>
  <c r="BY84" i="19" s="1"/>
  <c r="BR71" i="19"/>
  <c r="CA71" i="19" s="1"/>
  <c r="AZ83" i="19"/>
  <c r="BN82" i="19"/>
  <c r="BW82" i="19" s="1"/>
  <c r="BO80" i="19"/>
  <c r="BX80" i="19" s="1"/>
  <c r="BO84" i="19"/>
  <c r="BX84" i="19" s="1"/>
  <c r="BO87" i="19"/>
  <c r="BX87" i="19" s="1"/>
  <c r="BO89" i="19"/>
  <c r="BX89" i="19" s="1"/>
  <c r="BH72" i="19"/>
  <c r="BQ71" i="19"/>
  <c r="BC85" i="19"/>
  <c r="BO88" i="19"/>
  <c r="BX88" i="19" s="1"/>
  <c r="BO94" i="19"/>
  <c r="BX94" i="19" s="1"/>
  <c r="BO81" i="19"/>
  <c r="BX81" i="19" s="1"/>
  <c r="BO82" i="19"/>
  <c r="BX82" i="19" s="1"/>
  <c r="BO79" i="19"/>
  <c r="BX79" i="19" s="1"/>
  <c r="BO78" i="19"/>
  <c r="BX78" i="19" s="1"/>
  <c r="CA69" i="19"/>
  <c r="BI73" i="19"/>
  <c r="BR72" i="19"/>
  <c r="CA72" i="19" s="1"/>
  <c r="M46" i="19" l="1"/>
  <c r="U46" i="19" s="1"/>
  <c r="N58" i="19"/>
  <c r="V58" i="19" s="1"/>
  <c r="M59" i="19"/>
  <c r="U59" i="19" s="1"/>
  <c r="N57" i="19"/>
  <c r="V57" i="19" s="1"/>
  <c r="P37" i="19"/>
  <c r="X37" i="19" s="1"/>
  <c r="M53" i="19"/>
  <c r="U53" i="19" s="1"/>
  <c r="M45" i="19"/>
  <c r="U45" i="19" s="1"/>
  <c r="M55" i="19"/>
  <c r="U55" i="19" s="1"/>
  <c r="M51" i="19"/>
  <c r="U51" i="19" s="1"/>
  <c r="L47" i="19"/>
  <c r="T47" i="19" s="1"/>
  <c r="M42" i="19"/>
  <c r="U42" i="19" s="1"/>
  <c r="M57" i="19"/>
  <c r="U57" i="19" s="1"/>
  <c r="P34" i="19"/>
  <c r="X34" i="19" s="1"/>
  <c r="BQ70" i="19"/>
  <c r="BZ69" i="19" s="1"/>
  <c r="M52" i="19"/>
  <c r="U52" i="19" s="1"/>
  <c r="K57" i="19"/>
  <c r="S57" i="19" s="1"/>
  <c r="U49" i="19"/>
  <c r="M49" i="19"/>
  <c r="U56" i="19"/>
  <c r="M56" i="19"/>
  <c r="M43" i="19"/>
  <c r="U43" i="19" s="1"/>
  <c r="P36" i="19"/>
  <c r="X36" i="19" s="1"/>
  <c r="U58" i="19"/>
  <c r="M58" i="19"/>
  <c r="U48" i="19"/>
  <c r="M48" i="19"/>
  <c r="M44" i="19"/>
  <c r="U44" i="19" s="1"/>
  <c r="N49" i="19"/>
  <c r="V49" i="19" s="1"/>
  <c r="S56" i="19"/>
  <c r="K56" i="19"/>
  <c r="U47" i="19"/>
  <c r="M47" i="19"/>
  <c r="M54" i="19"/>
  <c r="U54" i="19" s="1"/>
  <c r="N56" i="19"/>
  <c r="V56" i="19" s="1"/>
  <c r="BZ71" i="19"/>
  <c r="BC86" i="19"/>
  <c r="BZ70" i="19"/>
  <c r="BZ68" i="19"/>
  <c r="AZ84" i="19"/>
  <c r="BN83" i="19"/>
  <c r="BW83" i="19" s="1"/>
  <c r="BI74" i="19"/>
  <c r="BR73" i="19"/>
  <c r="CA73" i="19" s="1"/>
  <c r="BQ72" i="19"/>
  <c r="BZ72" i="19" s="1"/>
  <c r="BH73" i="19"/>
  <c r="O37" i="19" l="1"/>
  <c r="W37" i="19" s="1"/>
  <c r="T48" i="19"/>
  <c r="L48" i="19"/>
  <c r="P38" i="19"/>
  <c r="X38" i="19" s="1"/>
  <c r="O33" i="19"/>
  <c r="W33" i="19" s="1"/>
  <c r="O34" i="19"/>
  <c r="W34" i="19" s="1"/>
  <c r="W36" i="19"/>
  <c r="O36" i="19"/>
  <c r="O35" i="19"/>
  <c r="W35" i="19" s="1"/>
  <c r="BH74" i="19"/>
  <c r="BQ73" i="19"/>
  <c r="BZ73" i="19" s="1"/>
  <c r="BC87" i="19"/>
  <c r="AZ85" i="19"/>
  <c r="BN84" i="19"/>
  <c r="BW84" i="19" s="1"/>
  <c r="BR74" i="19"/>
  <c r="CA74" i="19" s="1"/>
  <c r="BI75" i="19"/>
  <c r="O38" i="19" l="1"/>
  <c r="W38" i="19" s="1"/>
  <c r="X39" i="19"/>
  <c r="P39" i="19"/>
  <c r="L49" i="19"/>
  <c r="T49" i="19" s="1"/>
  <c r="AZ86" i="19"/>
  <c r="BN85" i="19"/>
  <c r="BW85" i="19" s="1"/>
  <c r="BH75" i="19"/>
  <c r="BQ74" i="19"/>
  <c r="BZ74" i="19" s="1"/>
  <c r="BR75" i="19"/>
  <c r="CA75" i="19" s="1"/>
  <c r="BI76" i="19"/>
  <c r="BC88" i="19"/>
  <c r="L50" i="19" l="1"/>
  <c r="T50" i="19" s="1"/>
  <c r="X40" i="19"/>
  <c r="P40" i="19"/>
  <c r="O39" i="19"/>
  <c r="W39" i="19" s="1"/>
  <c r="BC89" i="19"/>
  <c r="BI77" i="19"/>
  <c r="BR76" i="19"/>
  <c r="CA76" i="19" s="1"/>
  <c r="AZ87" i="19"/>
  <c r="BN86" i="19"/>
  <c r="BW86" i="19" s="1"/>
  <c r="BH76" i="19"/>
  <c r="BQ75" i="19"/>
  <c r="BZ75" i="19" s="1"/>
  <c r="O40" i="19" l="1"/>
  <c r="W40" i="19" s="1"/>
  <c r="T51" i="19"/>
  <c r="L51" i="19"/>
  <c r="P41" i="19"/>
  <c r="X41" i="19" s="1"/>
  <c r="AZ88" i="19"/>
  <c r="BN87" i="19"/>
  <c r="BW87" i="19" s="1"/>
  <c r="BC90" i="19"/>
  <c r="BH77" i="19"/>
  <c r="BQ76" i="19"/>
  <c r="BZ76" i="19" s="1"/>
  <c r="BI78" i="19"/>
  <c r="BR77" i="19"/>
  <c r="CA77" i="19" s="1"/>
  <c r="P42" i="19" l="1"/>
  <c r="X42" i="19" s="1"/>
  <c r="T52" i="19"/>
  <c r="L52" i="19"/>
  <c r="O41" i="19"/>
  <c r="W41" i="19" s="1"/>
  <c r="BR78" i="19"/>
  <c r="CA78" i="19" s="1"/>
  <c r="BI79" i="19"/>
  <c r="BQ77" i="19"/>
  <c r="BZ77" i="19" s="1"/>
  <c r="BH78" i="19"/>
  <c r="BC91" i="19"/>
  <c r="AZ89" i="19"/>
  <c r="BN88" i="19"/>
  <c r="BW88" i="19" s="1"/>
  <c r="L53" i="19" l="1"/>
  <c r="T53" i="19" s="1"/>
  <c r="X43" i="19"/>
  <c r="P43" i="19"/>
  <c r="O42" i="19"/>
  <c r="W42" i="19" s="1"/>
  <c r="AZ90" i="19"/>
  <c r="BN89" i="19"/>
  <c r="BW89" i="19" s="1"/>
  <c r="BC92" i="19"/>
  <c r="BQ78" i="19"/>
  <c r="BZ78" i="19" s="1"/>
  <c r="BH79" i="19"/>
  <c r="BR79" i="19"/>
  <c r="CA79" i="19" s="1"/>
  <c r="BI80" i="19"/>
  <c r="L54" i="19" l="1"/>
  <c r="T54" i="19" s="1"/>
  <c r="P44" i="19"/>
  <c r="X44" i="19" s="1"/>
  <c r="W43" i="19"/>
  <c r="O43" i="19"/>
  <c r="AZ91" i="19"/>
  <c r="BN90" i="19"/>
  <c r="BW90" i="19" s="1"/>
  <c r="BI81" i="19"/>
  <c r="BR80" i="19"/>
  <c r="CA80" i="19" s="1"/>
  <c r="BH80" i="19"/>
  <c r="BQ79" i="19"/>
  <c r="BZ79" i="19" s="1"/>
  <c r="BC93" i="19"/>
  <c r="L55" i="19" l="1"/>
  <c r="T55" i="19" s="1"/>
  <c r="O44" i="19"/>
  <c r="W44" i="19" s="1"/>
  <c r="X45" i="19"/>
  <c r="P45" i="19"/>
  <c r="AZ92" i="19"/>
  <c r="BN91" i="19"/>
  <c r="BW91" i="19" s="1"/>
  <c r="BC94" i="19"/>
  <c r="BH81" i="19"/>
  <c r="BQ80" i="19"/>
  <c r="BZ80" i="19" s="1"/>
  <c r="BI82" i="19"/>
  <c r="BR81" i="19"/>
  <c r="CA81" i="19" s="1"/>
  <c r="L56" i="19" l="1"/>
  <c r="T56" i="19" s="1"/>
  <c r="P46" i="19"/>
  <c r="X46" i="19" s="1"/>
  <c r="W45" i="19"/>
  <c r="O45" i="19"/>
  <c r="AZ93" i="19"/>
  <c r="BN92" i="19"/>
  <c r="BW92" i="19" s="1"/>
  <c r="BI83" i="19"/>
  <c r="BR82" i="19"/>
  <c r="CA82" i="19" s="1"/>
  <c r="BH82" i="19"/>
  <c r="BQ81" i="19"/>
  <c r="BZ81" i="19" s="1"/>
  <c r="BC95" i="19"/>
  <c r="L57" i="19" l="1"/>
  <c r="T57" i="19" s="1"/>
  <c r="P47" i="19"/>
  <c r="X47" i="19" s="1"/>
  <c r="W46" i="19"/>
  <c r="O46" i="19"/>
  <c r="BH83" i="19"/>
  <c r="BQ82" i="19"/>
  <c r="BZ82" i="19" s="1"/>
  <c r="BR83" i="19"/>
  <c r="CA83" i="19" s="1"/>
  <c r="BI84" i="19"/>
  <c r="AZ94" i="19"/>
  <c r="BN93" i="19"/>
  <c r="BW93" i="19" s="1"/>
  <c r="W47" i="19" l="1"/>
  <c r="O47" i="19"/>
  <c r="P48" i="19"/>
  <c r="X48" i="19" s="1"/>
  <c r="T58" i="19"/>
  <c r="L58" i="19"/>
  <c r="BH84" i="19"/>
  <c r="BQ83" i="19"/>
  <c r="BZ83" i="19" s="1"/>
  <c r="AZ95" i="19"/>
  <c r="BN95" i="19" s="1"/>
  <c r="BW95" i="19" s="1"/>
  <c r="BN94" i="19"/>
  <c r="BW94" i="19" s="1"/>
  <c r="BI85" i="19"/>
  <c r="BR84" i="19"/>
  <c r="CA84" i="19" s="1"/>
  <c r="T60" i="19" l="1"/>
  <c r="L60" i="19"/>
  <c r="O48" i="19"/>
  <c r="W48" i="19" s="1"/>
  <c r="P49" i="19"/>
  <c r="X49" i="19" s="1"/>
  <c r="L59" i="19"/>
  <c r="T59" i="19" s="1"/>
  <c r="BI86" i="19"/>
  <c r="BR85" i="19"/>
  <c r="CA85" i="19" s="1"/>
  <c r="BH85" i="19"/>
  <c r="BQ84" i="19"/>
  <c r="BZ84" i="19" s="1"/>
  <c r="O49" i="19" l="1"/>
  <c r="W49" i="19" s="1"/>
  <c r="P50" i="19"/>
  <c r="X50" i="19" s="1"/>
  <c r="BI87" i="19"/>
  <c r="BR86" i="19"/>
  <c r="CA86" i="19" s="1"/>
  <c r="BH86" i="19"/>
  <c r="BQ85" i="19"/>
  <c r="BZ85" i="19" s="1"/>
  <c r="O50" i="19" l="1"/>
  <c r="W50" i="19" s="1"/>
  <c r="P51" i="19"/>
  <c r="X51" i="19" s="1"/>
  <c r="BI88" i="19"/>
  <c r="BR87" i="19"/>
  <c r="CA87" i="19" s="1"/>
  <c r="BH87" i="19"/>
  <c r="BQ86" i="19"/>
  <c r="BZ86" i="19" s="1"/>
  <c r="X52" i="19" l="1"/>
  <c r="P52" i="19"/>
  <c r="O51" i="19"/>
  <c r="W51" i="19" s="1"/>
  <c r="BI89" i="19"/>
  <c r="BR88" i="19"/>
  <c r="CA88" i="19" s="1"/>
  <c r="BH88" i="19"/>
  <c r="BQ87" i="19"/>
  <c r="BZ87" i="19" s="1"/>
  <c r="W52" i="19" l="1"/>
  <c r="O52" i="19"/>
  <c r="P53" i="19"/>
  <c r="X53" i="19" s="1"/>
  <c r="BI90" i="19"/>
  <c r="BR89" i="19"/>
  <c r="CA89" i="19" s="1"/>
  <c r="BH89" i="19"/>
  <c r="BQ88" i="19"/>
  <c r="BZ88" i="19" s="1"/>
  <c r="O53" i="19" l="1"/>
  <c r="W53" i="19" s="1"/>
  <c r="P54" i="19"/>
  <c r="X54" i="19" s="1"/>
  <c r="BI91" i="19"/>
  <c r="BR90" i="19"/>
  <c r="CA90" i="19" s="1"/>
  <c r="BH90" i="19"/>
  <c r="BQ89" i="19"/>
  <c r="BZ89" i="19" s="1"/>
  <c r="W54" i="19" l="1"/>
  <c r="O54" i="19"/>
  <c r="P55" i="19"/>
  <c r="X55" i="19" s="1"/>
  <c r="BR91" i="19"/>
  <c r="CA91" i="19" s="1"/>
  <c r="BI92" i="19"/>
  <c r="BH91" i="19"/>
  <c r="BQ90" i="19"/>
  <c r="BZ90" i="19" s="1"/>
  <c r="W55" i="19" l="1"/>
  <c r="O55" i="19"/>
  <c r="P56" i="19"/>
  <c r="X56" i="19" s="1"/>
  <c r="BH92" i="19"/>
  <c r="BQ91" i="19"/>
  <c r="BZ91" i="19" s="1"/>
  <c r="BI93" i="19"/>
  <c r="BR92" i="19"/>
  <c r="CA92" i="19" s="1"/>
  <c r="X57" i="19" l="1"/>
  <c r="P57" i="19"/>
  <c r="O56" i="19"/>
  <c r="W56" i="19" s="1"/>
  <c r="BH93" i="19"/>
  <c r="BQ92" i="19"/>
  <c r="BZ92" i="19" s="1"/>
  <c r="BI94" i="19"/>
  <c r="BR93" i="19"/>
  <c r="CA93" i="19" s="1"/>
  <c r="W57" i="19" l="1"/>
  <c r="O57" i="19"/>
  <c r="P58" i="19"/>
  <c r="X58" i="19" s="1"/>
  <c r="BH94" i="19"/>
  <c r="BQ93" i="19"/>
  <c r="BZ93" i="19" s="1"/>
  <c r="BI95" i="19"/>
  <c r="BR95" i="19" s="1"/>
  <c r="CA95" i="19" s="1"/>
  <c r="BR94" i="19"/>
  <c r="CA94" i="19" s="1"/>
  <c r="X59" i="19" l="1"/>
  <c r="P59" i="19"/>
  <c r="P60" i="19"/>
  <c r="X60" i="19" s="1"/>
  <c r="O58" i="19"/>
  <c r="W58" i="19" s="1"/>
  <c r="BH95" i="19"/>
  <c r="BQ95" i="19" s="1"/>
  <c r="BZ95" i="19" s="1"/>
  <c r="BQ94" i="19"/>
  <c r="BZ94" i="19" s="1"/>
  <c r="O59" i="19" l="1"/>
  <c r="W59" i="19" s="1"/>
  <c r="O60" i="19"/>
  <c r="W60" i="19" s="1"/>
  <c r="Q114" i="18"/>
  <c r="P114" i="18"/>
  <c r="O114" i="18"/>
  <c r="N114" i="18"/>
  <c r="M114" i="18"/>
  <c r="Q113" i="18"/>
  <c r="P113" i="18"/>
  <c r="O113" i="18"/>
  <c r="N113" i="18"/>
  <c r="M113" i="18"/>
  <c r="P108" i="9" l="1"/>
  <c r="P107" i="9"/>
  <c r="P106" i="9"/>
  <c r="P103" i="9"/>
  <c r="P102" i="9"/>
  <c r="P101" i="9"/>
  <c r="D171" i="14"/>
  <c r="P105" i="9" s="1"/>
  <c r="V128" i="14" l="1"/>
  <c r="U128" i="14"/>
  <c r="T128" i="14"/>
  <c r="S128" i="14"/>
  <c r="R128" i="14"/>
  <c r="R129" i="14" s="1"/>
  <c r="R125" i="14"/>
  <c r="V122" i="14"/>
  <c r="U122" i="14"/>
  <c r="T122" i="14"/>
  <c r="S122" i="14"/>
  <c r="R122" i="14"/>
  <c r="V121" i="14"/>
  <c r="I174" i="14" s="1"/>
  <c r="U108" i="9" s="1"/>
  <c r="U121" i="14"/>
  <c r="H174" i="14" s="1"/>
  <c r="T108" i="9" s="1"/>
  <c r="T121" i="14"/>
  <c r="G174" i="14" s="1"/>
  <c r="S108" i="9" s="1"/>
  <c r="S121" i="14"/>
  <c r="F174" i="14" s="1"/>
  <c r="R108" i="9" s="1"/>
  <c r="R121" i="14"/>
  <c r="I169" i="14"/>
  <c r="U103" i="9" s="1"/>
  <c r="H169" i="14"/>
  <c r="T103" i="9" s="1"/>
  <c r="G169" i="14"/>
  <c r="S103" i="9" s="1"/>
  <c r="F169" i="14"/>
  <c r="R103" i="9" s="1"/>
  <c r="I168" i="14"/>
  <c r="U102" i="9" s="1"/>
  <c r="H168" i="14"/>
  <c r="T102" i="9" s="1"/>
  <c r="G168" i="14"/>
  <c r="S102" i="9" s="1"/>
  <c r="F168" i="14"/>
  <c r="R102" i="9" s="1"/>
  <c r="I167" i="14"/>
  <c r="U101" i="9" s="1"/>
  <c r="H167" i="14"/>
  <c r="T101" i="9" s="1"/>
  <c r="G167" i="14"/>
  <c r="S101" i="9" s="1"/>
  <c r="F167" i="14"/>
  <c r="R101" i="9" s="1"/>
  <c r="G35" i="16"/>
  <c r="E35" i="16"/>
  <c r="H23" i="16"/>
  <c r="I23" i="16" s="1"/>
  <c r="J23" i="16" s="1"/>
  <c r="J35" i="16" s="1"/>
  <c r="F23" i="16"/>
  <c r="F35" i="16" s="1"/>
  <c r="V125" i="14" l="1"/>
  <c r="S125" i="14"/>
  <c r="T125" i="14"/>
  <c r="U125" i="14"/>
  <c r="E36" i="16"/>
  <c r="Q99" i="10"/>
  <c r="J36" i="16"/>
  <c r="V99" i="10"/>
  <c r="F36" i="16"/>
  <c r="R99" i="10"/>
  <c r="G36" i="16"/>
  <c r="S99" i="10"/>
  <c r="S129" i="14"/>
  <c r="S134" i="14" s="1"/>
  <c r="F172" i="14" s="1"/>
  <c r="R106" i="9" s="1"/>
  <c r="R134" i="14"/>
  <c r="I35" i="16"/>
  <c r="H35" i="16"/>
  <c r="F173" i="14" l="1"/>
  <c r="R107" i="9" s="1"/>
  <c r="T129" i="14"/>
  <c r="H36" i="16"/>
  <c r="T99" i="10"/>
  <c r="I36" i="16"/>
  <c r="U99" i="10"/>
  <c r="U129" i="14"/>
  <c r="U134" i="14" s="1"/>
  <c r="H172" i="14" s="1"/>
  <c r="T106" i="9" s="1"/>
  <c r="H173" i="14"/>
  <c r="T107" i="9" s="1"/>
  <c r="F7" i="16"/>
  <c r="F6" i="16"/>
  <c r="S146" i="9"/>
  <c r="T146" i="9"/>
  <c r="U146" i="9"/>
  <c r="S147" i="9"/>
  <c r="T147" i="9"/>
  <c r="U147" i="9"/>
  <c r="S148" i="9"/>
  <c r="T148" i="9"/>
  <c r="U148" i="9"/>
  <c r="S149" i="9"/>
  <c r="T149" i="9"/>
  <c r="U149" i="9"/>
  <c r="R147" i="9"/>
  <c r="R148" i="9"/>
  <c r="R149" i="9"/>
  <c r="R146" i="9"/>
  <c r="T134" i="14" l="1"/>
  <c r="G172" i="14" s="1"/>
  <c r="S106" i="9" s="1"/>
  <c r="G173" i="14"/>
  <c r="S107" i="9" s="1"/>
  <c r="V129" i="14"/>
  <c r="I173" i="14" s="1"/>
  <c r="U107" i="9" s="1"/>
  <c r="F77" i="14"/>
  <c r="G77" i="14" s="1"/>
  <c r="H77" i="14" s="1"/>
  <c r="I77" i="14" s="1"/>
  <c r="D77" i="14"/>
  <c r="C77" i="14" s="1"/>
  <c r="C75" i="14" s="1"/>
  <c r="L76" i="14"/>
  <c r="K76" i="14"/>
  <c r="E75" i="14"/>
  <c r="D71" i="14"/>
  <c r="D70" i="14" s="1"/>
  <c r="R62" i="14"/>
  <c r="E71" i="14" s="1"/>
  <c r="E124" i="9"/>
  <c r="V134" i="14" l="1"/>
  <c r="I172" i="14" s="1"/>
  <c r="U106" i="9" s="1"/>
  <c r="F71" i="14"/>
  <c r="Q145" i="9"/>
  <c r="D75" i="14"/>
  <c r="D81" i="14" s="1"/>
  <c r="E81" i="14" s="1"/>
  <c r="F81" i="14" s="1"/>
  <c r="G81" i="14" s="1"/>
  <c r="H81" i="14" s="1"/>
  <c r="I81" i="14" s="1"/>
  <c r="G75" i="14"/>
  <c r="F75" i="14"/>
  <c r="G71" i="14" l="1"/>
  <c r="R145" i="9"/>
  <c r="G70" i="14"/>
  <c r="E70" i="14"/>
  <c r="I75" i="14"/>
  <c r="H75" i="14"/>
  <c r="F70" i="14"/>
  <c r="H71" i="14" l="1"/>
  <c r="S145" i="9"/>
  <c r="F69" i="14"/>
  <c r="R144" i="9"/>
  <c r="E69" i="14"/>
  <c r="Q144" i="9"/>
  <c r="G69" i="14"/>
  <c r="S144" i="9"/>
  <c r="H70" i="14"/>
  <c r="K75" i="14"/>
  <c r="L75" i="14"/>
  <c r="I70" i="14"/>
  <c r="H69" i="14" l="1"/>
  <c r="T144" i="9"/>
  <c r="I71" i="14"/>
  <c r="U145" i="9" s="1"/>
  <c r="T145" i="9"/>
  <c r="I69" i="14"/>
  <c r="U144" i="9"/>
  <c r="H41" i="14" l="1"/>
  <c r="G41" i="14"/>
  <c r="F41" i="14"/>
  <c r="E41" i="14"/>
  <c r="H38" i="14"/>
  <c r="G38" i="14"/>
  <c r="F38" i="14"/>
  <c r="E38" i="14"/>
  <c r="J23" i="14"/>
  <c r="K23" i="14"/>
  <c r="L23" i="14"/>
  <c r="M23" i="14"/>
  <c r="N23" i="14"/>
  <c r="J24" i="14"/>
  <c r="K24" i="14"/>
  <c r="L24" i="14"/>
  <c r="M24" i="14"/>
  <c r="N24" i="14"/>
  <c r="J25" i="14"/>
  <c r="K25" i="14"/>
  <c r="L25" i="14"/>
  <c r="M25" i="14"/>
  <c r="N25" i="14"/>
  <c r="J26" i="14"/>
  <c r="K26" i="14"/>
  <c r="L26" i="14"/>
  <c r="M26" i="14"/>
  <c r="N26" i="14"/>
  <c r="D27" i="14"/>
  <c r="E27" i="14"/>
  <c r="F27" i="14"/>
  <c r="G27" i="14"/>
  <c r="H27" i="14"/>
  <c r="H12" i="14"/>
  <c r="G12" i="14"/>
  <c r="F12" i="14"/>
  <c r="E12" i="14"/>
  <c r="H9" i="14"/>
  <c r="G9" i="14"/>
  <c r="F9" i="14"/>
  <c r="E9" i="14"/>
  <c r="K27" i="14" l="1"/>
  <c r="J27" i="14"/>
  <c r="M27" i="14"/>
  <c r="L27" i="14"/>
  <c r="N27" i="14"/>
  <c r="U30" i="1"/>
  <c r="V30" i="1"/>
  <c r="W30" i="1"/>
  <c r="X30" i="1"/>
  <c r="U31" i="1"/>
  <c r="V31" i="1"/>
  <c r="W31" i="1"/>
  <c r="X31" i="1"/>
  <c r="U32" i="1"/>
  <c r="V32" i="1"/>
  <c r="W32" i="1"/>
  <c r="X32" i="1"/>
  <c r="U33" i="1"/>
  <c r="V33" i="1"/>
  <c r="W33" i="1"/>
  <c r="X33" i="1"/>
  <c r="Y33" i="1" s="1"/>
  <c r="U34" i="1"/>
  <c r="V34" i="1"/>
  <c r="W34" i="1"/>
  <c r="X34" i="1"/>
  <c r="U35" i="1"/>
  <c r="V35" i="1"/>
  <c r="W35" i="1"/>
  <c r="X35" i="1"/>
  <c r="T35" i="1"/>
  <c r="T31" i="1"/>
  <c r="T32" i="1"/>
  <c r="T33" i="1"/>
  <c r="T34" i="1"/>
  <c r="T30" i="1"/>
  <c r="Z33" i="1" l="1"/>
  <c r="AB34" i="1"/>
  <c r="Z31" i="1"/>
  <c r="AB35" i="1"/>
  <c r="AB33" i="1"/>
  <c r="AB31" i="1"/>
  <c r="Y31" i="1"/>
  <c r="Y35" i="1"/>
  <c r="AB32" i="1"/>
  <c r="AB30" i="1"/>
  <c r="Z35" i="1"/>
  <c r="Y32" i="1"/>
  <c r="Z30" i="1"/>
  <c r="Z34" i="1"/>
  <c r="AA30" i="1"/>
  <c r="AA32" i="1"/>
  <c r="AA34" i="1"/>
  <c r="Y30" i="1"/>
  <c r="Y34" i="1"/>
  <c r="Z32" i="1"/>
  <c r="AA31" i="1"/>
  <c r="AA33" i="1"/>
  <c r="AA35" i="1"/>
  <c r="J9" i="12" l="1"/>
  <c r="K9" i="12"/>
  <c r="L9" i="12" s="1"/>
  <c r="J11" i="12"/>
  <c r="K11" i="12" s="1"/>
  <c r="L11" i="12" s="1"/>
  <c r="I14" i="12" l="1"/>
  <c r="M7" i="12"/>
  <c r="J7" i="12" s="1"/>
  <c r="K7" i="12" s="1"/>
  <c r="L7" i="12" s="1"/>
  <c r="F56" i="12"/>
  <c r="E56" i="12"/>
  <c r="F55" i="12"/>
  <c r="E55" i="12"/>
  <c r="F54" i="12"/>
  <c r="E54" i="12"/>
  <c r="F53" i="12"/>
  <c r="E53" i="12"/>
  <c r="F52" i="12"/>
  <c r="E52" i="12"/>
  <c r="F51" i="12"/>
  <c r="E51" i="12"/>
  <c r="F50" i="12"/>
  <c r="E50" i="12"/>
  <c r="F49" i="12"/>
  <c r="E49" i="12"/>
  <c r="F48" i="12"/>
  <c r="E48" i="12"/>
  <c r="F47" i="12"/>
  <c r="E47" i="12"/>
  <c r="F46" i="12"/>
  <c r="E46" i="12"/>
  <c r="F45" i="12"/>
  <c r="E45" i="12"/>
  <c r="F44" i="12"/>
  <c r="E44" i="12"/>
  <c r="F43" i="12"/>
  <c r="E43" i="12"/>
  <c r="F42" i="12"/>
  <c r="E42" i="12"/>
  <c r="F41" i="12"/>
  <c r="E41" i="12"/>
  <c r="F40" i="12"/>
  <c r="E40" i="12"/>
  <c r="F39" i="12"/>
  <c r="E39" i="12"/>
  <c r="F38" i="12"/>
  <c r="E38" i="12"/>
  <c r="F37" i="12"/>
  <c r="E37" i="12"/>
  <c r="F34" i="12"/>
  <c r="E34" i="12"/>
  <c r="F33" i="12"/>
  <c r="E33" i="12"/>
  <c r="F32" i="12"/>
  <c r="E32" i="12"/>
  <c r="F31" i="12"/>
  <c r="E31" i="12"/>
  <c r="F30" i="12"/>
  <c r="E30" i="12"/>
  <c r="F29" i="12"/>
  <c r="E29" i="12"/>
  <c r="F28" i="12"/>
  <c r="E28" i="12"/>
  <c r="F27" i="12"/>
  <c r="E27" i="12"/>
  <c r="F26" i="12"/>
  <c r="E26" i="12"/>
  <c r="F25" i="12"/>
  <c r="E25" i="12"/>
  <c r="F24" i="12"/>
  <c r="E24" i="12"/>
  <c r="F23" i="12"/>
  <c r="E23" i="12"/>
  <c r="E20" i="12"/>
  <c r="D20" i="12"/>
  <c r="F20" i="12" s="1"/>
  <c r="F19" i="12"/>
  <c r="E19" i="12"/>
  <c r="C18" i="12"/>
  <c r="E18" i="12" s="1"/>
  <c r="F17" i="12"/>
  <c r="E17" i="12"/>
  <c r="F16" i="12"/>
  <c r="E16" i="12"/>
  <c r="F15" i="12"/>
  <c r="E15" i="12"/>
  <c r="F12" i="12"/>
  <c r="E12" i="12"/>
  <c r="F11" i="12"/>
  <c r="M12" i="12" s="1"/>
  <c r="J12" i="12" s="1"/>
  <c r="K12" i="12" s="1"/>
  <c r="L12" i="12" s="1"/>
  <c r="E11" i="12"/>
  <c r="F10" i="12"/>
  <c r="M8" i="12" s="1"/>
  <c r="J8" i="12" s="1"/>
  <c r="K8" i="12" s="1"/>
  <c r="L8" i="12" s="1"/>
  <c r="E10" i="12"/>
  <c r="F9" i="12"/>
  <c r="M10" i="12" s="1"/>
  <c r="J10" i="12" s="1"/>
  <c r="K10" i="12" s="1"/>
  <c r="L10" i="12" s="1"/>
  <c r="E9" i="12"/>
  <c r="F8" i="12"/>
  <c r="E8" i="12"/>
  <c r="F7" i="12"/>
  <c r="E7" i="12"/>
  <c r="M14" i="12" l="1"/>
  <c r="D18" i="12"/>
  <c r="F18" i="12" s="1"/>
  <c r="L36" i="4"/>
  <c r="M36" i="4"/>
  <c r="N36" i="4" l="1"/>
  <c r="O36" i="4"/>
  <c r="M52" i="4"/>
  <c r="N52" i="4"/>
  <c r="O52" i="4"/>
  <c r="L52" i="4"/>
  <c r="R74" i="9" l="1"/>
  <c r="S74" i="9" s="1"/>
  <c r="T74" i="9" s="1"/>
  <c r="U74" i="9" s="1"/>
  <c r="R76" i="9"/>
  <c r="S76" i="9" s="1"/>
  <c r="T76" i="9" s="1"/>
  <c r="U76" i="9" s="1"/>
  <c r="R75" i="9"/>
  <c r="U29" i="9"/>
  <c r="T29" i="9"/>
  <c r="S29" i="9"/>
  <c r="R29" i="9"/>
  <c r="Q29" i="9"/>
  <c r="U28" i="9"/>
  <c r="T28" i="9"/>
  <c r="S28" i="9"/>
  <c r="R28" i="9"/>
  <c r="Q28" i="9"/>
  <c r="T25" i="9"/>
  <c r="S25" i="9"/>
  <c r="R25" i="9"/>
  <c r="Q25" i="9"/>
  <c r="U26" i="9"/>
  <c r="T26" i="9"/>
  <c r="R26" i="9"/>
  <c r="U25" i="9"/>
  <c r="S17" i="9"/>
  <c r="T17" i="9" s="1"/>
  <c r="U17" i="9" s="1"/>
  <c r="V17" i="9" s="1"/>
  <c r="S14" i="9"/>
  <c r="E47" i="14" s="1"/>
  <c r="E48" i="14" s="1"/>
  <c r="R114" i="9" s="1"/>
  <c r="U50" i="4"/>
  <c r="T50" i="4"/>
  <c r="S50" i="4"/>
  <c r="R50" i="4"/>
  <c r="R45" i="4"/>
  <c r="U42" i="4"/>
  <c r="T42" i="4"/>
  <c r="S42" i="4"/>
  <c r="R42" i="4"/>
  <c r="U34" i="4"/>
  <c r="T34" i="4"/>
  <c r="S34" i="4"/>
  <c r="R34" i="4"/>
  <c r="U26" i="4"/>
  <c r="T26" i="4"/>
  <c r="S26" i="4"/>
  <c r="R26" i="4"/>
  <c r="U21" i="4"/>
  <c r="T21" i="4"/>
  <c r="S21" i="4"/>
  <c r="R21" i="4"/>
  <c r="G16" i="4"/>
  <c r="U15" i="4" s="1"/>
  <c r="F16" i="4"/>
  <c r="T15" i="4" s="1"/>
  <c r="E16" i="4"/>
  <c r="S15" i="4" s="1"/>
  <c r="D16" i="4"/>
  <c r="R15" i="4" s="1"/>
  <c r="U14" i="4"/>
  <c r="T14" i="4"/>
  <c r="S14" i="4"/>
  <c r="R14" i="4"/>
  <c r="U8" i="4"/>
  <c r="T8" i="4"/>
  <c r="S8" i="4"/>
  <c r="R8" i="4"/>
  <c r="F171" i="14" l="1"/>
  <c r="R105" i="9" s="1"/>
  <c r="L14" i="12"/>
  <c r="J14" i="12"/>
  <c r="T14" i="9"/>
  <c r="F47" i="14" s="1"/>
  <c r="F48" i="14" s="1"/>
  <c r="S114" i="9" s="1"/>
  <c r="S75" i="9"/>
  <c r="T75" i="9" s="1"/>
  <c r="U75" i="9" s="1"/>
  <c r="Q26" i="9"/>
  <c r="S26" i="9"/>
  <c r="AA84" i="1"/>
  <c r="Y84" i="1"/>
  <c r="Z85" i="1"/>
  <c r="Y85" i="1"/>
  <c r="AA85" i="1"/>
  <c r="AB85" i="1"/>
  <c r="Y86" i="1"/>
  <c r="Z86" i="1"/>
  <c r="AA86" i="1"/>
  <c r="AB86" i="1"/>
  <c r="Y87" i="1"/>
  <c r="Z87" i="1"/>
  <c r="AA87" i="1"/>
  <c r="AB87" i="1"/>
  <c r="Y88" i="1"/>
  <c r="Z88" i="1"/>
  <c r="AA88" i="1"/>
  <c r="AB88" i="1"/>
  <c r="Y89" i="1"/>
  <c r="Z89" i="1"/>
  <c r="AA89" i="1"/>
  <c r="AB89" i="1"/>
  <c r="AB84" i="1"/>
  <c r="Z84" i="1"/>
  <c r="Y73" i="1"/>
  <c r="Z73" i="1"/>
  <c r="AA73" i="1"/>
  <c r="AB73" i="1"/>
  <c r="Y74" i="1"/>
  <c r="Z74" i="1"/>
  <c r="AA74" i="1"/>
  <c r="AB74" i="1"/>
  <c r="Y75" i="1"/>
  <c r="Z75" i="1"/>
  <c r="AA75" i="1"/>
  <c r="AB75" i="1"/>
  <c r="Y76" i="1"/>
  <c r="Z76" i="1"/>
  <c r="AA76" i="1"/>
  <c r="AB76" i="1"/>
  <c r="Y77" i="1"/>
  <c r="Z77" i="1"/>
  <c r="AA77" i="1"/>
  <c r="AB77" i="1"/>
  <c r="AB72" i="1"/>
  <c r="AA72" i="1"/>
  <c r="Z72" i="1"/>
  <c r="Y72" i="1"/>
  <c r="G171" i="14" l="1"/>
  <c r="S105" i="9" s="1"/>
  <c r="U14" i="9"/>
  <c r="K14" i="12"/>
  <c r="Y58" i="1"/>
  <c r="Z58" i="1"/>
  <c r="AA58" i="1"/>
  <c r="AB58" i="1"/>
  <c r="Y59" i="1"/>
  <c r="Z59" i="1"/>
  <c r="AA59" i="1"/>
  <c r="AB59" i="1"/>
  <c r="Y60" i="1"/>
  <c r="Z60" i="1"/>
  <c r="AA60" i="1"/>
  <c r="AB60" i="1"/>
  <c r="Y61" i="1"/>
  <c r="Z61" i="1"/>
  <c r="AA61" i="1"/>
  <c r="AB61" i="1"/>
  <c r="Y62" i="1"/>
  <c r="Z62" i="1"/>
  <c r="AA62" i="1"/>
  <c r="AB62" i="1"/>
  <c r="Y63" i="1"/>
  <c r="Z63" i="1"/>
  <c r="AA63" i="1"/>
  <c r="AB63" i="1"/>
  <c r="Y64" i="1"/>
  <c r="Z64" i="1"/>
  <c r="AA64" i="1"/>
  <c r="AB64" i="1"/>
  <c r="Y65" i="1"/>
  <c r="Z65" i="1"/>
  <c r="AA65" i="1"/>
  <c r="AB65" i="1"/>
  <c r="AB57" i="1"/>
  <c r="AA57" i="1"/>
  <c r="Z57" i="1"/>
  <c r="Y57" i="1"/>
  <c r="Y43" i="1"/>
  <c r="Z43" i="1"/>
  <c r="AA43" i="1"/>
  <c r="AB43" i="1"/>
  <c r="Y44" i="1"/>
  <c r="Z44" i="1"/>
  <c r="AA44" i="1"/>
  <c r="AB44" i="1"/>
  <c r="Y45" i="1"/>
  <c r="Z45" i="1"/>
  <c r="AA45" i="1"/>
  <c r="AB45" i="1"/>
  <c r="Y46" i="1"/>
  <c r="Z46" i="1"/>
  <c r="AA46" i="1"/>
  <c r="AB46" i="1"/>
  <c r="Y47" i="1"/>
  <c r="Z47" i="1"/>
  <c r="AA47" i="1"/>
  <c r="AB47" i="1"/>
  <c r="Y48" i="1"/>
  <c r="Z48" i="1"/>
  <c r="AA48" i="1"/>
  <c r="AB48" i="1"/>
  <c r="Y49" i="1"/>
  <c r="Z49" i="1"/>
  <c r="AA49" i="1"/>
  <c r="AB49" i="1"/>
  <c r="Y50" i="1"/>
  <c r="Z50" i="1"/>
  <c r="AA50" i="1"/>
  <c r="AB50" i="1"/>
  <c r="AB42" i="1"/>
  <c r="AA42" i="1"/>
  <c r="Z42" i="1"/>
  <c r="Y42" i="1"/>
  <c r="AA14" i="1"/>
  <c r="AB14" i="1"/>
  <c r="AA15" i="1"/>
  <c r="AB15" i="1"/>
  <c r="AA16" i="1"/>
  <c r="AB16" i="1"/>
  <c r="AA17" i="1"/>
  <c r="AB17" i="1"/>
  <c r="AA18" i="1"/>
  <c r="AB18" i="1"/>
  <c r="AA19" i="1"/>
  <c r="AB19" i="1"/>
  <c r="AA20" i="1"/>
  <c r="AB20" i="1"/>
  <c r="AA21" i="1"/>
  <c r="AB21" i="1"/>
  <c r="AA22" i="1"/>
  <c r="AB22" i="1"/>
  <c r="AB13" i="1"/>
  <c r="AA13" i="1"/>
  <c r="Z14" i="1"/>
  <c r="Z15" i="1"/>
  <c r="Z16" i="1"/>
  <c r="Z17" i="1"/>
  <c r="Z18" i="1"/>
  <c r="Z19" i="1"/>
  <c r="Z20" i="1"/>
  <c r="Z21" i="1"/>
  <c r="Z22" i="1"/>
  <c r="Z13" i="1"/>
  <c r="Y14" i="1"/>
  <c r="Y15" i="1"/>
  <c r="Y16" i="1"/>
  <c r="Y17" i="1"/>
  <c r="Y18" i="1"/>
  <c r="Y19" i="1"/>
  <c r="Y20" i="1"/>
  <c r="Y21" i="1"/>
  <c r="Y22" i="1"/>
  <c r="Y13" i="1"/>
  <c r="V14" i="9" l="1"/>
  <c r="H47" i="14" s="1"/>
  <c r="G47" i="14"/>
  <c r="G48" i="14" s="1"/>
  <c r="T114" i="9" s="1"/>
  <c r="H171" i="14" s="1"/>
  <c r="T105" i="9" s="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30" i="1"/>
  <c r="I30" i="1"/>
  <c r="J30" i="1"/>
  <c r="K30" i="1"/>
  <c r="H31" i="1"/>
  <c r="I31" i="1"/>
  <c r="J31" i="1"/>
  <c r="K31" i="1"/>
  <c r="H32" i="1"/>
  <c r="I32" i="1"/>
  <c r="J32" i="1"/>
  <c r="K32" i="1"/>
  <c r="H33" i="1"/>
  <c r="I33" i="1"/>
  <c r="J33" i="1"/>
  <c r="K33" i="1"/>
  <c r="H34" i="1"/>
  <c r="I34" i="1"/>
  <c r="J34" i="1"/>
  <c r="K34" i="1"/>
  <c r="H35" i="1"/>
  <c r="I35" i="1"/>
  <c r="J35" i="1"/>
  <c r="K35"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72" i="1"/>
  <c r="I72" i="1"/>
  <c r="J72" i="1"/>
  <c r="K72" i="1"/>
  <c r="H73" i="1"/>
  <c r="I73" i="1"/>
  <c r="J73" i="1"/>
  <c r="K73" i="1"/>
  <c r="H74" i="1"/>
  <c r="I74" i="1"/>
  <c r="J74" i="1"/>
  <c r="K74" i="1"/>
  <c r="H75" i="1"/>
  <c r="I75" i="1"/>
  <c r="J75" i="1"/>
  <c r="K75" i="1"/>
  <c r="H76" i="1"/>
  <c r="I76" i="1"/>
  <c r="J76" i="1"/>
  <c r="K76" i="1"/>
  <c r="H77" i="1"/>
  <c r="I77" i="1"/>
  <c r="J77" i="1"/>
  <c r="K77" i="1"/>
  <c r="H84" i="1"/>
  <c r="I84" i="1"/>
  <c r="J84" i="1"/>
  <c r="K84" i="1"/>
  <c r="H85" i="1"/>
  <c r="I85" i="1"/>
  <c r="J85" i="1"/>
  <c r="K85" i="1"/>
  <c r="H86" i="1"/>
  <c r="I86" i="1"/>
  <c r="J86" i="1"/>
  <c r="K86" i="1"/>
  <c r="H87" i="1"/>
  <c r="I87" i="1"/>
  <c r="J87" i="1"/>
  <c r="K87" i="1"/>
  <c r="H88" i="1"/>
  <c r="I88" i="1"/>
  <c r="J88" i="1"/>
  <c r="K88" i="1"/>
  <c r="H89" i="1"/>
  <c r="I89" i="1"/>
  <c r="J89" i="1"/>
  <c r="K89" i="1"/>
  <c r="K13" i="1"/>
  <c r="J13" i="1"/>
  <c r="I13" i="1"/>
  <c r="H13" i="1"/>
  <c r="H48" i="14" l="1"/>
  <c r="U114" i="9" s="1"/>
  <c r="I171" i="14" s="1"/>
  <c r="U105" i="9" s="1"/>
</calcChain>
</file>

<file path=xl/comments1.xml><?xml version="1.0" encoding="utf-8"?>
<comments xmlns="http://schemas.openxmlformats.org/spreadsheetml/2006/main">
  <authors>
    <author>Nicolas MAIRET</author>
    <author>XCapilla</author>
    <author>VERGEZ Antonin</author>
  </authors>
  <commentList>
    <comment ref="X29" authorId="0" shapeId="0">
      <text>
        <r>
          <rPr>
            <b/>
            <sz val="9"/>
            <color indexed="81"/>
            <rFont val="Tahoma"/>
            <family val="2"/>
          </rPr>
          <t>Nicolas MAIRET:</t>
        </r>
        <r>
          <rPr>
            <sz val="9"/>
            <color indexed="81"/>
            <rFont val="Tahoma"/>
            <family val="2"/>
          </rPr>
          <t xml:space="preserve">
Complété avec les résultats 3ME (fichier "20160803 results 3ME sce AME 2014 &amp; 2017 + nm.xlsx")</t>
        </r>
      </text>
    </comment>
    <comment ref="T48" authorId="1" shapeId="0">
      <text>
        <r>
          <rPr>
            <b/>
            <sz val="9"/>
            <color indexed="81"/>
            <rFont val="Tahoma"/>
            <family val="2"/>
          </rPr>
          <t>XCapilla:</t>
        </r>
        <r>
          <rPr>
            <sz val="9"/>
            <color indexed="81"/>
            <rFont val="Tahoma"/>
            <family val="2"/>
          </rPr>
          <t xml:space="preserve">
Chiffre 2014</t>
        </r>
      </text>
    </comment>
    <comment ref="R50" authorId="2" shapeId="0">
      <text>
        <r>
          <rPr>
            <b/>
            <sz val="9"/>
            <color indexed="81"/>
            <rFont val="Tahoma"/>
            <family val="2"/>
          </rPr>
          <t>VERGEZ Antonin:</t>
        </r>
        <r>
          <rPr>
            <sz val="9"/>
            <color indexed="81"/>
            <rFont val="Tahoma"/>
            <family val="2"/>
          </rPr>
          <t xml:space="preserve">
Rémi Aubry (SNFS) : "Sachez que nous tablons sur des progrès incrémentaux totaux de l’ordre de 8 à 12% en efficacité énergétique que nous pouvons appliquer comme je vous l’avais adressé précédemment (discussions avec l’ADEME et M. Streiff en 2013 sur le gisement d’économies d’énergie du secteur sucrier)."</t>
        </r>
      </text>
    </comment>
  </commentList>
</comments>
</file>

<file path=xl/comments2.xml><?xml version="1.0" encoding="utf-8"?>
<comments xmlns="http://schemas.openxmlformats.org/spreadsheetml/2006/main">
  <authors>
    <author>Romain GAETA</author>
  </authors>
  <commentList>
    <comment ref="B63" authorId="0" shapeId="0">
      <text>
        <r>
          <rPr>
            <b/>
            <sz val="9"/>
            <color indexed="81"/>
            <rFont val="Tahoma"/>
            <family val="2"/>
          </rPr>
          <t>Romain GAETA:</t>
        </r>
        <r>
          <rPr>
            <sz val="9"/>
            <color indexed="81"/>
            <rFont val="Tahoma"/>
            <family val="2"/>
          </rPr>
          <t xml:space="preserve">
Donnée à copier depuis les sorties MENFIS</t>
        </r>
      </text>
    </comment>
    <comment ref="J63" authorId="0" shapeId="0">
      <text>
        <r>
          <rPr>
            <b/>
            <sz val="9"/>
            <color indexed="81"/>
            <rFont val="Tahoma"/>
            <family val="2"/>
          </rPr>
          <t>Romain GAETA:</t>
        </r>
        <r>
          <rPr>
            <sz val="9"/>
            <color indexed="81"/>
            <rFont val="Tahoma"/>
            <family val="2"/>
          </rPr>
          <t xml:space="preserve">
Calcul automatique, ne pas modifier</t>
        </r>
      </text>
    </comment>
    <comment ref="R63" authorId="0" shapeId="0">
      <text>
        <r>
          <rPr>
            <b/>
            <sz val="9"/>
            <color indexed="81"/>
            <rFont val="Tahoma"/>
            <family val="2"/>
          </rPr>
          <t>Romain GAETA:</t>
        </r>
        <r>
          <rPr>
            <sz val="9"/>
            <color indexed="81"/>
            <rFont val="Tahoma"/>
            <family val="2"/>
          </rPr>
          <t xml:space="preserve">
Donnée à copier depuis les sorties MENFIS</t>
        </r>
      </text>
    </comment>
    <comment ref="Z63" authorId="0" shapeId="0">
      <text>
        <r>
          <rPr>
            <b/>
            <sz val="9"/>
            <color indexed="81"/>
            <rFont val="Tahoma"/>
            <family val="2"/>
          </rPr>
          <t>Romain GAETA:</t>
        </r>
        <r>
          <rPr>
            <sz val="9"/>
            <color indexed="81"/>
            <rFont val="Tahoma"/>
            <family val="2"/>
          </rPr>
          <t xml:space="preserve">
Calcul automatique, ne pas modifier</t>
        </r>
      </text>
    </comment>
    <comment ref="BL63" authorId="0" shapeId="0">
      <text>
        <r>
          <rPr>
            <b/>
            <sz val="9"/>
            <color indexed="81"/>
            <rFont val="Tahoma"/>
            <family val="2"/>
          </rPr>
          <t>Romain GAETA:</t>
        </r>
        <r>
          <rPr>
            <sz val="9"/>
            <color indexed="81"/>
            <rFont val="Tahoma"/>
            <family val="2"/>
          </rPr>
          <t xml:space="preserve">
Calcul final, déduction de l'ensemble des économies en chauffage induites par les mesures additionnelles.</t>
        </r>
      </text>
    </comment>
    <comment ref="BI66" authorId="0" shapeId="0">
      <text>
        <r>
          <rPr>
            <b/>
            <sz val="9"/>
            <color indexed="81"/>
            <rFont val="Tahoma"/>
            <family val="2"/>
          </rPr>
          <t>Romain GAETA:</t>
        </r>
        <r>
          <rPr>
            <sz val="9"/>
            <color indexed="81"/>
            <rFont val="Tahoma"/>
            <family val="2"/>
          </rPr>
          <t xml:space="preserve">
Pour les gains, tous les travaux sont en niveau fort, hypothèses idem au précédent exercice de 2014;</t>
        </r>
      </text>
    </comment>
    <comment ref="BI67" authorId="0" shapeId="0">
      <text>
        <r>
          <rPr>
            <b/>
            <sz val="9"/>
            <color indexed="81"/>
            <rFont val="Tahoma"/>
            <family val="2"/>
          </rPr>
          <t>Romain GAETA:</t>
        </r>
        <r>
          <rPr>
            <sz val="9"/>
            <color indexed="81"/>
            <rFont val="Tahoma"/>
            <family val="2"/>
          </rPr>
          <t xml:space="preserve">
Reprise des hypothèses de l'AME 2014</t>
        </r>
      </text>
    </comment>
    <comment ref="BJ67" authorId="0" shapeId="0">
      <text>
        <r>
          <rPr>
            <b/>
            <sz val="9"/>
            <color indexed="81"/>
            <rFont val="Tahoma"/>
            <family val="2"/>
          </rPr>
          <t>Romain GAETA:</t>
        </r>
        <r>
          <rPr>
            <sz val="9"/>
            <color indexed="81"/>
            <rFont val="Tahoma"/>
            <family val="2"/>
          </rPr>
          <t xml:space="preserve">
Prendre uniquement le Delta entre AME 2014 et nouveaux objectifs
</t>
        </r>
      </text>
    </comment>
    <comment ref="AJ71" authorId="0" shapeId="0">
      <text>
        <r>
          <rPr>
            <b/>
            <sz val="9"/>
            <color indexed="81"/>
            <rFont val="Tahoma"/>
            <family val="2"/>
          </rPr>
          <t>Romain GAETA:</t>
        </r>
        <r>
          <rPr>
            <sz val="9"/>
            <color indexed="81"/>
            <rFont val="Tahoma"/>
            <family val="2"/>
          </rPr>
          <t xml:space="preserve">
Chiffres issus de l'EI</t>
        </r>
      </text>
    </comment>
    <comment ref="AV71" authorId="0" shapeId="0">
      <text>
        <r>
          <rPr>
            <b/>
            <sz val="9"/>
            <color indexed="81"/>
            <rFont val="Tahoma"/>
            <family val="2"/>
          </rPr>
          <t>Romain GAETA:</t>
        </r>
        <r>
          <rPr>
            <sz val="9"/>
            <color indexed="81"/>
            <rFont val="Tahoma"/>
            <family val="2"/>
          </rPr>
          <t xml:space="preserve">
La mesure n'étant pas prise en compte dans l'ancien AME, ce gain correspond aux économies sur tout le parc concerné, pas uniquement sur le parc supplémentaire touché par les textes de 2016.</t>
        </r>
      </text>
    </comment>
    <comment ref="AI72" authorId="0" shapeId="0">
      <text>
        <r>
          <rPr>
            <b/>
            <sz val="9"/>
            <color indexed="81"/>
            <rFont val="Tahoma"/>
            <family val="2"/>
          </rPr>
          <t>Romain GAETA:</t>
        </r>
        <r>
          <rPr>
            <sz val="9"/>
            <color indexed="81"/>
            <rFont val="Tahoma"/>
            <family val="2"/>
          </rPr>
          <t xml:space="preserve">
Hypothèses de ventilation des gains suivant la typologie du parc représentée dans MENFIS</t>
        </r>
      </text>
    </comment>
    <comment ref="BJ75" authorId="0" shapeId="0">
      <text>
        <r>
          <rPr>
            <b/>
            <sz val="9"/>
            <color indexed="81"/>
            <rFont val="Tahoma"/>
            <family val="2"/>
          </rPr>
          <t>Romain GAETA:</t>
        </r>
        <r>
          <rPr>
            <sz val="9"/>
            <color indexed="81"/>
            <rFont val="Tahoma"/>
            <family val="2"/>
          </rPr>
          <t xml:space="preserve">
Prcédent AME : 45 000 prêts entre 2014 et 2020. Aujourd'hui, hypothèse d'une évolution de 54 000 en 2015 à 70 000 à l'horizon 2020</t>
        </r>
      </text>
    </comment>
  </commentList>
</comments>
</file>

<file path=xl/sharedStrings.xml><?xml version="1.0" encoding="utf-8"?>
<sst xmlns="http://schemas.openxmlformats.org/spreadsheetml/2006/main" count="1671" uniqueCount="725">
  <si>
    <t>AME 2014 2015</t>
  </si>
  <si>
    <t>AME 2016 2017</t>
  </si>
  <si>
    <t>Mt</t>
  </si>
  <si>
    <t>Acier</t>
  </si>
  <si>
    <t>dont procédé électrique</t>
  </si>
  <si>
    <t>Aluminium</t>
  </si>
  <si>
    <t>Ethylène</t>
  </si>
  <si>
    <t>Chlore</t>
  </si>
  <si>
    <t>Ammoniac</t>
  </si>
  <si>
    <t>Clinker</t>
  </si>
  <si>
    <t>Verre</t>
  </si>
  <si>
    <t>Papier</t>
  </si>
  <si>
    <t>Sucre</t>
  </si>
  <si>
    <t>Source : Données industrielles, Enerdata</t>
  </si>
  <si>
    <t>Million € contant 2005</t>
  </si>
  <si>
    <t>Equipements</t>
  </si>
  <si>
    <t>Autres (textile, etc.)</t>
  </si>
  <si>
    <t>Source : SEURECO/ERASME</t>
  </si>
  <si>
    <t>1 = 2010</t>
  </si>
  <si>
    <t>Papier-pâtes</t>
  </si>
  <si>
    <t>Source : Scénarios prospectifs DGEC 2012</t>
  </si>
  <si>
    <t>Source : Etude « Gisement » du CEREN</t>
  </si>
  <si>
    <t xml:space="preserve"> + Mesures supplémentaires depuis le 1er janvier 2014 et &lt; 1er juillet 2016 + nouveau cadrage macro +  actualisation pour tenir compte des données observées en 2015</t>
  </si>
  <si>
    <t>variation</t>
  </si>
  <si>
    <t>TCAM</t>
  </si>
  <si>
    <t>2015-2035</t>
  </si>
  <si>
    <t>2010-2035</t>
  </si>
  <si>
    <t>Evolution de la valeur ajoutée de l’industrie par branche, 2010-2035, scénario AME 2014-15</t>
  </si>
  <si>
    <t>Evolution des consommations unitaires des IGCE – usages thermiques, scénario AME 2014-15</t>
  </si>
  <si>
    <t>Evolution des consommations unitaires des IGCE – usages électriques, scénario AME 2014-15</t>
  </si>
  <si>
    <t>Gains d'efficacité dans les usages thermiques pour l’industrie diffuse, scénario AME 2014-15</t>
  </si>
  <si>
    <t>Gains d'efficacité dans les usages électriques pour l’industrie diffuse, scénario AME 2014-15</t>
  </si>
  <si>
    <t>Gains d'efficacité dans les usages électriques pour l’industrie diffuse dans le scénario AME 2016-17</t>
  </si>
  <si>
    <t>Gains d'efficacité dans les usages thermiques pour l’industrie diffuse dans le scénario AME 2016-17</t>
  </si>
  <si>
    <t>Evolution des consommations unitaires des IGCE – usages électriques dans le scénario AME 2016-17</t>
  </si>
  <si>
    <t>Evolution des consommations unitaires des IGCE – usages thermiques dans le scénario AME 2016-17</t>
  </si>
  <si>
    <t>Evolution des productions physiques des IGCE, 2000-2035 dans le scénario AME 2016-17</t>
  </si>
  <si>
    <t>Métaux primaires (hors acier et aluminium)</t>
  </si>
  <si>
    <t>Chimie (hors éthylène, chlore et ammoniac)</t>
  </si>
  <si>
    <t>Minéraux non-métalliques (hors verre et clinker)</t>
  </si>
  <si>
    <t>IAA (hors sucre) (dont amidon)</t>
  </si>
  <si>
    <t>Evolution des productions physiques des IGCE, 2010-2035, scénario AME 2014-15</t>
  </si>
  <si>
    <t>AME</t>
  </si>
  <si>
    <t>Vaches laitières</t>
  </si>
  <si>
    <t>Vaches allaitantes</t>
  </si>
  <si>
    <t>Autres bovins</t>
  </si>
  <si>
    <t>Truies</t>
  </si>
  <si>
    <t>Autres porcins</t>
  </si>
  <si>
    <t>Caprins</t>
  </si>
  <si>
    <t>Ovins</t>
  </si>
  <si>
    <t>Chevaux</t>
  </si>
  <si>
    <t>Mules et ânes</t>
  </si>
  <si>
    <t>Poules</t>
  </si>
  <si>
    <t>Poulets</t>
  </si>
  <si>
    <t>Autres volailles</t>
  </si>
  <si>
    <t>Variations des paramètres entre le cadrage macro 2014-15 et le cadrage macro 2016-17</t>
  </si>
  <si>
    <t>EU ETS carbon price</t>
  </si>
  <si>
    <t xml:space="preserve">International oil and coal fuel import prices </t>
  </si>
  <si>
    <t>Fuel import prices (in constant €2010/boe*)</t>
  </si>
  <si>
    <t>Fuel import prices (in constant €2013/boe*)</t>
  </si>
  <si>
    <t>Oil (Brent crude oil)</t>
  </si>
  <si>
    <t>Coal (CIF ARA 6000)</t>
  </si>
  <si>
    <t>(19.0-)22.6</t>
  </si>
  <si>
    <t>(19.7-)23.7</t>
  </si>
  <si>
    <t>(20.0-)24.0</t>
  </si>
  <si>
    <t>(20.4-)25.5</t>
  </si>
  <si>
    <t>Coal (CIF ARA 6000) (moyenne)</t>
  </si>
  <si>
    <t xml:space="preserve">Gas import prices </t>
  </si>
  <si>
    <t>Gas import prices (in €2010/boe*)</t>
  </si>
  <si>
    <t>Gas import prices (in €2013/boe*)</t>
  </si>
  <si>
    <t>Gas (NCV, CIF average EU import)</t>
  </si>
  <si>
    <t>Population</t>
  </si>
  <si>
    <t>France</t>
  </si>
  <si>
    <t>Gross domestic product growth</t>
  </si>
  <si>
    <t>Annual real GDP growth rate (in market prices)</t>
  </si>
  <si>
    <t>Annual real GDP growth rate (in market prices) in %</t>
  </si>
  <si>
    <t>2015-2020</t>
  </si>
  <si>
    <t>2020-2025</t>
  </si>
  <si>
    <t>2025-2030</t>
  </si>
  <si>
    <t>2030-2035</t>
  </si>
  <si>
    <t>Background: Growth of gross domestic product per capita</t>
  </si>
  <si>
    <t>Annual real GDP per capita growth rate (in market prices)</t>
  </si>
  <si>
    <t>Annual real GDP per capita growth rate (in market prices) in %</t>
  </si>
  <si>
    <t>Exchange rate Euro/ US dollar</t>
  </si>
  <si>
    <t>Growth of gross value added of (manufacturing) industry</t>
  </si>
  <si>
    <t>Annual real industrial GVA growth rate (in %)</t>
  </si>
  <si>
    <t>Géothermie</t>
  </si>
  <si>
    <t>Total</t>
  </si>
  <si>
    <t>Gaz</t>
  </si>
  <si>
    <t>Fioul</t>
  </si>
  <si>
    <t>Charbon</t>
  </si>
  <si>
    <t>Consommations militaires de carburéacteur type kérosène de la France</t>
  </si>
  <si>
    <t>Périmètre : Métropole + DOM-TOM + Opérations extérieures dans le reste du monde</t>
  </si>
  <si>
    <t>unité = 1.000 t</t>
  </si>
  <si>
    <t>Années</t>
  </si>
  <si>
    <t>consommation</t>
  </si>
  <si>
    <t>Source : Ministère de la Défense</t>
  </si>
  <si>
    <t>VP</t>
  </si>
  <si>
    <t>Fluvial</t>
  </si>
  <si>
    <t>Autres</t>
  </si>
  <si>
    <t>Evolution du parc de véhicules particuliers et des immatriculations, scénarios AME, AMS1, AMS2 run1 et AMS2 run2</t>
  </si>
  <si>
    <t>Parc (millions)</t>
  </si>
  <si>
    <t>Données modèle</t>
  </si>
  <si>
    <t>Petits VUL</t>
  </si>
  <si>
    <t>Evolution</t>
  </si>
  <si>
    <t>Immatriculations (millions/an)</t>
  </si>
  <si>
    <t>Sources : DGEC, Enerdata</t>
  </si>
  <si>
    <t>Evolutions des parts de marché des énergies dans les immatriculations annuelles de véhicules particuliers, scénario AME</t>
  </si>
  <si>
    <t>Données modèle immats</t>
  </si>
  <si>
    <t>pour arriver au bon pourcntage avec GPL</t>
  </si>
  <si>
    <t>Essence</t>
  </si>
  <si>
    <t>Diesel</t>
  </si>
  <si>
    <t>GPL</t>
  </si>
  <si>
    <t>VE</t>
  </si>
  <si>
    <t>Electrique</t>
  </si>
  <si>
    <t>VHR</t>
  </si>
  <si>
    <t>Hybride rechargeable</t>
  </si>
  <si>
    <t>Sources : CCFA, CGDD, Enerdata</t>
  </si>
  <si>
    <t>Millions</t>
  </si>
  <si>
    <t>Sources : CGDD, Calcul Enerdata</t>
  </si>
  <si>
    <t>Evolution des ventes et du parc de camions, scénarios AME et AMS1</t>
  </si>
  <si>
    <t>Nombre total d’immatriculations (milliers par an)</t>
  </si>
  <si>
    <t>Dont gros VUL (milliers par an)</t>
  </si>
  <si>
    <t>Nombre total de camions (milliers)</t>
  </si>
  <si>
    <t>Dont gros VUL (milliers)</t>
  </si>
  <si>
    <t>Evolution du parc d’autobus et de cars</t>
  </si>
  <si>
    <t>Milliers</t>
  </si>
  <si>
    <t>Nombre d’autobus et cars - AME</t>
  </si>
  <si>
    <t>Evolution du parc de deux-roues motorisées</t>
  </si>
  <si>
    <t>Nombre de deux-roues motorisés</t>
  </si>
  <si>
    <t>Evolution des consommations unitaires des véhicules particuliers neufs, scénario AME</t>
  </si>
  <si>
    <r>
      <t xml:space="preserve">Données modèle immats </t>
    </r>
    <r>
      <rPr>
        <sz val="11"/>
        <color indexed="10"/>
        <rFont val="Calibri"/>
        <family val="2"/>
      </rPr>
      <t>pour les VP seulement</t>
    </r>
  </si>
  <si>
    <t>Essence (l/100 km)</t>
  </si>
  <si>
    <t>Diesel (l/100 km)</t>
  </si>
  <si>
    <t>VHR et VE (kWh/100 km)</t>
  </si>
  <si>
    <t>Pour les VHR, la consommation unitaire moyenne correspond au mode électrique. 30% du kilométrage est réalisé en mode électrique.</t>
  </si>
  <si>
    <t>Source : Calcul Enerdata</t>
  </si>
  <si>
    <t>VUL</t>
  </si>
  <si>
    <t>Evolution des consommations unitaires des véhicules utilitaires légers neufs, scénario AME</t>
  </si>
  <si>
    <t>l/100 km</t>
  </si>
  <si>
    <t>Source : Enerdata</t>
  </si>
  <si>
    <t>Evolution des consommations unitaires des autres véhicules neufs, scénario AME</t>
  </si>
  <si>
    <t>Bus et cars</t>
  </si>
  <si>
    <t>Camions</t>
  </si>
  <si>
    <t>Synthèse des trafics marchandises et passagers, scénario AME</t>
  </si>
  <si>
    <t>Trafics marchandises (Gtkm)</t>
  </si>
  <si>
    <t>Ferroviaire</t>
  </si>
  <si>
    <t>Trafics passagers (Gpkm)</t>
  </si>
  <si>
    <t>Autocar, bus</t>
  </si>
  <si>
    <t>Aérien</t>
  </si>
  <si>
    <t>Sources : CGDD, CCTN, Enerdata</t>
  </si>
  <si>
    <t>Kilométrage annuel moyen des véhicules, scénario AME</t>
  </si>
  <si>
    <t>km</t>
  </si>
  <si>
    <t>Gros VUL</t>
  </si>
  <si>
    <t>ces kilométrages moyens sont cohérents avec les niveaux de mobilité calculés via MODEV par Rémi Pochez (MA1)</t>
  </si>
  <si>
    <t>Soutes maritimes internationales</t>
  </si>
  <si>
    <t>Soutes d’origine pétrolière</t>
  </si>
  <si>
    <t>0,0</t>
  </si>
  <si>
    <t>2,34</t>
  </si>
  <si>
    <t>2,31</t>
  </si>
  <si>
    <t>2,29</t>
  </si>
  <si>
    <t>2,18</t>
  </si>
  <si>
    <t>2,07</t>
  </si>
  <si>
    <t>MD 0,1%</t>
  </si>
  <si>
    <t>0,14</t>
  </si>
  <si>
    <t>0,87</t>
  </si>
  <si>
    <t>0,81</t>
  </si>
  <si>
    <t>0,76</t>
  </si>
  <si>
    <t>0,72</t>
  </si>
  <si>
    <t>0,68</t>
  </si>
  <si>
    <t>HFO 0,5%</t>
  </si>
  <si>
    <t>0,00</t>
  </si>
  <si>
    <t>0,98</t>
  </si>
  <si>
    <t>0,91</t>
  </si>
  <si>
    <t>0,85</t>
  </si>
  <si>
    <t>HFO 3,5%</t>
  </si>
  <si>
    <t>2,20</t>
  </si>
  <si>
    <t>1,47</t>
  </si>
  <si>
    <t>0,73</t>
  </si>
  <si>
    <t>0,55</t>
  </si>
  <si>
    <t>Soute* +0,5%/an</t>
  </si>
  <si>
    <t>2,5</t>
  </si>
  <si>
    <t>2,7</t>
  </si>
  <si>
    <t>2,6</t>
  </si>
  <si>
    <t>2,40</t>
  </si>
  <si>
    <t>2,46</t>
  </si>
  <si>
    <t>2,52</t>
  </si>
  <si>
    <t>2,59</t>
  </si>
  <si>
    <t>2,65</t>
  </si>
  <si>
    <t>Source : IFPEN</t>
  </si>
  <si>
    <r>
      <t>Consommation de carburéacteur pour l'aviation civile</t>
    </r>
    <r>
      <rPr>
        <sz val="11"/>
        <color theme="1"/>
        <rFont val="Calibri"/>
        <family val="2"/>
        <scheme val="minor"/>
      </rPr>
      <t xml:space="preserve"> </t>
    </r>
  </si>
  <si>
    <t>Air routes</t>
  </si>
  <si>
    <t>Taux de croissance</t>
  </si>
  <si>
    <t>Consommations de carburéacteur (ktep)</t>
  </si>
  <si>
    <t>(% de 2015 à 2035)</t>
  </si>
  <si>
    <t>Aviation domestique (hors besoins militaires)</t>
  </si>
  <si>
    <t>Besoins militaires</t>
  </si>
  <si>
    <t>Aviation internationale</t>
  </si>
  <si>
    <t>Entre France et reste de l’Europe</t>
  </si>
  <si>
    <t>Entre France et autres pays non européens</t>
  </si>
  <si>
    <t>TOTAL</t>
  </si>
  <si>
    <t xml:space="preserve"> </t>
  </si>
  <si>
    <t>+ Mesures supplémentaires depuis le 1er janvier 2014 et &lt; 1er juillet 2016 + nouveau cadrage macro +  actualisation pour tenir compte des données observées en 2015</t>
  </si>
  <si>
    <r>
      <t>I.A. LOGEMENTS NEUFS (</t>
    </r>
    <r>
      <rPr>
        <b/>
        <i/>
        <sz val="16"/>
        <color rgb="FF000000"/>
        <rFont val="Calibri"/>
        <family val="2"/>
        <charset val="1"/>
      </rPr>
      <t>i.e. logements</t>
    </r>
    <r>
      <rPr>
        <b/>
        <sz val="16"/>
        <color rgb="FF000000"/>
        <rFont val="Calibri"/>
        <family val="2"/>
        <charset val="1"/>
      </rPr>
      <t>construits après 2010)</t>
    </r>
  </si>
  <si>
    <t>I.A.1. Construction</t>
  </si>
  <si>
    <t>Millions de logements/an</t>
  </si>
  <si>
    <t>Bonus de constructibilité augmente le nombre de logements</t>
  </si>
  <si>
    <t>Part maisons individuelles (%)</t>
  </si>
  <si>
    <t>I.A.2. Mix chauffage</t>
  </si>
  <si>
    <t>RT 2012</t>
  </si>
  <si>
    <t>RT 2020</t>
  </si>
  <si>
    <t>MI</t>
  </si>
  <si>
    <t>IC</t>
  </si>
  <si>
    <t>Composante carbone</t>
  </si>
  <si>
    <t>IC après 2020 (Suite renforcement RT 2012)</t>
  </si>
  <si>
    <t>Fonds chaleur</t>
  </si>
  <si>
    <t>Electricité Joule</t>
  </si>
  <si>
    <t>PAC</t>
  </si>
  <si>
    <t>Bois</t>
  </si>
  <si>
    <t>Chauffage Urbain</t>
  </si>
  <si>
    <t>Solaire appoint gaz</t>
  </si>
  <si>
    <t>I.A.3. Performance énergétique</t>
  </si>
  <si>
    <t>2010-2015</t>
  </si>
  <si>
    <t>Bonus de constructibilité : encourage les constructions neuves allant au-delà de la RT 2020</t>
  </si>
  <si>
    <t>RT2005</t>
  </si>
  <si>
    <t>CITE</t>
  </si>
  <si>
    <t>RT2012</t>
  </si>
  <si>
    <t>Eco-PTZ</t>
  </si>
  <si>
    <t>RT 2020 (BEPOS)</t>
  </si>
  <si>
    <t>Prime Habiter mieux</t>
  </si>
  <si>
    <t>Eco-prêt habiter mieux</t>
  </si>
  <si>
    <t>I.B. PARC EXISTANT (i.e. logements construits jusqu'en 2010)</t>
  </si>
  <si>
    <t>Tiers financement (logement en copropiété)</t>
  </si>
  <si>
    <t>Plate-formes de rénovation énergétique</t>
  </si>
  <si>
    <t>I.B.1. Rénovation du bati</t>
  </si>
  <si>
    <t>Interdiction de vente de logements HLM énergivores aux logements individuels</t>
  </si>
  <si>
    <t>Obligation de rénovation thermique lors de travaux importants</t>
  </si>
  <si>
    <t>I.B.1.a. Performance de la rénovation de l'enveloppe</t>
  </si>
  <si>
    <t>Individualisation des frais de chauffage dans les immeubles collectifs</t>
  </si>
  <si>
    <t>NB : remplissage à partir du fichier 160510 - sce DGEC AME - hp res medpro</t>
  </si>
  <si>
    <t>Eco-PLS</t>
  </si>
  <si>
    <t>MI &lt; 75</t>
  </si>
  <si>
    <t>Indice d'évolution de la consommation unitaire moyenne (énergie utile) base 1 = 2010</t>
  </si>
  <si>
    <t>MI &gt; 75</t>
  </si>
  <si>
    <t>IC &lt;  75</t>
  </si>
  <si>
    <t>IC &gt;  75</t>
  </si>
  <si>
    <t>HLM &lt;  75</t>
  </si>
  <si>
    <t>HLM &gt;  75</t>
  </si>
  <si>
    <t>I.B.1.b. Performance des systèmes de production de chaleur</t>
  </si>
  <si>
    <t>Chaudière fioul</t>
  </si>
  <si>
    <t>Indice d'évolution du RENDEMENT du système base 1 = 2010</t>
  </si>
  <si>
    <t>Chaudière gaz</t>
  </si>
  <si>
    <t>Chauffage bois</t>
  </si>
  <si>
    <t>Chauffage électrique</t>
  </si>
  <si>
    <t>Chauffage urbain</t>
  </si>
  <si>
    <t>I.B.2.a. Mix énergétique (chauffage) parc existant</t>
  </si>
  <si>
    <t>Energie/système principal</t>
  </si>
  <si>
    <t>Gaz classique</t>
  </si>
  <si>
    <t>Gaz innov</t>
  </si>
  <si>
    <t>PAC élec</t>
  </si>
  <si>
    <t>Elec Joule</t>
  </si>
  <si>
    <t>Chauffage solaire</t>
  </si>
  <si>
    <t>I.B.2.b. ECS</t>
  </si>
  <si>
    <t>I.B.2.c. Electricité spécifique</t>
  </si>
  <si>
    <t>I.B.2.c.a. Eclairage</t>
  </si>
  <si>
    <t>Consommation unitaire (kWh/log/an)</t>
  </si>
  <si>
    <t>I.B.2.c.a. Performance des appareils électriques</t>
  </si>
  <si>
    <t>I.B.2.c.b. Performance des appareils électriques</t>
  </si>
  <si>
    <t>Indice base 1 en 2010</t>
  </si>
  <si>
    <t>II.A. Parc Tertiaire neuf</t>
  </si>
  <si>
    <t>II.A.1. Construction</t>
  </si>
  <si>
    <t>Surfaces tertaires (Mm2)</t>
  </si>
  <si>
    <t>II.A.2. Performance du bâti</t>
  </si>
  <si>
    <t>RT2020</t>
  </si>
  <si>
    <t>II.A.3. Mix chauffage, parc neuf</t>
  </si>
  <si>
    <t>Gaz naturel</t>
  </si>
  <si>
    <t>Electricité (Joule)</t>
  </si>
  <si>
    <t>Electricité (PAC)</t>
  </si>
  <si>
    <t>Biomasse</t>
  </si>
  <si>
    <t>II.A.4. Climatisation dans le neuf</t>
  </si>
  <si>
    <t>Part des m2 climatisés</t>
  </si>
  <si>
    <t>Administration</t>
  </si>
  <si>
    <t>Bureaux</t>
  </si>
  <si>
    <t>Cafés-Hotels-Restaurants (Cahore)</t>
  </si>
  <si>
    <t>Commerces</t>
  </si>
  <si>
    <t>Enseignement Recherche</t>
  </si>
  <si>
    <t>Consommation d'elec (kWh/employé/an)</t>
  </si>
  <si>
    <t>II.B. Parc Tertiaire existant</t>
  </si>
  <si>
    <t>II.B.1. Parc touché par niveaux de rénovations</t>
  </si>
  <si>
    <t>Parc non touché</t>
  </si>
  <si>
    <t>Rénovation faible</t>
  </si>
  <si>
    <t>Rénovation moyenne (RT Element)</t>
  </si>
  <si>
    <t>Rénovation importante</t>
  </si>
  <si>
    <t>II.B.2. Performance de la rénovation</t>
  </si>
  <si>
    <t>II.B.2.a Gains sur le besoin énergétique de chauffage (enveloppe)</t>
  </si>
  <si>
    <t>Rénovation moyenne</t>
  </si>
  <si>
    <t>santé et social</t>
  </si>
  <si>
    <t>II.B.2.a Evolution de la performance des systèmes de production de chaleur</t>
  </si>
  <si>
    <t>II.B.3. Evolution mix énergétique existant</t>
  </si>
  <si>
    <t>% des surfaces équipées, parc existant</t>
  </si>
  <si>
    <t>Gaz de réseaux</t>
  </si>
  <si>
    <t>II.B.4. Climatisation dans le parc existant</t>
  </si>
  <si>
    <t>II.B.6. Evolution de la Valeur Ajoutée (VA) et de l'Emploi (sortie ThreeME)</t>
  </si>
  <si>
    <t>VA</t>
  </si>
  <si>
    <t>Emploi</t>
  </si>
  <si>
    <t xml:space="preserve">Evolution des ventes et du parc de camions, scénarios AME </t>
  </si>
  <si>
    <t>Evolution du parc de véhicules particuliers et des immatriculations, scénarios AME</t>
  </si>
  <si>
    <t>Taux de remplissage</t>
  </si>
  <si>
    <t>Métaux primaires</t>
  </si>
  <si>
    <t>Chimie</t>
  </si>
  <si>
    <t>Minéraux non-métalliques</t>
  </si>
  <si>
    <t>IAA</t>
  </si>
  <si>
    <t>II.B.6. Evolution de la Valeur Ajoutée (VA) et de l'Emploi</t>
  </si>
  <si>
    <t>Agriculture</t>
  </si>
  <si>
    <t xml:space="preserve">Métaux primaires </t>
  </si>
  <si>
    <t xml:space="preserve">Chimie </t>
  </si>
  <si>
    <t xml:space="preserve">Minéraux non-métalliques </t>
  </si>
  <si>
    <t xml:space="preserve">IAA </t>
  </si>
  <si>
    <t>Energie + Mines</t>
  </si>
  <si>
    <t>Construction</t>
  </si>
  <si>
    <t>Tertiaire</t>
  </si>
  <si>
    <t>Industrie manufacturière</t>
  </si>
  <si>
    <t>Industrie manufacturière + Energie + Mines</t>
  </si>
  <si>
    <t>Recommandation Commission</t>
  </si>
  <si>
    <t>Evolution de la demande d’énergie utile du résidentiel pour le chauffage (Mtep par an)</t>
  </si>
  <si>
    <t>AME 2014</t>
  </si>
  <si>
    <t>AME 2016</t>
  </si>
  <si>
    <t>AME 2014 vs 2010</t>
  </si>
  <si>
    <t>AME 2016 vs 2010</t>
  </si>
  <si>
    <t>Consommation d'énergie directe France métropolitaine</t>
  </si>
  <si>
    <t xml:space="preserve">Energie directe </t>
  </si>
  <si>
    <t xml:space="preserve">dont Fioul </t>
  </si>
  <si>
    <t xml:space="preserve">dont Electricité </t>
  </si>
  <si>
    <t>dont Gaz</t>
  </si>
  <si>
    <t xml:space="preserve">dont Bois </t>
  </si>
  <si>
    <t xml:space="preserve">dont Charbon </t>
  </si>
  <si>
    <t>Surfaces</t>
  </si>
  <si>
    <t>SAU totale (Mha), y compris jachères</t>
  </si>
  <si>
    <t>SAU Grandes Cultures (Mha)</t>
  </si>
  <si>
    <t>SAU Prairies (Mha)</t>
  </si>
  <si>
    <t>Part SAU Grandes Cultures en Conventionnel-%</t>
  </si>
  <si>
    <t>Part SAU Grandes Cultures en AB-%</t>
  </si>
  <si>
    <t>Part SAU en Production Intégrée-%</t>
  </si>
  <si>
    <t>Cheptels</t>
  </si>
  <si>
    <t>Paramètres énergie (voir guide méthodologique Climagri, 2011 - chapitre 2.4.1)</t>
  </si>
  <si>
    <t>Consommation d'énergie pour le chauffage des serres-Serre chaude en maraîchage (kWh/m2)</t>
  </si>
  <si>
    <t>Consommation d'énergie pour le chauffage des serres-Serre chaude en horticulture (kWh/m2)</t>
  </si>
  <si>
    <t>Consommation d'énergie pour le chauffage des serres-Tunnel hors gel(kWh/m2)</t>
  </si>
  <si>
    <t>Consommation de fioul / ha -Cultures annuelles Conv (l/ha)</t>
  </si>
  <si>
    <t>Consommation de fioul / ha -Cultures annuelles AB (l/ha)</t>
  </si>
  <si>
    <t>Consommation de fioul / ha -Cultures annuelles PI  (l/ha)</t>
  </si>
  <si>
    <t>Consommation de fioul / ha -Prairies temporaires  (l/ha)</t>
  </si>
  <si>
    <t>Consommation de fioul / ha -Prairies naturelles productives  (l/ha)</t>
  </si>
  <si>
    <t>Consommation de fioul / ha -Prairies naturelles peu productives, parcours  (l/ha)</t>
  </si>
  <si>
    <t>Consommation de fioul / ha -Cultures permanentes  (l/ha)</t>
  </si>
  <si>
    <t>Coefficients d'énergie (electricité) pour les bâtiments d'élevage -Vaches laitières</t>
  </si>
  <si>
    <t>Coefficients d'énergie (electricité) pour les bâtiments d'élevage -Vaches allaitantes</t>
  </si>
  <si>
    <t>Coefficients d'énergie pour les bâtiments d'élevage -Truie (kWh/animal)</t>
  </si>
  <si>
    <t>Coefficients d'énergie pour les bâtiments d'élevage -Porc engraissement (kWh/animal)</t>
  </si>
  <si>
    <t>Coefficients d'énergie pour les bâtiments d'élevage -Volailles pondeuses  (kWh/animal)</t>
  </si>
  <si>
    <t>Coefficients d'énergie pour les bâtiments d'élevage -Volailles chair  (kWh/animal)</t>
  </si>
  <si>
    <t xml:space="preserve">Coefficients d'énergie (electricité) pour les bâtiments d'élevage -Veaux de boucherie (kWh/animal) </t>
  </si>
  <si>
    <t>Coefficients d'énergie (electricité) pour les bâtiments d'élevage -Brebis lait (kWh/animal)</t>
  </si>
  <si>
    <t>Coeff. de conso. de fioul en bâtiments d'élevage-Vaches laitières (l/animal/jour)</t>
  </si>
  <si>
    <t>Coeff. de conso. de fioul en bâtiments d'élevage-Vaches allaitantes  (l/animal/jour)</t>
  </si>
  <si>
    <t xml:space="preserve">Consommation d'énergie autres (irrigation/séchage)-% réduction </t>
  </si>
  <si>
    <t>Inputs Clim'agri</t>
  </si>
  <si>
    <t>Traitement Enerdata</t>
  </si>
  <si>
    <t>Mtep</t>
  </si>
  <si>
    <t>Pétrole</t>
  </si>
  <si>
    <t>Elec</t>
  </si>
  <si>
    <t>Chaleur</t>
  </si>
  <si>
    <t>Autres (ENR, déchets)</t>
  </si>
  <si>
    <t>Consommation totale par énergie</t>
  </si>
  <si>
    <t>Données 2010 : SOeS, Pegase</t>
  </si>
  <si>
    <t>Le modèle ne donne que les immatriculatiosn thermiques, VE et VHR, pas GPL,</t>
  </si>
  <si>
    <t>on complète proportionnelement pour les autres motorisations</t>
  </si>
  <si>
    <t>Pour les consommations, voir fiche du modèle</t>
  </si>
  <si>
    <t>Baisse de 2,7 % par an pr essece de 2010 à 2020</t>
  </si>
  <si>
    <t>Baisse de 2,2 % par an de 2010 à 2020</t>
  </si>
  <si>
    <t>Après 2020, pas de baisse des consomamtiosn unitaires</t>
  </si>
  <si>
    <t>baisse de la consommation moyenne après 2020 liée à une pénétration plus rapide de l'électrique dans la gamme supérieure (effet structurel, au final les véhicules thermiques sont de plus en plus des petis véhicules dans le temps)</t>
  </si>
  <si>
    <t>Hypothèses du scénario AME 2016</t>
  </si>
  <si>
    <t>à l’horizon 2035</t>
  </si>
  <si>
    <t>d’un scénario énergétique en France</t>
  </si>
  <si>
    <t>Prestation d’accompagnement de l’élaboration</t>
  </si>
  <si>
    <t>Source : ADEME (3ME)</t>
  </si>
  <si>
    <t>Source : Données industrielles, Etude « Gisement » du CEREN</t>
  </si>
  <si>
    <t>Source : Données industrielles, Scénarios prospectifs DGEC 2012</t>
  </si>
  <si>
    <t>Source : Données industrielles</t>
  </si>
  <si>
    <r>
      <rPr>
        <sz val="11"/>
        <color rgb="FFFF0000"/>
        <rFont val="Calibri"/>
        <family val="2"/>
        <scheme val="minor"/>
      </rPr>
      <t>En rouge</t>
    </r>
    <r>
      <rPr>
        <sz val="11"/>
        <color theme="1"/>
        <rFont val="Calibri"/>
        <family val="2"/>
        <scheme val="minor"/>
      </rPr>
      <t xml:space="preserve"> : projections venant des industriels</t>
    </r>
  </si>
  <si>
    <r>
      <rPr>
        <sz val="11"/>
        <color rgb="FF00B050"/>
        <rFont val="Calibri"/>
        <family val="2"/>
        <scheme val="minor"/>
      </rPr>
      <t>En vert</t>
    </r>
    <r>
      <rPr>
        <sz val="11"/>
        <color theme="1"/>
        <rFont val="Calibri"/>
        <family val="2"/>
        <scheme val="minor"/>
      </rPr>
      <t xml:space="preserve"> : données non mises à jour reprises de l'AME 2014-15 car absence de projections des industriels</t>
    </r>
  </si>
  <si>
    <r>
      <rPr>
        <sz val="11"/>
        <color theme="4" tint="-0.249977111117893"/>
        <rFont val="Calibri"/>
        <family val="2"/>
        <scheme val="minor"/>
      </rPr>
      <t>En bleu</t>
    </r>
    <r>
      <rPr>
        <sz val="11"/>
        <color theme="1"/>
        <rFont val="Calibri"/>
        <family val="2"/>
        <scheme val="minor"/>
      </rPr>
      <t xml:space="preserve"> : projections venant de l'ADEME</t>
    </r>
  </si>
  <si>
    <t>AME 2014-15</t>
  </si>
  <si>
    <t>Source : Commission européenne</t>
  </si>
  <si>
    <t>Evolution de la valeur ajoutée de l’industrie par branche, 2010-2035 dans le scénario AME 2016-17</t>
  </si>
  <si>
    <r>
      <t>Carbon price (in constant €2010/tCO</t>
    </r>
    <r>
      <rPr>
        <b/>
        <vertAlign val="subscript"/>
        <sz val="11"/>
        <color theme="0"/>
        <rFont val="Calibri"/>
        <family val="2"/>
        <scheme val="minor"/>
      </rPr>
      <t>2</t>
    </r>
    <r>
      <rPr>
        <b/>
        <sz val="11"/>
        <color theme="0"/>
        <rFont val="Calibri"/>
        <family val="2"/>
        <scheme val="minor"/>
      </rPr>
      <t>)</t>
    </r>
  </si>
  <si>
    <r>
      <t>Carbon price (in constant €2013/tCO</t>
    </r>
    <r>
      <rPr>
        <b/>
        <vertAlign val="subscript"/>
        <sz val="11"/>
        <color theme="0"/>
        <rFont val="Calibri"/>
        <family val="2"/>
        <scheme val="minor"/>
      </rPr>
      <t>2</t>
    </r>
    <r>
      <rPr>
        <b/>
        <sz val="11"/>
        <color theme="0"/>
        <rFont val="Calibri"/>
        <family val="2"/>
        <scheme val="minor"/>
      </rPr>
      <t>)</t>
    </r>
  </si>
  <si>
    <t>Proposition DGEC : utiliser le même cadrage population que AME 2014-15 car la Commission ne sait pas expliquer ce qu'elle recommande pour FR dans ce cadrage 2016-17</t>
  </si>
  <si>
    <t>Valeurs ajoutée par branche</t>
  </si>
  <si>
    <t>Données reconstituées à partir de l'ancien exercice et les sorties 3ME</t>
  </si>
  <si>
    <t>Résultats modélisation 3ME</t>
  </si>
  <si>
    <t>Source : ADEME</t>
  </si>
  <si>
    <r>
      <t xml:space="preserve"> </t>
    </r>
    <r>
      <rPr>
        <b/>
        <sz val="20"/>
        <color indexed="8"/>
        <rFont val="Calibri"/>
        <family val="2"/>
        <scheme val="minor"/>
      </rPr>
      <t>+</t>
    </r>
    <r>
      <rPr>
        <b/>
        <sz val="11"/>
        <color indexed="8"/>
        <rFont val="Calibri"/>
        <family val="2"/>
        <scheme val="minor"/>
      </rPr>
      <t xml:space="preserve"> Mesures supplémentaires depuis le 1er janvier 2014 et &lt; 1er juillet 2016 </t>
    </r>
    <r>
      <rPr>
        <b/>
        <sz val="16"/>
        <color indexed="8"/>
        <rFont val="Calibri"/>
        <family val="2"/>
        <scheme val="minor"/>
      </rPr>
      <t>+</t>
    </r>
    <r>
      <rPr>
        <b/>
        <sz val="11"/>
        <color indexed="8"/>
        <rFont val="Calibri"/>
        <family val="2"/>
        <scheme val="minor"/>
      </rPr>
      <t xml:space="preserve"> nouveau cadrage macro </t>
    </r>
    <r>
      <rPr>
        <b/>
        <sz val="18"/>
        <color indexed="8"/>
        <rFont val="Calibri"/>
        <family val="2"/>
        <scheme val="minor"/>
      </rPr>
      <t>+</t>
    </r>
    <r>
      <rPr>
        <b/>
        <sz val="11"/>
        <color indexed="8"/>
        <rFont val="Calibri"/>
        <family val="2"/>
        <scheme val="minor"/>
      </rPr>
      <t xml:space="preserve">  actualisation pour tenir compte des données observées en 2015</t>
    </r>
  </si>
  <si>
    <r>
      <t>Consommation de carburéacteur pour l'aviation civile</t>
    </r>
    <r>
      <rPr>
        <sz val="11"/>
        <color theme="1"/>
        <rFont val="Calibri"/>
        <family val="2"/>
        <scheme val="minor"/>
      </rPr>
      <t xml:space="preserve"> </t>
    </r>
  </si>
  <si>
    <t>Evolution du parc de véhicules (VP+VUL) par type d’énergie, scénario AME</t>
  </si>
  <si>
    <t>Source : CGDD MA3</t>
  </si>
  <si>
    <t>Modélisation du parc de VP</t>
  </si>
  <si>
    <t>Commentaire CGDD MA3 :</t>
  </si>
  <si>
    <t>Sources : CGDD MA3 (pour les VP), DGEC AME 2014 (pour les petits VUL)</t>
  </si>
  <si>
    <t>Sources : résultats MedPro</t>
  </si>
  <si>
    <t>Evolution du parc de véhicules par type d’énergie, scénario AME</t>
  </si>
  <si>
    <t>Taux de remplissage des poids lourds (t/PL)</t>
  </si>
  <si>
    <t>Source : Enerdata, CGDDD</t>
  </si>
  <si>
    <t>Parts de marché dans les ventes</t>
  </si>
  <si>
    <t>Consommation unitaire des nouveaux véhicules</t>
  </si>
  <si>
    <t>Kilométrage annuel moyen des VP</t>
  </si>
  <si>
    <t>km/an</t>
  </si>
  <si>
    <t>dont aviation civile</t>
  </si>
  <si>
    <t>dont militaire</t>
  </si>
  <si>
    <t>2015-2030</t>
  </si>
  <si>
    <t>Domestique</t>
  </si>
  <si>
    <t>Métropole</t>
  </si>
  <si>
    <t>Outre mer</t>
  </si>
  <si>
    <t>millions passagers Métropole-Outre mer</t>
  </si>
  <si>
    <t>Consommation unitaire</t>
  </si>
  <si>
    <t>Hypothèse DGAC</t>
  </si>
  <si>
    <t>Trafic (Gpkm)</t>
  </si>
  <si>
    <t>Consommation d'énergie (Mtep)</t>
  </si>
  <si>
    <t>Mtep/Gpkm</t>
  </si>
  <si>
    <t>Hypothèses Biocarburants</t>
  </si>
  <si>
    <t>Biocarburant 1G</t>
  </si>
  <si>
    <t>Biocarburant 2G Essence</t>
  </si>
  <si>
    <t>Biocarburant 2G Diesel</t>
  </si>
  <si>
    <t>Part de biocarburants</t>
  </si>
  <si>
    <t>Hypothèses Biogaz</t>
  </si>
  <si>
    <t>Résidentiel</t>
  </si>
  <si>
    <t>Injection (TWh)</t>
  </si>
  <si>
    <t>Source : Hypothèse DGEC</t>
  </si>
  <si>
    <t>Hypothèses Solaire thermique</t>
  </si>
  <si>
    <t>Production (ktep)</t>
  </si>
  <si>
    <t>TCAM 2023-2035</t>
  </si>
  <si>
    <t>ktep</t>
  </si>
  <si>
    <t>%</t>
  </si>
  <si>
    <t>Source : Eurostat</t>
  </si>
  <si>
    <t>Source : Hypothèse Enerdata</t>
  </si>
  <si>
    <t>Résidentiel (ktep)</t>
  </si>
  <si>
    <t>Tertiaire (ktep)</t>
  </si>
  <si>
    <t>Production solaire thermique</t>
  </si>
  <si>
    <t>Trafics</t>
  </si>
  <si>
    <t>Résultats d’après MODEV et calcul CGDD avec impact du prix sur la génération de trafic</t>
  </si>
  <si>
    <t>Voyageurs longue distance
(&gt; 100km)</t>
  </si>
  <si>
    <t>VP (+ VUL étrangers)</t>
  </si>
  <si>
    <t>Mds voy.km</t>
  </si>
  <si>
    <t>hors covoiturage passager</t>
  </si>
  <si>
    <t>Covoiturage</t>
  </si>
  <si>
    <t>passager uniquement</t>
  </si>
  <si>
    <t>Autocars « macron »</t>
  </si>
  <si>
    <t>TGV</t>
  </si>
  <si>
    <t>TET</t>
  </si>
  <si>
    <t>TER longue distance</t>
  </si>
  <si>
    <t>Air</t>
  </si>
  <si>
    <t>Circulation VP</t>
  </si>
  <si>
    <t>Mds veh.km</t>
  </si>
  <si>
    <t>Voyageurs courte distance
(&lt;100km)</t>
  </si>
  <si>
    <t>TC</t>
  </si>
  <si>
    <t>Modes doux</t>
  </si>
  <si>
    <t>Marchandises</t>
  </si>
  <si>
    <t>Route</t>
  </si>
  <si>
    <t>Mds t.km</t>
  </si>
  <si>
    <t>Fer</t>
  </si>
  <si>
    <t>Circulation PL</t>
  </si>
  <si>
    <t>VUL français</t>
  </si>
  <si>
    <t>Autocars « hors macron »</t>
  </si>
  <si>
    <t>F1.b Transports intérieurs de voyageurs depuis 2000 selon la distance pour le transport collectif</t>
  </si>
  <si>
    <t>Calcul à partir de MODEV</t>
  </si>
  <si>
    <t>Niveau en milliards de voyageurs-kilomètres</t>
  </si>
  <si>
    <t>Véhicules particuliers (1)</t>
  </si>
  <si>
    <t>Voitures particulières françaises (VP)</t>
  </si>
  <si>
    <t>Véhicules légers étrangers (VP et VUL)</t>
  </si>
  <si>
    <t>Deux-roues motorisées</t>
  </si>
  <si>
    <t>Transports collectifs</t>
  </si>
  <si>
    <t>Transports collectifs de longue distance</t>
  </si>
  <si>
    <t>Transports aériens (2)</t>
  </si>
  <si>
    <t>Transports ferrés</t>
  </si>
  <si>
    <t>TAGV - Trains à grande vitesse (3)(4)(5)(6)</t>
  </si>
  <si>
    <t>Trains interurbains (7)</t>
  </si>
  <si>
    <t>Transports routiers : autobus et autocars (8)</t>
  </si>
  <si>
    <t>Interurbains (hors Île-de-France)</t>
  </si>
  <si>
    <t>Occasionnel</t>
  </si>
  <si>
    <t>Transports collectifs de proximité</t>
  </si>
  <si>
    <t>Transports ferrés (9)</t>
  </si>
  <si>
    <t>Trains et RER d'Île-de-France (10)(11)</t>
  </si>
  <si>
    <t>Trains sous convention CR (12)</t>
  </si>
  <si>
    <t>Métro de Paris (11)</t>
  </si>
  <si>
    <t>Métros de province (13)</t>
  </si>
  <si>
    <t>Tramways et bus</t>
  </si>
  <si>
    <t>Tramways d'Île-de-France (11)</t>
  </si>
  <si>
    <t>Tramways et bus de province (13)</t>
  </si>
  <si>
    <t xml:space="preserve">Bus d'Île-de-France </t>
  </si>
  <si>
    <t>Bus à Paris (11)</t>
  </si>
  <si>
    <t>Bus en petite couronne (11)</t>
  </si>
  <si>
    <t>Bus en grande couronne (11)</t>
  </si>
  <si>
    <t>Noctiliens RATP (14)</t>
  </si>
  <si>
    <t>-</t>
  </si>
  <si>
    <t xml:space="preserve">Scolaire </t>
  </si>
  <si>
    <t>Personnel</t>
  </si>
  <si>
    <t>Ensemble</t>
  </si>
  <si>
    <t>(1) rebasement du Bilan de la circulation (base 2007), série rétropolée jusqu'en 1990.</t>
  </si>
  <si>
    <t>(2) vols intérieurs à la métropole uniquement.</t>
  </si>
  <si>
    <t xml:space="preserve">(3) modification du périmètre TAGV en 2003, rétropolée jusqu'en 2001. Pour l'année 2001, dans l'ancien système, le tableau mentionnerait 37,4 milliards de voyageurs-kilomètrespour le réseau TAGV. </t>
  </si>
  <si>
    <t>(4) prise en compte (pour moitié), à partir de 2000, des transports effectués dans le tunnel sous la Manche.</t>
  </si>
  <si>
    <t>(5) y compris iDTGV à partir de 2006.</t>
  </si>
  <si>
    <t>(6) y compris Eurostar, société autonome de la SNCF depuis le 1er septembre 2010 (voyageurs-kilomètres intérieurs, cf. (6)).</t>
  </si>
  <si>
    <t xml:space="preserve">(7) sous convention avec l'État et non conventionnés (hors trains à grande vitesse). </t>
  </si>
  <si>
    <t>(8) série rétropolée à partir des bilans annuels de la circulation jusqu'en 2000.</t>
  </si>
  <si>
    <t>(9) trains, RER et métros.</t>
  </si>
  <si>
    <t>(10) y compris le RER exploité par la RATP et la ligne T4 (depuis novembre 2006).</t>
  </si>
  <si>
    <t xml:space="preserve">(11) série rétropolée sur les statistiques STIF-Omnil en voyageurs-km jusqu'en 2000. </t>
  </si>
  <si>
    <t>(12) sous convention des Conseils régionaux (hors Île-de-France et Corse). Y compris les "Express d'Intérêt Régional" à partir de 1991.</t>
  </si>
  <si>
    <t xml:space="preserve">(13) séries en voyageurs-km estimées d'après l'Enquête annuelle sur les transports collectifs urbains (DGITM, Cerema, GART, UTP) pour le nombre de voyages de 1995 à 2013 et d'après l'Enquête nationale transports déplacements 2008 et l'UTP pour les distances moyennes parcourues par mode. Le niveau de la dernière année (ici 2014), déterminé à partir du taux d'évolution annuel est estimé par le SOeS, d'après les indicateurs de conjoncture de l'UTP. Séries rétropolées jusqu'en 1980. </t>
  </si>
  <si>
    <t>(14) comprend les Noctiliens RATP depuis leur mise en service en 2007 (les données relatives aux Noctiliens SNCF ne sont pas disponibles).</t>
  </si>
  <si>
    <t>Champ : France métropolitaine.</t>
  </si>
  <si>
    <t>Sources : SOeS, d’après Bilan de la  circulation, DGAC, ensemble des opérateurs ferroviaires, STIF-Omnil, Enquête annuelle sur les transports collectifs urbains (DGITM, Cerema, Gart, UTP), UTP.</t>
  </si>
  <si>
    <t>Aérien (Métropole)</t>
  </si>
  <si>
    <t>Source : CGDD</t>
  </si>
  <si>
    <t>Trafics mis en forme au format MedPro</t>
  </si>
  <si>
    <t>Première donnée en 2011, on estime une évolution sur la période 2015-2020, qu'on peut appliquer pour recalculer la valeur en 2020</t>
  </si>
  <si>
    <t xml:space="preserve">On suppose la même évolution de la part du GPL que pour l'AME 2014, </t>
  </si>
  <si>
    <t>Source : DGEC AME 2014</t>
  </si>
  <si>
    <t>Source : résultats MedPro</t>
  </si>
  <si>
    <t>Sources : CGDD MA3 (VP), DGEC AME 2014, Résultats MedPro (Camions)</t>
  </si>
  <si>
    <t>Sources : CGDD, Enerdata</t>
  </si>
  <si>
    <t>t/PL</t>
  </si>
  <si>
    <t>Source : DHUP</t>
  </si>
  <si>
    <t>Evolution de la demande d’énergie utile du résidentiel pour le chauffage</t>
  </si>
  <si>
    <t>Production solaire thermique dans résidentiel</t>
  </si>
  <si>
    <t>Source : DGEC</t>
  </si>
  <si>
    <t>Réfrigérateur</t>
  </si>
  <si>
    <t>Congélateur</t>
  </si>
  <si>
    <t>Lave linge</t>
  </si>
  <si>
    <t>Sèche linge</t>
  </si>
  <si>
    <t>Lave vaisselle</t>
  </si>
  <si>
    <t>Téléviseur</t>
  </si>
  <si>
    <t>Variation AME 2017 in % AME 2014 (Menfis output avec integration tvx DHUP)</t>
  </si>
  <si>
    <t>Calage en 2010 sur les parts de marchés observées (données CEREN) puis évolution modèle CGDD</t>
  </si>
  <si>
    <t>Autre (hors biomasse)</t>
  </si>
  <si>
    <t>L'évolution de la part biomasse est gérée en dehors de l'outil via l'intégration de la production générée via le fonds chaleur qui s'applique à la fois au neuf et à l'existant (cf. "Parc existant pour part globale de la biomasse")</t>
  </si>
  <si>
    <t>Les performances moyennes des systèmes sont définies via les choix de renouvellement automatiquement générés par l'outil CGDD (fonction de la rentabilité et performance à atteindre). Les équipements sont séparés entre  systèmes "classiques" et "performants".</t>
  </si>
  <si>
    <t>"classique"</t>
  </si>
  <si>
    <t>"performant"</t>
  </si>
  <si>
    <t>chaudière gaz</t>
  </si>
  <si>
    <t>Le modèle CGDD gère différent les bouquets. On considère ici :
- rénovation faible = changement des fenêtres et fenêtres + murs performance faible
- rénovation moyenne = murs+fenêtres performant + ensemble moyen
- rénovation importante = ensemble du bâti rénové niveau BBC
Ces niveaux n'intègrent pas les travaux supplémentaires générés par les CEE 3ème période (de 2016 à 2020)</t>
  </si>
  <si>
    <t>GTB</t>
  </si>
  <si>
    <t>Il s'agit de valeurs moyennes. Les gains peuvent être plus ou moins importants selon la cible.</t>
  </si>
  <si>
    <t>L'outil de simulation considère 2 niveaux de performance pour chaque système dont les coûts évoluent de manière différentiée ( les systèmes performants voyant leur coût diminuer).
Le gain de rendement entre une chaudière gaz "classique" et "condensation" est de 27%
Le gain de rendement entre une PAC "classique" et une PAC "performante" est de 13%</t>
  </si>
  <si>
    <t>II.B.3. Evolution mix énergétique existant (chauffage seul)</t>
  </si>
  <si>
    <t>Répartition hors chauffage au bois</t>
  </si>
  <si>
    <t>Electricité</t>
  </si>
  <si>
    <t>Le chauffage bois direct est intégré via la prise en compte du fonds chaleur sur l'ensemble du parc. La répartition globale, bâtiments neufs compris, est la suitante (en conso finale) :</t>
  </si>
  <si>
    <t>II.C. Autres hypothèses</t>
  </si>
  <si>
    <t>II.C.1. Fonds chaleur</t>
  </si>
  <si>
    <t>Accroissement de la production de chaleur bois</t>
  </si>
  <si>
    <t>2010-2020</t>
  </si>
  <si>
    <t>production bois (Mtep)</t>
  </si>
  <si>
    <t>II.C.2. Individualisation des charges de chauffage</t>
  </si>
  <si>
    <t>Le CEREN évalue à 13% le taux de surfaces tertiaires chauffées par un système collectif parmis les bâtiments disposant d'un chauffage centralisé.</t>
  </si>
  <si>
    <t>Le gain attendu pour la cible est évalué à 7,5% des des consommations de chauffage</t>
  </si>
  <si>
    <t>Le gisement est supposé atteint en 2035</t>
  </si>
  <si>
    <t>Globalement, compte tenu de la répartition des systèmes de chauffage,les gains par branche sont les suivants :</t>
  </si>
  <si>
    <t>Branche</t>
  </si>
  <si>
    <t>gains 2020</t>
  </si>
  <si>
    <t>gains 2025</t>
  </si>
  <si>
    <t>gains 2030</t>
  </si>
  <si>
    <t>gains 2035</t>
  </si>
  <si>
    <t>Santé</t>
  </si>
  <si>
    <t>Global</t>
  </si>
  <si>
    <t>II.C.3. CEE</t>
  </si>
  <si>
    <t>Prise en compte des CEE 3ème période de 2016 à 2020 (200 TWhcumac/an)</t>
  </si>
  <si>
    <t>Le tertiaire représente 16,9% du volume global, soit un gain équivalent de 2,14 TWh/an, sur 13 ans, additionnables à 100%</t>
  </si>
  <si>
    <t xml:space="preserve">La répartition est la suivante : </t>
  </si>
  <si>
    <t>Enveloppe</t>
  </si>
  <si>
    <t>Thermique</t>
  </si>
  <si>
    <t>Equipement</t>
  </si>
  <si>
    <t>Les gains générés sont supposés s'appliquer aux bâtiments existants en 2010.</t>
  </si>
  <si>
    <t>Les gains "thermiques" s'appliquent aux systèmes de chauffage</t>
  </si>
  <si>
    <t>Les gains "équipements" sont répartis sur l'ensemble des consommations hors chauffage</t>
  </si>
  <si>
    <t>Les gains annuels générés sont maintenus à l'issue de la durée de vie des équipements (sinon une ré-augmentation des consommations est observée ce qui semble peu plausible)</t>
  </si>
  <si>
    <t>Gain moyen additionnel par m²</t>
  </si>
  <si>
    <t>Chauffage (besoins)</t>
  </si>
  <si>
    <t>Chauffage (systèmes)</t>
  </si>
  <si>
    <t>Equipements (TWh/an)</t>
  </si>
  <si>
    <t>I.a Hypothèses de modélisation des simulations sur Menfis</t>
  </si>
  <si>
    <t>AME 2017</t>
  </si>
  <si>
    <t>Mesures sectorielles</t>
  </si>
  <si>
    <t>CIDD aux conditions de 2013 jusqu’en 2015 inclus</t>
  </si>
  <si>
    <t>CITE aux conditions de 2015 jusqu’en 2017 inclus</t>
  </si>
  <si>
    <t>EcoPTZ</t>
  </si>
  <si>
    <t xml:space="preserve">EcoPTZ aux conditions de 2013 jusqu’en 2015 inclus.
Cumul avec CIDD conditionné sur le revenu (avec les plafonds en vigueur en 2013).
Pas d’Ecoprêt copro (maintien des conditions de 2013) ni d’ecoPTZ dans les LC pour les travaux avec un seul geste (réforme de 2014).
</t>
  </si>
  <si>
    <t>Jusqu’en 2017 inclus, aux conditions de 2016. 
Cumul EcoPTZ/CITE sans condition cumul depuis 2016 (1er mars).
Intégration d'un EcoPrêt Copro (parc privé LC)  et passage 2 à 3 ans dès 2016 pour d'un l'EcoPTZ LC sur les parties privatives.
=&gt; un objectif global de 50000 EcoPTZ pour 2016 et 2017.</t>
  </si>
  <si>
    <t>Aides anah (Programme Habiter Mieux)</t>
  </si>
  <si>
    <t>Jusqu’en 2015 inclus, aux conditions de 2013 (sur plafond éligibilité et aide, prime et taux de subvention)</t>
  </si>
  <si>
    <r>
      <t xml:space="preserve">Jusqu’en 2017 inclus, aux conditions de 2016 (sur plafond éligibilité et aide, prime et taux de subvention)
Ecoprêt habiter Mieux si bénéficiaire anah =&gt; ecoPTZ dps 2016  (application systématique)
</t>
    </r>
    <r>
      <rPr>
        <sz val="10"/>
        <rFont val="Arial"/>
        <family val="2"/>
      </rPr>
      <t>=&gt; objectifs 70 000 logements aidés de 2016 à 2017</t>
    </r>
  </si>
  <si>
    <t xml:space="preserve">Prime ASP : </t>
  </si>
  <si>
    <t>Rien</t>
  </si>
  <si>
    <t>En 2014 uniquement</t>
  </si>
  <si>
    <t>TVA réduite :</t>
  </si>
  <si>
    <t>5.5% depuis 2014 et jusqu'en 2035</t>
  </si>
  <si>
    <t xml:space="preserve">Mesures transversales : </t>
  </si>
  <si>
    <t>gaz HT (hyp cadrage macro CE)</t>
  </si>
  <si>
    <t>fioul HT (hyp cadrage macro CE)</t>
  </si>
  <si>
    <t>elec TTC (hyp note interne ADEME)</t>
  </si>
  <si>
    <t>Autre (bois et chauffage urbain) TTC (hyp note interne ADEME)</t>
  </si>
  <si>
    <t>Composante carbone de la TICPE</t>
  </si>
  <si>
    <t>7 euros2015/tCO2 en 2014, 14.5 euros2015/tCO2 en 2015, 22 euros2015/tCO2 sur 2016-2035</t>
  </si>
  <si>
    <t xml:space="preserve">On représente tous les points de passage (euros2015/tCO2) de l'article 1 de la LTECV dont 2017, 2018, 2019, 2020 et 2030. On reste  à 100 euros / tCO2 en 2035. En euros constants de 2015. </t>
  </si>
  <si>
    <t>I.b Mesures sectorielles estimées par la DHUP</t>
  </si>
  <si>
    <t xml:space="preserve">mesures "travaux embarqués", "individualisation des frais de chauffage" et "Eco-PLS" </t>
  </si>
  <si>
    <r>
      <t xml:space="preserve">Hypothèse  </t>
    </r>
    <r>
      <rPr>
        <sz val="11"/>
        <color theme="1"/>
        <rFont val="Calibri"/>
        <family val="2"/>
        <scheme val="minor"/>
      </rPr>
      <t xml:space="preserve">: Additionalité totale entre les effets des mesures représentées dans Menfis et les effets des mesures estimées par la DHUP </t>
    </r>
  </si>
  <si>
    <t>II. Résultats de la modélisation:</t>
  </si>
  <si>
    <t xml:space="preserve">Contruction du tableau I.B.1.a. : Indice d'évolution de la consommation unitaire moyenne (énergie utile) base 1 = 2010 par type de logement </t>
  </si>
  <si>
    <t>Notes : les cellules à copier dans l'onglet "bâtiment" sont en jaune.</t>
  </si>
  <si>
    <t>AME 2014 : sortie Menfis</t>
  </si>
  <si>
    <t>AME 2017 : sortie Menfis + intégration résultats DHUP</t>
  </si>
  <si>
    <t>AME 2017 en % de AME 2014 : résultats à intégrer dans Medpro (tableau I.B.1.a.)</t>
  </si>
  <si>
    <t>Intégration par la DHUP des mesures "travaux embarqués", "individualisation des frais de chauffage" et "Eco-PLS" sur les évolutions de consommations d'énergie utile (ou de besoin de chauffage)</t>
  </si>
  <si>
    <t>Nombre de logements milliers</t>
  </si>
  <si>
    <t>Taux de déconstruction</t>
  </si>
  <si>
    <t>consommations moyenne par logement - kWh</t>
  </si>
  <si>
    <t>consommations totales annuelles en TWh</t>
  </si>
  <si>
    <t>Intégration des hypothèses de la mesure travaux embarqués</t>
  </si>
  <si>
    <t>Intégration des hypothèses de la mesure  d'individualisation des frais de chauffage</t>
  </si>
  <si>
    <t>Prise en compte de l'Eco-PLS</t>
  </si>
  <si>
    <t>Besoins totaux chauffage - kWh</t>
  </si>
  <si>
    <t xml:space="preserve">Calcul des indices d'évolution de la consommation </t>
  </si>
  <si>
    <t>ravalement de façade</t>
  </si>
  <si>
    <t>Isolation des toitures</t>
  </si>
  <si>
    <t>Aménagement de nouvelles pièces</t>
  </si>
  <si>
    <t>IFC - gains annuels</t>
  </si>
  <si>
    <t>Nombre de logements (milliers)</t>
  </si>
  <si>
    <t>Taux de déconstruction annuel - %</t>
  </si>
  <si>
    <t>Besoin theorique chauff moy</t>
  </si>
  <si>
    <t>typologie concernée</t>
  </si>
  <si>
    <t>Clé de répartition</t>
  </si>
  <si>
    <t>Gain annuel kWh ef</t>
  </si>
  <si>
    <t>Gains Annuels avec prise en compte de la destruction du parc - kWh</t>
  </si>
  <si>
    <t>Echelonnement dans la mise en place des compteurs</t>
  </si>
  <si>
    <t>Gains annuels cumulés - kWh</t>
  </si>
  <si>
    <t>Besoin theor chauff moy</t>
  </si>
  <si>
    <t>Gain moyen des rénovations</t>
  </si>
  <si>
    <t>Répartition des travaux</t>
  </si>
  <si>
    <t>Nombre annuel de pêts délivrés</t>
  </si>
  <si>
    <t xml:space="preserve">MI  total </t>
  </si>
  <si>
    <t>MI&lt;75</t>
  </si>
  <si>
    <t>MI&gt;75</t>
  </si>
  <si>
    <t xml:space="preserve">LC total </t>
  </si>
  <si>
    <t>IC &lt; 75</t>
  </si>
  <si>
    <t>IC &gt; 75</t>
  </si>
  <si>
    <t>HLM &lt; 75</t>
  </si>
  <si>
    <t>HLM &gt; 75</t>
  </si>
  <si>
    <t>Contruction du tableau I.B.1.b. Performance des systèmes de production de chaleur</t>
  </si>
  <si>
    <t>AME 2017 : sortie Menfis</t>
  </si>
  <si>
    <t>AME 2017 en % de AME 2014 : résultats à intégrer dans Medpro (tableau I.B.1.b.)</t>
  </si>
  <si>
    <t>Contruction du tableau I.B.2.a. Mix énergétique (chauffage) parc existant</t>
  </si>
  <si>
    <t>AME 2014: sortie Menfis</t>
  </si>
  <si>
    <t>AME 2017 en % de AME 2014 :  résultats à intégrer dans Medpro (tableau I.B.2.a.)</t>
  </si>
  <si>
    <t>Consommation énergétique theorique en énergie utile par type d'énergie (répartition en volume _ MGW_ AME 14)</t>
  </si>
  <si>
    <t>Consommation énergétique theorique en énergie utile par type d'énergie (répartition en volume _ MGW_ AME 17)</t>
  </si>
  <si>
    <t>Consommation énergétique theorique en énergie utile par type d'énergie (variation établie sur les sorties en volume et non en répartition/%)</t>
  </si>
  <si>
    <t>papier</t>
  </si>
  <si>
    <t>clinker</t>
  </si>
  <si>
    <t>Le bilan du BCIAT 2009-2015</t>
  </si>
  <si>
    <t>Industrie</t>
  </si>
  <si>
    <t>Ce bilan concerne les opérations d’investissements aidées par le fonds chaleur sur la période 2009-2015 (y compris celles abandonnées)</t>
  </si>
  <si>
    <t>Les tep EnR des réseaux de chaleur ne représentent pas l’intégralité des tep EnR transportées par les réseaux aidés mais seulement celles supplémentaires produites par des installations EnR existantes (chaufferies bois, UIOM, etc).</t>
  </si>
  <si>
    <t>Installation de récupération de chaleur fatale</t>
  </si>
  <si>
    <t>Réseau de chaleur</t>
  </si>
  <si>
    <t>Réseaux de chaleur</t>
  </si>
  <si>
    <t>Collectif (volume marginal)</t>
  </si>
  <si>
    <t>Solaire</t>
  </si>
  <si>
    <t>Réseau de gaz</t>
  </si>
  <si>
    <t>Biogaz</t>
  </si>
  <si>
    <t>Collectif résidentiel (50%) + tertiaire (50%)</t>
  </si>
  <si>
    <t>Bois hors BCIAT</t>
  </si>
  <si>
    <t>Bois BCIAT</t>
  </si>
  <si>
    <t>Accroissement 2020-2025</t>
  </si>
  <si>
    <t>Accroissement 2010-2020</t>
  </si>
  <si>
    <t>Accroissement annuel</t>
  </si>
  <si>
    <t>(20 ans)</t>
  </si>
  <si>
    <t>Aide ADEME en €/tep</t>
  </si>
  <si>
    <t>ktep ENR/an</t>
  </si>
  <si>
    <t>Aide ADEME (M€)</t>
  </si>
  <si>
    <t>Montant des investissements éligibles (M€)</t>
  </si>
  <si>
    <t>Nombre de projets</t>
  </si>
  <si>
    <t xml:space="preserve">Chiffres clés </t>
  </si>
  <si>
    <t>4 septembre 2014 (mis à jour le 2 mai 2016)</t>
  </si>
  <si>
    <t>Le bilan du Fonds chaleur (2009-2015)</t>
  </si>
  <si>
    <t>Répartition</t>
  </si>
  <si>
    <t>CEE par an hors bonus et programmes</t>
  </si>
  <si>
    <t>EE annuelle</t>
  </si>
  <si>
    <t>durée de vie</t>
  </si>
  <si>
    <t>CEE classiques</t>
  </si>
  <si>
    <t>CEE précarité</t>
  </si>
  <si>
    <t>en 2016 et en 2017</t>
  </si>
  <si>
    <t>coeffs 2015</t>
  </si>
  <si>
    <t>additionnalité en 2016-17 (avec CITE)</t>
  </si>
  <si>
    <t>EE annuelles (TWh)</t>
  </si>
  <si>
    <t>secteur</t>
  </si>
  <si>
    <t>Agriculture (AGRI)</t>
  </si>
  <si>
    <t>résidentiel</t>
  </si>
  <si>
    <t>Bâtiment résidentiel (BAR)</t>
  </si>
  <si>
    <t>tertiaire</t>
  </si>
  <si>
    <t>Bâtiment tertiaire (BAT)</t>
  </si>
  <si>
    <t>industrie</t>
  </si>
  <si>
    <t>Industrie (IND)</t>
  </si>
  <si>
    <t>autres</t>
  </si>
  <si>
    <t>Réseaux (RES)</t>
  </si>
  <si>
    <t>total</t>
  </si>
  <si>
    <t>Transport (TRA)</t>
  </si>
  <si>
    <t>tous les ans entre 2018 et 2035</t>
  </si>
  <si>
    <t>additionnalité en 2018-35 sans CITE)</t>
  </si>
  <si>
    <t xml:space="preserve">Chauffage seul - parc existant </t>
  </si>
  <si>
    <t>Ensemble des usages thermiques - tout bâtiment neuf+existant</t>
  </si>
  <si>
    <t>II.C.4. Consommation d'électricité hors usages thermiques et hors climatisation, i.e.  liée à l'activité tertiaire (ordinateurs, imprimantes, éclairage, etc…)</t>
  </si>
  <si>
    <t>prix énergie TCAM 2011-2035</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</si>
</sst>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 _€_-;\-* #,##0.00\ _€_-;_-* &quot;-&quot;??\ _€_-;_-@_-"/>
    <numFmt numFmtId="164" formatCode="0.0%"/>
    <numFmt numFmtId="165" formatCode="#,##0.00&quot;    &quot;;#,##0.00&quot;    &quot;;&quot;-&quot;#&quot;    &quot;;@&quot; &quot;"/>
    <numFmt numFmtId="166" formatCode="#,##0.000"/>
    <numFmt numFmtId="167" formatCode="0.000"/>
    <numFmt numFmtId="168" formatCode="0.0"/>
    <numFmt numFmtId="169" formatCode="_-* #,##0\ _€_-;\-* #,##0\ _€_-;_-* \-??\ _€_-;_-@_-"/>
    <numFmt numFmtId="170" formatCode="#,##0.00&quot;    &quot;;#,##0.00&quot;    &quot;;\-#&quot;    &quot;;\ @\ "/>
    <numFmt numFmtId="171" formatCode="0.0000%"/>
    <numFmt numFmtId="172" formatCode="#,##0.0"/>
    <numFmt numFmtId="173" formatCode="0.0000"/>
    <numFmt numFmtId="174" formatCode="0.00000"/>
    <numFmt numFmtId="175" formatCode="_-* #,##0\ _€_-;\-* #,##0\ _€_-;_-* &quot;-&quot;??\ _€_-;_-@_-"/>
    <numFmt numFmtId="176" formatCode="#0.00"/>
    <numFmt numFmtId="177" formatCode="#0"/>
  </numFmts>
  <fonts count="112" x14ac:knownFonts="1">
    <font>
      <sz val="11"/>
      <color theme="1"/>
      <name val="Calibri"/>
      <family val="2"/>
      <scheme val="minor"/>
    </font>
    <font>
      <b/>
      <sz val="11"/>
      <color theme="1"/>
      <name val="Calibri"/>
      <family val="2"/>
      <scheme val="minor"/>
    </font>
    <font>
      <b/>
      <sz val="11"/>
      <color indexed="8"/>
      <name val="Calibri"/>
      <family val="2"/>
    </font>
    <font>
      <b/>
      <sz val="10"/>
      <color indexed="9"/>
      <name val="Calibri"/>
      <family val="2"/>
    </font>
    <font>
      <b/>
      <sz val="10"/>
      <color indexed="8"/>
      <name val="Calibri"/>
      <family val="2"/>
    </font>
    <font>
      <sz val="10"/>
      <color indexed="8"/>
      <name val="Calibri"/>
      <family val="2"/>
    </font>
    <font>
      <b/>
      <i/>
      <sz val="10"/>
      <color indexed="8"/>
      <name val="Calibri"/>
      <family val="2"/>
    </font>
    <font>
      <b/>
      <sz val="9"/>
      <color indexed="9"/>
      <name val="Calibri"/>
      <family val="2"/>
    </font>
    <font>
      <sz val="11"/>
      <color theme="1"/>
      <name val="Calibri"/>
      <family val="2"/>
      <scheme val="minor"/>
    </font>
    <font>
      <b/>
      <sz val="10"/>
      <color rgb="FFFF0000"/>
      <name val="Calibri"/>
      <family val="2"/>
    </font>
    <font>
      <b/>
      <sz val="9"/>
      <color indexed="81"/>
      <name val="Tahoma"/>
      <family val="2"/>
    </font>
    <font>
      <sz val="9"/>
      <color indexed="81"/>
      <name val="Tahoma"/>
      <family val="2"/>
    </font>
    <font>
      <sz val="10"/>
      <color rgb="FFFF0000"/>
      <name val="Calibri"/>
      <family val="2"/>
    </font>
    <font>
      <sz val="10"/>
      <color rgb="FF00B050"/>
      <name val="Calibri"/>
      <family val="2"/>
    </font>
    <font>
      <sz val="11"/>
      <color rgb="FFFF0000"/>
      <name val="Calibri"/>
      <family val="2"/>
      <scheme val="minor"/>
    </font>
    <font>
      <sz val="11"/>
      <color rgb="FF00B050"/>
      <name val="Calibri"/>
      <family val="2"/>
      <scheme val="minor"/>
    </font>
    <font>
      <b/>
      <sz val="11"/>
      <color rgb="FF000000"/>
      <name val="Calibri"/>
      <family val="2"/>
    </font>
    <font>
      <sz val="9"/>
      <color rgb="FF000000"/>
      <name val="Calibri"/>
      <family val="2"/>
    </font>
    <font>
      <sz val="11"/>
      <color rgb="FF000000"/>
      <name val="Calibri"/>
      <family val="2"/>
    </font>
    <font>
      <b/>
      <sz val="10"/>
      <color rgb="FF000000"/>
      <name val="Arial"/>
      <family val="2"/>
    </font>
    <font>
      <sz val="10"/>
      <color rgb="FF000000"/>
      <name val="Arial"/>
      <family val="2"/>
    </font>
    <font>
      <b/>
      <sz val="10"/>
      <name val="Arial"/>
      <family val="2"/>
    </font>
    <font>
      <b/>
      <sz val="11"/>
      <name val="Calibri"/>
      <family val="2"/>
      <scheme val="minor"/>
    </font>
    <font>
      <sz val="10"/>
      <name val="Arial"/>
      <family val="2"/>
    </font>
    <font>
      <sz val="11"/>
      <color indexed="10"/>
      <name val="Calibri"/>
      <family val="2"/>
    </font>
    <font>
      <b/>
      <sz val="11"/>
      <color indexed="10"/>
      <name val="Calibri"/>
      <family val="2"/>
    </font>
    <font>
      <sz val="8"/>
      <color indexed="8"/>
      <name val="Verdana"/>
      <family val="2"/>
    </font>
    <font>
      <sz val="11"/>
      <color rgb="FF000000"/>
      <name val="Calibri"/>
      <family val="2"/>
      <charset val="1"/>
    </font>
    <font>
      <b/>
      <sz val="11"/>
      <color rgb="FF000000"/>
      <name val="Calibri"/>
      <family val="2"/>
      <charset val="1"/>
    </font>
    <font>
      <sz val="9"/>
      <color rgb="FF000000"/>
      <name val="Calibri"/>
      <family val="2"/>
      <charset val="1"/>
    </font>
    <font>
      <sz val="11"/>
      <color rgb="FFFF0000"/>
      <name val="Calibri"/>
      <family val="2"/>
      <charset val="1"/>
    </font>
    <font>
      <b/>
      <i/>
      <sz val="11"/>
      <color rgb="FF000000"/>
      <name val="Calibri"/>
      <family val="2"/>
      <charset val="1"/>
    </font>
    <font>
      <b/>
      <sz val="9"/>
      <color rgb="FF000000"/>
      <name val="Calibri"/>
      <family val="2"/>
      <charset val="1"/>
    </font>
    <font>
      <b/>
      <sz val="8"/>
      <color rgb="FF333399"/>
      <name val="Verdana"/>
      <family val="2"/>
      <charset val="1"/>
    </font>
    <font>
      <b/>
      <sz val="16"/>
      <color rgb="FF000000"/>
      <name val="Calibri"/>
      <family val="2"/>
      <charset val="1"/>
    </font>
    <font>
      <sz val="20"/>
      <color rgb="FF000000"/>
      <name val="Calibri"/>
      <family val="2"/>
      <charset val="1"/>
    </font>
    <font>
      <b/>
      <i/>
      <sz val="16"/>
      <color rgb="FF000000"/>
      <name val="Calibri"/>
      <family val="2"/>
      <charset val="1"/>
    </font>
    <font>
      <sz val="16"/>
      <color rgb="FF000000"/>
      <name val="Calibri"/>
      <family val="2"/>
      <charset val="1"/>
    </font>
    <font>
      <b/>
      <sz val="11"/>
      <color rgb="FFFF0000"/>
      <name val="Calibri"/>
      <family val="2"/>
      <charset val="1"/>
    </font>
    <font>
      <sz val="11"/>
      <color rgb="FFFFFFFF"/>
      <name val="Calibri"/>
      <family val="2"/>
      <charset val="1"/>
    </font>
    <font>
      <b/>
      <sz val="12"/>
      <color rgb="FFFFFFFF"/>
      <name val="Calibri"/>
      <family val="2"/>
      <charset val="1"/>
    </font>
    <font>
      <sz val="10"/>
      <name val="Calibri"/>
      <family val="2"/>
    </font>
    <font>
      <sz val="11"/>
      <name val="Arial"/>
      <family val="2"/>
    </font>
    <font>
      <sz val="10"/>
      <color indexed="16"/>
      <name val="Arial"/>
      <family val="2"/>
    </font>
    <font>
      <b/>
      <sz val="12"/>
      <name val="Calibri"/>
      <family val="2"/>
      <scheme val="minor"/>
    </font>
    <font>
      <sz val="10"/>
      <name val="Calibri"/>
      <family val="2"/>
      <scheme val="minor"/>
    </font>
    <font>
      <b/>
      <sz val="11"/>
      <color theme="0"/>
      <name val="Calibri"/>
      <family val="2"/>
      <scheme val="minor"/>
    </font>
    <font>
      <sz val="20"/>
      <color rgb="FFEC6625"/>
      <name val="Calibri"/>
      <family val="2"/>
      <scheme val="minor"/>
    </font>
    <font>
      <sz val="20"/>
      <color rgb="FF00758F"/>
      <name val="Calibri"/>
      <family val="2"/>
      <scheme val="minor"/>
    </font>
    <font>
      <sz val="10"/>
      <color theme="4" tint="-0.249977111117893"/>
      <name val="Calibri"/>
      <family val="2"/>
    </font>
    <font>
      <sz val="11"/>
      <color theme="4" tint="-0.249977111117893"/>
      <name val="Calibri"/>
      <family val="2"/>
      <scheme val="minor"/>
    </font>
    <font>
      <b/>
      <vertAlign val="subscript"/>
      <sz val="11"/>
      <color theme="0"/>
      <name val="Calibri"/>
      <family val="2"/>
      <scheme val="minor"/>
    </font>
    <font>
      <sz val="11"/>
      <color rgb="FF000000"/>
      <name val="Calibri"/>
      <family val="2"/>
      <scheme val="minor"/>
    </font>
    <font>
      <b/>
      <sz val="11"/>
      <color indexed="8"/>
      <name val="Calibri"/>
      <family val="2"/>
      <scheme val="minor"/>
    </font>
    <font>
      <sz val="10"/>
      <color indexed="8"/>
      <name val="Calibri"/>
      <family val="2"/>
      <scheme val="minor"/>
    </font>
    <font>
      <b/>
      <sz val="10"/>
      <color indexed="8"/>
      <name val="Calibri"/>
      <family val="2"/>
      <scheme val="minor"/>
    </font>
    <font>
      <b/>
      <sz val="11"/>
      <color indexed="9"/>
      <name val="Calibri"/>
      <family val="2"/>
      <scheme val="minor"/>
    </font>
    <font>
      <sz val="11"/>
      <color indexed="8"/>
      <name val="Calibri"/>
      <family val="2"/>
      <scheme val="minor"/>
    </font>
    <font>
      <b/>
      <sz val="10"/>
      <color indexed="9"/>
      <name val="Calibri"/>
      <family val="2"/>
      <scheme val="minor"/>
    </font>
    <font>
      <b/>
      <sz val="20"/>
      <color indexed="8"/>
      <name val="Calibri"/>
      <family val="2"/>
      <scheme val="minor"/>
    </font>
    <font>
      <b/>
      <sz val="16"/>
      <color indexed="8"/>
      <name val="Calibri"/>
      <family val="2"/>
      <scheme val="minor"/>
    </font>
    <font>
      <b/>
      <sz val="18"/>
      <color indexed="8"/>
      <name val="Calibri"/>
      <family val="2"/>
      <scheme val="minor"/>
    </font>
    <font>
      <sz val="8"/>
      <color indexed="8"/>
      <name val="Calibri"/>
      <family val="2"/>
      <scheme val="minor"/>
    </font>
    <font>
      <b/>
      <i/>
      <sz val="10"/>
      <color indexed="9"/>
      <name val="Calibri"/>
      <family val="2"/>
      <scheme val="minor"/>
    </font>
    <font>
      <b/>
      <sz val="10"/>
      <color theme="0"/>
      <name val="Calibri"/>
      <family val="2"/>
      <scheme val="minor"/>
    </font>
    <font>
      <i/>
      <sz val="10"/>
      <color indexed="8"/>
      <name val="Calibri"/>
      <family val="2"/>
      <scheme val="minor"/>
    </font>
    <font>
      <b/>
      <sz val="12"/>
      <color indexed="9"/>
      <name val="Calibri"/>
      <family val="2"/>
      <scheme val="minor"/>
    </font>
    <font>
      <sz val="10"/>
      <name val="Times New Roman"/>
      <family val="1"/>
    </font>
    <font>
      <i/>
      <sz val="10"/>
      <name val="Calibri"/>
      <family val="2"/>
      <scheme val="minor"/>
    </font>
    <font>
      <sz val="8"/>
      <name val="Arial"/>
      <family val="2"/>
    </font>
    <font>
      <b/>
      <sz val="14"/>
      <color indexed="9"/>
      <name val="Calibri"/>
      <family val="2"/>
      <scheme val="minor"/>
    </font>
    <font>
      <b/>
      <sz val="11"/>
      <color theme="1"/>
      <name val="Liberation Sans"/>
    </font>
    <font>
      <b/>
      <sz val="10"/>
      <color theme="1"/>
      <name val="Arial"/>
      <family val="2"/>
    </font>
    <font>
      <i/>
      <sz val="11"/>
      <color theme="1"/>
      <name val="Liberation Sans"/>
    </font>
    <font>
      <b/>
      <sz val="8"/>
      <color indexed="8"/>
      <name val="Arial"/>
      <family val="2"/>
    </font>
    <font>
      <b/>
      <sz val="9"/>
      <name val="Verdana"/>
      <family val="2"/>
    </font>
    <font>
      <sz val="9"/>
      <name val="Verdana"/>
      <family val="2"/>
    </font>
    <font>
      <sz val="11"/>
      <color theme="0"/>
      <name val="Calibri"/>
      <family val="2"/>
      <scheme val="minor"/>
    </font>
    <font>
      <b/>
      <sz val="11"/>
      <name val="Arial"/>
      <family val="2"/>
    </font>
    <font>
      <sz val="9"/>
      <name val="Arial"/>
      <family val="2"/>
    </font>
    <font>
      <sz val="9"/>
      <color indexed="8"/>
      <name val="Arial"/>
      <family val="2"/>
    </font>
    <font>
      <b/>
      <sz val="9"/>
      <name val="Arial"/>
      <family val="2"/>
    </font>
    <font>
      <i/>
      <sz val="9"/>
      <name val="Arial"/>
      <family val="2"/>
    </font>
    <font>
      <i/>
      <sz val="11"/>
      <color indexed="8"/>
      <name val="Calibri"/>
      <family val="2"/>
      <scheme val="minor"/>
    </font>
    <font>
      <sz val="12"/>
      <color theme="1"/>
      <name val="Calibri"/>
      <family val="2"/>
      <scheme val="minor"/>
    </font>
    <font>
      <i/>
      <sz val="12"/>
      <name val="Arial"/>
      <family val="2"/>
    </font>
    <font>
      <sz val="12"/>
      <color indexed="8"/>
      <name val="Arial"/>
      <family val="2"/>
    </font>
    <font>
      <i/>
      <sz val="12"/>
      <color indexed="8"/>
      <name val="Arial"/>
      <family val="2"/>
    </font>
    <font>
      <sz val="11"/>
      <color indexed="8"/>
      <name val="Arial"/>
      <family val="2"/>
    </font>
    <font>
      <i/>
      <sz val="11"/>
      <name val="Arial"/>
      <family val="2"/>
    </font>
    <font>
      <i/>
      <sz val="11"/>
      <color indexed="8"/>
      <name val="Arial"/>
      <family val="2"/>
    </font>
    <font>
      <b/>
      <sz val="12"/>
      <color theme="1"/>
      <name val="Calibri"/>
      <family val="2"/>
      <scheme val="minor"/>
    </font>
    <font>
      <sz val="10"/>
      <color theme="1"/>
      <name val="Calibri"/>
      <family val="2"/>
      <scheme val="minor"/>
    </font>
    <font>
      <b/>
      <sz val="10"/>
      <name val="Calibri"/>
      <family val="2"/>
    </font>
    <font>
      <b/>
      <sz val="18"/>
      <color theme="0"/>
      <name val="Calibri"/>
      <family val="2"/>
      <charset val="1"/>
    </font>
    <font>
      <b/>
      <sz val="11"/>
      <color theme="0"/>
      <name val="Calibri"/>
      <family val="2"/>
      <charset val="1"/>
    </font>
    <font>
      <sz val="11"/>
      <color theme="0"/>
      <name val="Calibri"/>
      <family val="2"/>
      <charset val="1"/>
    </font>
    <font>
      <b/>
      <sz val="11"/>
      <color theme="0"/>
      <name val="Calibri"/>
      <family val="2"/>
    </font>
    <font>
      <sz val="11"/>
      <name val="Calibri"/>
      <family val="2"/>
      <charset val="1"/>
    </font>
    <font>
      <b/>
      <sz val="12"/>
      <color theme="0"/>
      <name val="Calibri"/>
      <family val="2"/>
      <charset val="1"/>
    </font>
    <font>
      <sz val="11"/>
      <color rgb="FF000000"/>
      <name val="Calibri"/>
      <family val="2"/>
      <charset val="1"/>
      <scheme val="minor"/>
    </font>
    <font>
      <b/>
      <sz val="11"/>
      <color rgb="FFFFFFFF"/>
      <name val="Calibri"/>
      <family val="2"/>
      <charset val="1"/>
      <scheme val="minor"/>
    </font>
    <font>
      <b/>
      <sz val="11"/>
      <color rgb="FF000000"/>
      <name val="Calibri"/>
      <family val="2"/>
      <scheme val="minor"/>
    </font>
    <font>
      <b/>
      <sz val="14"/>
      <color theme="1"/>
      <name val="Calibri"/>
      <family val="2"/>
      <scheme val="minor"/>
    </font>
    <font>
      <sz val="11"/>
      <color indexed="9"/>
      <name val="Calibri"/>
      <family val="2"/>
    </font>
    <font>
      <b/>
      <sz val="14"/>
      <color indexed="8"/>
      <name val="Calibri"/>
      <family val="2"/>
    </font>
    <font>
      <b/>
      <sz val="14"/>
      <name val="Calibri"/>
      <family val="2"/>
    </font>
    <font>
      <sz val="11"/>
      <color indexed="9"/>
      <name val="Calibri"/>
      <family val="2"/>
      <charset val="1"/>
    </font>
    <font>
      <b/>
      <sz val="14"/>
      <color theme="0"/>
      <name val="Calibri"/>
      <family val="2"/>
      <scheme val="minor"/>
    </font>
    <font>
      <sz val="14"/>
      <color theme="0"/>
      <name val="Calibri"/>
      <family val="2"/>
      <scheme val="minor"/>
    </font>
    <font>
      <b/>
      <sz val="18"/>
      <color theme="0"/>
      <name val="Calibri"/>
      <family val="2"/>
      <scheme val="minor"/>
    </font>
    <font>
      <u/>
      <sz val="11"/>
      <color rgb="FF000000"/>
      <name val="Calibri"/>
      <family val="2"/>
      <charset val="1"/>
    </font>
  </fonts>
  <fills count="36">
    <fill>
      <patternFill patternType="none"/>
    </fill>
    <fill>
      <patternFill patternType="gray125"/>
    </fill>
    <fill>
      <patternFill patternType="solid">
        <fgColor rgb="FFFFFF00"/>
        <bgColor indexed="64"/>
      </patternFill>
    </fill>
    <fill>
      <patternFill patternType="solid">
        <fgColor indexed="9"/>
        <bgColor indexed="26"/>
      </patternFill>
    </fill>
    <fill>
      <patternFill patternType="solid">
        <fgColor indexed="47"/>
        <bgColor indexed="64"/>
      </patternFill>
    </fill>
    <fill>
      <patternFill patternType="solid">
        <fgColor theme="0"/>
        <bgColor indexed="64"/>
      </patternFill>
    </fill>
    <fill>
      <patternFill patternType="solid">
        <fgColor rgb="FF00758F"/>
        <bgColor indexed="64"/>
      </patternFill>
    </fill>
    <fill>
      <patternFill patternType="solid">
        <fgColor theme="0"/>
        <bgColor indexed="26"/>
      </patternFill>
    </fill>
    <fill>
      <patternFill patternType="solid">
        <fgColor theme="0"/>
        <bgColor indexed="34"/>
      </patternFill>
    </fill>
    <fill>
      <patternFill patternType="solid">
        <fgColor rgb="FF00758F"/>
        <bgColor indexed="56"/>
      </patternFill>
    </fill>
    <fill>
      <patternFill patternType="solid">
        <fgColor theme="0"/>
        <bgColor indexed="51"/>
      </patternFill>
    </fill>
    <fill>
      <patternFill patternType="solid">
        <fgColor indexed="9"/>
        <bgColor indexed="64"/>
      </patternFill>
    </fill>
    <fill>
      <patternFill patternType="mediumGray">
        <fgColor indexed="9"/>
        <bgColor indexed="29"/>
      </patternFill>
    </fill>
    <fill>
      <patternFill patternType="mediumGray">
        <fgColor indexed="9"/>
        <bgColor indexed="44"/>
      </patternFill>
    </fill>
    <fill>
      <patternFill patternType="mediumGray">
        <fgColor indexed="9"/>
        <bgColor indexed="31"/>
      </patternFill>
    </fill>
    <fill>
      <patternFill patternType="solid">
        <fgColor theme="5"/>
        <bgColor indexed="64"/>
      </patternFill>
    </fill>
    <fill>
      <patternFill patternType="solid">
        <fgColor theme="0"/>
        <bgColor indexed="56"/>
      </patternFill>
    </fill>
    <fill>
      <patternFill patternType="solid">
        <fgColor theme="0"/>
        <bgColor rgb="FF33CCCC"/>
      </patternFill>
    </fill>
    <fill>
      <patternFill patternType="solid">
        <fgColor theme="0"/>
        <bgColor rgb="FF8EB4E3"/>
      </patternFill>
    </fill>
    <fill>
      <patternFill patternType="solid">
        <fgColor rgb="FF00758F"/>
        <bgColor rgb="FF00CCFF"/>
      </patternFill>
    </fill>
    <fill>
      <patternFill patternType="solid">
        <fgColor rgb="FF00758F"/>
        <bgColor rgb="FF8EB4E3"/>
      </patternFill>
    </fill>
    <fill>
      <patternFill patternType="solid">
        <fgColor theme="0"/>
        <bgColor rgb="FFF2F2F2"/>
      </patternFill>
    </fill>
    <fill>
      <patternFill patternType="solid">
        <fgColor rgb="FF00758F"/>
        <bgColor rgb="FF993366"/>
      </patternFill>
    </fill>
    <fill>
      <patternFill patternType="solid">
        <fgColor theme="0"/>
        <bgColor rgb="FF969696"/>
      </patternFill>
    </fill>
    <fill>
      <patternFill patternType="solid">
        <fgColor rgb="FFFFC000"/>
        <bgColor indexed="64"/>
      </patternFill>
    </fill>
    <fill>
      <patternFill patternType="solid">
        <fgColor indexed="60"/>
        <bgColor indexed="64"/>
      </patternFill>
    </fill>
    <fill>
      <patternFill patternType="solid">
        <fgColor indexed="23"/>
        <bgColor indexed="64"/>
      </patternFill>
    </fill>
    <fill>
      <patternFill patternType="solid">
        <fgColor indexed="52"/>
        <bgColor indexed="64"/>
      </patternFill>
    </fill>
    <fill>
      <patternFill patternType="solid">
        <fgColor indexed="55"/>
        <bgColor indexed="25"/>
      </patternFill>
    </fill>
    <fill>
      <patternFill patternType="solid">
        <fgColor indexed="22"/>
        <bgColor indexed="64"/>
      </patternFill>
    </fill>
    <fill>
      <patternFill patternType="solid">
        <fgColor indexed="22"/>
        <bgColor indexed="25"/>
      </patternFill>
    </fill>
    <fill>
      <patternFill patternType="solid">
        <fgColor indexed="42"/>
        <bgColor indexed="64"/>
      </patternFill>
    </fill>
    <fill>
      <patternFill patternType="solid">
        <fgColor indexed="41"/>
        <bgColor indexed="64"/>
      </patternFill>
    </fill>
    <fill>
      <patternFill patternType="solid">
        <fgColor indexed="55"/>
        <bgColor indexed="64"/>
      </patternFill>
    </fill>
    <fill>
      <patternFill patternType="solid">
        <fgColor indexed="44"/>
        <bgColor indexed="64"/>
      </patternFill>
    </fill>
    <fill>
      <patternFill patternType="solid">
        <fgColor theme="3" tint="0.79998168889431442"/>
        <bgColor indexed="64"/>
      </patternFill>
    </fill>
  </fills>
  <borders count="102">
    <border>
      <left/>
      <right/>
      <top/>
      <bottom/>
      <diagonal/>
    </border>
    <border>
      <left/>
      <right style="thin">
        <color indexed="64"/>
      </right>
      <top/>
      <bottom/>
      <diagonal/>
    </border>
    <border>
      <left style="thin">
        <color indexed="64"/>
      </left>
      <right/>
      <top/>
      <bottom/>
      <diagonal/>
    </border>
    <border>
      <left style="thin">
        <color indexed="64"/>
      </left>
      <right/>
      <top/>
      <bottom style="thick">
        <color indexed="64"/>
      </bottom>
      <diagonal/>
    </border>
    <border>
      <left/>
      <right/>
      <top/>
      <bottom style="thick">
        <color indexed="64"/>
      </bottom>
      <diagonal/>
    </border>
    <border diagonalUp="1">
      <left/>
      <right style="thin">
        <color indexed="64"/>
      </right>
      <top style="thick">
        <color indexed="64"/>
      </top>
      <bottom/>
      <diagonal style="thick">
        <color indexed="64"/>
      </diagonal>
    </border>
    <border diagonalDown="1">
      <left/>
      <right style="thin">
        <color indexed="64"/>
      </right>
      <top/>
      <bottom style="thick">
        <color indexed="64"/>
      </bottom>
      <diagonal style="thick">
        <color indexed="64"/>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style="thin">
        <color indexed="8"/>
      </right>
      <top/>
      <bottom/>
      <diagonal/>
    </border>
    <border>
      <left/>
      <right/>
      <top/>
      <bottom style="thin">
        <color indexed="8"/>
      </bottom>
      <diagonal/>
    </border>
    <border>
      <left style="thin">
        <color indexed="64"/>
      </left>
      <right style="thin">
        <color indexed="64"/>
      </right>
      <top style="double">
        <color indexed="64"/>
      </top>
      <bottom style="thin">
        <color indexed="64"/>
      </bottom>
      <diagonal/>
    </border>
    <border>
      <left style="thin">
        <color indexed="8"/>
      </left>
      <right/>
      <top/>
      <bottom style="thick">
        <color indexed="8"/>
      </bottom>
      <diagonal/>
    </border>
    <border>
      <left/>
      <right/>
      <top/>
      <bottom style="thick">
        <color indexed="8"/>
      </bottom>
      <diagonal/>
    </border>
    <border diagonalDown="1">
      <left/>
      <right style="thin">
        <color indexed="8"/>
      </right>
      <top/>
      <bottom style="thick">
        <color indexed="8"/>
      </bottom>
      <diagonal style="thick">
        <color indexed="8"/>
      </diagonal>
    </border>
    <border>
      <left style="thin">
        <color indexed="8"/>
      </left>
      <right/>
      <top/>
      <bottom/>
      <diagonal/>
    </border>
    <border diagonalUp="1">
      <left/>
      <right style="thin">
        <color indexed="8"/>
      </right>
      <top style="thick">
        <color indexed="8"/>
      </top>
      <bottom/>
      <diagonal style="thick">
        <color indexed="8"/>
      </diagonal>
    </border>
    <border>
      <left style="thin">
        <color indexed="8"/>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ck">
        <color auto="1"/>
      </bottom>
      <diagonal/>
    </border>
    <border>
      <left/>
      <right/>
      <top/>
      <bottom style="thick">
        <color auto="1"/>
      </bottom>
      <diagonal/>
    </border>
    <border diagonalUp="1">
      <left/>
      <right style="thin">
        <color auto="1"/>
      </right>
      <top style="thick">
        <color auto="1"/>
      </top>
      <bottom/>
      <diagonal style="thick">
        <color auto="1"/>
      </diagonal>
    </border>
    <border>
      <left/>
      <right style="thin">
        <color auto="1"/>
      </right>
      <top/>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medium">
        <color rgb="FF00758F"/>
      </left>
      <right/>
      <top style="medium">
        <color rgb="FF00758F"/>
      </top>
      <bottom style="medium">
        <color rgb="FF00758F"/>
      </bottom>
      <diagonal/>
    </border>
    <border>
      <left/>
      <right/>
      <top style="medium">
        <color rgb="FF00758F"/>
      </top>
      <bottom style="medium">
        <color rgb="FF00758F"/>
      </bottom>
      <diagonal/>
    </border>
    <border>
      <left/>
      <right style="medium">
        <color rgb="FF00758F"/>
      </right>
      <top style="medium">
        <color rgb="FF00758F"/>
      </top>
      <bottom style="medium">
        <color rgb="FF00758F"/>
      </bottom>
      <diagonal/>
    </border>
    <border>
      <left style="medium">
        <color rgb="FF00758F"/>
      </left>
      <right style="medium">
        <color rgb="FF00758F"/>
      </right>
      <top style="medium">
        <color rgb="FF00758F"/>
      </top>
      <bottom style="medium">
        <color rgb="FF00758F"/>
      </bottom>
      <diagonal/>
    </border>
    <border>
      <left/>
      <right/>
      <top style="medium">
        <color rgb="FF00758F"/>
      </top>
      <bottom/>
      <diagonal/>
    </border>
    <border>
      <left style="thin">
        <color indexed="8"/>
      </left>
      <right/>
      <top style="medium">
        <color rgb="FF00758F"/>
      </top>
      <bottom/>
      <diagonal/>
    </border>
    <border>
      <left/>
      <right/>
      <top/>
      <bottom style="medium">
        <color rgb="FF00758F"/>
      </bottom>
      <diagonal/>
    </border>
    <border>
      <left style="thin">
        <color indexed="8"/>
      </left>
      <right/>
      <top/>
      <bottom style="medium">
        <color rgb="FF00758F"/>
      </bottom>
      <diagonal/>
    </border>
    <border>
      <left/>
      <right style="medium">
        <color indexed="62"/>
      </right>
      <top style="medium">
        <color rgb="FF00758F"/>
      </top>
      <bottom style="medium">
        <color rgb="FF00758F"/>
      </bottom>
      <diagonal/>
    </border>
    <border>
      <left style="medium">
        <color rgb="FF00758F"/>
      </left>
      <right/>
      <top style="medium">
        <color rgb="FF00758F"/>
      </top>
      <bottom/>
      <diagonal/>
    </border>
    <border>
      <left/>
      <right style="medium">
        <color rgb="FF00758F"/>
      </right>
      <top style="medium">
        <color rgb="FF00758F"/>
      </top>
      <bottom/>
      <diagonal/>
    </border>
    <border>
      <left style="medium">
        <color rgb="FF00758F"/>
      </left>
      <right/>
      <top/>
      <bottom/>
      <diagonal/>
    </border>
    <border>
      <left/>
      <right style="medium">
        <color rgb="FF00758F"/>
      </right>
      <top/>
      <bottom/>
      <diagonal/>
    </border>
    <border>
      <left style="medium">
        <color rgb="FF00758F"/>
      </left>
      <right/>
      <top/>
      <bottom style="medium">
        <color rgb="FF00758F"/>
      </bottom>
      <diagonal/>
    </border>
    <border>
      <left/>
      <right style="medium">
        <color rgb="FF00758F"/>
      </right>
      <top/>
      <bottom style="medium">
        <color rgb="FF00758F"/>
      </bottom>
      <diagonal/>
    </border>
    <border>
      <left style="double">
        <color indexed="8"/>
      </left>
      <right style="thin">
        <color indexed="8"/>
      </right>
      <top style="double">
        <color indexed="8"/>
      </top>
      <bottom style="thin">
        <color indexed="8"/>
      </bottom>
      <diagonal/>
    </border>
    <border>
      <left style="thin">
        <color indexed="8"/>
      </left>
      <right style="thin">
        <color indexed="8"/>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right style="double">
        <color indexed="8"/>
      </right>
      <top style="thin">
        <color indexed="8"/>
      </top>
      <bottom style="double">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24"/>
      </left>
      <right style="thin">
        <color indexed="24"/>
      </right>
      <top style="thin">
        <color indexed="24"/>
      </top>
      <bottom style="thin">
        <color indexed="2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8"/>
      </left>
      <right/>
      <top/>
      <bottom/>
      <diagonal/>
    </border>
    <border>
      <left style="thin">
        <color rgb="FF00758F"/>
      </left>
      <right/>
      <top style="thin">
        <color rgb="FF00758F"/>
      </top>
      <bottom style="thin">
        <color auto="1"/>
      </bottom>
      <diagonal/>
    </border>
    <border>
      <left/>
      <right/>
      <top style="thin">
        <color rgb="FF00758F"/>
      </top>
      <bottom style="thin">
        <color auto="1"/>
      </bottom>
      <diagonal/>
    </border>
    <border>
      <left/>
      <right style="thin">
        <color rgb="FF00758F"/>
      </right>
      <top style="thin">
        <color rgb="FF00758F"/>
      </top>
      <bottom style="thin">
        <color auto="1"/>
      </bottom>
      <diagonal/>
    </border>
    <border>
      <left style="thin">
        <color auto="1"/>
      </left>
      <right style="thin">
        <color auto="1"/>
      </right>
      <top/>
      <bottom/>
      <diagonal/>
    </border>
    <border>
      <left/>
      <right/>
      <top style="thin">
        <color indexed="64"/>
      </top>
      <bottom/>
      <diagonal/>
    </border>
    <border>
      <left/>
      <right/>
      <top style="thin">
        <color indexed="64"/>
      </top>
      <bottom style="thin">
        <color indexed="64"/>
      </bottom>
      <diagonal/>
    </border>
    <border>
      <left/>
      <right style="thin">
        <color auto="1"/>
      </right>
      <top style="thin">
        <color auto="1"/>
      </top>
      <bottom style="thin">
        <color auto="1"/>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rgb="FF00758F"/>
      </left>
      <right style="medium">
        <color rgb="FF00758F"/>
      </right>
      <top style="medium">
        <color rgb="FF00758F"/>
      </top>
      <bottom/>
      <diagonal/>
    </border>
    <border>
      <left style="medium">
        <color rgb="FF00758F"/>
      </left>
      <right style="medium">
        <color rgb="FF00758F"/>
      </right>
      <top/>
      <bottom/>
      <diagonal/>
    </border>
    <border>
      <left style="medium">
        <color rgb="FF00758F"/>
      </left>
      <right style="medium">
        <color rgb="FF00758F"/>
      </right>
      <top/>
      <bottom style="medium">
        <color rgb="FF00758F"/>
      </bottom>
      <diagonal/>
    </border>
    <border>
      <left style="thin">
        <color indexed="64"/>
      </left>
      <right/>
      <top style="thin">
        <color indexed="64"/>
      </top>
      <bottom style="thin">
        <color indexed="64"/>
      </bottom>
      <diagonal/>
    </border>
  </borders>
  <cellStyleXfs count="17">
    <xf numFmtId="0" fontId="0" fillId="0" borderId="0"/>
    <xf numFmtId="9" fontId="8" fillId="0" borderId="0" applyFont="0" applyFill="0" applyBorder="0" applyAlignment="0" applyProtection="0"/>
    <xf numFmtId="165" fontId="18" fillId="0" borderId="0" applyFont="0" applyBorder="0" applyProtection="0"/>
    <xf numFmtId="0" fontId="23" fillId="0" borderId="0"/>
    <xf numFmtId="0" fontId="27" fillId="0" borderId="0"/>
    <xf numFmtId="170" fontId="27" fillId="0" borderId="0" applyBorder="0" applyProtection="0"/>
    <xf numFmtId="9" fontId="27" fillId="0" borderId="0" applyBorder="0" applyProtection="0"/>
    <xf numFmtId="0" fontId="8" fillId="0" borderId="0"/>
    <xf numFmtId="0" fontId="67" fillId="0" borderId="0"/>
    <xf numFmtId="9" fontId="67" fillId="0" borderId="0" applyFont="0" applyFill="0" applyBorder="0" applyAlignment="0" applyProtection="0"/>
    <xf numFmtId="0" fontId="8" fillId="0" borderId="0"/>
    <xf numFmtId="0" fontId="23" fillId="0" borderId="0"/>
    <xf numFmtId="49" fontId="23" fillId="12" borderId="58">
      <alignment vertical="center" wrapText="1"/>
    </xf>
    <xf numFmtId="172" fontId="75" fillId="13" borderId="68">
      <alignment vertical="center"/>
    </xf>
    <xf numFmtId="172" fontId="76" fillId="14" borderId="68">
      <alignment vertical="center"/>
    </xf>
    <xf numFmtId="0" fontId="23" fillId="0" borderId="0"/>
    <xf numFmtId="43" fontId="8" fillId="0" borderId="0" applyFont="0" applyFill="0" applyBorder="0" applyAlignment="0" applyProtection="0"/>
  </cellStyleXfs>
  <cellXfs count="900">
    <xf numFmtId="0" fontId="0" fillId="0" borderId="0" xfId="0"/>
    <xf numFmtId="0" fontId="0" fillId="0" borderId="0" xfId="0" applyAlignment="1">
      <alignment horizontal="center"/>
    </xf>
    <xf numFmtId="2" fontId="0" fillId="0" borderId="0" xfId="0" applyNumberFormat="1"/>
    <xf numFmtId="0" fontId="0" fillId="0" borderId="0" xfId="0" applyAlignment="1">
      <alignment wrapText="1"/>
    </xf>
    <xf numFmtId="167" fontId="0" fillId="0" borderId="0" xfId="0" applyNumberFormat="1"/>
    <xf numFmtId="0" fontId="0" fillId="3" borderId="0" xfId="0" applyFill="1"/>
    <xf numFmtId="0" fontId="23" fillId="4" borderId="34" xfId="0" applyFont="1" applyFill="1" applyBorder="1" applyAlignment="1">
      <alignment horizontal="center" wrapText="1"/>
    </xf>
    <xf numFmtId="0" fontId="0" fillId="5" borderId="35" xfId="0" applyFont="1" applyFill="1" applyBorder="1" applyAlignment="1">
      <alignment horizontal="left"/>
    </xf>
    <xf numFmtId="0" fontId="23" fillId="5" borderId="35" xfId="0" applyFont="1" applyFill="1" applyBorder="1" applyAlignment="1">
      <alignment horizontal="center" vertical="center" wrapText="1"/>
    </xf>
    <xf numFmtId="0" fontId="0" fillId="5" borderId="25" xfId="0" applyFont="1" applyFill="1" applyBorder="1" applyAlignment="1">
      <alignment horizontal="left"/>
    </xf>
    <xf numFmtId="0" fontId="23" fillId="5" borderId="25" xfId="0" applyFont="1" applyFill="1" applyBorder="1" applyAlignment="1">
      <alignment horizontal="center" vertical="center" wrapText="1"/>
    </xf>
    <xf numFmtId="9" fontId="23" fillId="5" borderId="25" xfId="1" applyFont="1" applyFill="1" applyBorder="1" applyAlignment="1">
      <alignment horizontal="center" vertical="center" wrapText="1"/>
    </xf>
    <xf numFmtId="9" fontId="23" fillId="5" borderId="25" xfId="1" applyFont="1" applyFill="1" applyBorder="1" applyAlignment="1">
      <alignment horizontal="center" wrapText="1"/>
    </xf>
    <xf numFmtId="9" fontId="43" fillId="5" borderId="0" xfId="1" applyFont="1" applyFill="1" applyBorder="1" applyAlignment="1">
      <alignment horizontal="center" vertical="center" wrapText="1"/>
    </xf>
    <xf numFmtId="9" fontId="43" fillId="5" borderId="0" xfId="1" applyFont="1" applyFill="1" applyBorder="1" applyAlignment="1">
      <alignment horizontal="center" wrapText="1"/>
    </xf>
    <xf numFmtId="0" fontId="23" fillId="5" borderId="35" xfId="0" applyFont="1" applyFill="1" applyBorder="1" applyAlignment="1">
      <alignment horizontal="center" wrapText="1"/>
    </xf>
    <xf numFmtId="0" fontId="23" fillId="5" borderId="25" xfId="0" applyFont="1" applyFill="1" applyBorder="1" applyAlignment="1">
      <alignment horizontal="center" wrapText="1"/>
    </xf>
    <xf numFmtId="1" fontId="23" fillId="5" borderId="25" xfId="0" applyNumberFormat="1" applyFont="1" applyFill="1" applyBorder="1" applyAlignment="1">
      <alignment horizontal="center" vertical="center" wrapText="1"/>
    </xf>
    <xf numFmtId="1" fontId="23" fillId="5" borderId="25" xfId="0" applyNumberFormat="1" applyFont="1" applyFill="1" applyBorder="1" applyAlignment="1">
      <alignment horizontal="center" wrapText="1"/>
    </xf>
    <xf numFmtId="0" fontId="23" fillId="5" borderId="25" xfId="0" applyFont="1" applyFill="1" applyBorder="1" applyAlignment="1">
      <alignment horizontal="center" vertical="top" wrapText="1"/>
    </xf>
    <xf numFmtId="9" fontId="23" fillId="5" borderId="25" xfId="1" applyFont="1" applyFill="1" applyBorder="1" applyAlignment="1">
      <alignment horizontal="center" vertical="top" wrapText="1"/>
    </xf>
    <xf numFmtId="0" fontId="45" fillId="5" borderId="0" xfId="3" applyFont="1" applyFill="1" applyBorder="1"/>
    <xf numFmtId="0" fontId="8" fillId="5" borderId="0" xfId="7" applyFill="1"/>
    <xf numFmtId="0" fontId="47" fillId="5" borderId="0" xfId="7" applyFont="1" applyFill="1" applyAlignment="1">
      <alignment horizontal="center" vertical="center" readingOrder="1"/>
    </xf>
    <xf numFmtId="0" fontId="48" fillId="5" borderId="0" xfId="7" applyFont="1" applyFill="1" applyAlignment="1">
      <alignment horizontal="center"/>
    </xf>
    <xf numFmtId="0" fontId="0" fillId="5" borderId="0" xfId="7" applyFont="1" applyFill="1"/>
    <xf numFmtId="0" fontId="0" fillId="5" borderId="0" xfId="0" applyFill="1"/>
    <xf numFmtId="0" fontId="1" fillId="5" borderId="0" xfId="0" applyFont="1" applyFill="1" applyAlignment="1">
      <alignment horizontal="center"/>
    </xf>
    <xf numFmtId="0" fontId="2" fillId="5" borderId="0" xfId="0" applyFont="1" applyFill="1"/>
    <xf numFmtId="0" fontId="1" fillId="5" borderId="0" xfId="0" applyFont="1" applyFill="1"/>
    <xf numFmtId="164" fontId="0" fillId="5" borderId="0" xfId="1" applyNumberFormat="1" applyFont="1" applyFill="1"/>
    <xf numFmtId="0" fontId="5" fillId="5" borderId="0" xfId="0" applyFont="1" applyFill="1" applyBorder="1" applyAlignment="1">
      <alignment horizontal="center" vertical="center" wrapText="1"/>
    </xf>
    <xf numFmtId="0" fontId="5" fillId="5" borderId="0" xfId="0" applyFont="1" applyFill="1" applyBorder="1" applyAlignment="1">
      <alignment horizontal="center" vertical="center"/>
    </xf>
    <xf numFmtId="0" fontId="0" fillId="5" borderId="0" xfId="0" applyFill="1" applyBorder="1"/>
    <xf numFmtId="9" fontId="0" fillId="5" borderId="0" xfId="0" applyNumberFormat="1" applyFill="1" applyBorder="1"/>
    <xf numFmtId="3" fontId="7" fillId="6" borderId="36" xfId="0" applyNumberFormat="1" applyFont="1" applyFill="1" applyBorder="1" applyAlignment="1">
      <alignment vertical="center"/>
    </xf>
    <xf numFmtId="0" fontId="7" fillId="6" borderId="37" xfId="0" applyFont="1" applyFill="1" applyBorder="1" applyAlignment="1">
      <alignment horizontal="center" vertical="center" wrapText="1"/>
    </xf>
    <xf numFmtId="0" fontId="7" fillId="6" borderId="37" xfId="0" applyFont="1" applyFill="1" applyBorder="1" applyAlignment="1">
      <alignment horizontal="center" vertical="center"/>
    </xf>
    <xf numFmtId="0" fontId="7" fillId="6" borderId="38" xfId="0" applyFont="1" applyFill="1" applyBorder="1" applyAlignment="1">
      <alignment horizontal="center" vertical="center"/>
    </xf>
    <xf numFmtId="0" fontId="4" fillId="5" borderId="36" xfId="0" applyFont="1" applyFill="1" applyBorder="1" applyAlignment="1">
      <alignment vertical="center"/>
    </xf>
    <xf numFmtId="0" fontId="5" fillId="5" borderId="37" xfId="0" applyFont="1" applyFill="1" applyBorder="1" applyAlignment="1">
      <alignment horizontal="center" vertical="center" wrapText="1"/>
    </xf>
    <xf numFmtId="0" fontId="5" fillId="5" borderId="37" xfId="0" applyFont="1" applyFill="1" applyBorder="1" applyAlignment="1">
      <alignment horizontal="center" vertical="center"/>
    </xf>
    <xf numFmtId="0" fontId="5" fillId="5" borderId="38" xfId="0" applyFont="1" applyFill="1" applyBorder="1" applyAlignment="1">
      <alignment horizontal="center" vertical="center" wrapText="1"/>
    </xf>
    <xf numFmtId="0" fontId="7" fillId="6" borderId="38" xfId="0" applyFont="1" applyFill="1" applyBorder="1" applyAlignment="1">
      <alignment horizontal="center" vertical="center" wrapText="1"/>
    </xf>
    <xf numFmtId="2" fontId="5" fillId="5" borderId="37" xfId="0" applyNumberFormat="1" applyFont="1" applyFill="1" applyBorder="1" applyAlignment="1">
      <alignment horizontal="center" vertical="center"/>
    </xf>
    <xf numFmtId="2" fontId="5" fillId="5" borderId="37" xfId="0" applyNumberFormat="1" applyFont="1" applyFill="1" applyBorder="1" applyAlignment="1">
      <alignment horizontal="center" vertical="center" wrapText="1"/>
    </xf>
    <xf numFmtId="2" fontId="5" fillId="5" borderId="38" xfId="0" applyNumberFormat="1" applyFont="1" applyFill="1" applyBorder="1" applyAlignment="1">
      <alignment horizontal="center" vertical="center" wrapText="1"/>
    </xf>
    <xf numFmtId="0" fontId="7" fillId="6" borderId="36" xfId="0" applyFont="1" applyFill="1" applyBorder="1" applyAlignment="1">
      <alignment vertical="center"/>
    </xf>
    <xf numFmtId="3" fontId="5" fillId="5" borderId="37" xfId="0" applyNumberFormat="1" applyFont="1" applyFill="1" applyBorder="1" applyAlignment="1">
      <alignment horizontal="right" vertical="center" wrapText="1"/>
    </xf>
    <xf numFmtId="3" fontId="5" fillId="5" borderId="37" xfId="0" applyNumberFormat="1" applyFont="1" applyFill="1" applyBorder="1" applyAlignment="1">
      <alignment horizontal="right" vertical="center"/>
    </xf>
    <xf numFmtId="3" fontId="5" fillId="5" borderId="38" xfId="0" applyNumberFormat="1" applyFont="1" applyFill="1" applyBorder="1" applyAlignment="1">
      <alignment horizontal="right" vertical="center" wrapText="1"/>
    </xf>
    <xf numFmtId="0" fontId="3" fillId="6" borderId="36" xfId="0" applyFont="1" applyFill="1" applyBorder="1" applyAlignment="1">
      <alignment vertical="center" wrapText="1"/>
    </xf>
    <xf numFmtId="0" fontId="3" fillId="6" borderId="37" xfId="0" applyFont="1" applyFill="1" applyBorder="1" applyAlignment="1">
      <alignment horizontal="center" vertical="center" wrapText="1"/>
    </xf>
    <xf numFmtId="0" fontId="3" fillId="6" borderId="38" xfId="0" applyFont="1" applyFill="1" applyBorder="1" applyAlignment="1">
      <alignment horizontal="center" vertical="center" wrapText="1"/>
    </xf>
    <xf numFmtId="0" fontId="4" fillId="5" borderId="36" xfId="0" applyFont="1" applyFill="1" applyBorder="1" applyAlignment="1">
      <alignment vertical="center" wrapText="1"/>
    </xf>
    <xf numFmtId="0" fontId="6" fillId="5" borderId="36" xfId="0" applyFont="1" applyFill="1" applyBorder="1" applyAlignment="1">
      <alignment vertical="center" wrapText="1"/>
    </xf>
    <xf numFmtId="0" fontId="0" fillId="5" borderId="2" xfId="0" applyFill="1" applyBorder="1"/>
    <xf numFmtId="0" fontId="0" fillId="5" borderId="1" xfId="0" applyFill="1" applyBorder="1"/>
    <xf numFmtId="0" fontId="0" fillId="5" borderId="3" xfId="0" applyFill="1" applyBorder="1"/>
    <xf numFmtId="0" fontId="0" fillId="5" borderId="4" xfId="0" applyFill="1" applyBorder="1"/>
    <xf numFmtId="0" fontId="0" fillId="5" borderId="6" xfId="0" applyFill="1" applyBorder="1"/>
    <xf numFmtId="0" fontId="0" fillId="5" borderId="5" xfId="0" applyFill="1" applyBorder="1"/>
    <xf numFmtId="0" fontId="1" fillId="5" borderId="0" xfId="0" applyFont="1" applyFill="1" applyBorder="1" applyAlignment="1">
      <alignment horizontal="center" vertical="center" wrapText="1"/>
    </xf>
    <xf numFmtId="2" fontId="13" fillId="5" borderId="37" xfId="0" applyNumberFormat="1" applyFont="1" applyFill="1" applyBorder="1" applyAlignment="1">
      <alignment horizontal="center" vertical="center" wrapText="1"/>
    </xf>
    <xf numFmtId="2" fontId="13" fillId="5" borderId="38" xfId="0" applyNumberFormat="1" applyFont="1" applyFill="1" applyBorder="1" applyAlignment="1">
      <alignment horizontal="center" vertical="center" wrapText="1"/>
    </xf>
    <xf numFmtId="2" fontId="9" fillId="5" borderId="37" xfId="0" applyNumberFormat="1" applyFont="1" applyFill="1" applyBorder="1" applyAlignment="1">
      <alignment horizontal="center" vertical="center" wrapText="1"/>
    </xf>
    <xf numFmtId="2" fontId="9" fillId="5" borderId="38" xfId="0" applyNumberFormat="1" applyFont="1" applyFill="1" applyBorder="1" applyAlignment="1">
      <alignment horizontal="center" vertical="center" wrapText="1"/>
    </xf>
    <xf numFmtId="2" fontId="12" fillId="5" borderId="37" xfId="0" applyNumberFormat="1" applyFont="1" applyFill="1" applyBorder="1" applyAlignment="1">
      <alignment horizontal="center" vertical="center" wrapText="1"/>
    </xf>
    <xf numFmtId="2" fontId="12" fillId="5" borderId="38" xfId="0" applyNumberFormat="1" applyFont="1" applyFill="1" applyBorder="1" applyAlignment="1">
      <alignment horizontal="center" vertical="center" wrapText="1"/>
    </xf>
    <xf numFmtId="3" fontId="41" fillId="5" borderId="37" xfId="0" applyNumberFormat="1" applyFont="1" applyFill="1" applyBorder="1" applyAlignment="1">
      <alignment horizontal="right" vertical="center" wrapText="1"/>
    </xf>
    <xf numFmtId="2" fontId="13" fillId="5" borderId="37" xfId="0" applyNumberFormat="1" applyFont="1" applyFill="1" applyBorder="1" applyAlignment="1">
      <alignment horizontal="center" vertical="center"/>
    </xf>
    <xf numFmtId="2" fontId="9" fillId="5" borderId="37" xfId="0" applyNumberFormat="1" applyFont="1" applyFill="1" applyBorder="1" applyAlignment="1">
      <alignment horizontal="center" vertical="center"/>
    </xf>
    <xf numFmtId="2" fontId="12" fillId="5" borderId="37" xfId="0" applyNumberFormat="1" applyFont="1" applyFill="1" applyBorder="1" applyAlignment="1">
      <alignment horizontal="center" vertical="center"/>
    </xf>
    <xf numFmtId="2" fontId="12" fillId="5" borderId="38" xfId="0" applyNumberFormat="1" applyFont="1" applyFill="1" applyBorder="1" applyAlignment="1">
      <alignment horizontal="center" vertical="center"/>
    </xf>
    <xf numFmtId="0" fontId="13" fillId="5" borderId="37" xfId="0" applyFont="1" applyFill="1" applyBorder="1" applyAlignment="1">
      <alignment horizontal="center" vertical="center"/>
    </xf>
    <xf numFmtId="0" fontId="13" fillId="5" borderId="37" xfId="0" applyFont="1" applyFill="1" applyBorder="1" applyAlignment="1">
      <alignment horizontal="center" vertical="center" wrapText="1"/>
    </xf>
    <xf numFmtId="0" fontId="13" fillId="5" borderId="38" xfId="0" applyFont="1" applyFill="1" applyBorder="1" applyAlignment="1">
      <alignment horizontal="center" vertical="center" wrapText="1"/>
    </xf>
    <xf numFmtId="0" fontId="9" fillId="5" borderId="37" xfId="0" applyFont="1" applyFill="1" applyBorder="1" applyAlignment="1">
      <alignment horizontal="center" vertical="center"/>
    </xf>
    <xf numFmtId="0" fontId="9" fillId="5" borderId="37" xfId="0" applyFont="1" applyFill="1" applyBorder="1" applyAlignment="1">
      <alignment horizontal="center" vertical="center" wrapText="1"/>
    </xf>
    <xf numFmtId="0" fontId="9" fillId="5" borderId="38" xfId="0" applyFont="1" applyFill="1" applyBorder="1" applyAlignment="1">
      <alignment horizontal="center" vertical="center" wrapText="1"/>
    </xf>
    <xf numFmtId="3" fontId="49" fillId="5" borderId="37" xfId="0" applyNumberFormat="1" applyFont="1" applyFill="1" applyBorder="1" applyAlignment="1">
      <alignment horizontal="right" vertical="center" wrapText="1"/>
    </xf>
    <xf numFmtId="3" fontId="49" fillId="5" borderId="38" xfId="0" applyNumberFormat="1" applyFont="1" applyFill="1" applyBorder="1" applyAlignment="1">
      <alignment horizontal="right" vertical="center" wrapText="1"/>
    </xf>
    <xf numFmtId="0" fontId="46" fillId="5" borderId="0" xfId="0" applyFont="1" applyFill="1" applyBorder="1" applyAlignment="1">
      <alignment horizontal="center"/>
    </xf>
    <xf numFmtId="0" fontId="1" fillId="5" borderId="0" xfId="0" applyFont="1" applyFill="1" applyBorder="1" applyAlignment="1">
      <alignment horizontal="center"/>
    </xf>
    <xf numFmtId="0" fontId="0" fillId="5" borderId="0" xfId="0" applyFont="1" applyFill="1"/>
    <xf numFmtId="0" fontId="0" fillId="5" borderId="0" xfId="0" applyFont="1" applyFill="1" applyAlignment="1">
      <alignment horizontal="center"/>
    </xf>
    <xf numFmtId="0" fontId="1" fillId="5" borderId="0" xfId="0" applyFont="1" applyFill="1" applyBorder="1" applyAlignment="1">
      <alignment horizontal="center" vertical="center"/>
    </xf>
    <xf numFmtId="0" fontId="0"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46" fillId="6" borderId="39" xfId="0" applyFont="1" applyFill="1" applyBorder="1" applyAlignment="1">
      <alignment horizontal="center" vertical="center"/>
    </xf>
    <xf numFmtId="0" fontId="46" fillId="6" borderId="39" xfId="0" applyFont="1" applyFill="1" applyBorder="1" applyAlignment="1">
      <alignment horizontal="center" vertical="center" wrapText="1"/>
    </xf>
    <xf numFmtId="0" fontId="0" fillId="5" borderId="39" xfId="0" applyFont="1" applyFill="1" applyBorder="1" applyAlignment="1">
      <alignment horizontal="center" vertical="center"/>
    </xf>
    <xf numFmtId="0" fontId="0" fillId="5" borderId="39" xfId="0" applyFont="1" applyFill="1" applyBorder="1" applyAlignment="1">
      <alignment horizontal="center" vertical="center" wrapText="1"/>
    </xf>
    <xf numFmtId="0" fontId="1" fillId="5" borderId="39" xfId="0" applyFont="1" applyFill="1" applyBorder="1" applyAlignment="1">
      <alignment horizontal="center" vertical="center"/>
    </xf>
    <xf numFmtId="0" fontId="0" fillId="5" borderId="39" xfId="0" applyFont="1" applyFill="1" applyBorder="1"/>
    <xf numFmtId="0" fontId="52" fillId="5" borderId="39" xfId="0" applyFont="1" applyFill="1" applyBorder="1" applyAlignment="1">
      <alignment horizontal="center" vertical="center"/>
    </xf>
    <xf numFmtId="0" fontId="52" fillId="5" borderId="39" xfId="0" applyFont="1" applyFill="1" applyBorder="1" applyAlignment="1">
      <alignment horizontal="center" vertical="center" wrapText="1"/>
    </xf>
    <xf numFmtId="0" fontId="0" fillId="5" borderId="0" xfId="0" applyFont="1" applyFill="1" applyBorder="1"/>
    <xf numFmtId="9" fontId="0" fillId="5" borderId="39" xfId="1" applyFont="1" applyFill="1" applyBorder="1" applyAlignment="1">
      <alignment horizontal="center" vertical="center"/>
    </xf>
    <xf numFmtId="9" fontId="52" fillId="5" borderId="39" xfId="1" applyFont="1" applyFill="1" applyBorder="1" applyAlignment="1">
      <alignment horizontal="right" vertical="center"/>
    </xf>
    <xf numFmtId="0" fontId="52" fillId="5" borderId="39" xfId="0" applyFont="1" applyFill="1" applyBorder="1" applyAlignment="1">
      <alignment vertical="center"/>
    </xf>
    <xf numFmtId="0" fontId="1" fillId="5" borderId="36" xfId="0" applyFont="1" applyFill="1" applyBorder="1" applyAlignment="1">
      <alignment horizontal="center" vertical="center"/>
    </xf>
    <xf numFmtId="164" fontId="52" fillId="5" borderId="39" xfId="1" applyNumberFormat="1" applyFont="1" applyFill="1" applyBorder="1" applyAlignment="1">
      <alignment horizontal="center" vertical="center"/>
    </xf>
    <xf numFmtId="164" fontId="52" fillId="5" borderId="39" xfId="1" applyNumberFormat="1" applyFont="1" applyFill="1" applyBorder="1" applyAlignment="1">
      <alignment horizontal="center" vertical="center" wrapText="1"/>
    </xf>
    <xf numFmtId="3" fontId="57" fillId="5" borderId="39" xfId="0" applyNumberFormat="1" applyFont="1" applyFill="1" applyBorder="1" applyAlignment="1">
      <alignment horizontal="right" vertical="center" wrapText="1"/>
    </xf>
    <xf numFmtId="0" fontId="57" fillId="5" borderId="39" xfId="0" applyFont="1" applyFill="1" applyBorder="1" applyAlignment="1">
      <alignment vertical="center"/>
    </xf>
    <xf numFmtId="0" fontId="53" fillId="5" borderId="0" xfId="0" applyFont="1" applyFill="1" applyBorder="1" applyAlignment="1">
      <alignment vertical="center"/>
    </xf>
    <xf numFmtId="3" fontId="57" fillId="5" borderId="0" xfId="0" applyNumberFormat="1" applyFont="1" applyFill="1" applyBorder="1" applyAlignment="1">
      <alignment horizontal="right" vertical="center" wrapText="1"/>
    </xf>
    <xf numFmtId="0" fontId="53" fillId="5" borderId="39" xfId="0" applyFont="1" applyFill="1" applyBorder="1" applyAlignment="1">
      <alignment vertical="center"/>
    </xf>
    <xf numFmtId="0" fontId="56" fillId="6" borderId="39" xfId="0" applyFont="1" applyFill="1" applyBorder="1" applyAlignment="1">
      <alignment vertical="center"/>
    </xf>
    <xf numFmtId="0" fontId="56" fillId="6" borderId="39" xfId="0" applyFont="1" applyFill="1" applyBorder="1" applyAlignment="1">
      <alignment horizontal="center" vertical="center" wrapText="1"/>
    </xf>
    <xf numFmtId="0" fontId="56" fillId="6" borderId="39" xfId="0" applyFont="1" applyFill="1" applyBorder="1" applyAlignment="1">
      <alignment horizontal="center" vertical="center"/>
    </xf>
    <xf numFmtId="0" fontId="46" fillId="6" borderId="39" xfId="0" applyFont="1" applyFill="1" applyBorder="1"/>
    <xf numFmtId="9" fontId="0" fillId="5" borderId="39" xfId="1" applyFont="1" applyFill="1" applyBorder="1"/>
    <xf numFmtId="0" fontId="46" fillId="6" borderId="0" xfId="0" applyFont="1" applyFill="1"/>
    <xf numFmtId="0" fontId="1" fillId="5" borderId="37" xfId="0" applyFont="1" applyFill="1" applyBorder="1" applyAlignment="1">
      <alignment horizontal="center" vertical="center"/>
    </xf>
    <xf numFmtId="0" fontId="1" fillId="5" borderId="38" xfId="0" applyFont="1" applyFill="1" applyBorder="1" applyAlignment="1">
      <alignment horizontal="center" vertical="center"/>
    </xf>
    <xf numFmtId="0" fontId="52" fillId="5" borderId="37" xfId="0" applyFont="1" applyFill="1" applyBorder="1" applyAlignment="1">
      <alignment vertical="center"/>
    </xf>
    <xf numFmtId="0" fontId="52" fillId="5" borderId="38" xfId="0" applyFont="1" applyFill="1" applyBorder="1" applyAlignment="1">
      <alignment vertical="center"/>
    </xf>
    <xf numFmtId="0" fontId="1" fillId="5" borderId="36" xfId="0" applyFont="1" applyFill="1" applyBorder="1" applyAlignment="1">
      <alignment vertical="center" wrapText="1"/>
    </xf>
    <xf numFmtId="0" fontId="1" fillId="5" borderId="37" xfId="0" applyFont="1" applyFill="1" applyBorder="1" applyAlignment="1">
      <alignment vertical="center" wrapText="1"/>
    </xf>
    <xf numFmtId="0" fontId="1" fillId="5" borderId="38" xfId="0" applyFont="1" applyFill="1" applyBorder="1" applyAlignment="1">
      <alignment vertical="center" wrapText="1"/>
    </xf>
    <xf numFmtId="0" fontId="52" fillId="5" borderId="36" xfId="0" applyFont="1" applyFill="1" applyBorder="1" applyAlignment="1">
      <alignment horizontal="center" vertical="center"/>
    </xf>
    <xf numFmtId="0" fontId="52" fillId="5" borderId="37" xfId="0" applyFont="1" applyFill="1" applyBorder="1" applyAlignment="1">
      <alignment horizontal="center" vertical="center"/>
    </xf>
    <xf numFmtId="0" fontId="52" fillId="5" borderId="38" xfId="0" applyFont="1" applyFill="1" applyBorder="1" applyAlignment="1">
      <alignment horizontal="center" vertical="center"/>
    </xf>
    <xf numFmtId="3" fontId="0" fillId="5" borderId="39" xfId="0" applyNumberFormat="1" applyFont="1" applyFill="1" applyBorder="1" applyAlignment="1">
      <alignment horizontal="right" vertical="center"/>
    </xf>
    <xf numFmtId="3" fontId="52" fillId="5" borderId="39" xfId="0" applyNumberFormat="1" applyFont="1" applyFill="1" applyBorder="1" applyAlignment="1">
      <alignment horizontal="right" vertical="center"/>
    </xf>
    <xf numFmtId="3" fontId="0" fillId="5" borderId="0" xfId="0" applyNumberFormat="1" applyFont="1" applyFill="1" applyBorder="1" applyAlignment="1">
      <alignment horizontal="right" vertical="center"/>
    </xf>
    <xf numFmtId="0" fontId="52" fillId="5" borderId="0" xfId="0" applyFont="1" applyFill="1" applyBorder="1" applyAlignment="1">
      <alignment vertical="center"/>
    </xf>
    <xf numFmtId="9" fontId="52" fillId="5" borderId="0" xfId="1" applyFont="1" applyFill="1" applyBorder="1" applyAlignment="1">
      <alignment horizontal="right" vertical="center"/>
    </xf>
    <xf numFmtId="3" fontId="52" fillId="5" borderId="37" xfId="0" applyNumberFormat="1" applyFont="1" applyFill="1" applyBorder="1" applyAlignment="1">
      <alignment horizontal="right" vertical="center"/>
    </xf>
    <xf numFmtId="0" fontId="52" fillId="5" borderId="37" xfId="0" applyFont="1" applyFill="1" applyBorder="1" applyAlignment="1">
      <alignment horizontal="left" vertical="center"/>
    </xf>
    <xf numFmtId="0" fontId="57" fillId="5" borderId="0" xfId="0" applyFont="1" applyFill="1"/>
    <xf numFmtId="0" fontId="0" fillId="5" borderId="36" xfId="0" applyFont="1" applyFill="1" applyBorder="1" applyAlignment="1">
      <alignment horizontal="center" vertical="center"/>
    </xf>
    <xf numFmtId="0" fontId="52" fillId="5" borderId="0" xfId="0" applyFont="1" applyFill="1" applyBorder="1" applyAlignment="1">
      <alignment horizontal="center" vertical="center"/>
    </xf>
    <xf numFmtId="0" fontId="52" fillId="5" borderId="0" xfId="0" applyFont="1" applyFill="1" applyBorder="1" applyAlignment="1">
      <alignment horizontal="center" vertical="center" wrapText="1"/>
    </xf>
    <xf numFmtId="0" fontId="52" fillId="5" borderId="37" xfId="0" applyFont="1" applyFill="1" applyBorder="1" applyAlignment="1">
      <alignment horizontal="center" vertical="center" wrapText="1"/>
    </xf>
    <xf numFmtId="0" fontId="0" fillId="7" borderId="0" xfId="0" applyFont="1" applyFill="1"/>
    <xf numFmtId="0" fontId="0" fillId="7" borderId="22" xfId="0" applyFont="1" applyFill="1" applyBorder="1"/>
    <xf numFmtId="0" fontId="0" fillId="7" borderId="0" xfId="0" applyFont="1" applyFill="1" applyBorder="1"/>
    <xf numFmtId="0" fontId="0" fillId="5" borderId="16" xfId="0" applyFont="1" applyFill="1" applyBorder="1"/>
    <xf numFmtId="0" fontId="53" fillId="8" borderId="0" xfId="0" applyFont="1" applyFill="1"/>
    <xf numFmtId="0" fontId="0" fillId="8" borderId="0" xfId="0" applyFont="1" applyFill="1"/>
    <xf numFmtId="0" fontId="58" fillId="9" borderId="36" xfId="0" applyFont="1" applyFill="1" applyBorder="1" applyAlignment="1">
      <alignment vertical="center" wrapText="1"/>
    </xf>
    <xf numFmtId="0" fontId="58" fillId="9" borderId="37" xfId="0" applyFont="1" applyFill="1" applyBorder="1" applyAlignment="1">
      <alignment horizontal="center" vertical="center" wrapText="1"/>
    </xf>
    <xf numFmtId="0" fontId="58" fillId="9" borderId="38" xfId="0" applyFont="1" applyFill="1" applyBorder="1" applyAlignment="1">
      <alignment horizontal="center" vertical="center" wrapText="1"/>
    </xf>
    <xf numFmtId="0" fontId="0" fillId="7" borderId="19" xfId="0" applyFont="1" applyFill="1" applyBorder="1"/>
    <xf numFmtId="0" fontId="0" fillId="7" borderId="20" xfId="0" applyFont="1" applyFill="1" applyBorder="1"/>
    <xf numFmtId="0" fontId="0" fillId="5" borderId="20" xfId="0" applyFont="1" applyFill="1" applyBorder="1"/>
    <xf numFmtId="0" fontId="0" fillId="5" borderId="21" xfId="0" applyFont="1" applyFill="1" applyBorder="1"/>
    <xf numFmtId="0" fontId="55" fillId="7" borderId="36" xfId="0" applyFont="1" applyFill="1" applyBorder="1" applyAlignment="1">
      <alignment vertical="center"/>
    </xf>
    <xf numFmtId="0" fontId="54" fillId="7" borderId="37" xfId="0" applyFont="1" applyFill="1" applyBorder="1" applyAlignment="1">
      <alignment horizontal="right" vertical="center" wrapText="1"/>
    </xf>
    <xf numFmtId="0" fontId="54" fillId="7" borderId="38" xfId="0" applyFont="1" applyFill="1" applyBorder="1" applyAlignment="1">
      <alignment horizontal="right" vertical="center" wrapText="1"/>
    </xf>
    <xf numFmtId="0" fontId="0" fillId="5" borderId="23" xfId="0" applyFont="1" applyFill="1" applyBorder="1"/>
    <xf numFmtId="0" fontId="55" fillId="7" borderId="36" xfId="0" applyFont="1" applyFill="1" applyBorder="1" applyAlignment="1">
      <alignment horizontal="left" vertical="center"/>
    </xf>
    <xf numFmtId="168" fontId="54" fillId="5" borderId="37" xfId="0" applyNumberFormat="1" applyFont="1" applyFill="1" applyBorder="1" applyAlignment="1">
      <alignment horizontal="right" vertical="center" wrapText="1"/>
    </xf>
    <xf numFmtId="168" fontId="54" fillId="5" borderId="38" xfId="0" applyNumberFormat="1" applyFont="1" applyFill="1" applyBorder="1" applyAlignment="1">
      <alignment horizontal="right" vertical="center" wrapText="1"/>
    </xf>
    <xf numFmtId="0" fontId="55" fillId="8" borderId="36" xfId="0" applyFont="1" applyFill="1" applyBorder="1" applyAlignment="1">
      <alignment vertical="center"/>
    </xf>
    <xf numFmtId="0" fontId="55" fillId="5" borderId="37" xfId="0" applyFont="1" applyFill="1" applyBorder="1" applyAlignment="1">
      <alignment horizontal="center" vertical="center" wrapText="1"/>
    </xf>
    <xf numFmtId="0" fontId="55" fillId="5" borderId="38" xfId="0" applyFont="1" applyFill="1" applyBorder="1" applyAlignment="1">
      <alignment horizontal="center" vertical="center" wrapText="1"/>
    </xf>
    <xf numFmtId="168" fontId="54" fillId="7" borderId="37" xfId="0" applyNumberFormat="1" applyFont="1" applyFill="1" applyBorder="1" applyAlignment="1">
      <alignment horizontal="right" vertical="center" wrapText="1"/>
    </xf>
    <xf numFmtId="168" fontId="54" fillId="7" borderId="38" xfId="0" applyNumberFormat="1" applyFont="1" applyFill="1" applyBorder="1" applyAlignment="1">
      <alignment horizontal="right" vertical="center" wrapText="1"/>
    </xf>
    <xf numFmtId="0" fontId="55" fillId="9" borderId="36" xfId="0" applyFont="1" applyFill="1" applyBorder="1" applyAlignment="1">
      <alignment vertical="center" wrapText="1"/>
    </xf>
    <xf numFmtId="0" fontId="55" fillId="7" borderId="36" xfId="0" applyFont="1" applyFill="1" applyBorder="1" applyAlignment="1">
      <alignment vertical="center" wrapText="1"/>
    </xf>
    <xf numFmtId="0" fontId="53" fillId="7" borderId="0" xfId="0" applyFont="1" applyFill="1"/>
    <xf numFmtId="0" fontId="54" fillId="7" borderId="37" xfId="0" applyFont="1" applyFill="1" applyBorder="1" applyAlignment="1">
      <alignment horizontal="center" vertical="center" wrapText="1"/>
    </xf>
    <xf numFmtId="0" fontId="54" fillId="7" borderId="38" xfId="0" applyFont="1" applyFill="1" applyBorder="1" applyAlignment="1">
      <alignment horizontal="center" vertical="center" wrapText="1"/>
    </xf>
    <xf numFmtId="0" fontId="63" fillId="9" borderId="36" xfId="0" applyFont="1" applyFill="1" applyBorder="1" applyAlignment="1">
      <alignment vertical="center" wrapText="1"/>
    </xf>
    <xf numFmtId="0" fontId="62" fillId="5" borderId="0" xfId="0" applyFont="1" applyFill="1" applyBorder="1" applyAlignment="1">
      <alignment horizontal="right" vertical="center" wrapText="1"/>
    </xf>
    <xf numFmtId="0" fontId="55" fillId="7" borderId="36" xfId="0" applyFont="1" applyFill="1" applyBorder="1" applyAlignment="1">
      <alignment horizontal="left" vertical="center" wrapText="1" indent="4"/>
    </xf>
    <xf numFmtId="0" fontId="55" fillId="7" borderId="37" xfId="0" applyFont="1" applyFill="1" applyBorder="1" applyAlignment="1">
      <alignment horizontal="right" vertical="center" wrapText="1"/>
    </xf>
    <xf numFmtId="0" fontId="55" fillId="7" borderId="38" xfId="0" applyFont="1" applyFill="1" applyBorder="1" applyAlignment="1">
      <alignment horizontal="right" vertical="center" wrapText="1"/>
    </xf>
    <xf numFmtId="0" fontId="58" fillId="9" borderId="36" xfId="0" applyFont="1" applyFill="1" applyBorder="1" applyAlignment="1">
      <alignment horizontal="left" vertical="center" wrapText="1"/>
    </xf>
    <xf numFmtId="0" fontId="58" fillId="9" borderId="37" xfId="0" applyFont="1" applyFill="1" applyBorder="1" applyAlignment="1">
      <alignment horizontal="center" vertical="center"/>
    </xf>
    <xf numFmtId="0" fontId="58" fillId="9" borderId="38" xfId="0" applyFont="1" applyFill="1" applyBorder="1" applyAlignment="1">
      <alignment horizontal="center" vertical="center"/>
    </xf>
    <xf numFmtId="0" fontId="55" fillId="5" borderId="36" xfId="0" applyFont="1" applyFill="1" applyBorder="1" applyAlignment="1">
      <alignment horizontal="left" vertical="center" wrapText="1"/>
    </xf>
    <xf numFmtId="0" fontId="54" fillId="5" borderId="37" xfId="0" applyFont="1" applyFill="1" applyBorder="1" applyAlignment="1">
      <alignment horizontal="center" vertical="center"/>
    </xf>
    <xf numFmtId="0" fontId="54" fillId="5" borderId="38" xfId="0" applyFont="1" applyFill="1" applyBorder="1" applyAlignment="1">
      <alignment horizontal="center" vertical="center"/>
    </xf>
    <xf numFmtId="0" fontId="55" fillId="5" borderId="36" xfId="0" applyFont="1" applyFill="1" applyBorder="1" applyAlignment="1">
      <alignment horizontal="left" vertical="center" wrapText="1" indent="5"/>
    </xf>
    <xf numFmtId="3" fontId="54" fillId="5" borderId="37" xfId="0" applyNumberFormat="1" applyFont="1" applyFill="1" applyBorder="1" applyAlignment="1">
      <alignment horizontal="center" vertical="center"/>
    </xf>
    <xf numFmtId="3" fontId="54" fillId="5" borderId="38" xfId="0" applyNumberFormat="1" applyFont="1" applyFill="1" applyBorder="1" applyAlignment="1">
      <alignment horizontal="center" vertical="center"/>
    </xf>
    <xf numFmtId="0" fontId="58" fillId="9" borderId="36" xfId="0" applyFont="1" applyFill="1" applyBorder="1" applyAlignment="1">
      <alignment horizontal="left" vertical="center"/>
    </xf>
    <xf numFmtId="0" fontId="55" fillId="5" borderId="36" xfId="0" applyFont="1" applyFill="1" applyBorder="1" applyAlignment="1">
      <alignment horizontal="left" vertical="center"/>
    </xf>
    <xf numFmtId="0" fontId="58" fillId="9" borderId="36" xfId="0" applyFont="1" applyFill="1" applyBorder="1" applyAlignment="1">
      <alignment horizontal="justify" vertical="center" wrapText="1"/>
    </xf>
    <xf numFmtId="0" fontId="58" fillId="9" borderId="37" xfId="0" applyFont="1" applyFill="1" applyBorder="1" applyAlignment="1">
      <alignment horizontal="right" vertical="center" wrapText="1"/>
    </xf>
    <xf numFmtId="0" fontId="58" fillId="9" borderId="38" xfId="0" applyFont="1" applyFill="1" applyBorder="1" applyAlignment="1">
      <alignment horizontal="right" vertical="center" wrapText="1"/>
    </xf>
    <xf numFmtId="0" fontId="55" fillId="5" borderId="36" xfId="0" applyFont="1" applyFill="1" applyBorder="1" applyAlignment="1">
      <alignment horizontal="justify" vertical="center" wrapText="1"/>
    </xf>
    <xf numFmtId="0" fontId="54" fillId="5" borderId="37" xfId="0" applyFont="1" applyFill="1" applyBorder="1" applyAlignment="1">
      <alignment horizontal="right" vertical="center" wrapText="1"/>
    </xf>
    <xf numFmtId="0" fontId="54" fillId="5" borderId="38" xfId="0" applyFont="1" applyFill="1" applyBorder="1" applyAlignment="1">
      <alignment horizontal="right" vertical="center" wrapText="1"/>
    </xf>
    <xf numFmtId="0" fontId="55" fillId="5" borderId="36" xfId="0" applyFont="1" applyFill="1" applyBorder="1" applyAlignment="1">
      <alignment vertical="center" wrapText="1"/>
    </xf>
    <xf numFmtId="0" fontId="54" fillId="5" borderId="37" xfId="0" applyFont="1" applyFill="1" applyBorder="1" applyAlignment="1">
      <alignment horizontal="center" vertical="center" wrapText="1"/>
    </xf>
    <xf numFmtId="0" fontId="54" fillId="5" borderId="38" xfId="0" applyFont="1" applyFill="1" applyBorder="1" applyAlignment="1">
      <alignment horizontal="center" vertical="center" wrapText="1"/>
    </xf>
    <xf numFmtId="0" fontId="64" fillId="9" borderId="36" xfId="0" applyFont="1" applyFill="1" applyBorder="1" applyAlignment="1">
      <alignment horizontal="center" vertical="center"/>
    </xf>
    <xf numFmtId="0" fontId="64" fillId="9" borderId="38" xfId="0" applyFont="1" applyFill="1" applyBorder="1" applyAlignment="1">
      <alignment horizontal="center" vertical="center"/>
    </xf>
    <xf numFmtId="0" fontId="54" fillId="5" borderId="40" xfId="0" applyFont="1" applyFill="1" applyBorder="1" applyAlignment="1">
      <alignment horizontal="center" vertical="center"/>
    </xf>
    <xf numFmtId="0" fontId="54" fillId="5" borderId="40" xfId="0" applyFont="1" applyFill="1" applyBorder="1" applyAlignment="1">
      <alignment horizontal="center" vertical="center"/>
    </xf>
    <xf numFmtId="0" fontId="54" fillId="5" borderId="41" xfId="0" applyFont="1" applyFill="1" applyBorder="1" applyAlignment="1">
      <alignment horizontal="center" vertical="center"/>
    </xf>
    <xf numFmtId="0" fontId="54" fillId="5" borderId="0" xfId="0" applyFont="1" applyFill="1" applyBorder="1" applyAlignment="1">
      <alignment horizontal="center" vertical="center"/>
    </xf>
    <xf numFmtId="0" fontId="54" fillId="5" borderId="0" xfId="0" applyFont="1" applyFill="1" applyBorder="1" applyAlignment="1">
      <alignment horizontal="center" vertical="center"/>
    </xf>
    <xf numFmtId="0" fontId="65" fillId="5" borderId="0" xfId="0" applyFont="1" applyFill="1" applyBorder="1" applyAlignment="1">
      <alignment horizontal="center" vertical="center"/>
    </xf>
    <xf numFmtId="0" fontId="65" fillId="7" borderId="42" xfId="0" applyFont="1" applyFill="1" applyBorder="1" applyAlignment="1">
      <alignment horizontal="center" vertical="center"/>
    </xf>
    <xf numFmtId="0" fontId="65" fillId="7" borderId="43" xfId="0" applyFont="1" applyFill="1" applyBorder="1" applyAlignment="1">
      <alignment horizontal="center" vertical="center"/>
    </xf>
    <xf numFmtId="0" fontId="58" fillId="9" borderId="38" xfId="0" applyFont="1" applyFill="1" applyBorder="1" applyAlignment="1">
      <alignment horizontal="center" vertical="center" wrapText="1"/>
    </xf>
    <xf numFmtId="0" fontId="58" fillId="9" borderId="40" xfId="0" applyFont="1" applyFill="1" applyBorder="1" applyAlignment="1">
      <alignment horizontal="center" vertical="center" wrapText="1"/>
    </xf>
    <xf numFmtId="0" fontId="58" fillId="9" borderId="40" xfId="0" applyFont="1" applyFill="1" applyBorder="1" applyAlignment="1">
      <alignment horizontal="right" vertical="center" wrapText="1"/>
    </xf>
    <xf numFmtId="0" fontId="58" fillId="9" borderId="46" xfId="0" applyFont="1" applyFill="1" applyBorder="1" applyAlignment="1">
      <alignment horizontal="right" vertical="center" wrapText="1"/>
    </xf>
    <xf numFmtId="0" fontId="55" fillId="5" borderId="36" xfId="0" applyFont="1" applyFill="1" applyBorder="1" applyAlignment="1">
      <alignment horizontal="justify" vertical="center"/>
    </xf>
    <xf numFmtId="0" fontId="54" fillId="5" borderId="37" xfId="0" applyFont="1" applyFill="1" applyBorder="1" applyAlignment="1">
      <alignment horizontal="right" vertical="center"/>
    </xf>
    <xf numFmtId="3" fontId="54" fillId="5" borderId="37" xfId="0" applyNumberFormat="1" applyFont="1" applyFill="1" applyBorder="1" applyAlignment="1">
      <alignment horizontal="right" vertical="center"/>
    </xf>
    <xf numFmtId="3" fontId="54" fillId="5" borderId="38" xfId="0" applyNumberFormat="1" applyFont="1" applyFill="1" applyBorder="1" applyAlignment="1">
      <alignment horizontal="right" vertical="center"/>
    </xf>
    <xf numFmtId="0" fontId="54" fillId="5" borderId="38" xfId="0" applyFont="1" applyFill="1" applyBorder="1" applyAlignment="1">
      <alignment horizontal="right" vertical="center"/>
    </xf>
    <xf numFmtId="0" fontId="55" fillId="5" borderId="45" xfId="0" applyFont="1" applyFill="1" applyBorder="1" applyAlignment="1">
      <alignment horizontal="justify" vertical="center"/>
    </xf>
    <xf numFmtId="3" fontId="54" fillId="5" borderId="40" xfId="0" applyNumberFormat="1" applyFont="1" applyFill="1" applyBorder="1" applyAlignment="1">
      <alignment horizontal="right" vertical="center"/>
    </xf>
    <xf numFmtId="3" fontId="54" fillId="5" borderId="46" xfId="0" applyNumberFormat="1" applyFont="1" applyFill="1" applyBorder="1" applyAlignment="1">
      <alignment horizontal="right" vertical="center"/>
    </xf>
    <xf numFmtId="0" fontId="55" fillId="5" borderId="47" xfId="0" applyFont="1" applyFill="1" applyBorder="1" applyAlignment="1">
      <alignment horizontal="left" vertical="center" wrapText="1" indent="1"/>
    </xf>
    <xf numFmtId="3" fontId="54" fillId="5" borderId="0" xfId="0" applyNumberFormat="1" applyFont="1" applyFill="1" applyBorder="1" applyAlignment="1">
      <alignment horizontal="right" vertical="center"/>
    </xf>
    <xf numFmtId="3" fontId="54" fillId="5" borderId="48" xfId="0" applyNumberFormat="1" applyFont="1" applyFill="1" applyBorder="1" applyAlignment="1">
      <alignment horizontal="right" vertical="center"/>
    </xf>
    <xf numFmtId="0" fontId="55" fillId="5" borderId="49" xfId="0" applyFont="1" applyFill="1" applyBorder="1" applyAlignment="1">
      <alignment horizontal="left" vertical="center" wrapText="1" indent="1"/>
    </xf>
    <xf numFmtId="0" fontId="54" fillId="5" borderId="42" xfId="0" applyFont="1" applyFill="1" applyBorder="1" applyAlignment="1">
      <alignment horizontal="center" vertical="center"/>
    </xf>
    <xf numFmtId="3" fontId="54" fillId="5" borderId="42" xfId="0" applyNumberFormat="1" applyFont="1" applyFill="1" applyBorder="1" applyAlignment="1">
      <alignment horizontal="right" vertical="center"/>
    </xf>
    <xf numFmtId="3" fontId="54" fillId="5" borderId="50" xfId="0" applyNumberFormat="1" applyFont="1" applyFill="1" applyBorder="1" applyAlignment="1">
      <alignment horizontal="right" vertical="center"/>
    </xf>
    <xf numFmtId="0" fontId="55" fillId="5" borderId="37" xfId="0" applyFont="1" applyFill="1" applyBorder="1" applyAlignment="1">
      <alignment horizontal="center" vertical="center"/>
    </xf>
    <xf numFmtId="3" fontId="55" fillId="5" borderId="37" xfId="0" applyNumberFormat="1" applyFont="1" applyFill="1" applyBorder="1" applyAlignment="1">
      <alignment horizontal="right" vertical="center"/>
    </xf>
    <xf numFmtId="3" fontId="55" fillId="5" borderId="38" xfId="0" applyNumberFormat="1" applyFont="1" applyFill="1" applyBorder="1" applyAlignment="1">
      <alignment horizontal="right" vertical="center"/>
    </xf>
    <xf numFmtId="0" fontId="54" fillId="5" borderId="40" xfId="0" applyFont="1" applyFill="1" applyBorder="1" applyAlignment="1">
      <alignment horizontal="center" vertical="center"/>
    </xf>
    <xf numFmtId="0" fontId="64" fillId="9" borderId="37" xfId="0" applyFont="1" applyFill="1" applyBorder="1" applyAlignment="1">
      <alignment horizontal="center" vertical="center"/>
    </xf>
    <xf numFmtId="0" fontId="54" fillId="5" borderId="0" xfId="0" applyFont="1" applyFill="1" applyBorder="1" applyAlignment="1">
      <alignment horizontal="center" vertical="center"/>
    </xf>
    <xf numFmtId="0" fontId="54" fillId="7" borderId="42" xfId="0" applyFont="1" applyFill="1" applyBorder="1" applyAlignment="1">
      <alignment horizontal="center" vertical="center"/>
    </xf>
    <xf numFmtId="0" fontId="58" fillId="9" borderId="38" xfId="0" applyFont="1" applyFill="1" applyBorder="1" applyAlignment="1">
      <alignment horizontal="center" vertical="center" wrapText="1"/>
    </xf>
    <xf numFmtId="0" fontId="66" fillId="9" borderId="36" xfId="0" applyFont="1" applyFill="1" applyBorder="1" applyAlignment="1">
      <alignment vertical="center"/>
    </xf>
    <xf numFmtId="0" fontId="0" fillId="7" borderId="0" xfId="0" applyFill="1"/>
    <xf numFmtId="0" fontId="24" fillId="5" borderId="0" xfId="0" applyFont="1" applyFill="1"/>
    <xf numFmtId="164" fontId="0" fillId="5" borderId="0" xfId="0" applyNumberFormat="1" applyFill="1"/>
    <xf numFmtId="0" fontId="0" fillId="7" borderId="0" xfId="0" applyFill="1" applyAlignment="1">
      <alignment horizontal="center" vertical="center"/>
    </xf>
    <xf numFmtId="0" fontId="25" fillId="5" borderId="0" xfId="0" applyFont="1" applyFill="1"/>
    <xf numFmtId="0" fontId="0" fillId="5" borderId="36" xfId="0" applyFill="1" applyBorder="1"/>
    <xf numFmtId="0" fontId="0" fillId="7" borderId="37" xfId="0" applyFill="1" applyBorder="1"/>
    <xf numFmtId="0" fontId="0" fillId="5" borderId="37" xfId="0" applyFont="1" applyFill="1" applyBorder="1"/>
    <xf numFmtId="9" fontId="0" fillId="5" borderId="37" xfId="1" applyFont="1" applyFill="1" applyBorder="1" applyAlignment="1" applyProtection="1"/>
    <xf numFmtId="9" fontId="0" fillId="5" borderId="38" xfId="1" applyFont="1" applyFill="1" applyBorder="1" applyAlignment="1" applyProtection="1"/>
    <xf numFmtId="0" fontId="4" fillId="8" borderId="36" xfId="0" applyFont="1" applyFill="1" applyBorder="1" applyAlignment="1">
      <alignment vertical="center"/>
    </xf>
    <xf numFmtId="0" fontId="0" fillId="5" borderId="38" xfId="0" applyFont="1" applyFill="1" applyBorder="1"/>
    <xf numFmtId="164" fontId="0" fillId="5" borderId="37" xfId="1" applyNumberFormat="1" applyFont="1" applyFill="1" applyBorder="1" applyAlignment="1" applyProtection="1">
      <alignment horizontal="center" vertical="center"/>
    </xf>
    <xf numFmtId="164" fontId="0" fillId="5" borderId="38" xfId="1" applyNumberFormat="1" applyFont="1" applyFill="1" applyBorder="1" applyAlignment="1" applyProtection="1">
      <alignment horizontal="center" vertical="center"/>
    </xf>
    <xf numFmtId="0" fontId="0" fillId="7" borderId="36" xfId="0" applyFill="1" applyBorder="1"/>
    <xf numFmtId="164" fontId="0" fillId="5" borderId="36" xfId="0" applyNumberFormat="1" applyFill="1" applyBorder="1"/>
    <xf numFmtId="164" fontId="0" fillId="5" borderId="37" xfId="0" applyNumberFormat="1" applyFill="1" applyBorder="1"/>
    <xf numFmtId="164" fontId="0" fillId="5" borderId="38" xfId="0" applyNumberFormat="1" applyFill="1" applyBorder="1"/>
    <xf numFmtId="2" fontId="54" fillId="5" borderId="37" xfId="0" applyNumberFormat="1" applyFont="1" applyFill="1" applyBorder="1" applyAlignment="1">
      <alignment horizontal="center" vertical="center" wrapText="1"/>
    </xf>
    <xf numFmtId="2" fontId="0" fillId="5" borderId="37" xfId="1" applyNumberFormat="1" applyFont="1" applyFill="1" applyBorder="1" applyAlignment="1" applyProtection="1">
      <alignment horizontal="center" vertical="center"/>
    </xf>
    <xf numFmtId="2" fontId="0" fillId="5" borderId="38" xfId="1" applyNumberFormat="1" applyFont="1" applyFill="1" applyBorder="1" applyAlignment="1" applyProtection="1">
      <alignment horizontal="center" vertical="center"/>
    </xf>
    <xf numFmtId="0" fontId="58" fillId="9" borderId="39" xfId="0" applyFont="1" applyFill="1" applyBorder="1" applyAlignment="1">
      <alignment vertical="center" wrapText="1"/>
    </xf>
    <xf numFmtId="0" fontId="66" fillId="9" borderId="39" xfId="0" applyFont="1" applyFill="1" applyBorder="1" applyAlignment="1">
      <alignment vertical="center"/>
    </xf>
    <xf numFmtId="164" fontId="54" fillId="5" borderId="37" xfId="1" applyNumberFormat="1" applyFont="1" applyFill="1" applyBorder="1" applyAlignment="1">
      <alignment horizontal="center" vertical="center" wrapText="1"/>
    </xf>
    <xf numFmtId="0" fontId="1" fillId="7" borderId="0" xfId="0" applyFont="1" applyFill="1"/>
    <xf numFmtId="3" fontId="54" fillId="5" borderId="37" xfId="0" applyNumberFormat="1" applyFont="1" applyFill="1" applyBorder="1" applyAlignment="1">
      <alignment horizontal="center" vertical="center" wrapText="1"/>
    </xf>
    <xf numFmtId="3" fontId="54" fillId="5" borderId="38" xfId="0" applyNumberFormat="1" applyFont="1" applyFill="1" applyBorder="1" applyAlignment="1">
      <alignment horizontal="center" vertical="center" wrapText="1"/>
    </xf>
    <xf numFmtId="164" fontId="54" fillId="5" borderId="38" xfId="1" applyNumberFormat="1" applyFont="1" applyFill="1" applyBorder="1" applyAlignment="1">
      <alignment horizontal="center" vertical="center" wrapText="1"/>
    </xf>
    <xf numFmtId="10" fontId="0" fillId="5" borderId="0" xfId="0" applyNumberFormat="1" applyFill="1"/>
    <xf numFmtId="0" fontId="21" fillId="5" borderId="0" xfId="0" applyFont="1" applyFill="1"/>
    <xf numFmtId="0" fontId="21" fillId="5" borderId="51" xfId="0" applyFont="1" applyFill="1" applyBorder="1"/>
    <xf numFmtId="0" fontId="21" fillId="5" borderId="52" xfId="0" applyFont="1" applyFill="1" applyBorder="1"/>
    <xf numFmtId="0" fontId="21" fillId="5" borderId="53" xfId="0" applyFont="1" applyFill="1" applyBorder="1"/>
    <xf numFmtId="0" fontId="0" fillId="5" borderId="54" xfId="0" applyFont="1" applyFill="1" applyBorder="1"/>
    <xf numFmtId="0" fontId="0" fillId="5" borderId="55" xfId="0" applyFill="1" applyBorder="1"/>
    <xf numFmtId="0" fontId="0" fillId="5" borderId="56" xfId="0" applyFill="1" applyBorder="1"/>
    <xf numFmtId="0" fontId="0" fillId="5" borderId="37" xfId="0" applyFill="1" applyBorder="1"/>
    <xf numFmtId="168" fontId="0" fillId="5" borderId="37" xfId="0" applyNumberFormat="1" applyFill="1" applyBorder="1"/>
    <xf numFmtId="168" fontId="0" fillId="5" borderId="38" xfId="0" applyNumberFormat="1" applyFill="1" applyBorder="1"/>
    <xf numFmtId="167" fontId="0" fillId="5" borderId="37" xfId="0" applyNumberFormat="1" applyFill="1" applyBorder="1"/>
    <xf numFmtId="0" fontId="55" fillId="5" borderId="36" xfId="0" applyFont="1" applyFill="1" applyBorder="1" applyAlignment="1">
      <alignment horizontal="left" vertical="center" indent="2"/>
    </xf>
    <xf numFmtId="167" fontId="0" fillId="5" borderId="38" xfId="0" applyNumberFormat="1" applyFill="1" applyBorder="1"/>
    <xf numFmtId="1" fontId="54" fillId="5" borderId="37" xfId="0" applyNumberFormat="1" applyFont="1" applyFill="1" applyBorder="1" applyAlignment="1">
      <alignment horizontal="right" vertical="center"/>
    </xf>
    <xf numFmtId="1" fontId="54" fillId="5" borderId="38" xfId="0" applyNumberFormat="1" applyFont="1" applyFill="1" applyBorder="1" applyAlignment="1">
      <alignment horizontal="right" vertical="center"/>
    </xf>
    <xf numFmtId="168" fontId="0" fillId="5" borderId="0" xfId="0" applyNumberFormat="1" applyFill="1" applyAlignment="1">
      <alignment horizontal="center"/>
    </xf>
    <xf numFmtId="0" fontId="45" fillId="5" borderId="0" xfId="8" applyFont="1" applyFill="1"/>
    <xf numFmtId="0" fontId="68" fillId="5" borderId="0" xfId="8" applyFont="1" applyFill="1" applyAlignment="1">
      <alignment horizontal="center"/>
    </xf>
    <xf numFmtId="0" fontId="45" fillId="5" borderId="0" xfId="8" applyFont="1" applyFill="1" applyAlignment="1">
      <alignment horizontal="center"/>
    </xf>
    <xf numFmtId="0" fontId="68" fillId="5" borderId="0" xfId="8" applyFont="1" applyFill="1"/>
    <xf numFmtId="2" fontId="68" fillId="5" borderId="0" xfId="8" applyNumberFormat="1" applyFont="1" applyFill="1" applyAlignment="1">
      <alignment horizontal="center"/>
    </xf>
    <xf numFmtId="0" fontId="56" fillId="9" borderId="38" xfId="0" applyFont="1" applyFill="1" applyBorder="1" applyAlignment="1">
      <alignment horizontal="center" vertical="center" wrapText="1"/>
    </xf>
    <xf numFmtId="164" fontId="54" fillId="7" borderId="37" xfId="1" applyNumberFormat="1" applyFont="1" applyFill="1" applyBorder="1" applyAlignment="1">
      <alignment horizontal="center" vertical="center" wrapText="1"/>
    </xf>
    <xf numFmtId="164" fontId="54" fillId="7" borderId="38" xfId="1" applyNumberFormat="1" applyFont="1" applyFill="1" applyBorder="1" applyAlignment="1">
      <alignment horizontal="center" vertical="center" wrapText="1"/>
    </xf>
    <xf numFmtId="172" fontId="54" fillId="7" borderId="37" xfId="1" applyNumberFormat="1" applyFont="1" applyFill="1" applyBorder="1" applyAlignment="1">
      <alignment horizontal="center" vertical="center" wrapText="1"/>
    </xf>
    <xf numFmtId="172" fontId="54" fillId="7" borderId="38" xfId="1" applyNumberFormat="1" applyFont="1" applyFill="1" applyBorder="1" applyAlignment="1">
      <alignment horizontal="center" vertical="center" wrapText="1"/>
    </xf>
    <xf numFmtId="0" fontId="23" fillId="11" borderId="0" xfId="11" applyFont="1" applyFill="1"/>
    <xf numFmtId="1" fontId="23" fillId="11" borderId="0" xfId="11" applyNumberFormat="1" applyFont="1" applyFill="1"/>
    <xf numFmtId="0" fontId="58" fillId="9" borderId="38" xfId="0" applyFont="1" applyFill="1" applyBorder="1" applyAlignment="1">
      <alignment horizontal="left" vertical="center"/>
    </xf>
    <xf numFmtId="0" fontId="23" fillId="11" borderId="37" xfId="11" applyFont="1" applyFill="1" applyBorder="1"/>
    <xf numFmtId="1" fontId="23" fillId="11" borderId="37" xfId="11" applyNumberFormat="1" applyFont="1" applyFill="1" applyBorder="1"/>
    <xf numFmtId="9" fontId="23" fillId="11" borderId="37" xfId="1" applyFont="1" applyFill="1" applyBorder="1" applyAlignment="1"/>
    <xf numFmtId="0" fontId="45" fillId="5" borderId="38" xfId="8" applyFont="1" applyFill="1" applyBorder="1" applyAlignment="1">
      <alignment horizontal="center"/>
    </xf>
    <xf numFmtId="0" fontId="23" fillId="0" borderId="58" xfId="3" applyBorder="1"/>
    <xf numFmtId="0" fontId="23" fillId="0" borderId="58" xfId="3" applyBorder="1" applyAlignment="1">
      <alignment horizontal="right"/>
    </xf>
    <xf numFmtId="1" fontId="23" fillId="0" borderId="58" xfId="3" applyNumberFormat="1" applyBorder="1"/>
    <xf numFmtId="9" fontId="23" fillId="0" borderId="58" xfId="1" applyFont="1" applyBorder="1"/>
    <xf numFmtId="1" fontId="23" fillId="11" borderId="38" xfId="11" applyNumberFormat="1" applyFont="1" applyFill="1" applyBorder="1"/>
    <xf numFmtId="0" fontId="70" fillId="9" borderId="38" xfId="0" applyFont="1" applyFill="1" applyBorder="1" applyAlignment="1">
      <alignment horizontal="left" vertical="center"/>
    </xf>
    <xf numFmtId="0" fontId="46" fillId="6" borderId="36" xfId="0" applyFont="1" applyFill="1" applyBorder="1" applyAlignment="1">
      <alignment horizontal="center"/>
    </xf>
    <xf numFmtId="0" fontId="58" fillId="9" borderId="38" xfId="0" applyFont="1" applyFill="1" applyBorder="1" applyAlignment="1">
      <alignment horizontal="center" vertical="center" wrapText="1"/>
    </xf>
    <xf numFmtId="0" fontId="71" fillId="5" borderId="0" xfId="0" applyFont="1" applyFill="1"/>
    <xf numFmtId="0" fontId="71" fillId="5" borderId="13" xfId="0" applyFont="1" applyFill="1" applyBorder="1" applyAlignment="1">
      <alignment horizontal="center" vertical="center" wrapText="1"/>
    </xf>
    <xf numFmtId="0" fontId="72" fillId="5" borderId="59" xfId="0" applyFont="1" applyFill="1" applyBorder="1" applyAlignment="1">
      <alignment horizontal="center" vertical="center" wrapText="1"/>
    </xf>
    <xf numFmtId="0" fontId="71" fillId="5" borderId="59" xfId="0" applyFont="1" applyFill="1" applyBorder="1" applyAlignment="1">
      <alignment horizontal="center" vertical="center" wrapText="1"/>
    </xf>
    <xf numFmtId="0" fontId="72" fillId="5" borderId="9" xfId="0" applyFont="1" applyFill="1" applyBorder="1" applyAlignment="1">
      <alignment horizontal="center" vertical="center" wrapText="1"/>
    </xf>
    <xf numFmtId="0" fontId="0" fillId="5" borderId="60" xfId="0" applyFill="1" applyBorder="1" applyAlignment="1">
      <alignment horizontal="center"/>
    </xf>
    <xf numFmtId="0" fontId="73" fillId="5" borderId="60" xfId="0" applyFont="1" applyFill="1" applyBorder="1" applyAlignment="1">
      <alignment horizontal="center"/>
    </xf>
    <xf numFmtId="168" fontId="0" fillId="5" borderId="61" xfId="0" applyNumberFormat="1" applyFill="1" applyBorder="1"/>
    <xf numFmtId="168" fontId="0" fillId="5" borderId="62" xfId="0" applyNumberFormat="1" applyFill="1" applyBorder="1"/>
    <xf numFmtId="168" fontId="0" fillId="5" borderId="63" xfId="0" applyNumberFormat="1" applyFill="1" applyBorder="1"/>
    <xf numFmtId="0" fontId="73" fillId="5" borderId="0" xfId="0" applyFont="1" applyFill="1"/>
    <xf numFmtId="0" fontId="0" fillId="5" borderId="8" xfId="0" applyFill="1" applyBorder="1" applyAlignment="1">
      <alignment horizontal="center"/>
    </xf>
    <xf numFmtId="0" fontId="73" fillId="5" borderId="8" xfId="0" applyFont="1" applyFill="1" applyBorder="1" applyAlignment="1">
      <alignment horizontal="center"/>
    </xf>
    <xf numFmtId="168" fontId="0" fillId="5" borderId="15" xfId="0" applyNumberFormat="1" applyFill="1" applyBorder="1"/>
    <xf numFmtId="168" fontId="0" fillId="5" borderId="0" xfId="0" applyNumberFormat="1" applyFill="1" applyBorder="1"/>
    <xf numFmtId="168" fontId="0" fillId="5" borderId="12" xfId="0" applyNumberFormat="1" applyFill="1" applyBorder="1"/>
    <xf numFmtId="0" fontId="0" fillId="5" borderId="10" xfId="0" applyFill="1" applyBorder="1" applyAlignment="1">
      <alignment horizontal="center"/>
    </xf>
    <xf numFmtId="168" fontId="0" fillId="5" borderId="14" xfId="0" applyNumberFormat="1" applyFill="1" applyBorder="1"/>
    <xf numFmtId="168" fontId="0" fillId="5" borderId="64" xfId="0" applyNumberFormat="1" applyFill="1" applyBorder="1"/>
    <xf numFmtId="168" fontId="0" fillId="5" borderId="11" xfId="0" applyNumberFormat="1" applyFill="1" applyBorder="1"/>
    <xf numFmtId="0" fontId="0" fillId="5" borderId="63" xfId="0" applyFill="1" applyBorder="1" applyAlignment="1">
      <alignment horizontal="center"/>
    </xf>
    <xf numFmtId="0" fontId="0" fillId="5" borderId="12" xfId="0" applyFill="1" applyBorder="1" applyAlignment="1">
      <alignment horizontal="center"/>
    </xf>
    <xf numFmtId="0" fontId="0" fillId="5" borderId="11" xfId="0" applyFill="1" applyBorder="1" applyAlignment="1">
      <alignment horizontal="center"/>
    </xf>
    <xf numFmtId="0" fontId="73" fillId="5" borderId="10" xfId="0" applyFont="1" applyFill="1" applyBorder="1" applyAlignment="1">
      <alignment horizontal="center"/>
    </xf>
    <xf numFmtId="0" fontId="73" fillId="5" borderId="7" xfId="0" applyFont="1" applyFill="1" applyBorder="1" applyAlignment="1">
      <alignment horizontal="center"/>
    </xf>
    <xf numFmtId="168" fontId="0" fillId="5" borderId="59" xfId="0" applyNumberFormat="1" applyFill="1" applyBorder="1"/>
    <xf numFmtId="168" fontId="0" fillId="5" borderId="9" xfId="0" applyNumberFormat="1" applyFill="1" applyBorder="1"/>
    <xf numFmtId="0" fontId="73" fillId="5" borderId="9" xfId="0" applyFont="1" applyFill="1" applyBorder="1" applyAlignment="1">
      <alignment horizontal="center"/>
    </xf>
    <xf numFmtId="0" fontId="0" fillId="5" borderId="58" xfId="0" applyFill="1" applyBorder="1"/>
    <xf numFmtId="0" fontId="69" fillId="5" borderId="0" xfId="3" applyFont="1" applyFill="1" applyBorder="1"/>
    <xf numFmtId="0" fontId="74" fillId="5" borderId="0" xfId="3" applyFont="1" applyFill="1" applyBorder="1"/>
    <xf numFmtId="0" fontId="78" fillId="5" borderId="0" xfId="3" applyFont="1" applyFill="1" applyBorder="1"/>
    <xf numFmtId="0" fontId="79" fillId="5" borderId="0" xfId="3" applyFont="1" applyFill="1" applyBorder="1"/>
    <xf numFmtId="0" fontId="80" fillId="5" borderId="0" xfId="3" applyFont="1" applyFill="1" applyBorder="1"/>
    <xf numFmtId="0" fontId="79" fillId="5" borderId="0" xfId="3" applyFont="1" applyFill="1" applyAlignment="1">
      <alignment horizontal="right" vertical="center"/>
    </xf>
    <xf numFmtId="49" fontId="79" fillId="5" borderId="0" xfId="12" applyFont="1" applyFill="1" applyBorder="1">
      <alignment vertical="center" wrapText="1"/>
    </xf>
    <xf numFmtId="49" fontId="81" fillId="5" borderId="65" xfId="12" applyFont="1" applyFill="1" applyBorder="1" applyAlignment="1">
      <alignment horizontal="center" vertical="center" wrapText="1"/>
    </xf>
    <xf numFmtId="49" fontId="81" fillId="5" borderId="66" xfId="12" applyFont="1" applyFill="1" applyBorder="1" applyAlignment="1">
      <alignment horizontal="center" vertical="center" wrapText="1"/>
    </xf>
    <xf numFmtId="49" fontId="81" fillId="5" borderId="67" xfId="12" applyFont="1" applyFill="1" applyBorder="1" applyAlignment="1">
      <alignment horizontal="center" vertical="center" wrapText="1"/>
    </xf>
    <xf numFmtId="172" fontId="81" fillId="5" borderId="69" xfId="13" applyFont="1" applyFill="1" applyBorder="1">
      <alignment vertical="center"/>
    </xf>
    <xf numFmtId="172" fontId="81" fillId="5" borderId="69" xfId="3" applyNumberFormat="1" applyFont="1" applyFill="1" applyBorder="1" applyAlignment="1">
      <alignment horizontal="right" vertical="center"/>
    </xf>
    <xf numFmtId="172" fontId="81" fillId="5" borderId="70" xfId="3" applyNumberFormat="1" applyFont="1" applyFill="1" applyBorder="1" applyAlignment="1">
      <alignment horizontal="right" vertical="center"/>
    </xf>
    <xf numFmtId="172" fontId="81" fillId="5" borderId="71" xfId="3" applyNumberFormat="1" applyFont="1" applyFill="1" applyBorder="1" applyAlignment="1">
      <alignment horizontal="right" vertical="center"/>
    </xf>
    <xf numFmtId="172" fontId="79" fillId="5" borderId="2" xfId="14" applyFont="1" applyFill="1" applyBorder="1" applyAlignment="1">
      <alignment horizontal="left" vertical="center" indent="1"/>
    </xf>
    <xf numFmtId="172" fontId="79" fillId="5" borderId="2" xfId="13" applyNumberFormat="1" applyFont="1" applyFill="1" applyBorder="1" applyAlignment="1">
      <alignment horizontal="right" vertical="center"/>
    </xf>
    <xf numFmtId="172" fontId="79" fillId="5" borderId="0" xfId="13" applyNumberFormat="1" applyFont="1" applyFill="1" applyBorder="1" applyAlignment="1">
      <alignment horizontal="right" vertical="center"/>
    </xf>
    <xf numFmtId="172" fontId="79" fillId="5" borderId="1" xfId="13" applyNumberFormat="1" applyFont="1" applyFill="1" applyBorder="1" applyAlignment="1">
      <alignment horizontal="right" vertical="center"/>
    </xf>
    <xf numFmtId="172" fontId="79" fillId="5" borderId="72" xfId="14" applyFont="1" applyFill="1" applyBorder="1" applyAlignment="1">
      <alignment horizontal="left" vertical="center" indent="1"/>
    </xf>
    <xf numFmtId="172" fontId="79" fillId="5" borderId="72" xfId="13" applyNumberFormat="1" applyFont="1" applyFill="1" applyBorder="1" applyAlignment="1">
      <alignment horizontal="right" vertical="center"/>
    </xf>
    <xf numFmtId="172" fontId="79" fillId="5" borderId="73" xfId="13" applyNumberFormat="1" applyFont="1" applyFill="1" applyBorder="1" applyAlignment="1">
      <alignment horizontal="right" vertical="center"/>
    </xf>
    <xf numFmtId="172" fontId="79" fillId="5" borderId="74" xfId="13" applyNumberFormat="1" applyFont="1" applyFill="1" applyBorder="1" applyAlignment="1">
      <alignment horizontal="right" vertical="center"/>
    </xf>
    <xf numFmtId="172" fontId="81" fillId="5" borderId="18" xfId="14" applyFont="1" applyFill="1" applyBorder="1">
      <alignment vertical="center"/>
    </xf>
    <xf numFmtId="172" fontId="81" fillId="5" borderId="70" xfId="13" applyNumberFormat="1" applyFont="1" applyFill="1" applyBorder="1" applyAlignment="1">
      <alignment vertical="center"/>
    </xf>
    <xf numFmtId="172" fontId="81" fillId="5" borderId="71" xfId="13" applyNumberFormat="1" applyFont="1" applyFill="1" applyBorder="1" applyAlignment="1">
      <alignment vertical="center"/>
    </xf>
    <xf numFmtId="172" fontId="81" fillId="5" borderId="75" xfId="14" applyFont="1" applyFill="1" applyBorder="1" applyAlignment="1">
      <alignment horizontal="left" vertical="center" indent="1"/>
    </xf>
    <xf numFmtId="172" fontId="81" fillId="5" borderId="65" xfId="13" applyNumberFormat="1" applyFont="1" applyFill="1" applyBorder="1" applyAlignment="1">
      <alignment vertical="center"/>
    </xf>
    <xf numFmtId="172" fontId="81" fillId="5" borderId="66" xfId="13" applyNumberFormat="1" applyFont="1" applyFill="1" applyBorder="1" applyAlignment="1">
      <alignment vertical="center"/>
    </xf>
    <xf numFmtId="172" fontId="81" fillId="5" borderId="67" xfId="13" applyNumberFormat="1" applyFont="1" applyFill="1" applyBorder="1" applyAlignment="1">
      <alignment vertical="center"/>
    </xf>
    <xf numFmtId="172" fontId="79" fillId="5" borderId="75" xfId="13" applyFont="1" applyFill="1" applyBorder="1" applyAlignment="1">
      <alignment horizontal="left" vertical="center" indent="1"/>
    </xf>
    <xf numFmtId="172" fontId="79" fillId="5" borderId="2" xfId="13" applyNumberFormat="1" applyFont="1" applyFill="1" applyBorder="1" applyAlignment="1">
      <alignment vertical="center"/>
    </xf>
    <xf numFmtId="172" fontId="79" fillId="5" borderId="0" xfId="13" applyNumberFormat="1" applyFont="1" applyFill="1" applyBorder="1" applyAlignment="1">
      <alignment vertical="center"/>
    </xf>
    <xf numFmtId="172" fontId="79" fillId="5" borderId="0" xfId="3" applyNumberFormat="1" applyFont="1" applyFill="1" applyBorder="1" applyAlignment="1">
      <alignment vertical="center"/>
    </xf>
    <xf numFmtId="172" fontId="79" fillId="5" borderId="1" xfId="3" applyNumberFormat="1" applyFont="1" applyFill="1" applyBorder="1" applyAlignment="1">
      <alignment vertical="center"/>
    </xf>
    <xf numFmtId="172" fontId="79" fillId="5" borderId="75" xfId="14" applyFont="1" applyFill="1" applyBorder="1" applyAlignment="1">
      <alignment horizontal="left" vertical="center" indent="1"/>
    </xf>
    <xf numFmtId="172" fontId="79" fillId="5" borderId="1" xfId="13" applyNumberFormat="1" applyFont="1" applyFill="1" applyBorder="1" applyAlignment="1">
      <alignment vertical="center"/>
    </xf>
    <xf numFmtId="0" fontId="79" fillId="5" borderId="75" xfId="3" applyFont="1" applyFill="1" applyBorder="1" applyAlignment="1">
      <alignment horizontal="left" vertical="center" indent="3"/>
    </xf>
    <xf numFmtId="172" fontId="79" fillId="5" borderId="2" xfId="3" applyNumberFormat="1" applyFont="1" applyFill="1" applyBorder="1" applyAlignment="1">
      <alignment vertical="center"/>
    </xf>
    <xf numFmtId="0" fontId="79" fillId="5" borderId="75" xfId="3" applyFont="1" applyFill="1" applyBorder="1" applyAlignment="1">
      <alignment horizontal="left" vertical="center" indent="1"/>
    </xf>
    <xf numFmtId="172" fontId="79" fillId="5" borderId="75" xfId="14" applyFont="1" applyFill="1" applyBorder="1" applyAlignment="1">
      <alignment horizontal="left" vertical="center" indent="3"/>
    </xf>
    <xf numFmtId="172" fontId="79" fillId="5" borderId="2" xfId="14" applyNumberFormat="1" applyFont="1" applyFill="1" applyBorder="1" applyAlignment="1">
      <alignment vertical="center"/>
    </xf>
    <xf numFmtId="172" fontId="79" fillId="5" borderId="0" xfId="14" applyNumberFormat="1" applyFont="1" applyFill="1" applyBorder="1" applyAlignment="1">
      <alignment vertical="center"/>
    </xf>
    <xf numFmtId="172" fontId="79" fillId="5" borderId="1" xfId="14" applyNumberFormat="1" applyFont="1" applyFill="1" applyBorder="1" applyAlignment="1">
      <alignment vertical="center"/>
    </xf>
    <xf numFmtId="172" fontId="81" fillId="5" borderId="65" xfId="14" applyFont="1" applyFill="1" applyBorder="1" applyAlignment="1">
      <alignment horizontal="left" vertical="center" indent="1"/>
    </xf>
    <xf numFmtId="172" fontId="79" fillId="5" borderId="2" xfId="14" applyFont="1" applyFill="1" applyBorder="1" applyAlignment="1">
      <alignment horizontal="left" vertical="center" indent="3"/>
    </xf>
    <xf numFmtId="0" fontId="79" fillId="5" borderId="2" xfId="3" applyFont="1" applyFill="1" applyBorder="1" applyAlignment="1">
      <alignment horizontal="left" vertical="center" indent="3"/>
    </xf>
    <xf numFmtId="0" fontId="82" fillId="5" borderId="2" xfId="3" applyFont="1" applyFill="1" applyBorder="1" applyAlignment="1">
      <alignment horizontal="left" vertical="center" indent="4"/>
    </xf>
    <xf numFmtId="172" fontId="82" fillId="5" borderId="2" xfId="3" applyNumberFormat="1" applyFont="1" applyFill="1" applyBorder="1" applyAlignment="1">
      <alignment vertical="center"/>
    </xf>
    <xf numFmtId="172" fontId="82" fillId="5" borderId="0" xfId="3" applyNumberFormat="1" applyFont="1" applyFill="1" applyBorder="1" applyAlignment="1">
      <alignment vertical="center"/>
    </xf>
    <xf numFmtId="172" fontId="82" fillId="5" borderId="1" xfId="3" applyNumberFormat="1" applyFont="1" applyFill="1" applyBorder="1" applyAlignment="1">
      <alignment vertical="center"/>
    </xf>
    <xf numFmtId="172" fontId="82" fillId="5" borderId="2" xfId="3" applyNumberFormat="1" applyFont="1" applyFill="1" applyBorder="1" applyAlignment="1">
      <alignment horizontal="right" vertical="center"/>
    </xf>
    <xf numFmtId="172" fontId="82" fillId="5" borderId="0" xfId="3" applyNumberFormat="1" applyFont="1" applyFill="1" applyBorder="1" applyAlignment="1">
      <alignment horizontal="right" vertical="center"/>
    </xf>
    <xf numFmtId="172" fontId="82" fillId="5" borderId="1" xfId="3" applyNumberFormat="1" applyFont="1" applyFill="1" applyBorder="1" applyAlignment="1">
      <alignment horizontal="right" vertical="center"/>
    </xf>
    <xf numFmtId="172" fontId="79" fillId="5" borderId="72" xfId="14" applyFont="1" applyFill="1" applyBorder="1" applyAlignment="1">
      <alignment horizontal="left" vertical="center" indent="3"/>
    </xf>
    <xf numFmtId="172" fontId="79" fillId="5" borderId="72" xfId="14" applyNumberFormat="1" applyFont="1" applyFill="1" applyBorder="1" applyAlignment="1">
      <alignment vertical="center"/>
    </xf>
    <xf numFmtId="172" fontId="79" fillId="5" borderId="73" xfId="14" applyNumberFormat="1" applyFont="1" applyFill="1" applyBorder="1" applyAlignment="1">
      <alignment vertical="center"/>
    </xf>
    <xf numFmtId="172" fontId="79" fillId="5" borderId="74" xfId="14" applyNumberFormat="1" applyFont="1" applyFill="1" applyBorder="1" applyAlignment="1">
      <alignment vertical="center"/>
    </xf>
    <xf numFmtId="172" fontId="81" fillId="5" borderId="35" xfId="13" applyFont="1" applyFill="1" applyBorder="1">
      <alignment vertical="center"/>
    </xf>
    <xf numFmtId="172" fontId="81" fillId="5" borderId="57" xfId="13" applyNumberFormat="1" applyFont="1" applyFill="1" applyBorder="1" applyAlignment="1">
      <alignment vertical="center"/>
    </xf>
    <xf numFmtId="172" fontId="81" fillId="5" borderId="76" xfId="13" applyNumberFormat="1" applyFont="1" applyFill="1" applyBorder="1" applyAlignment="1">
      <alignment vertical="center"/>
    </xf>
    <xf numFmtId="0" fontId="53" fillId="5" borderId="0" xfId="3" applyFont="1" applyFill="1" applyBorder="1"/>
    <xf numFmtId="0" fontId="57" fillId="5" borderId="0" xfId="3" applyFont="1" applyFill="1" applyBorder="1"/>
    <xf numFmtId="168" fontId="57" fillId="5" borderId="0" xfId="3" applyNumberFormat="1" applyFont="1" applyFill="1" applyBorder="1" applyAlignment="1">
      <alignment vertical="center"/>
    </xf>
    <xf numFmtId="0" fontId="57" fillId="5" borderId="0" xfId="3" applyFont="1" applyFill="1" applyBorder="1" applyAlignment="1">
      <alignment horizontal="left" vertical="center" indent="2"/>
    </xf>
    <xf numFmtId="164" fontId="57" fillId="5" borderId="0" xfId="1" applyNumberFormat="1" applyFont="1" applyFill="1" applyBorder="1" applyAlignment="1">
      <alignment horizontal="left" vertical="center" indent="2"/>
    </xf>
    <xf numFmtId="0" fontId="53" fillId="5" borderId="0" xfId="3" applyFont="1" applyFill="1" applyAlignment="1">
      <alignment horizontal="left" vertical="center" indent="2"/>
    </xf>
    <xf numFmtId="0" fontId="57" fillId="5" borderId="0" xfId="3" applyFont="1" applyFill="1" applyAlignment="1">
      <alignment horizontal="left" vertical="center" indent="2"/>
    </xf>
    <xf numFmtId="0" fontId="83" fillId="5" borderId="0" xfId="3" applyFont="1" applyFill="1" applyAlignment="1">
      <alignment horizontal="left" vertical="center" indent="1"/>
    </xf>
    <xf numFmtId="0" fontId="1" fillId="15" borderId="0" xfId="0" applyFont="1" applyFill="1"/>
    <xf numFmtId="0" fontId="0" fillId="15" borderId="0" xfId="0" applyFill="1"/>
    <xf numFmtId="0" fontId="53" fillId="15" borderId="0" xfId="3" applyFont="1" applyFill="1" applyBorder="1"/>
    <xf numFmtId="0" fontId="22" fillId="15" borderId="58" xfId="0" applyFont="1" applyFill="1" applyBorder="1" applyAlignment="1">
      <alignment horizontal="center" vertical="center"/>
    </xf>
    <xf numFmtId="168" fontId="57" fillId="15" borderId="0" xfId="3" applyNumberFormat="1" applyFont="1" applyFill="1" applyBorder="1" applyAlignment="1"/>
    <xf numFmtId="168" fontId="57" fillId="15" borderId="0" xfId="3" applyNumberFormat="1" applyFont="1" applyFill="1" applyBorder="1" applyAlignment="1">
      <alignment vertical="center"/>
    </xf>
    <xf numFmtId="168" fontId="53" fillId="15" borderId="0" xfId="3" applyNumberFormat="1" applyFont="1" applyFill="1" applyBorder="1" applyAlignment="1"/>
    <xf numFmtId="168" fontId="57" fillId="15" borderId="0" xfId="3" applyNumberFormat="1" applyFont="1" applyFill="1" applyBorder="1"/>
    <xf numFmtId="168" fontId="57" fillId="15" borderId="0" xfId="1" applyNumberFormat="1" applyFont="1" applyFill="1" applyBorder="1" applyAlignment="1">
      <alignment vertical="center"/>
    </xf>
    <xf numFmtId="0" fontId="84" fillId="5" borderId="0" xfId="0" applyFont="1" applyFill="1"/>
    <xf numFmtId="0" fontId="85" fillId="5" borderId="0" xfId="3" applyFont="1" applyFill="1" applyBorder="1" applyAlignment="1">
      <alignment horizontal="left" vertical="center"/>
    </xf>
    <xf numFmtId="0" fontId="86" fillId="5" borderId="0" xfId="3" applyFont="1" applyFill="1" applyBorder="1"/>
    <xf numFmtId="0" fontId="85" fillId="5" borderId="0" xfId="3" applyFont="1" applyFill="1" applyBorder="1" applyAlignment="1">
      <alignment horizontal="left" vertical="center" wrapText="1"/>
    </xf>
    <xf numFmtId="0" fontId="87" fillId="5" borderId="0" xfId="3" applyFont="1" applyFill="1" applyBorder="1"/>
    <xf numFmtId="0" fontId="42" fillId="5" borderId="0" xfId="3" applyFont="1" applyFill="1" applyBorder="1" applyAlignment="1">
      <alignment horizontal="left" vertical="center"/>
    </xf>
    <xf numFmtId="0" fontId="42" fillId="5" borderId="0" xfId="3" applyFont="1" applyFill="1" applyBorder="1" applyAlignment="1">
      <alignment horizontal="left" vertical="center" wrapText="1"/>
    </xf>
    <xf numFmtId="0" fontId="88" fillId="5" borderId="0" xfId="3" applyFont="1" applyFill="1" applyBorder="1"/>
    <xf numFmtId="49" fontId="89" fillId="5" borderId="0" xfId="3" applyNumberFormat="1" applyFont="1" applyFill="1" applyBorder="1"/>
    <xf numFmtId="0" fontId="90" fillId="5" borderId="0" xfId="3" applyFont="1" applyFill="1" applyBorder="1"/>
    <xf numFmtId="0" fontId="91" fillId="5" borderId="0" xfId="0" applyFont="1" applyFill="1"/>
    <xf numFmtId="0" fontId="3" fillId="9" borderId="36" xfId="0" applyFont="1" applyFill="1" applyBorder="1" applyAlignment="1">
      <alignment vertical="center" wrapText="1"/>
    </xf>
    <xf numFmtId="0" fontId="3" fillId="9" borderId="37" xfId="0" applyFont="1" applyFill="1" applyBorder="1" applyAlignment="1">
      <alignment horizontal="center" vertical="center" wrapText="1"/>
    </xf>
    <xf numFmtId="0" fontId="3" fillId="9" borderId="38" xfId="0" applyFont="1" applyFill="1" applyBorder="1" applyAlignment="1">
      <alignment horizontal="center" vertical="center" wrapText="1"/>
    </xf>
    <xf numFmtId="0" fontId="4" fillId="7" borderId="36" xfId="0" applyFont="1" applyFill="1" applyBorder="1" applyAlignment="1">
      <alignment vertical="center"/>
    </xf>
    <xf numFmtId="0" fontId="5" fillId="7" borderId="37" xfId="0" applyFont="1" applyFill="1" applyBorder="1" applyAlignment="1">
      <alignment horizontal="right" vertical="center" wrapText="1"/>
    </xf>
    <xf numFmtId="0" fontId="5" fillId="7" borderId="38" xfId="0" applyFont="1" applyFill="1" applyBorder="1" applyAlignment="1">
      <alignment horizontal="right" vertical="center" wrapText="1"/>
    </xf>
    <xf numFmtId="0" fontId="4" fillId="7" borderId="36" xfId="0" applyFont="1" applyFill="1" applyBorder="1" applyAlignment="1">
      <alignment horizontal="left" vertical="center" wrapText="1" indent="4"/>
    </xf>
    <xf numFmtId="168" fontId="5" fillId="7" borderId="37" xfId="0" applyNumberFormat="1" applyFont="1" applyFill="1" applyBorder="1" applyAlignment="1">
      <alignment horizontal="right" vertical="center" wrapText="1"/>
    </xf>
    <xf numFmtId="168" fontId="5" fillId="5" borderId="37" xfId="0" applyNumberFormat="1" applyFont="1" applyFill="1" applyBorder="1" applyAlignment="1">
      <alignment horizontal="right" vertical="center" wrapText="1"/>
    </xf>
    <xf numFmtId="168" fontId="5" fillId="5" borderId="38" xfId="0" applyNumberFormat="1" applyFont="1" applyFill="1" applyBorder="1" applyAlignment="1">
      <alignment horizontal="right" vertical="center" wrapText="1"/>
    </xf>
    <xf numFmtId="168" fontId="4" fillId="7" borderId="37" xfId="0" applyNumberFormat="1" applyFont="1" applyFill="1" applyBorder="1" applyAlignment="1">
      <alignment horizontal="right" vertical="center" wrapText="1"/>
    </xf>
    <xf numFmtId="0" fontId="4" fillId="7" borderId="37" xfId="0" applyFont="1" applyFill="1" applyBorder="1" applyAlignment="1">
      <alignment horizontal="right" vertical="center" wrapText="1"/>
    </xf>
    <xf numFmtId="0" fontId="4" fillId="7" borderId="38" xfId="0" applyFont="1" applyFill="1" applyBorder="1" applyAlignment="1">
      <alignment horizontal="right" vertical="center" wrapText="1"/>
    </xf>
    <xf numFmtId="168" fontId="5" fillId="7" borderId="38" xfId="0" applyNumberFormat="1" applyFont="1" applyFill="1" applyBorder="1" applyAlignment="1">
      <alignment horizontal="right" vertical="center" wrapText="1"/>
    </xf>
    <xf numFmtId="0" fontId="0" fillId="5" borderId="38" xfId="0" applyFill="1" applyBorder="1"/>
    <xf numFmtId="0" fontId="92" fillId="7" borderId="0" xfId="0" applyFont="1" applyFill="1"/>
    <xf numFmtId="0" fontId="92" fillId="7" borderId="36" xfId="0" applyFont="1" applyFill="1" applyBorder="1"/>
    <xf numFmtId="168" fontId="92" fillId="7" borderId="37" xfId="0" applyNumberFormat="1" applyFont="1" applyFill="1" applyBorder="1"/>
    <xf numFmtId="168" fontId="92" fillId="7" borderId="38" xfId="0" applyNumberFormat="1" applyFont="1" applyFill="1" applyBorder="1"/>
    <xf numFmtId="0" fontId="55" fillId="5" borderId="45" xfId="0" applyFont="1" applyFill="1" applyBorder="1" applyAlignment="1">
      <alignment horizontal="left" vertical="center"/>
    </xf>
    <xf numFmtId="0" fontId="54" fillId="5" borderId="46" xfId="0" applyFont="1" applyFill="1" applyBorder="1" applyAlignment="1">
      <alignment horizontal="center" vertical="center"/>
    </xf>
    <xf numFmtId="0" fontId="55" fillId="5" borderId="47" xfId="0" applyFont="1" applyFill="1" applyBorder="1" applyAlignment="1">
      <alignment horizontal="left" vertical="center"/>
    </xf>
    <xf numFmtId="0" fontId="65" fillId="5" borderId="77" xfId="0" applyFont="1" applyFill="1" applyBorder="1" applyAlignment="1">
      <alignment horizontal="center" vertical="center"/>
    </xf>
    <xf numFmtId="0" fontId="65" fillId="5" borderId="48" xfId="0" applyFont="1" applyFill="1" applyBorder="1" applyAlignment="1">
      <alignment horizontal="center" vertical="center"/>
    </xf>
    <xf numFmtId="0" fontId="55" fillId="7" borderId="49" xfId="0" applyFont="1" applyFill="1" applyBorder="1" applyAlignment="1">
      <alignment horizontal="left" vertical="center"/>
    </xf>
    <xf numFmtId="0" fontId="65" fillId="7" borderId="50" xfId="0" applyFont="1" applyFill="1" applyBorder="1" applyAlignment="1">
      <alignment horizontal="center" vertical="center"/>
    </xf>
    <xf numFmtId="0" fontId="54" fillId="5" borderId="0" xfId="0" applyFont="1" applyFill="1"/>
    <xf numFmtId="0" fontId="14" fillId="5" borderId="0" xfId="0" applyFont="1" applyFill="1"/>
    <xf numFmtId="0" fontId="14" fillId="7" borderId="0" xfId="0" applyFont="1" applyFill="1"/>
    <xf numFmtId="164" fontId="54" fillId="7" borderId="37" xfId="0" applyNumberFormat="1" applyFont="1" applyFill="1" applyBorder="1" applyAlignment="1">
      <alignment horizontal="right" vertical="center" wrapText="1"/>
    </xf>
    <xf numFmtId="164" fontId="54" fillId="7" borderId="38" xfId="0" applyNumberFormat="1" applyFont="1" applyFill="1" applyBorder="1" applyAlignment="1">
      <alignment horizontal="right" vertical="center" wrapText="1"/>
    </xf>
    <xf numFmtId="171" fontId="0" fillId="5" borderId="0" xfId="1" applyNumberFormat="1" applyFont="1" applyFill="1"/>
    <xf numFmtId="9" fontId="0" fillId="5" borderId="0" xfId="1" applyFont="1" applyFill="1"/>
    <xf numFmtId="0" fontId="2" fillId="7" borderId="0" xfId="0" applyFont="1" applyFill="1"/>
    <xf numFmtId="0" fontId="53" fillId="5" borderId="0" xfId="0" applyFont="1" applyFill="1"/>
    <xf numFmtId="0" fontId="93" fillId="5" borderId="36" xfId="0" applyFont="1" applyFill="1" applyBorder="1" applyAlignment="1">
      <alignment vertical="center"/>
    </xf>
    <xf numFmtId="0" fontId="41" fillId="5" borderId="37" xfId="0" applyFont="1" applyFill="1" applyBorder="1" applyAlignment="1">
      <alignment horizontal="right" vertical="center" wrapText="1"/>
    </xf>
    <xf numFmtId="0" fontId="41" fillId="5" borderId="38" xfId="0" applyFont="1" applyFill="1" applyBorder="1" applyAlignment="1">
      <alignment horizontal="right" vertical="center" wrapText="1"/>
    </xf>
    <xf numFmtId="0" fontId="93" fillId="5" borderId="36" xfId="0" applyFont="1" applyFill="1" applyBorder="1" applyAlignment="1">
      <alignment horizontal="left" vertical="center"/>
    </xf>
    <xf numFmtId="168" fontId="41" fillId="5" borderId="37" xfId="0" applyNumberFormat="1" applyFont="1" applyFill="1" applyBorder="1" applyAlignment="1">
      <alignment horizontal="right" vertical="center" wrapText="1"/>
    </xf>
    <xf numFmtId="168" fontId="41" fillId="5" borderId="38" xfId="0" applyNumberFormat="1" applyFont="1" applyFill="1" applyBorder="1" applyAlignment="1">
      <alignment horizontal="right" vertical="center" wrapText="1"/>
    </xf>
    <xf numFmtId="0" fontId="93" fillId="5" borderId="37" xfId="0" applyFont="1" applyFill="1" applyBorder="1" applyAlignment="1">
      <alignment horizontal="center" vertical="center" wrapText="1"/>
    </xf>
    <xf numFmtId="168" fontId="93" fillId="5" borderId="37" xfId="0" applyNumberFormat="1" applyFont="1" applyFill="1" applyBorder="1" applyAlignment="1">
      <alignment horizontal="center" vertical="center" wrapText="1"/>
    </xf>
    <xf numFmtId="2" fontId="93" fillId="5" borderId="37" xfId="0" applyNumberFormat="1" applyFont="1" applyFill="1" applyBorder="1" applyAlignment="1">
      <alignment horizontal="center" vertical="center" wrapText="1"/>
    </xf>
    <xf numFmtId="2" fontId="93" fillId="5" borderId="38" xfId="0" applyNumberFormat="1" applyFont="1" applyFill="1" applyBorder="1" applyAlignment="1">
      <alignment horizontal="center" vertical="center" wrapText="1"/>
    </xf>
    <xf numFmtId="2" fontId="41" fillId="5" borderId="37" xfId="0" applyNumberFormat="1" applyFont="1" applyFill="1" applyBorder="1" applyAlignment="1">
      <alignment horizontal="right" vertical="center" wrapText="1"/>
    </xf>
    <xf numFmtId="0" fontId="4" fillId="9" borderId="36" xfId="0" applyFont="1" applyFill="1" applyBorder="1" applyAlignment="1">
      <alignment vertical="center" wrapText="1"/>
    </xf>
    <xf numFmtId="164" fontId="5" fillId="5" borderId="37" xfId="0" applyNumberFormat="1" applyFont="1" applyFill="1" applyBorder="1" applyAlignment="1">
      <alignment horizontal="right" vertical="center" wrapText="1"/>
    </xf>
    <xf numFmtId="164" fontId="5" fillId="5" borderId="38" xfId="0" applyNumberFormat="1" applyFont="1" applyFill="1" applyBorder="1" applyAlignment="1">
      <alignment horizontal="right" vertical="center" wrapText="1"/>
    </xf>
    <xf numFmtId="168" fontId="5" fillId="5" borderId="37" xfId="0" applyNumberFormat="1" applyFont="1" applyFill="1" applyBorder="1" applyAlignment="1">
      <alignment horizontal="center" vertical="center" wrapText="1"/>
    </xf>
    <xf numFmtId="168" fontId="5" fillId="5" borderId="38" xfId="0" applyNumberFormat="1" applyFont="1" applyFill="1" applyBorder="1" applyAlignment="1">
      <alignment horizontal="center" vertical="center" wrapText="1"/>
    </xf>
    <xf numFmtId="1" fontId="45" fillId="5" borderId="37" xfId="0" applyNumberFormat="1" applyFont="1" applyFill="1" applyBorder="1" applyAlignment="1">
      <alignment horizontal="center" vertical="center"/>
    </xf>
    <xf numFmtId="1" fontId="45" fillId="5" borderId="38" xfId="0" applyNumberFormat="1" applyFont="1" applyFill="1" applyBorder="1" applyAlignment="1">
      <alignment horizontal="center" vertical="center"/>
    </xf>
    <xf numFmtId="0" fontId="55" fillId="0" borderId="36" xfId="0" applyFont="1" applyBorder="1" applyAlignment="1">
      <alignment horizontal="left" vertical="center" wrapText="1"/>
    </xf>
    <xf numFmtId="0" fontId="54" fillId="0" borderId="37" xfId="0" applyFont="1" applyBorder="1" applyAlignment="1">
      <alignment horizontal="center" vertical="center"/>
    </xf>
    <xf numFmtId="1" fontId="45" fillId="0" borderId="37" xfId="0" applyNumberFormat="1" applyFont="1" applyBorder="1" applyAlignment="1">
      <alignment horizontal="center" vertical="center"/>
    </xf>
    <xf numFmtId="1" fontId="45" fillId="0" borderId="38" xfId="0" applyNumberFormat="1" applyFont="1" applyBorder="1" applyAlignment="1">
      <alignment horizontal="center" vertical="center"/>
    </xf>
    <xf numFmtId="0" fontId="2" fillId="8" borderId="0" xfId="0" applyFont="1" applyFill="1"/>
    <xf numFmtId="0" fontId="26" fillId="5" borderId="0" xfId="0" applyFont="1" applyFill="1" applyBorder="1" applyAlignment="1">
      <alignment horizontal="right" vertical="center" wrapText="1"/>
    </xf>
    <xf numFmtId="0" fontId="22" fillId="5" borderId="0" xfId="0" applyFont="1" applyFill="1" applyAlignment="1">
      <alignment vertical="center"/>
    </xf>
    <xf numFmtId="3" fontId="45" fillId="5" borderId="37" xfId="0" applyNumberFormat="1" applyFont="1" applyFill="1" applyBorder="1" applyAlignment="1">
      <alignment horizontal="center" vertical="center"/>
    </xf>
    <xf numFmtId="3" fontId="45" fillId="5" borderId="38" xfId="0" applyNumberFormat="1" applyFont="1" applyFill="1" applyBorder="1" applyAlignment="1">
      <alignment horizontal="center" vertical="center"/>
    </xf>
    <xf numFmtId="0" fontId="0" fillId="7" borderId="77" xfId="0" applyFont="1" applyFill="1" applyBorder="1"/>
    <xf numFmtId="0" fontId="22" fillId="5" borderId="0" xfId="0" applyFont="1" applyFill="1" applyBorder="1" applyAlignment="1">
      <alignment vertical="center"/>
    </xf>
    <xf numFmtId="0" fontId="5" fillId="5" borderId="37" xfId="0" applyFont="1" applyFill="1" applyBorder="1" applyAlignment="1">
      <alignment horizontal="right" vertical="center" wrapText="1"/>
    </xf>
    <xf numFmtId="0" fontId="5" fillId="5" borderId="38" xfId="0" applyFont="1" applyFill="1" applyBorder="1" applyAlignment="1">
      <alignment horizontal="right" vertical="center" wrapText="1"/>
    </xf>
    <xf numFmtId="0" fontId="4" fillId="5" borderId="36" xfId="0" applyFont="1" applyFill="1" applyBorder="1" applyAlignment="1">
      <alignment horizontal="left" vertical="center" wrapText="1" indent="4"/>
    </xf>
    <xf numFmtId="168" fontId="4" fillId="5" borderId="37" xfId="0" applyNumberFormat="1" applyFont="1" applyFill="1" applyBorder="1" applyAlignment="1">
      <alignment horizontal="right" vertical="center" wrapText="1"/>
    </xf>
    <xf numFmtId="168" fontId="4" fillId="5" borderId="38" xfId="0" applyNumberFormat="1" applyFont="1" applyFill="1" applyBorder="1" applyAlignment="1">
      <alignment horizontal="right" vertical="center" wrapText="1"/>
    </xf>
    <xf numFmtId="3" fontId="54" fillId="10" borderId="37" xfId="0" applyNumberFormat="1" applyFont="1" applyFill="1" applyBorder="1" applyAlignment="1">
      <alignment horizontal="center" vertical="center" wrapText="1"/>
    </xf>
    <xf numFmtId="3" fontId="54" fillId="10" borderId="38" xfId="0" applyNumberFormat="1" applyFont="1" applyFill="1" applyBorder="1" applyAlignment="1">
      <alignment horizontal="center" vertical="center" wrapText="1"/>
    </xf>
    <xf numFmtId="164" fontId="0" fillId="5" borderId="0" xfId="1" applyNumberFormat="1" applyFont="1" applyFill="1" applyBorder="1" applyAlignment="1" applyProtection="1">
      <alignment horizontal="center" vertical="center"/>
    </xf>
    <xf numFmtId="169" fontId="0" fillId="5" borderId="0" xfId="0" applyNumberFormat="1" applyFill="1" applyBorder="1"/>
    <xf numFmtId="43" fontId="0" fillId="5" borderId="0" xfId="0" applyNumberFormat="1" applyFill="1" applyBorder="1"/>
    <xf numFmtId="0" fontId="0" fillId="8" borderId="0" xfId="0" applyFill="1" applyBorder="1"/>
    <xf numFmtId="0" fontId="3" fillId="16" borderId="0" xfId="0" applyFont="1" applyFill="1" applyBorder="1" applyAlignment="1">
      <alignment horizontal="center" vertical="center" wrapText="1"/>
    </xf>
    <xf numFmtId="164" fontId="0" fillId="5" borderId="0" xfId="0" applyNumberFormat="1" applyFill="1" applyBorder="1"/>
    <xf numFmtId="0" fontId="0" fillId="7" borderId="0" xfId="0" applyFill="1" applyBorder="1" applyAlignment="1">
      <alignment horizontal="center" vertical="center"/>
    </xf>
    <xf numFmtId="0" fontId="1" fillId="7" borderId="0" xfId="0" applyFont="1" applyFill="1" applyBorder="1"/>
    <xf numFmtId="0" fontId="27" fillId="5" borderId="0" xfId="4" applyFill="1"/>
    <xf numFmtId="0" fontId="35" fillId="17" borderId="0" xfId="4" applyFont="1" applyFill="1"/>
    <xf numFmtId="0" fontId="27" fillId="17" borderId="0" xfId="4" applyFill="1"/>
    <xf numFmtId="0" fontId="34" fillId="18" borderId="0" xfId="4" applyFont="1" applyFill="1"/>
    <xf numFmtId="0" fontId="27" fillId="18" borderId="0" xfId="4" applyFill="1"/>
    <xf numFmtId="0" fontId="37" fillId="18" borderId="0" xfId="4" applyFont="1" applyFill="1"/>
    <xf numFmtId="0" fontId="28" fillId="5" borderId="0" xfId="4" applyFont="1" applyFill="1"/>
    <xf numFmtId="0" fontId="27" fillId="5" borderId="36" xfId="4" applyFill="1" applyBorder="1"/>
    <xf numFmtId="0" fontId="27" fillId="5" borderId="37" xfId="4" applyFill="1" applyBorder="1"/>
    <xf numFmtId="0" fontId="28" fillId="18" borderId="36" xfId="4" applyFont="1" applyFill="1" applyBorder="1" applyAlignment="1">
      <alignment vertical="center"/>
    </xf>
    <xf numFmtId="9" fontId="27" fillId="18" borderId="37" xfId="4" applyNumberFormat="1" applyFont="1" applyFill="1" applyBorder="1" applyAlignment="1">
      <alignment horizontal="right" vertical="center"/>
    </xf>
    <xf numFmtId="9" fontId="27" fillId="18" borderId="38" xfId="4" applyNumberFormat="1" applyFont="1" applyFill="1" applyBorder="1" applyAlignment="1">
      <alignment horizontal="right" vertical="center"/>
    </xf>
    <xf numFmtId="0" fontId="28" fillId="5" borderId="36" xfId="4" applyFont="1" applyFill="1" applyBorder="1" applyAlignment="1">
      <alignment vertical="center"/>
    </xf>
    <xf numFmtId="9" fontId="27" fillId="5" borderId="37" xfId="4" applyNumberFormat="1" applyFont="1" applyFill="1" applyBorder="1" applyAlignment="1">
      <alignment horizontal="right" vertical="center"/>
    </xf>
    <xf numFmtId="9" fontId="27" fillId="5" borderId="38" xfId="4" applyNumberFormat="1" applyFont="1" applyFill="1" applyBorder="1" applyAlignment="1">
      <alignment horizontal="right" vertical="center"/>
    </xf>
    <xf numFmtId="9" fontId="28" fillId="18" borderId="37" xfId="4" applyNumberFormat="1" applyFont="1" applyFill="1" applyBorder="1" applyAlignment="1">
      <alignment horizontal="right" vertical="center"/>
    </xf>
    <xf numFmtId="9" fontId="28" fillId="18" borderId="38" xfId="4" applyNumberFormat="1" applyFont="1" applyFill="1" applyBorder="1" applyAlignment="1">
      <alignment horizontal="right" vertical="center"/>
    </xf>
    <xf numFmtId="0" fontId="64" fillId="19" borderId="39" xfId="4" applyFont="1" applyFill="1" applyBorder="1" applyAlignment="1">
      <alignment vertical="center"/>
    </xf>
    <xf numFmtId="0" fontId="46" fillId="20" borderId="39" xfId="4" applyFont="1" applyFill="1" applyBorder="1" applyAlignment="1">
      <alignment horizontal="center" vertical="center"/>
    </xf>
    <xf numFmtId="0" fontId="77" fillId="20" borderId="39" xfId="4" applyFont="1" applyFill="1" applyBorder="1" applyAlignment="1">
      <alignment horizontal="center" vertical="center"/>
    </xf>
    <xf numFmtId="0" fontId="77" fillId="6" borderId="39" xfId="4" applyFont="1" applyFill="1" applyBorder="1" applyAlignment="1">
      <alignment horizontal="center" vertical="center" wrapText="1"/>
    </xf>
    <xf numFmtId="0" fontId="97" fillId="6" borderId="36" xfId="4" applyFont="1" applyFill="1" applyBorder="1"/>
    <xf numFmtId="0" fontId="97" fillId="6" borderId="37" xfId="4" applyFont="1" applyFill="1" applyBorder="1"/>
    <xf numFmtId="0" fontId="97" fillId="6" borderId="38" xfId="4" applyFont="1" applyFill="1" applyBorder="1"/>
    <xf numFmtId="0" fontId="95" fillId="6" borderId="36" xfId="4" applyFont="1" applyFill="1" applyBorder="1"/>
    <xf numFmtId="9" fontId="96" fillId="6" borderId="37" xfId="4" applyNumberFormat="1" applyFont="1" applyFill="1" applyBorder="1"/>
    <xf numFmtId="9" fontId="96" fillId="6" borderId="38" xfId="4" applyNumberFormat="1" applyFont="1" applyFill="1" applyBorder="1"/>
    <xf numFmtId="9" fontId="27" fillId="5" borderId="37" xfId="4" applyNumberFormat="1" applyFont="1" applyFill="1" applyBorder="1"/>
    <xf numFmtId="9" fontId="27" fillId="5" borderId="38" xfId="4" applyNumberFormat="1" applyFont="1" applyFill="1" applyBorder="1"/>
    <xf numFmtId="9" fontId="27" fillId="5" borderId="37" xfId="1" applyFont="1" applyFill="1" applyBorder="1"/>
    <xf numFmtId="9" fontId="27" fillId="5" borderId="38" xfId="1" applyFont="1" applyFill="1" applyBorder="1"/>
    <xf numFmtId="2" fontId="27" fillId="5" borderId="38" xfId="4" applyNumberFormat="1" applyFill="1" applyBorder="1"/>
    <xf numFmtId="0" fontId="27" fillId="21" borderId="28" xfId="4" applyFill="1" applyBorder="1"/>
    <xf numFmtId="0" fontId="27" fillId="21" borderId="29" xfId="4" applyFill="1" applyBorder="1"/>
    <xf numFmtId="0" fontId="27" fillId="5" borderId="29" xfId="4" applyFill="1" applyBorder="1"/>
    <xf numFmtId="0" fontId="27" fillId="5" borderId="6" xfId="4" applyFill="1" applyBorder="1"/>
    <xf numFmtId="0" fontId="27" fillId="5" borderId="30" xfId="4" applyFill="1" applyBorder="1"/>
    <xf numFmtId="0" fontId="28" fillId="5" borderId="0" xfId="4" applyFont="1" applyFill="1" applyAlignment="1">
      <alignment horizontal="center"/>
    </xf>
    <xf numFmtId="0" fontId="28" fillId="21" borderId="0" xfId="4" applyFont="1" applyFill="1" applyAlignment="1">
      <alignment horizontal="center"/>
    </xf>
    <xf numFmtId="0" fontId="27" fillId="21" borderId="27" xfId="4" applyFill="1" applyBorder="1"/>
    <xf numFmtId="0" fontId="38" fillId="5" borderId="0" xfId="4" applyFont="1" applyFill="1"/>
    <xf numFmtId="0" fontId="0" fillId="5" borderId="27" xfId="0" applyFill="1" applyBorder="1"/>
    <xf numFmtId="0" fontId="37" fillId="5" borderId="0" xfId="4" applyFont="1" applyFill="1"/>
    <xf numFmtId="0" fontId="27" fillId="5" borderId="27" xfId="4" applyFill="1" applyBorder="1"/>
    <xf numFmtId="0" fontId="27" fillId="5" borderId="0" xfId="4" applyFill="1" applyBorder="1"/>
    <xf numFmtId="0" fontId="27" fillId="5" borderId="31" xfId="4" applyFill="1" applyBorder="1"/>
    <xf numFmtId="0" fontId="39" fillId="5" borderId="0" xfId="4" applyFont="1" applyFill="1" applyBorder="1" applyAlignment="1">
      <alignment horizontal="center" vertical="center" wrapText="1"/>
    </xf>
    <xf numFmtId="0" fontId="39" fillId="5" borderId="0" xfId="4" applyFont="1" applyFill="1" applyBorder="1" applyAlignment="1">
      <alignment horizontal="left" wrapText="1"/>
    </xf>
    <xf numFmtId="9" fontId="27" fillId="5" borderId="0" xfId="6" applyFont="1" applyFill="1" applyBorder="1" applyAlignment="1" applyProtection="1"/>
    <xf numFmtId="9" fontId="27" fillId="5" borderId="0" xfId="4" applyNumberFormat="1" applyFill="1" applyBorder="1"/>
    <xf numFmtId="0" fontId="0" fillId="21" borderId="0" xfId="0" applyFill="1"/>
    <xf numFmtId="0" fontId="0" fillId="5" borderId="31" xfId="0" applyFill="1" applyBorder="1"/>
    <xf numFmtId="0" fontId="40" fillId="5" borderId="0" xfId="0" applyFont="1" applyFill="1" applyBorder="1" applyAlignment="1"/>
    <xf numFmtId="0" fontId="98" fillId="5" borderId="36" xfId="0" applyFont="1" applyFill="1" applyBorder="1" applyAlignment="1">
      <alignment wrapText="1"/>
    </xf>
    <xf numFmtId="0" fontId="27" fillId="6" borderId="36" xfId="4" applyFill="1" applyBorder="1"/>
    <xf numFmtId="0" fontId="40" fillId="22" borderId="37" xfId="4" applyFont="1" applyFill="1" applyBorder="1" applyAlignment="1">
      <alignment horizontal="center" vertical="center"/>
    </xf>
    <xf numFmtId="0" fontId="40" fillId="22" borderId="38" xfId="4" applyFont="1" applyFill="1" applyBorder="1" applyAlignment="1">
      <alignment horizontal="center" vertical="center"/>
    </xf>
    <xf numFmtId="168" fontId="0" fillId="5" borderId="37" xfId="0" applyNumberFormat="1" applyFill="1" applyBorder="1" applyAlignment="1">
      <alignment horizontal="center" vertical="center"/>
    </xf>
    <xf numFmtId="168" fontId="0" fillId="21" borderId="38" xfId="0" applyNumberFormat="1" applyFill="1" applyBorder="1" applyAlignment="1">
      <alignment horizontal="center" vertical="center"/>
    </xf>
    <xf numFmtId="0" fontId="95" fillId="20" borderId="36" xfId="0" applyFont="1" applyFill="1" applyBorder="1" applyAlignment="1">
      <alignment horizontal="center" vertical="center" wrapText="1"/>
    </xf>
    <xf numFmtId="0" fontId="99" fillId="22" borderId="37" xfId="0" applyFont="1" applyFill="1" applyBorder="1" applyAlignment="1">
      <alignment horizontal="center" vertical="center"/>
    </xf>
    <xf numFmtId="0" fontId="99" fillId="22" borderId="38" xfId="0" applyFont="1" applyFill="1" applyBorder="1" applyAlignment="1">
      <alignment horizontal="center" vertical="center"/>
    </xf>
    <xf numFmtId="0" fontId="28" fillId="21" borderId="36" xfId="0" applyFont="1" applyFill="1" applyBorder="1" applyAlignment="1">
      <alignment vertical="center" wrapText="1"/>
    </xf>
    <xf numFmtId="0" fontId="27" fillId="21" borderId="0" xfId="4" applyFill="1"/>
    <xf numFmtId="0" fontId="28" fillId="21" borderId="0" xfId="0" applyFont="1" applyFill="1"/>
    <xf numFmtId="2" fontId="18" fillId="5" borderId="37" xfId="6" applyNumberFormat="1" applyFont="1" applyFill="1" applyBorder="1" applyAlignment="1" applyProtection="1">
      <alignment horizontal="center" vertical="center" wrapText="1"/>
    </xf>
    <xf numFmtId="2" fontId="18" fillId="5" borderId="38" xfId="6" applyNumberFormat="1" applyFont="1" applyFill="1" applyBorder="1" applyAlignment="1" applyProtection="1">
      <alignment horizontal="center" vertical="center" wrapText="1"/>
    </xf>
    <xf numFmtId="9" fontId="18" fillId="5" borderId="37" xfId="1" applyFont="1" applyFill="1" applyBorder="1" applyAlignment="1" applyProtection="1">
      <alignment horizontal="center" vertical="center" wrapText="1"/>
    </xf>
    <xf numFmtId="9" fontId="18" fillId="5" borderId="38" xfId="1" applyFont="1" applyFill="1" applyBorder="1" applyAlignment="1" applyProtection="1">
      <alignment horizontal="center" vertical="center" wrapText="1"/>
    </xf>
    <xf numFmtId="0" fontId="39" fillId="5" borderId="0" xfId="4" applyFont="1" applyFill="1"/>
    <xf numFmtId="2" fontId="27" fillId="5" borderId="27" xfId="6" applyNumberFormat="1" applyFont="1" applyFill="1" applyBorder="1" applyAlignment="1" applyProtection="1"/>
    <xf numFmtId="0" fontId="27" fillId="5" borderId="27" xfId="4" applyFont="1" applyFill="1" applyBorder="1"/>
    <xf numFmtId="0" fontId="27" fillId="23" borderId="0" xfId="4" applyFill="1"/>
    <xf numFmtId="0" fontId="0" fillId="23" borderId="0" xfId="0" applyFill="1"/>
    <xf numFmtId="0" fontId="28" fillId="5" borderId="0" xfId="0" applyFont="1" applyFill="1"/>
    <xf numFmtId="0" fontId="39" fillId="22" borderId="78" xfId="4" applyFont="1" applyFill="1" applyBorder="1" applyAlignment="1">
      <alignment horizontal="center"/>
    </xf>
    <xf numFmtId="0" fontId="39" fillId="22" borderId="79" xfId="4" applyFont="1" applyFill="1" applyBorder="1" applyAlignment="1">
      <alignment horizontal="center"/>
    </xf>
    <xf numFmtId="0" fontId="39" fillId="22" borderId="80" xfId="4" applyFont="1" applyFill="1" applyBorder="1" applyAlignment="1">
      <alignment horizontal="center"/>
    </xf>
    <xf numFmtId="0" fontId="0" fillId="5" borderId="25" xfId="0" applyFill="1" applyBorder="1" applyAlignment="1">
      <alignment horizontal="center"/>
    </xf>
    <xf numFmtId="173" fontId="0" fillId="5" borderId="25" xfId="0" applyNumberFormat="1" applyFill="1" applyBorder="1" applyAlignment="1">
      <alignment horizontal="center"/>
    </xf>
    <xf numFmtId="0" fontId="27" fillId="0" borderId="25" xfId="4" applyBorder="1" applyAlignment="1">
      <alignment horizontal="center"/>
    </xf>
    <xf numFmtId="2" fontId="27" fillId="0" borderId="25" xfId="4" applyNumberFormat="1" applyBorder="1" applyAlignment="1">
      <alignment horizontal="center"/>
    </xf>
    <xf numFmtId="1" fontId="27" fillId="0" borderId="25" xfId="6" applyNumberFormat="1" applyFont="1" applyBorder="1" applyAlignment="1" applyProtection="1">
      <alignment horizontal="center"/>
    </xf>
    <xf numFmtId="2" fontId="27" fillId="0" borderId="25" xfId="6" applyNumberFormat="1" applyFont="1" applyBorder="1" applyAlignment="1" applyProtection="1">
      <alignment horizontal="center"/>
    </xf>
    <xf numFmtId="0" fontId="27" fillId="0" borderId="25" xfId="4" applyFont="1" applyBorder="1" applyAlignment="1">
      <alignment horizontal="center"/>
    </xf>
    <xf numFmtId="2" fontId="27" fillId="0" borderId="25" xfId="4" applyNumberFormat="1" applyFont="1" applyBorder="1" applyAlignment="1">
      <alignment horizontal="center"/>
    </xf>
    <xf numFmtId="167" fontId="0" fillId="5" borderId="25" xfId="0" applyNumberFormat="1" applyFill="1" applyBorder="1" applyAlignment="1">
      <alignment horizontal="center"/>
    </xf>
    <xf numFmtId="0" fontId="27" fillId="5" borderId="0" xfId="4" applyFill="1" applyAlignment="1">
      <alignment horizontal="center"/>
    </xf>
    <xf numFmtId="0" fontId="37" fillId="18" borderId="0" xfId="4" applyFont="1" applyFill="1" applyAlignment="1">
      <alignment horizontal="center"/>
    </xf>
    <xf numFmtId="0" fontId="37" fillId="5" borderId="0" xfId="4" applyFont="1" applyFill="1" applyAlignment="1">
      <alignment horizontal="center"/>
    </xf>
    <xf numFmtId="9" fontId="0" fillId="5" borderId="25" xfId="1" applyFont="1" applyFill="1" applyBorder="1" applyAlignment="1">
      <alignment horizontal="center"/>
    </xf>
    <xf numFmtId="164" fontId="27" fillId="0" borderId="25" xfId="1" applyNumberFormat="1" applyFont="1" applyBorder="1" applyAlignment="1">
      <alignment horizontal="center"/>
    </xf>
    <xf numFmtId="164" fontId="27" fillId="0" borderId="25" xfId="1" applyNumberFormat="1" applyFont="1" applyBorder="1" applyAlignment="1" applyProtection="1">
      <alignment horizontal="center"/>
    </xf>
    <xf numFmtId="9" fontId="28" fillId="5" borderId="0" xfId="0" applyNumberFormat="1" applyFont="1" applyFill="1" applyBorder="1"/>
    <xf numFmtId="0" fontId="0" fillId="21" borderId="27" xfId="0" applyFill="1" applyBorder="1"/>
    <xf numFmtId="164" fontId="28" fillId="5" borderId="0" xfId="0" applyNumberFormat="1" applyFont="1" applyFill="1" applyBorder="1"/>
    <xf numFmtId="0" fontId="0" fillId="21" borderId="0" xfId="0" applyFill="1" applyBorder="1"/>
    <xf numFmtId="0" fontId="16" fillId="5" borderId="0" xfId="4" applyFont="1" applyFill="1"/>
    <xf numFmtId="0" fontId="39" fillId="22" borderId="58" xfId="4" applyFont="1" applyFill="1" applyBorder="1" applyAlignment="1">
      <alignment horizontal="center" vertical="center" wrapText="1"/>
    </xf>
    <xf numFmtId="0" fontId="39" fillId="22" borderId="58" xfId="4" applyFont="1" applyFill="1" applyBorder="1" applyAlignment="1">
      <alignment horizontal="left" wrapText="1"/>
    </xf>
    <xf numFmtId="0" fontId="39" fillId="22" borderId="58" xfId="0" applyFont="1" applyFill="1" applyBorder="1" applyAlignment="1">
      <alignment horizontal="center" vertical="center" wrapText="1"/>
    </xf>
    <xf numFmtId="0" fontId="39" fillId="22" borderId="58" xfId="0" applyFont="1" applyFill="1" applyBorder="1" applyAlignment="1">
      <alignment horizontal="left" wrapText="1"/>
    </xf>
    <xf numFmtId="1" fontId="23" fillId="11" borderId="37" xfId="11" applyNumberFormat="1" applyFont="1" applyFill="1" applyBorder="1" applyAlignment="1">
      <alignment horizontal="center"/>
    </xf>
    <xf numFmtId="1" fontId="23" fillId="11" borderId="38" xfId="11" applyNumberFormat="1" applyFont="1" applyFill="1" applyBorder="1" applyAlignment="1">
      <alignment horizontal="center"/>
    </xf>
    <xf numFmtId="0" fontId="100" fillId="6" borderId="36" xfId="4" applyFont="1" applyFill="1" applyBorder="1"/>
    <xf numFmtId="0" fontId="101" fillId="22" borderId="38" xfId="4" applyFont="1" applyFill="1" applyBorder="1" applyAlignment="1"/>
    <xf numFmtId="0" fontId="101" fillId="22" borderId="37" xfId="4" applyFont="1" applyFill="1" applyBorder="1" applyAlignment="1"/>
    <xf numFmtId="1" fontId="100" fillId="5" borderId="37" xfId="4" applyNumberFormat="1" applyFont="1" applyFill="1" applyBorder="1"/>
    <xf numFmtId="1" fontId="100" fillId="5" borderId="38" xfId="4" applyNumberFormat="1" applyFont="1" applyFill="1" applyBorder="1"/>
    <xf numFmtId="0" fontId="102" fillId="5" borderId="36" xfId="4" applyFont="1" applyFill="1" applyBorder="1"/>
    <xf numFmtId="0" fontId="102" fillId="0" borderId="36" xfId="0" applyFont="1" applyBorder="1" applyAlignment="1">
      <alignment horizontal="justify" vertical="center"/>
    </xf>
    <xf numFmtId="1" fontId="52" fillId="5" borderId="37" xfId="4" applyNumberFormat="1" applyFont="1" applyFill="1" applyBorder="1" applyAlignment="1">
      <alignment horizontal="center"/>
    </xf>
    <xf numFmtId="2" fontId="52" fillId="0" borderId="37" xfId="0" applyNumberFormat="1" applyFont="1" applyBorder="1" applyAlignment="1">
      <alignment horizontal="center" vertical="center"/>
    </xf>
    <xf numFmtId="2" fontId="52" fillId="0" borderId="38" xfId="0" applyNumberFormat="1" applyFont="1" applyBorder="1" applyAlignment="1">
      <alignment horizontal="center" vertical="center"/>
    </xf>
    <xf numFmtId="0" fontId="46" fillId="6" borderId="36" xfId="4" applyFont="1" applyFill="1" applyBorder="1"/>
    <xf numFmtId="0" fontId="46" fillId="22" borderId="37" xfId="4" applyFont="1" applyFill="1" applyBorder="1" applyAlignment="1">
      <alignment horizontal="center"/>
    </xf>
    <xf numFmtId="0" fontId="46" fillId="22" borderId="38" xfId="4" applyFont="1" applyFill="1" applyBorder="1" applyAlignment="1">
      <alignment horizontal="center"/>
    </xf>
    <xf numFmtId="0" fontId="1" fillId="0" borderId="0" xfId="0" applyFont="1"/>
    <xf numFmtId="0" fontId="0" fillId="0" borderId="0" xfId="0" applyFill="1"/>
    <xf numFmtId="0" fontId="19" fillId="0" borderId="0" xfId="0" applyFont="1" applyAlignment="1">
      <alignment vertical="center" wrapText="1"/>
    </xf>
    <xf numFmtId="0" fontId="1" fillId="0" borderId="0" xfId="0" applyFont="1" applyAlignment="1">
      <alignment wrapText="1"/>
    </xf>
    <xf numFmtId="0" fontId="19" fillId="0" borderId="0" xfId="0" applyFont="1" applyAlignment="1">
      <alignment horizontal="left" wrapText="1"/>
    </xf>
    <xf numFmtId="0" fontId="0" fillId="0" borderId="0" xfId="0" applyAlignment="1">
      <alignment vertical="center" wrapText="1"/>
    </xf>
    <xf numFmtId="0" fontId="0" fillId="0" borderId="0" xfId="0" applyAlignment="1">
      <alignment horizontal="left" wrapText="1"/>
    </xf>
    <xf numFmtId="0" fontId="20" fillId="0" borderId="0" xfId="0" applyFont="1" applyAlignment="1">
      <alignment vertical="center" wrapText="1"/>
    </xf>
    <xf numFmtId="0" fontId="0" fillId="0" borderId="0" xfId="0" applyAlignment="1">
      <alignment vertical="center"/>
    </xf>
    <xf numFmtId="0" fontId="103" fillId="0" borderId="0" xfId="0" applyFont="1" applyFill="1"/>
    <xf numFmtId="0" fontId="0" fillId="0" borderId="0" xfId="0" applyFont="1" applyAlignment="1">
      <alignment wrapText="1"/>
    </xf>
    <xf numFmtId="0" fontId="104" fillId="25" borderId="32" xfId="0" applyFont="1" applyFill="1" applyBorder="1" applyAlignment="1">
      <alignment horizontal="center" vertical="center" wrapText="1"/>
    </xf>
    <xf numFmtId="0" fontId="104" fillId="25" borderId="34" xfId="0" applyFont="1" applyFill="1" applyBorder="1" applyAlignment="1">
      <alignment horizontal="center" vertical="center" wrapText="1"/>
    </xf>
    <xf numFmtId="164" fontId="0" fillId="24" borderId="0" xfId="1" applyNumberFormat="1" applyFont="1" applyFill="1"/>
    <xf numFmtId="0" fontId="105" fillId="0" borderId="0" xfId="0" applyFont="1" applyFill="1" applyAlignment="1">
      <alignment horizontal="center"/>
    </xf>
    <xf numFmtId="0" fontId="105" fillId="0" borderId="26" xfId="0" applyFont="1" applyFill="1" applyBorder="1" applyAlignment="1">
      <alignment horizontal="center" vertical="center"/>
    </xf>
    <xf numFmtId="0" fontId="98" fillId="30" borderId="58" xfId="0" applyFont="1" applyFill="1" applyBorder="1" applyAlignment="1">
      <alignment horizontal="center" vertical="center" wrapText="1"/>
    </xf>
    <xf numFmtId="0" fontId="107" fillId="0" borderId="0" xfId="0" applyFont="1" applyFill="1" applyBorder="1" applyAlignment="1">
      <alignment horizontal="center" vertical="center" wrapText="1"/>
    </xf>
    <xf numFmtId="0" fontId="98" fillId="30" borderId="85" xfId="0" applyFont="1" applyFill="1" applyBorder="1" applyAlignment="1">
      <alignment horizontal="center" vertical="center" wrapText="1"/>
    </xf>
    <xf numFmtId="0" fontId="98" fillId="30" borderId="86" xfId="0" applyFont="1" applyFill="1" applyBorder="1" applyAlignment="1">
      <alignment horizontal="center" vertical="center" wrapText="1"/>
    </xf>
    <xf numFmtId="0" fontId="98" fillId="30" borderId="87" xfId="0" applyFont="1" applyFill="1" applyBorder="1" applyAlignment="1">
      <alignment horizontal="center" vertical="center" wrapText="1"/>
    </xf>
    <xf numFmtId="0" fontId="98" fillId="11" borderId="58" xfId="0" applyFont="1" applyFill="1" applyBorder="1" applyAlignment="1">
      <alignment horizontal="center" vertical="center" wrapText="1"/>
    </xf>
    <xf numFmtId="0" fontId="98" fillId="30" borderId="77" xfId="0" applyFont="1" applyFill="1" applyBorder="1" applyAlignment="1">
      <alignment horizontal="center" vertical="center" wrapText="1"/>
    </xf>
    <xf numFmtId="0" fontId="98" fillId="30" borderId="88" xfId="0" applyFont="1" applyFill="1" applyBorder="1" applyAlignment="1">
      <alignment horizontal="center" vertical="center" wrapText="1"/>
    </xf>
    <xf numFmtId="0" fontId="98" fillId="30" borderId="26" xfId="0" applyFont="1" applyFill="1" applyBorder="1" applyAlignment="1">
      <alignment horizontal="center" vertical="center" wrapText="1"/>
    </xf>
    <xf numFmtId="0" fontId="98" fillId="30" borderId="89" xfId="0" applyFont="1" applyFill="1" applyBorder="1" applyAlignment="1">
      <alignment horizontal="center" vertical="center" wrapText="1"/>
    </xf>
    <xf numFmtId="0" fontId="98" fillId="30" borderId="90" xfId="0" applyFont="1" applyFill="1" applyBorder="1" applyAlignment="1">
      <alignment horizontal="center" vertical="center" wrapText="1"/>
    </xf>
    <xf numFmtId="0" fontId="98" fillId="0" borderId="0" xfId="0" applyFont="1" applyFill="1" applyBorder="1" applyAlignment="1">
      <alignment horizontal="center" vertical="center"/>
    </xf>
    <xf numFmtId="0" fontId="98" fillId="0" borderId="0" xfId="0" applyFont="1" applyFill="1" applyBorder="1" applyAlignment="1">
      <alignment horizontal="center" vertical="center" wrapText="1"/>
    </xf>
    <xf numFmtId="0" fontId="98" fillId="31" borderId="0" xfId="0" applyFont="1" applyFill="1" applyBorder="1" applyAlignment="1">
      <alignment horizontal="center" vertical="center" wrapText="1"/>
    </xf>
    <xf numFmtId="9" fontId="98" fillId="31" borderId="0" xfId="0" applyNumberFormat="1" applyFont="1" applyFill="1" applyBorder="1" applyAlignment="1">
      <alignment horizontal="center" vertical="center" wrapText="1"/>
    </xf>
    <xf numFmtId="0" fontId="98" fillId="32" borderId="0" xfId="0" applyFont="1" applyFill="1" applyBorder="1" applyAlignment="1">
      <alignment horizontal="center" vertical="center" wrapText="1"/>
    </xf>
    <xf numFmtId="9" fontId="98" fillId="32" borderId="0" xfId="0" applyNumberFormat="1" applyFont="1" applyFill="1" applyBorder="1" applyAlignment="1">
      <alignment horizontal="center" vertical="center" wrapText="1"/>
    </xf>
    <xf numFmtId="0" fontId="98" fillId="29" borderId="0" xfId="0" applyFont="1" applyFill="1" applyBorder="1" applyAlignment="1">
      <alignment horizontal="center" vertical="center" wrapText="1"/>
    </xf>
    <xf numFmtId="0" fontId="0" fillId="29" borderId="87" xfId="0" applyFill="1" applyBorder="1"/>
    <xf numFmtId="167" fontId="0" fillId="0" borderId="91" xfId="0" applyNumberFormat="1" applyFill="1" applyBorder="1"/>
    <xf numFmtId="167" fontId="0" fillId="0" borderId="0" xfId="0" applyNumberFormat="1" applyFill="1"/>
    <xf numFmtId="10" fontId="0" fillId="0" borderId="91" xfId="0" applyNumberFormat="1" applyFill="1" applyBorder="1"/>
    <xf numFmtId="10" fontId="0" fillId="0" borderId="92" xfId="0" applyNumberFormat="1" applyFill="1" applyBorder="1"/>
    <xf numFmtId="167" fontId="0" fillId="0" borderId="92" xfId="0" applyNumberFormat="1" applyFill="1" applyBorder="1"/>
    <xf numFmtId="0" fontId="0" fillId="33" borderId="26" xfId="0" applyFill="1" applyBorder="1"/>
    <xf numFmtId="9" fontId="0" fillId="33" borderId="83" xfId="0" applyNumberFormat="1" applyFill="1" applyBorder="1"/>
    <xf numFmtId="43" fontId="8" fillId="33" borderId="84" xfId="16" applyFill="1" applyBorder="1"/>
    <xf numFmtId="175" fontId="8" fillId="0" borderId="0" xfId="16" applyNumberFormat="1" applyFill="1"/>
    <xf numFmtId="1" fontId="0" fillId="0" borderId="91" xfId="0" applyNumberFormat="1" applyFill="1" applyBorder="1"/>
    <xf numFmtId="1" fontId="0" fillId="0" borderId="92" xfId="0" applyNumberFormat="1" applyFill="1" applyBorder="1"/>
    <xf numFmtId="0" fontId="0" fillId="29" borderId="75" xfId="0" applyFill="1" applyBorder="1"/>
    <xf numFmtId="10" fontId="0" fillId="0" borderId="0" xfId="0" applyNumberFormat="1" applyFill="1" applyBorder="1"/>
    <xf numFmtId="10" fontId="0" fillId="0" borderId="31" xfId="0" applyNumberFormat="1" applyFill="1" applyBorder="1"/>
    <xf numFmtId="167" fontId="0" fillId="0" borderId="0" xfId="0" applyNumberFormat="1" applyFill="1" applyBorder="1"/>
    <xf numFmtId="167" fontId="0" fillId="0" borderId="31" xfId="0" applyNumberFormat="1" applyFill="1" applyBorder="1"/>
    <xf numFmtId="0" fontId="0" fillId="29" borderId="27" xfId="0" applyFill="1" applyBorder="1"/>
    <xf numFmtId="9" fontId="0" fillId="0" borderId="27" xfId="0" applyNumberFormat="1" applyFill="1" applyBorder="1"/>
    <xf numFmtId="0" fontId="0" fillId="0" borderId="31" xfId="0" applyFill="1" applyBorder="1"/>
    <xf numFmtId="1" fontId="0" fillId="0" borderId="0" xfId="0" applyNumberFormat="1" applyFill="1" applyBorder="1"/>
    <xf numFmtId="1" fontId="0" fillId="0" borderId="31" xfId="0" applyNumberFormat="1" applyFill="1" applyBorder="1"/>
    <xf numFmtId="0" fontId="0" fillId="29" borderId="93" xfId="0" applyFill="1" applyBorder="1"/>
    <xf numFmtId="9" fontId="0" fillId="0" borderId="93" xfId="0" applyNumberFormat="1" applyFill="1" applyBorder="1"/>
    <xf numFmtId="0" fontId="0" fillId="0" borderId="76" xfId="0" applyFill="1" applyBorder="1"/>
    <xf numFmtId="9" fontId="0" fillId="29" borderId="0" xfId="0" applyNumberFormat="1" applyFill="1"/>
    <xf numFmtId="9" fontId="0" fillId="0" borderId="0" xfId="0" applyNumberFormat="1" applyFill="1"/>
    <xf numFmtId="43" fontId="0" fillId="0" borderId="0" xfId="0" applyNumberFormat="1"/>
    <xf numFmtId="0" fontId="0" fillId="29" borderId="35" xfId="0" applyFill="1" applyBorder="1"/>
    <xf numFmtId="10" fontId="0" fillId="0" borderId="57" xfId="0" applyNumberFormat="1" applyFill="1" applyBorder="1"/>
    <xf numFmtId="10" fontId="0" fillId="0" borderId="76" xfId="0" applyNumberFormat="1" applyFill="1" applyBorder="1"/>
    <xf numFmtId="167" fontId="0" fillId="0" borderId="57" xfId="0" applyNumberFormat="1" applyFill="1" applyBorder="1"/>
    <xf numFmtId="167" fontId="0" fillId="0" borderId="76" xfId="0" applyNumberFormat="1" applyFill="1" applyBorder="1"/>
    <xf numFmtId="1" fontId="0" fillId="0" borderId="57" xfId="0" applyNumberFormat="1" applyFill="1" applyBorder="1"/>
    <xf numFmtId="1" fontId="0" fillId="0" borderId="76" xfId="0" applyNumberFormat="1" applyFill="1" applyBorder="1"/>
    <xf numFmtId="0" fontId="103" fillId="0" borderId="0" xfId="0" applyFont="1" applyAlignment="1">
      <alignment wrapText="1"/>
    </xf>
    <xf numFmtId="0" fontId="104" fillId="25" borderId="92" xfId="0" applyFont="1" applyFill="1" applyBorder="1" applyAlignment="1">
      <alignment horizontal="center" vertical="center" wrapText="1"/>
    </xf>
    <xf numFmtId="10" fontId="0" fillId="24" borderId="0" xfId="1" applyNumberFormat="1" applyFont="1" applyFill="1"/>
    <xf numFmtId="0" fontId="104" fillId="0" borderId="57" xfId="0" applyFont="1" applyFill="1" applyBorder="1" applyAlignment="1">
      <alignment horizontal="center" vertical="center" wrapText="1"/>
    </xf>
    <xf numFmtId="0" fontId="2" fillId="34" borderId="95" xfId="0" applyFont="1" applyFill="1" applyBorder="1" applyAlignment="1">
      <alignment vertical="center" wrapText="1"/>
    </xf>
    <xf numFmtId="0" fontId="2" fillId="11" borderId="96" xfId="0" applyFont="1" applyFill="1" applyBorder="1" applyAlignment="1">
      <alignment vertical="center" wrapText="1"/>
    </xf>
    <xf numFmtId="0" fontId="2" fillId="11" borderId="97" xfId="0" applyFont="1" applyFill="1" applyBorder="1" applyAlignment="1">
      <alignment vertical="center" wrapText="1"/>
    </xf>
    <xf numFmtId="0" fontId="2" fillId="0" borderId="95" xfId="0" applyFont="1" applyFill="1" applyBorder="1" applyAlignment="1">
      <alignment vertical="center" wrapText="1"/>
    </xf>
    <xf numFmtId="1" fontId="0" fillId="0" borderId="0" xfId="1" applyNumberFormat="1" applyFont="1"/>
    <xf numFmtId="9" fontId="0" fillId="0" borderId="0" xfId="1" applyFont="1"/>
    <xf numFmtId="9" fontId="0" fillId="0" borderId="0" xfId="1" applyFont="1" applyFill="1"/>
    <xf numFmtId="0" fontId="108" fillId="6" borderId="0" xfId="0" applyFont="1" applyFill="1"/>
    <xf numFmtId="0" fontId="77" fillId="6" borderId="0" xfId="0" applyFont="1" applyFill="1"/>
    <xf numFmtId="0" fontId="33" fillId="5" borderId="0" xfId="4" applyFont="1" applyFill="1" applyBorder="1" applyAlignment="1">
      <alignment horizontal="center" vertical="center"/>
    </xf>
    <xf numFmtId="0" fontId="27" fillId="5" borderId="0" xfId="4" applyFill="1" applyAlignment="1"/>
    <xf numFmtId="0" fontId="27" fillId="5" borderId="0" xfId="4" applyFont="1" applyFill="1" applyBorder="1" applyAlignment="1">
      <alignment horizontal="center" vertical="center"/>
    </xf>
    <xf numFmtId="9" fontId="27" fillId="5" borderId="0" xfId="4" applyNumberFormat="1" applyFont="1" applyFill="1" applyBorder="1"/>
    <xf numFmtId="0" fontId="27" fillId="5" borderId="0" xfId="4" applyFont="1" applyFill="1" applyBorder="1" applyAlignment="1">
      <alignment horizontal="center" vertical="center" wrapText="1"/>
    </xf>
    <xf numFmtId="9" fontId="30" fillId="5" borderId="0" xfId="4" applyNumberFormat="1" applyFont="1" applyFill="1" applyBorder="1"/>
    <xf numFmtId="9" fontId="27" fillId="5" borderId="0" xfId="4" applyNumberFormat="1" applyFill="1"/>
    <xf numFmtId="0" fontId="27" fillId="18" borderId="0" xfId="4" applyFill="1" applyAlignment="1"/>
    <xf numFmtId="0" fontId="0" fillId="18" borderId="0" xfId="0" applyFill="1"/>
    <xf numFmtId="0" fontId="27" fillId="5" borderId="38" xfId="4" applyFill="1" applyBorder="1"/>
    <xf numFmtId="1" fontId="27" fillId="5" borderId="37" xfId="4" applyNumberFormat="1" applyFill="1" applyBorder="1" applyAlignment="1">
      <alignment horizontal="center"/>
    </xf>
    <xf numFmtId="1" fontId="27" fillId="5" borderId="38" xfId="4" applyNumberFormat="1" applyFill="1" applyBorder="1" applyAlignment="1">
      <alignment horizontal="center"/>
    </xf>
    <xf numFmtId="0" fontId="28" fillId="5" borderId="36" xfId="4" applyFont="1" applyFill="1" applyBorder="1"/>
    <xf numFmtId="9" fontId="98" fillId="5" borderId="37" xfId="4" applyNumberFormat="1" applyFont="1" applyFill="1" applyBorder="1"/>
    <xf numFmtId="9" fontId="98" fillId="5" borderId="38" xfId="4" applyNumberFormat="1" applyFont="1" applyFill="1" applyBorder="1"/>
    <xf numFmtId="0" fontId="96" fillId="6" borderId="36" xfId="4" applyFont="1" applyFill="1" applyBorder="1"/>
    <xf numFmtId="9" fontId="95" fillId="6" borderId="37" xfId="4" applyNumberFormat="1" applyFont="1" applyFill="1" applyBorder="1"/>
    <xf numFmtId="9" fontId="95" fillId="6" borderId="38" xfId="4" applyNumberFormat="1" applyFont="1" applyFill="1" applyBorder="1"/>
    <xf numFmtId="0" fontId="96" fillId="6" borderId="37" xfId="4" applyFont="1" applyFill="1" applyBorder="1"/>
    <xf numFmtId="0" fontId="95" fillId="6" borderId="37" xfId="4" applyNumberFormat="1" applyFont="1" applyFill="1" applyBorder="1"/>
    <xf numFmtId="0" fontId="95" fillId="6" borderId="38" xfId="4" applyNumberFormat="1" applyFont="1" applyFill="1" applyBorder="1"/>
    <xf numFmtId="9" fontId="98" fillId="5" borderId="37" xfId="4" applyNumberFormat="1" applyFont="1" applyFill="1" applyBorder="1" applyAlignment="1">
      <alignment vertical="center"/>
    </xf>
    <xf numFmtId="9" fontId="98" fillId="5" borderId="38" xfId="4" applyNumberFormat="1" applyFont="1" applyFill="1" applyBorder="1" applyAlignment="1">
      <alignment vertical="center"/>
    </xf>
    <xf numFmtId="0" fontId="27" fillId="5" borderId="0" xfId="4" applyFont="1" applyFill="1" applyAlignment="1">
      <alignment horizontal="left" indent="15"/>
    </xf>
    <xf numFmtId="0" fontId="27" fillId="5" borderId="0" xfId="4" applyFont="1" applyFill="1" applyAlignment="1">
      <alignment horizontal="left" indent="5"/>
    </xf>
    <xf numFmtId="2" fontId="27" fillId="5" borderId="37" xfId="4" applyNumberFormat="1" applyFill="1" applyBorder="1"/>
    <xf numFmtId="0" fontId="95" fillId="6" borderId="37" xfId="4" applyFont="1" applyFill="1" applyBorder="1"/>
    <xf numFmtId="0" fontId="95" fillId="6" borderId="38" xfId="4" applyFont="1" applyFill="1" applyBorder="1"/>
    <xf numFmtId="0" fontId="34" fillId="5" borderId="0" xfId="4" applyFont="1" applyFill="1"/>
    <xf numFmtId="9" fontId="29" fillId="5" borderId="0" xfId="4" applyNumberFormat="1" applyFont="1" applyFill="1" applyBorder="1" applyAlignment="1">
      <alignment horizontal="center" vertical="center"/>
    </xf>
    <xf numFmtId="0" fontId="28" fillId="5" borderId="0" xfId="4" applyFont="1" applyFill="1" applyBorder="1"/>
    <xf numFmtId="164" fontId="27" fillId="5" borderId="37" xfId="4" applyNumberFormat="1" applyFont="1" applyFill="1" applyBorder="1"/>
    <xf numFmtId="164" fontId="27" fillId="5" borderId="38" xfId="4" applyNumberFormat="1" applyFont="1" applyFill="1" applyBorder="1"/>
    <xf numFmtId="0" fontId="32" fillId="17" borderId="36" xfId="4" applyFont="1" applyFill="1" applyBorder="1" applyAlignment="1">
      <alignment vertical="center" wrapText="1"/>
    </xf>
    <xf numFmtId="9" fontId="29" fillId="5" borderId="37" xfId="4" applyNumberFormat="1" applyFont="1" applyFill="1" applyBorder="1" applyAlignment="1">
      <alignment horizontal="center" vertical="center"/>
    </xf>
    <xf numFmtId="9" fontId="29" fillId="5" borderId="38" xfId="4" applyNumberFormat="1" applyFont="1" applyFill="1" applyBorder="1" applyAlignment="1">
      <alignment horizontal="center" vertical="center"/>
    </xf>
    <xf numFmtId="0" fontId="95" fillId="6" borderId="37" xfId="4" applyFont="1" applyFill="1" applyBorder="1" applyAlignment="1">
      <alignment horizontal="center" vertical="center" wrapText="1"/>
    </xf>
    <xf numFmtId="0" fontId="95" fillId="6" borderId="38" xfId="4" applyFont="1" applyFill="1" applyBorder="1" applyAlignment="1">
      <alignment horizontal="center" vertical="center" wrapText="1"/>
    </xf>
    <xf numFmtId="0" fontId="31" fillId="5" borderId="0" xfId="4" applyFont="1" applyFill="1"/>
    <xf numFmtId="0" fontId="27" fillId="5" borderId="0" xfId="4" applyFont="1" applyFill="1" applyAlignment="1">
      <alignment horizontal="right"/>
    </xf>
    <xf numFmtId="1" fontId="27" fillId="5" borderId="0" xfId="4" applyNumberFormat="1" applyFill="1"/>
    <xf numFmtId="9" fontId="27" fillId="5" borderId="37" xfId="6" applyFont="1" applyFill="1" applyBorder="1" applyAlignment="1" applyProtection="1"/>
    <xf numFmtId="0" fontId="27" fillId="23" borderId="0" xfId="4" applyFill="1" applyBorder="1"/>
    <xf numFmtId="0" fontId="0" fillId="5" borderId="0" xfId="0" applyFill="1" applyAlignment="1">
      <alignment wrapText="1"/>
    </xf>
    <xf numFmtId="3" fontId="27" fillId="5" borderId="37" xfId="4" applyNumberFormat="1" applyFill="1" applyBorder="1"/>
    <xf numFmtId="3" fontId="27" fillId="5" borderId="38" xfId="4" applyNumberFormat="1" applyFill="1" applyBorder="1"/>
    <xf numFmtId="167" fontId="27" fillId="5" borderId="37" xfId="4" applyNumberFormat="1" applyFill="1" applyBorder="1"/>
    <xf numFmtId="167" fontId="27" fillId="5" borderId="38" xfId="4" applyNumberFormat="1" applyFill="1" applyBorder="1"/>
    <xf numFmtId="166" fontId="27" fillId="5" borderId="37" xfId="4" applyNumberFormat="1" applyFill="1" applyBorder="1"/>
    <xf numFmtId="166" fontId="27" fillId="5" borderId="38" xfId="4" applyNumberFormat="1" applyFill="1" applyBorder="1"/>
    <xf numFmtId="164" fontId="27" fillId="5" borderId="37" xfId="1" applyNumberFormat="1" applyFont="1" applyFill="1" applyBorder="1"/>
    <xf numFmtId="164" fontId="27" fillId="5" borderId="38" xfId="1" applyNumberFormat="1" applyFont="1" applyFill="1" applyBorder="1"/>
    <xf numFmtId="164" fontId="27" fillId="5" borderId="37" xfId="1" applyNumberFormat="1" applyFont="1" applyFill="1" applyBorder="1" applyAlignment="1" applyProtection="1"/>
    <xf numFmtId="164" fontId="27" fillId="5" borderId="38" xfId="1" applyNumberFormat="1" applyFont="1" applyFill="1" applyBorder="1" applyAlignment="1" applyProtection="1"/>
    <xf numFmtId="0" fontId="0" fillId="5" borderId="36" xfId="0" applyFill="1" applyBorder="1" applyAlignment="1">
      <alignment vertical="center" wrapText="1"/>
    </xf>
    <xf numFmtId="2" fontId="0" fillId="5" borderId="37" xfId="0" applyNumberFormat="1" applyFill="1" applyBorder="1" applyAlignment="1">
      <alignment horizontal="center" wrapText="1"/>
    </xf>
    <xf numFmtId="2" fontId="0" fillId="5" borderId="38" xfId="0" applyNumberFormat="1" applyFill="1" applyBorder="1" applyAlignment="1">
      <alignment horizontal="center" wrapText="1"/>
    </xf>
    <xf numFmtId="0" fontId="1" fillId="5" borderId="36" xfId="0" applyFont="1" applyFill="1" applyBorder="1" applyAlignment="1">
      <alignment horizontal="left" vertical="center" wrapText="1"/>
    </xf>
    <xf numFmtId="164" fontId="1" fillId="5" borderId="37" xfId="0" applyNumberFormat="1" applyFont="1" applyFill="1" applyBorder="1"/>
    <xf numFmtId="164" fontId="1" fillId="5" borderId="38" xfId="0" applyNumberFormat="1" applyFont="1" applyFill="1" applyBorder="1"/>
    <xf numFmtId="9" fontId="0" fillId="5" borderId="38" xfId="1" applyFont="1" applyFill="1" applyBorder="1"/>
    <xf numFmtId="0" fontId="0" fillId="5" borderId="36" xfId="0" applyFill="1" applyBorder="1" applyAlignment="1">
      <alignment wrapText="1"/>
    </xf>
    <xf numFmtId="172" fontId="0" fillId="5" borderId="37" xfId="0" applyNumberFormat="1" applyFill="1" applyBorder="1"/>
    <xf numFmtId="172" fontId="0" fillId="5" borderId="38" xfId="0" applyNumberFormat="1" applyFill="1" applyBorder="1"/>
    <xf numFmtId="0" fontId="46" fillId="6" borderId="36" xfId="0" applyFont="1" applyFill="1" applyBorder="1" applyAlignment="1">
      <alignment wrapText="1"/>
    </xf>
    <xf numFmtId="3" fontId="46" fillId="6" borderId="37" xfId="0" applyNumberFormat="1" applyFont="1" applyFill="1" applyBorder="1" applyAlignment="1">
      <alignment horizontal="center"/>
    </xf>
    <xf numFmtId="3" fontId="46" fillId="6" borderId="38" xfId="0" applyNumberFormat="1" applyFont="1" applyFill="1" applyBorder="1" applyAlignment="1">
      <alignment horizontal="center"/>
    </xf>
    <xf numFmtId="0" fontId="46" fillId="6" borderId="37" xfId="0" applyFont="1" applyFill="1" applyBorder="1" applyAlignment="1">
      <alignment horizontal="center" wrapText="1"/>
    </xf>
    <xf numFmtId="0" fontId="46" fillId="6" borderId="38" xfId="0" applyFont="1" applyFill="1" applyBorder="1" applyAlignment="1">
      <alignment horizontal="center" wrapText="1"/>
    </xf>
    <xf numFmtId="0" fontId="77" fillId="6" borderId="36" xfId="0" applyFont="1" applyFill="1" applyBorder="1"/>
    <xf numFmtId="0" fontId="77" fillId="6" borderId="37" xfId="0" applyFont="1" applyFill="1" applyBorder="1" applyAlignment="1">
      <alignment horizontal="center" wrapText="1"/>
    </xf>
    <xf numFmtId="0" fontId="77" fillId="6" borderId="38" xfId="0" applyFont="1" applyFill="1" applyBorder="1" applyAlignment="1">
      <alignment horizontal="center" wrapText="1"/>
    </xf>
    <xf numFmtId="0" fontId="16" fillId="5" borderId="36" xfId="4" applyFont="1" applyFill="1" applyBorder="1" applyAlignment="1">
      <alignment horizontal="left"/>
    </xf>
    <xf numFmtId="0" fontId="1" fillId="5" borderId="36" xfId="0" applyFont="1" applyFill="1" applyBorder="1" applyAlignment="1">
      <alignment horizontal="left"/>
    </xf>
    <xf numFmtId="167" fontId="0" fillId="5" borderId="0" xfId="0" applyNumberFormat="1" applyFill="1"/>
    <xf numFmtId="9" fontId="0" fillId="5" borderId="0" xfId="0" applyNumberFormat="1" applyFill="1"/>
    <xf numFmtId="173" fontId="0" fillId="5" borderId="0" xfId="0" applyNumberFormat="1" applyFill="1"/>
    <xf numFmtId="2" fontId="0" fillId="5" borderId="0" xfId="0" applyNumberFormat="1" applyFill="1"/>
    <xf numFmtId="176" fontId="0" fillId="5" borderId="0" xfId="0" applyNumberFormat="1" applyFill="1"/>
    <xf numFmtId="1" fontId="0" fillId="5" borderId="0" xfId="0" applyNumberFormat="1" applyFill="1"/>
    <xf numFmtId="177" fontId="0" fillId="5" borderId="0" xfId="0" applyNumberFormat="1" applyFill="1"/>
    <xf numFmtId="0" fontId="1" fillId="5" borderId="0" xfId="0" applyFont="1" applyFill="1" applyAlignment="1">
      <alignment vertical="center"/>
    </xf>
    <xf numFmtId="173" fontId="0" fillId="0" borderId="0" xfId="0" applyNumberFormat="1"/>
    <xf numFmtId="174" fontId="0" fillId="5" borderId="0" xfId="0" applyNumberFormat="1" applyFill="1"/>
    <xf numFmtId="168" fontId="0" fillId="5" borderId="0" xfId="0" applyNumberFormat="1" applyFill="1"/>
    <xf numFmtId="0" fontId="0" fillId="5" borderId="37" xfId="0" applyFill="1" applyBorder="1" applyAlignment="1">
      <alignment vertical="center" wrapText="1"/>
    </xf>
    <xf numFmtId="0" fontId="0" fillId="5" borderId="38" xfId="0" applyFill="1" applyBorder="1" applyAlignment="1">
      <alignment vertical="center" wrapText="1"/>
    </xf>
    <xf numFmtId="0" fontId="46" fillId="6" borderId="38" xfId="0" applyFont="1" applyFill="1" applyBorder="1" applyAlignment="1">
      <alignment vertical="center" wrapText="1"/>
    </xf>
    <xf numFmtId="0" fontId="110" fillId="6" borderId="0" xfId="0" applyFont="1" applyFill="1" applyAlignment="1">
      <alignment vertical="center"/>
    </xf>
    <xf numFmtId="167" fontId="0" fillId="5" borderId="36" xfId="0" applyNumberFormat="1" applyFill="1" applyBorder="1" applyAlignment="1">
      <alignment horizontal="center" wrapText="1"/>
    </xf>
    <xf numFmtId="167" fontId="0" fillId="5" borderId="37" xfId="0" applyNumberFormat="1" applyFill="1" applyBorder="1" applyAlignment="1">
      <alignment horizontal="center" wrapText="1"/>
    </xf>
    <xf numFmtId="167" fontId="0" fillId="5" borderId="38" xfId="0" applyNumberFormat="1" applyFill="1" applyBorder="1" applyAlignment="1">
      <alignment horizontal="center" wrapText="1"/>
    </xf>
    <xf numFmtId="0" fontId="77" fillId="6" borderId="36" xfId="0" applyFont="1" applyFill="1" applyBorder="1" applyAlignment="1">
      <alignment horizontal="center" wrapText="1"/>
    </xf>
    <xf numFmtId="0" fontId="109" fillId="6" borderId="0" xfId="0" applyFont="1" applyFill="1"/>
    <xf numFmtId="9" fontId="0" fillId="5" borderId="38" xfId="0" applyNumberFormat="1" applyFill="1" applyBorder="1"/>
    <xf numFmtId="0" fontId="0" fillId="5" borderId="0" xfId="0" applyFill="1" applyAlignment="1">
      <alignment horizontal="center" vertical="center"/>
    </xf>
    <xf numFmtId="0" fontId="44" fillId="5" borderId="0" xfId="3" applyFont="1" applyFill="1"/>
    <xf numFmtId="0" fontId="45" fillId="5" borderId="0" xfId="3" applyFont="1" applyFill="1" applyAlignment="1">
      <alignment horizontal="center"/>
    </xf>
    <xf numFmtId="0" fontId="0" fillId="5" borderId="0" xfId="0" applyFill="1" applyAlignment="1"/>
    <xf numFmtId="0" fontId="42" fillId="5" borderId="25" xfId="0" applyFont="1" applyFill="1" applyBorder="1"/>
    <xf numFmtId="3" fontId="42" fillId="5" borderId="25" xfId="0" applyNumberFormat="1" applyFont="1" applyFill="1" applyBorder="1" applyAlignment="1">
      <alignment horizontal="center"/>
    </xf>
    <xf numFmtId="0" fontId="0" fillId="5" borderId="25" xfId="0" applyFill="1" applyBorder="1"/>
    <xf numFmtId="3" fontId="42" fillId="5" borderId="0" xfId="0" applyNumberFormat="1" applyFont="1" applyFill="1" applyBorder="1" applyAlignment="1">
      <alignment horizontal="center"/>
    </xf>
    <xf numFmtId="0" fontId="17" fillId="5" borderId="10" xfId="0" applyFont="1" applyFill="1" applyBorder="1"/>
    <xf numFmtId="0" fontId="0" fillId="5" borderId="35" xfId="0" applyFill="1" applyBorder="1"/>
    <xf numFmtId="0" fontId="23" fillId="4" borderId="58" xfId="0" applyFont="1" applyFill="1" applyBorder="1" applyAlignment="1">
      <alignment horizontal="center" vertical="center" wrapText="1"/>
    </xf>
    <xf numFmtId="0" fontId="23" fillId="4" borderId="58" xfId="0" applyFont="1" applyFill="1" applyBorder="1" applyAlignment="1">
      <alignment horizontal="center" wrapText="1"/>
    </xf>
    <xf numFmtId="0" fontId="108" fillId="6" borderId="0" xfId="0" applyFont="1" applyFill="1" applyAlignment="1">
      <alignment horizontal="center" vertical="center"/>
    </xf>
    <xf numFmtId="0" fontId="45" fillId="5" borderId="36" xfId="3" applyFont="1" applyFill="1" applyBorder="1"/>
    <xf numFmtId="2" fontId="45" fillId="5" borderId="37" xfId="3" applyNumberFormat="1" applyFont="1" applyFill="1" applyBorder="1" applyAlignment="1">
      <alignment horizontal="center"/>
    </xf>
    <xf numFmtId="2" fontId="45" fillId="5" borderId="38" xfId="3" applyNumberFormat="1" applyFont="1" applyFill="1" applyBorder="1" applyAlignment="1">
      <alignment horizontal="center"/>
    </xf>
    <xf numFmtId="168" fontId="45" fillId="5" borderId="37" xfId="3" applyNumberFormat="1" applyFont="1" applyFill="1" applyBorder="1" applyAlignment="1">
      <alignment horizontal="center"/>
    </xf>
    <xf numFmtId="168" fontId="45" fillId="5" borderId="38" xfId="3" applyNumberFormat="1" applyFont="1" applyFill="1" applyBorder="1" applyAlignment="1">
      <alignment horizontal="center"/>
    </xf>
    <xf numFmtId="0" fontId="64" fillId="6" borderId="37" xfId="3" applyFont="1" applyFill="1" applyBorder="1" applyAlignment="1">
      <alignment horizontal="center"/>
    </xf>
    <xf numFmtId="0" fontId="64" fillId="6" borderId="38" xfId="3" applyFont="1" applyFill="1" applyBorder="1" applyAlignment="1">
      <alignment horizontal="center"/>
    </xf>
    <xf numFmtId="0" fontId="64" fillId="6" borderId="36" xfId="3" applyFont="1" applyFill="1" applyBorder="1" applyAlignment="1">
      <alignment horizontal="left"/>
    </xf>
    <xf numFmtId="0" fontId="0" fillId="35" borderId="0" xfId="0" applyFill="1"/>
    <xf numFmtId="0" fontId="0" fillId="0" borderId="0" xfId="0" applyAlignment="1">
      <alignment horizontal="center" vertical="center" wrapText="1"/>
    </xf>
    <xf numFmtId="0" fontId="0" fillId="0" borderId="58" xfId="0" applyBorder="1"/>
    <xf numFmtId="0" fontId="0" fillId="2" borderId="58" xfId="0" applyFill="1" applyBorder="1"/>
    <xf numFmtId="0" fontId="0" fillId="34" borderId="58" xfId="0" applyFont="1" applyFill="1" applyBorder="1" applyAlignment="1">
      <alignment horizontal="left" wrapText="1"/>
    </xf>
    <xf numFmtId="10" fontId="0" fillId="0" borderId="58" xfId="0" applyNumberFormat="1" applyBorder="1"/>
    <xf numFmtId="2" fontId="0" fillId="2" borderId="58" xfId="0" applyNumberFormat="1" applyFill="1" applyBorder="1"/>
    <xf numFmtId="0" fontId="0" fillId="2" borderId="75" xfId="0" applyFill="1" applyBorder="1"/>
    <xf numFmtId="0" fontId="28" fillId="5" borderId="0" xfId="4" applyFont="1" applyFill="1" applyBorder="1" applyAlignment="1">
      <alignment vertical="center" wrapText="1"/>
    </xf>
    <xf numFmtId="10" fontId="0" fillId="5" borderId="0" xfId="1" applyNumberFormat="1" applyFont="1" applyFill="1"/>
    <xf numFmtId="0" fontId="111" fillId="5" borderId="0" xfId="4" applyFont="1" applyFill="1"/>
    <xf numFmtId="0" fontId="28" fillId="5" borderId="0" xfId="4" applyFont="1" applyFill="1" applyBorder="1" applyAlignment="1">
      <alignment wrapText="1"/>
    </xf>
    <xf numFmtId="3" fontId="0" fillId="5" borderId="0" xfId="0" applyNumberFormat="1" applyFill="1"/>
    <xf numFmtId="4" fontId="0" fillId="5" borderId="0" xfId="0" applyNumberFormat="1" applyFill="1"/>
    <xf numFmtId="10" fontId="0" fillId="0" borderId="0" xfId="1" applyNumberFormat="1" applyFont="1"/>
    <xf numFmtId="10" fontId="0" fillId="0" borderId="0" xfId="1" applyNumberFormat="1" applyFont="1" applyAlignment="1">
      <alignment horizontal="right" vertical="center"/>
    </xf>
    <xf numFmtId="10" fontId="0" fillId="0" borderId="0" xfId="1" applyNumberFormat="1" applyFont="1" applyAlignment="1">
      <alignment vertical="center"/>
    </xf>
    <xf numFmtId="0" fontId="46" fillId="6" borderId="36" xfId="0" applyFont="1" applyFill="1" applyBorder="1" applyAlignment="1">
      <alignment horizontal="center"/>
    </xf>
    <xf numFmtId="0" fontId="46" fillId="6" borderId="37" xfId="0" applyFont="1" applyFill="1" applyBorder="1" applyAlignment="1">
      <alignment horizontal="center"/>
    </xf>
    <xf numFmtId="0" fontId="46" fillId="6" borderId="38" xfId="0" applyFont="1" applyFill="1" applyBorder="1" applyAlignment="1">
      <alignment horizontal="center"/>
    </xf>
    <xf numFmtId="0" fontId="46" fillId="6" borderId="39" xfId="0" applyFont="1" applyFill="1" applyBorder="1" applyAlignment="1">
      <alignment horizontal="center" vertical="center"/>
    </xf>
    <xf numFmtId="0" fontId="46" fillId="6" borderId="39" xfId="0" applyFont="1" applyFill="1" applyBorder="1" applyAlignment="1">
      <alignment horizontal="center" vertical="center" wrapText="1"/>
    </xf>
    <xf numFmtId="0" fontId="1" fillId="5" borderId="0" xfId="0" applyFont="1" applyFill="1" applyBorder="1" applyAlignment="1">
      <alignment horizontal="center"/>
    </xf>
    <xf numFmtId="0" fontId="1" fillId="5" borderId="0" xfId="0" applyFont="1" applyFill="1" applyAlignment="1">
      <alignment horizontal="center"/>
    </xf>
    <xf numFmtId="0" fontId="1" fillId="5" borderId="2"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54" fillId="5" borderId="0" xfId="0" applyFont="1" applyFill="1" applyBorder="1" applyAlignment="1">
      <alignment horizontal="center" vertical="center"/>
    </xf>
    <xf numFmtId="0" fontId="54" fillId="5" borderId="40" xfId="0" applyFont="1" applyFill="1" applyBorder="1" applyAlignment="1">
      <alignment horizontal="center" vertical="center"/>
    </xf>
    <xf numFmtId="0" fontId="53" fillId="7" borderId="24" xfId="0" applyFont="1" applyFill="1" applyBorder="1" applyAlignment="1">
      <alignment horizontal="center" vertical="center" wrapText="1"/>
    </xf>
    <xf numFmtId="0" fontId="64" fillId="9" borderId="37" xfId="0" applyFont="1" applyFill="1" applyBorder="1" applyAlignment="1">
      <alignment horizontal="center" vertical="center"/>
    </xf>
    <xf numFmtId="0" fontId="54" fillId="7" borderId="42" xfId="0" applyFont="1" applyFill="1" applyBorder="1" applyAlignment="1">
      <alignment horizontal="center" vertical="center"/>
    </xf>
    <xf numFmtId="0" fontId="58" fillId="9" borderId="36" xfId="0" applyFont="1" applyFill="1" applyBorder="1" applyAlignment="1">
      <alignment horizontal="center" vertical="center"/>
    </xf>
    <xf numFmtId="0" fontId="58" fillId="9" borderId="45" xfId="0" applyFont="1" applyFill="1" applyBorder="1" applyAlignment="1">
      <alignment horizontal="center" vertical="center"/>
    </xf>
    <xf numFmtId="0" fontId="58" fillId="9" borderId="44" xfId="0" applyFont="1" applyFill="1" applyBorder="1" applyAlignment="1">
      <alignment horizontal="center" vertical="center" wrapText="1"/>
    </xf>
    <xf numFmtId="0" fontId="58" fillId="9" borderId="38" xfId="0" applyFont="1" applyFill="1" applyBorder="1" applyAlignment="1">
      <alignment horizontal="center" vertical="center" wrapText="1"/>
    </xf>
    <xf numFmtId="0" fontId="71" fillId="5" borderId="7" xfId="0" applyFont="1" applyFill="1" applyBorder="1" applyAlignment="1">
      <alignment horizontal="center" vertical="center" wrapText="1"/>
    </xf>
    <xf numFmtId="0" fontId="71" fillId="5" borderId="13" xfId="0" applyFont="1" applyFill="1" applyBorder="1" applyAlignment="1">
      <alignment horizontal="center" vertical="center"/>
    </xf>
    <xf numFmtId="0" fontId="42" fillId="5" borderId="0" xfId="3" applyFont="1" applyFill="1" applyBorder="1" applyAlignment="1">
      <alignment horizontal="left" vertical="center"/>
    </xf>
    <xf numFmtId="0" fontId="42" fillId="5" borderId="0" xfId="3" applyFont="1" applyFill="1" applyBorder="1" applyAlignment="1">
      <alignment horizontal="left" vertical="center" wrapText="1"/>
    </xf>
    <xf numFmtId="0" fontId="94" fillId="6" borderId="0" xfId="4" applyFont="1" applyFill="1" applyBorder="1" applyAlignment="1">
      <alignment horizontal="center"/>
    </xf>
    <xf numFmtId="0" fontId="28" fillId="21" borderId="81" xfId="4" applyFont="1" applyFill="1" applyBorder="1" applyAlignment="1">
      <alignment horizontal="center" vertical="center" wrapText="1"/>
    </xf>
    <xf numFmtId="0" fontId="46" fillId="19" borderId="39" xfId="4" applyFont="1" applyFill="1" applyBorder="1" applyAlignment="1">
      <alignment horizontal="center" vertical="center"/>
    </xf>
    <xf numFmtId="0" fontId="103" fillId="0" borderId="0" xfId="0" applyFont="1" applyAlignment="1">
      <alignment horizontal="center" wrapText="1"/>
    </xf>
    <xf numFmtId="0" fontId="104" fillId="25" borderId="33" xfId="0" applyFont="1" applyFill="1" applyBorder="1" applyAlignment="1">
      <alignment horizontal="center" vertical="center" wrapText="1"/>
    </xf>
    <xf numFmtId="0" fontId="104" fillId="25" borderId="82" xfId="0" applyFont="1" applyFill="1" applyBorder="1" applyAlignment="1">
      <alignment horizontal="center" vertical="center" wrapText="1"/>
    </xf>
    <xf numFmtId="0" fontId="103" fillId="0" borderId="0" xfId="0" applyFont="1" applyAlignment="1">
      <alignment horizontal="left"/>
    </xf>
    <xf numFmtId="0" fontId="105" fillId="26" borderId="26" xfId="0" applyFont="1" applyFill="1" applyBorder="1" applyAlignment="1">
      <alignment horizontal="center" vertical="center"/>
    </xf>
    <xf numFmtId="0" fontId="105" fillId="26" borderId="83" xfId="0" applyFont="1" applyFill="1" applyBorder="1" applyAlignment="1">
      <alignment horizontal="center" vertical="center"/>
    </xf>
    <xf numFmtId="0" fontId="105" fillId="26" borderId="84" xfId="0" applyFont="1" applyFill="1" applyBorder="1" applyAlignment="1">
      <alignment horizontal="center" vertical="center"/>
    </xf>
    <xf numFmtId="0" fontId="105" fillId="27" borderId="26" xfId="0" applyFont="1" applyFill="1" applyBorder="1" applyAlignment="1">
      <alignment horizontal="center" vertical="center"/>
    </xf>
    <xf numFmtId="0" fontId="105" fillId="27" borderId="83" xfId="0" applyFont="1" applyFill="1" applyBorder="1" applyAlignment="1">
      <alignment horizontal="center" vertical="center"/>
    </xf>
    <xf numFmtId="0" fontId="105" fillId="27" borderId="84" xfId="0" applyFont="1" applyFill="1" applyBorder="1" applyAlignment="1">
      <alignment horizontal="center" vertical="center"/>
    </xf>
    <xf numFmtId="0" fontId="106" fillId="28" borderId="26" xfId="0" applyFont="1" applyFill="1" applyBorder="1" applyAlignment="1">
      <alignment horizontal="center" vertical="center" wrapText="1"/>
    </xf>
    <xf numFmtId="0" fontId="106" fillId="28" borderId="83" xfId="0" applyFont="1" applyFill="1" applyBorder="1" applyAlignment="1">
      <alignment horizontal="center" vertical="center" wrapText="1"/>
    </xf>
    <xf numFmtId="0" fontId="106" fillId="28" borderId="84" xfId="0" applyFont="1" applyFill="1" applyBorder="1" applyAlignment="1">
      <alignment horizontal="center" vertical="center" wrapText="1"/>
    </xf>
    <xf numFmtId="0" fontId="106" fillId="28" borderId="0" xfId="0" applyFont="1" applyFill="1" applyBorder="1" applyAlignment="1">
      <alignment horizontal="center" vertical="center" wrapText="1"/>
    </xf>
    <xf numFmtId="0" fontId="105" fillId="29" borderId="0" xfId="0" applyFont="1" applyFill="1" applyAlignment="1">
      <alignment horizontal="center" vertical="center"/>
    </xf>
    <xf numFmtId="0" fontId="106" fillId="27" borderId="0" xfId="0" applyFont="1" applyFill="1" applyBorder="1" applyAlignment="1">
      <alignment horizontal="center" vertical="center"/>
    </xf>
    <xf numFmtId="0" fontId="106" fillId="27" borderId="17" xfId="0" applyFont="1" applyFill="1" applyBorder="1" applyAlignment="1">
      <alignment horizontal="center" vertical="center"/>
    </xf>
    <xf numFmtId="0" fontId="98" fillId="29" borderId="35" xfId="0" applyFont="1" applyFill="1" applyBorder="1" applyAlignment="1">
      <alignment horizontal="center" vertical="center" wrapText="1"/>
    </xf>
    <xf numFmtId="0" fontId="98" fillId="11" borderId="58" xfId="0" applyFont="1" applyFill="1" applyBorder="1" applyAlignment="1">
      <alignment horizontal="center" vertical="center" wrapText="1"/>
    </xf>
    <xf numFmtId="0" fontId="106" fillId="29" borderId="34" xfId="0" applyFont="1" applyFill="1" applyBorder="1" applyAlignment="1">
      <alignment horizontal="center" vertical="center"/>
    </xf>
    <xf numFmtId="0" fontId="106" fillId="29" borderId="35" xfId="0" applyFont="1" applyFill="1" applyBorder="1" applyAlignment="1">
      <alignment horizontal="center" vertical="center"/>
    </xf>
    <xf numFmtId="0" fontId="106" fillId="29" borderId="87" xfId="0" applyFont="1" applyFill="1" applyBorder="1" applyAlignment="1">
      <alignment horizontal="center" vertical="center"/>
    </xf>
    <xf numFmtId="0" fontId="104" fillId="25" borderId="57" xfId="0" applyFont="1" applyFill="1" applyBorder="1" applyAlignment="1">
      <alignment horizontal="center" vertical="center" wrapText="1"/>
    </xf>
    <xf numFmtId="0" fontId="104" fillId="25" borderId="94" xfId="0" applyFont="1" applyFill="1" applyBorder="1" applyAlignment="1">
      <alignment horizontal="center" vertical="center" wrapText="1"/>
    </xf>
    <xf numFmtId="0" fontId="104" fillId="25" borderId="91" xfId="0" applyFont="1" applyFill="1" applyBorder="1" applyAlignment="1">
      <alignment horizontal="center" vertical="center" wrapText="1"/>
    </xf>
    <xf numFmtId="0" fontId="103" fillId="0" borderId="0" xfId="0" applyFont="1" applyFill="1" applyAlignment="1">
      <alignment horizontal="center"/>
    </xf>
    <xf numFmtId="0" fontId="0" fillId="5" borderId="0" xfId="0" applyFill="1" applyAlignment="1">
      <alignment vertical="top" wrapText="1"/>
    </xf>
    <xf numFmtId="0" fontId="28" fillId="5" borderId="0" xfId="4" applyFont="1" applyFill="1" applyBorder="1" applyAlignment="1">
      <alignment wrapText="1"/>
    </xf>
    <xf numFmtId="0" fontId="28" fillId="5" borderId="42" xfId="4" applyFont="1" applyFill="1" applyBorder="1" applyAlignment="1">
      <alignment wrapText="1"/>
    </xf>
    <xf numFmtId="0" fontId="27" fillId="5" borderId="0" xfId="4" applyFont="1" applyFill="1" applyBorder="1" applyAlignment="1">
      <alignment horizontal="left" vertical="top" wrapText="1"/>
    </xf>
    <xf numFmtId="0" fontId="27" fillId="5" borderId="98" xfId="4" applyFont="1" applyFill="1" applyBorder="1" applyAlignment="1">
      <alignment horizontal="center" vertical="center" wrapText="1"/>
    </xf>
    <xf numFmtId="0" fontId="27" fillId="5" borderId="99" xfId="4" applyFont="1" applyFill="1" applyBorder="1" applyAlignment="1">
      <alignment horizontal="center" vertical="center" wrapText="1"/>
    </xf>
    <xf numFmtId="0" fontId="27" fillId="5" borderId="100" xfId="4" applyFont="1" applyFill="1" applyBorder="1" applyAlignment="1">
      <alignment horizontal="center" vertical="center" wrapText="1"/>
    </xf>
    <xf numFmtId="0" fontId="27" fillId="5" borderId="0" xfId="4" applyFill="1" applyAlignment="1">
      <alignment vertical="center" wrapText="1"/>
    </xf>
    <xf numFmtId="0" fontId="27" fillId="5" borderId="0" xfId="4" applyFill="1" applyAlignment="1">
      <alignment vertical="top" wrapText="1"/>
    </xf>
    <xf numFmtId="9" fontId="29" fillId="5" borderId="37" xfId="4" applyNumberFormat="1" applyFont="1" applyFill="1" applyBorder="1" applyAlignment="1">
      <alignment horizontal="center" vertical="center"/>
    </xf>
    <xf numFmtId="9" fontId="29" fillId="5" borderId="38" xfId="4" applyNumberFormat="1" applyFont="1" applyFill="1" applyBorder="1" applyAlignment="1">
      <alignment horizontal="center" vertical="center"/>
    </xf>
    <xf numFmtId="0" fontId="27" fillId="5" borderId="0" xfId="4" applyFill="1" applyBorder="1" applyAlignment="1">
      <alignment vertical="center" wrapText="1"/>
    </xf>
    <xf numFmtId="0" fontId="27" fillId="5" borderId="39" xfId="4" applyFont="1" applyFill="1" applyBorder="1" applyAlignment="1">
      <alignment horizontal="center" vertical="center"/>
    </xf>
    <xf numFmtId="0" fontId="1" fillId="2" borderId="25" xfId="0" applyFont="1" applyFill="1" applyBorder="1" applyAlignment="1">
      <alignment horizontal="left"/>
    </xf>
    <xf numFmtId="0" fontId="0" fillId="0" borderId="0" xfId="0" applyAlignment="1">
      <alignment horizontal="center"/>
    </xf>
    <xf numFmtId="0" fontId="0" fillId="0" borderId="101" xfId="0" applyBorder="1" applyAlignment="1">
      <alignment horizontal="center"/>
    </xf>
    <xf numFmtId="0" fontId="0" fillId="0" borderId="84" xfId="0" applyBorder="1" applyAlignment="1">
      <alignment horizontal="center"/>
    </xf>
    <xf numFmtId="2" fontId="0" fillId="0" borderId="0" xfId="0" applyNumberFormat="1" applyAlignment="1">
      <alignment horizontal="center"/>
    </xf>
    <xf numFmtId="0" fontId="46" fillId="6" borderId="36" xfId="0" applyFont="1" applyFill="1" applyBorder="1" applyAlignment="1">
      <alignment vertical="center" wrapText="1"/>
    </xf>
    <xf numFmtId="0" fontId="46" fillId="6" borderId="37" xfId="0" applyFont="1" applyFill="1" applyBorder="1" applyAlignment="1">
      <alignment vertical="center" wrapText="1"/>
    </xf>
  </cellXfs>
  <cellStyles count="17">
    <cellStyle name="Excel Built-in Comma" xfId="2"/>
    <cellStyle name="Milliers" xfId="16" builtinId="3"/>
    <cellStyle name="Milliers 2" xfId="5"/>
    <cellStyle name="Normal" xfId="0" builtinId="0"/>
    <cellStyle name="Normal 10" xfId="10"/>
    <cellStyle name="Normal 2" xfId="3"/>
    <cellStyle name="Normal 2 2" xfId="8"/>
    <cellStyle name="Normal 2 2 2" xfId="15"/>
    <cellStyle name="Normal 3" xfId="4"/>
    <cellStyle name="Normal 6" xfId="11"/>
    <cellStyle name="Normal 7" xfId="7"/>
    <cellStyle name="Pourcentage" xfId="1" builtinId="5"/>
    <cellStyle name="Pourcentage 2" xfId="6"/>
    <cellStyle name="Pourcentage 2 2" xfId="9"/>
    <cellStyle name="tableau | cellule | normal | decimal 1" xfId="14"/>
    <cellStyle name="tableau | cellule | total | decimal 1" xfId="13"/>
    <cellStyle name="tableau | entete-colonne | series" xfId="12"/>
  </cellStyles>
  <dxfs count="1">
    <dxf>
      <font>
        <sz val="11"/>
        <color rgb="FF9C0006"/>
        <name val="Calibri"/>
      </font>
      <fill>
        <patternFill>
          <bgColor rgb="FFFFC7CE"/>
        </patternFill>
      </fill>
    </dxf>
  </dxfs>
  <tableStyles count="0" defaultTableStyle="TableStyleMedium2" defaultPivotStyle="PivotStyleLight16"/>
  <colors>
    <mruColors>
      <color rgb="FF00758F"/>
      <color rgb="FF009999"/>
      <color rgb="FF4BBD9F"/>
      <color rgb="FF00B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175260</xdr:colOff>
      <xdr:row>0</xdr:row>
      <xdr:rowOff>106680</xdr:rowOff>
    </xdr:from>
    <xdr:ext cx="1343025" cy="778510"/>
    <xdr:pic>
      <xdr:nvPicPr>
        <xdr:cNvPr id="2" name="Bilde 2" descr="enerdata-logo.png"/>
        <xdr:cNvPicPr/>
      </xdr:nvPicPr>
      <xdr:blipFill>
        <a:blip xmlns:r="http://schemas.openxmlformats.org/officeDocument/2006/relationships" r:embed="rId1" cstate="print"/>
        <a:stretch>
          <a:fillRect/>
        </a:stretch>
      </xdr:blipFill>
      <xdr:spPr>
        <a:xfrm>
          <a:off x="175260" y="106680"/>
          <a:ext cx="1343025" cy="778510"/>
        </a:xfrm>
        <a:prstGeom prst="rect">
          <a:avLst/>
        </a:prstGeom>
      </xdr:spPr>
    </xdr:pic>
    <xdr:clientData/>
  </xdr:oneCellAnchor>
  <xdr:oneCellAnchor>
    <xdr:from>
      <xdr:col>4</xdr:col>
      <xdr:colOff>716280</xdr:colOff>
      <xdr:row>1</xdr:row>
      <xdr:rowOff>40005</xdr:rowOff>
    </xdr:from>
    <xdr:ext cx="1438275" cy="558800"/>
    <xdr:pic>
      <xdr:nvPicPr>
        <xdr:cNvPr id="3" name="Image 2" descr="Afficher l'image d'origine"/>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86200" y="222885"/>
          <a:ext cx="1438275" cy="558800"/>
        </a:xfrm>
        <a:prstGeom prst="rect">
          <a:avLst/>
        </a:prstGeom>
        <a:noFill/>
        <a:ln>
          <a:noFill/>
        </a:ln>
      </xdr:spPr>
    </xdr:pic>
    <xdr:clientData/>
  </xdr:oneCellAnchor>
  <xdr:oneCellAnchor>
    <xdr:from>
      <xdr:col>2</xdr:col>
      <xdr:colOff>581025</xdr:colOff>
      <xdr:row>16</xdr:row>
      <xdr:rowOff>3810</xdr:rowOff>
    </xdr:from>
    <xdr:ext cx="1165853" cy="1293275"/>
    <xdr:pic>
      <xdr:nvPicPr>
        <xdr:cNvPr id="4" name="images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2165985" y="2929890"/>
          <a:ext cx="1165853" cy="1293275"/>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103414</xdr:colOff>
      <xdr:row>66</xdr:row>
      <xdr:rowOff>8165</xdr:rowOff>
    </xdr:from>
    <xdr:to>
      <xdr:col>14</xdr:col>
      <xdr:colOff>198663</xdr:colOff>
      <xdr:row>70</xdr:row>
      <xdr:rowOff>84363</xdr:rowOff>
    </xdr:to>
    <xdr:sp macro="" textlink="">
      <xdr:nvSpPr>
        <xdr:cNvPr id="3" name="ZoneTexte 2"/>
        <xdr:cNvSpPr txBox="1"/>
      </xdr:nvSpPr>
      <xdr:spPr>
        <a:xfrm>
          <a:off x="15016843" y="11470822"/>
          <a:ext cx="3371849" cy="816427"/>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Données à utiliser pour</a:t>
          </a:r>
          <a:r>
            <a:rPr lang="fr-FR" sz="1100" baseline="0"/>
            <a:t> le cadrage macro</a:t>
          </a:r>
        </a:p>
        <a:p>
          <a:r>
            <a:rPr lang="fr-FR" sz="1100" baseline="0"/>
            <a:t>Dans MedPro :</a:t>
          </a:r>
        </a:p>
        <a:p>
          <a:r>
            <a:rPr lang="fr-FR" sz="1100" baseline="0"/>
            <a:t>Industrie = industrie manufacturière + Energie + Mines</a:t>
          </a:r>
          <a:endParaRPr lang="fr-FR" sz="1100"/>
        </a:p>
      </xdr:txBody>
    </xdr:sp>
    <xdr:clientData/>
  </xdr:twoCellAnchor>
  <xdr:twoCellAnchor>
    <xdr:from>
      <xdr:col>8</xdr:col>
      <xdr:colOff>1175657</xdr:colOff>
      <xdr:row>36</xdr:row>
      <xdr:rowOff>119743</xdr:rowOff>
    </xdr:from>
    <xdr:to>
      <xdr:col>13</xdr:col>
      <xdr:colOff>141515</xdr:colOff>
      <xdr:row>38</xdr:row>
      <xdr:rowOff>65314</xdr:rowOff>
    </xdr:to>
    <xdr:sp macro="" textlink="">
      <xdr:nvSpPr>
        <xdr:cNvPr id="4" name="ZoneTexte 3"/>
        <xdr:cNvSpPr txBox="1"/>
      </xdr:nvSpPr>
      <xdr:spPr>
        <a:xfrm>
          <a:off x="10961914" y="7249886"/>
          <a:ext cx="6574972" cy="315685"/>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Ce sont les résultats de la</a:t>
          </a:r>
          <a:r>
            <a:rPr lang="fr-FR" sz="1100" b="0" baseline="0"/>
            <a:t> modélisation 3ME qui ont été finalement retenus pour l'exercice AME 2016 2017</a:t>
          </a:r>
          <a:endParaRPr lang="fr-FR" sz="1100" b="0"/>
        </a:p>
      </xdr:txBody>
    </xdr:sp>
    <xdr:clientData/>
  </xdr:twoCellAnchor>
  <xdr:twoCellAnchor>
    <xdr:from>
      <xdr:col>8</xdr:col>
      <xdr:colOff>1240971</xdr:colOff>
      <xdr:row>52</xdr:row>
      <xdr:rowOff>87085</xdr:rowOff>
    </xdr:from>
    <xdr:to>
      <xdr:col>13</xdr:col>
      <xdr:colOff>206829</xdr:colOff>
      <xdr:row>54</xdr:row>
      <xdr:rowOff>32656</xdr:rowOff>
    </xdr:to>
    <xdr:sp macro="" textlink="">
      <xdr:nvSpPr>
        <xdr:cNvPr id="5" name="ZoneTexte 4"/>
        <xdr:cNvSpPr txBox="1"/>
      </xdr:nvSpPr>
      <xdr:spPr>
        <a:xfrm>
          <a:off x="11027228" y="10308771"/>
          <a:ext cx="6574972" cy="315685"/>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Ce sont les résultats de la</a:t>
          </a:r>
          <a:r>
            <a:rPr lang="fr-FR" sz="1100" b="0" baseline="0"/>
            <a:t> modélisation 3ME qui ont été finalement retenus pour l'exercice AME 2016 2017</a:t>
          </a:r>
          <a:endParaRPr lang="fr-FR" sz="1100" b="0"/>
        </a:p>
      </xdr:txBody>
    </xdr:sp>
    <xdr:clientData/>
  </xdr:twoCellAnchor>
  <xdr:twoCellAnchor>
    <xdr:from>
      <xdr:col>8</xdr:col>
      <xdr:colOff>1121228</xdr:colOff>
      <xdr:row>28</xdr:row>
      <xdr:rowOff>97971</xdr:rowOff>
    </xdr:from>
    <xdr:to>
      <xdr:col>13</xdr:col>
      <xdr:colOff>87086</xdr:colOff>
      <xdr:row>30</xdr:row>
      <xdr:rowOff>43541</xdr:rowOff>
    </xdr:to>
    <xdr:sp macro="" textlink="">
      <xdr:nvSpPr>
        <xdr:cNvPr id="6" name="ZoneTexte 5"/>
        <xdr:cNvSpPr txBox="1"/>
      </xdr:nvSpPr>
      <xdr:spPr>
        <a:xfrm>
          <a:off x="10907485" y="5682342"/>
          <a:ext cx="6574972" cy="315685"/>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L'hypothèse</a:t>
          </a:r>
          <a:r>
            <a:rPr lang="fr-FR" sz="1100" b="0" baseline="0"/>
            <a:t> retenue </a:t>
          </a:r>
          <a:r>
            <a:rPr lang="fr-FR" sz="1100" b="0" baseline="0">
              <a:solidFill>
                <a:schemeClr val="dk1"/>
              </a:solidFill>
              <a:effectLst/>
              <a:latin typeface="+mn-lt"/>
              <a:ea typeface="+mn-ea"/>
              <a:cs typeface="+mn-cs"/>
            </a:rPr>
            <a:t>pour l'exercice AME 2016 2017 </a:t>
          </a:r>
          <a:r>
            <a:rPr lang="fr-FR" sz="1100" b="0" baseline="0"/>
            <a:t>est celle de la DGEC</a:t>
          </a:r>
          <a:endParaRPr lang="fr-FR"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4</xdr:row>
      <xdr:rowOff>185056</xdr:rowOff>
    </xdr:from>
    <xdr:to>
      <xdr:col>28</xdr:col>
      <xdr:colOff>0</xdr:colOff>
      <xdr:row>6</xdr:row>
      <xdr:rowOff>163285</xdr:rowOff>
    </xdr:to>
    <xdr:sp macro="" textlink="">
      <xdr:nvSpPr>
        <xdr:cNvPr id="2" name="ZoneTexte 1"/>
        <xdr:cNvSpPr txBox="1"/>
      </xdr:nvSpPr>
      <xdr:spPr>
        <a:xfrm>
          <a:off x="15599229" y="947056"/>
          <a:ext cx="10765971" cy="348343"/>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Les hypothèses présentées dans cette feuille ne tiennent pas compte des</a:t>
          </a:r>
          <a:r>
            <a:rPr lang="fr-FR" sz="1100" b="0" baseline="0"/>
            <a:t> CEEdont l'effet est estimé additionnelement à toutes les hypothèses sectorielles</a:t>
          </a:r>
          <a:endParaRPr lang="fr-FR"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132</xdr:row>
      <xdr:rowOff>0</xdr:rowOff>
    </xdr:from>
    <xdr:to>
      <xdr:col>20</xdr:col>
      <xdr:colOff>751267</xdr:colOff>
      <xdr:row>134</xdr:row>
      <xdr:rowOff>160986</xdr:rowOff>
    </xdr:to>
    <xdr:sp macro="" textlink="">
      <xdr:nvSpPr>
        <xdr:cNvPr id="10" name="ZoneTexte 9"/>
        <xdr:cNvSpPr txBox="1"/>
      </xdr:nvSpPr>
      <xdr:spPr>
        <a:xfrm>
          <a:off x="16989380" y="25113803"/>
          <a:ext cx="2318197" cy="52588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A compléter par IFPEN</a:t>
          </a:r>
        </a:p>
      </xdr:txBody>
    </xdr:sp>
    <xdr:clientData/>
  </xdr:twoCellAnchor>
  <xdr:twoCellAnchor>
    <xdr:from>
      <xdr:col>14</xdr:col>
      <xdr:colOff>1676400</xdr:colOff>
      <xdr:row>29</xdr:row>
      <xdr:rowOff>127000</xdr:rowOff>
    </xdr:from>
    <xdr:to>
      <xdr:col>20</xdr:col>
      <xdr:colOff>736600</xdr:colOff>
      <xdr:row>31</xdr:row>
      <xdr:rowOff>76200</xdr:rowOff>
    </xdr:to>
    <xdr:sp macro="" textlink="">
      <xdr:nvSpPr>
        <xdr:cNvPr id="13" name="ZoneTexte 12"/>
        <xdr:cNvSpPr txBox="1"/>
      </xdr:nvSpPr>
      <xdr:spPr>
        <a:xfrm>
          <a:off x="15659100" y="4800600"/>
          <a:ext cx="6299200" cy="3048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On suppose</a:t>
          </a:r>
          <a:r>
            <a:rPr lang="fr-FR" sz="1100" b="0" baseline="0"/>
            <a:t> que les parts de marché sont identiques pour les VP et les petits VUL</a:t>
          </a:r>
          <a:endParaRPr lang="fr-FR" sz="1100" b="0"/>
        </a:p>
      </xdr:txBody>
    </xdr:sp>
    <xdr:clientData/>
  </xdr:twoCellAnchor>
  <xdr:twoCellAnchor>
    <xdr:from>
      <xdr:col>14</xdr:col>
      <xdr:colOff>1346200</xdr:colOff>
      <xdr:row>77</xdr:row>
      <xdr:rowOff>25400</xdr:rowOff>
    </xdr:from>
    <xdr:to>
      <xdr:col>20</xdr:col>
      <xdr:colOff>406400</xdr:colOff>
      <xdr:row>78</xdr:row>
      <xdr:rowOff>152400</xdr:rowOff>
    </xdr:to>
    <xdr:sp macro="" textlink="">
      <xdr:nvSpPr>
        <xdr:cNvPr id="14" name="ZoneTexte 13"/>
        <xdr:cNvSpPr txBox="1"/>
      </xdr:nvSpPr>
      <xdr:spPr>
        <a:xfrm>
          <a:off x="15328900" y="14541500"/>
          <a:ext cx="6299200" cy="3048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On suppose</a:t>
          </a:r>
          <a:r>
            <a:rPr lang="fr-FR" sz="1100" b="0" baseline="0"/>
            <a:t> que les performances sont identiques pour les VP et les petits VUL</a:t>
          </a:r>
          <a:endParaRPr lang="fr-FR" sz="1100" b="0"/>
        </a:p>
      </xdr:txBody>
    </xdr:sp>
    <xdr:clientData/>
  </xdr:twoCellAnchor>
  <xdr:twoCellAnchor>
    <xdr:from>
      <xdr:col>14</xdr:col>
      <xdr:colOff>1612900</xdr:colOff>
      <xdr:row>125</xdr:row>
      <xdr:rowOff>12700</xdr:rowOff>
    </xdr:from>
    <xdr:to>
      <xdr:col>20</xdr:col>
      <xdr:colOff>673100</xdr:colOff>
      <xdr:row>126</xdr:row>
      <xdr:rowOff>139700</xdr:rowOff>
    </xdr:to>
    <xdr:sp macro="" textlink="">
      <xdr:nvSpPr>
        <xdr:cNvPr id="15" name="ZoneTexte 14"/>
        <xdr:cNvSpPr txBox="1"/>
      </xdr:nvSpPr>
      <xdr:spPr>
        <a:xfrm>
          <a:off x="15595600" y="24676100"/>
          <a:ext cx="6299200" cy="3048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Evolution conforme à l'hypothèse MODEV</a:t>
          </a:r>
          <a:r>
            <a:rPr lang="fr-FR" sz="1100" b="0" baseline="0"/>
            <a:t> (CGDD) de +11,5%</a:t>
          </a:r>
          <a:endParaRPr lang="fr-FR" sz="1100" b="0"/>
        </a:p>
      </xdr:txBody>
    </xdr:sp>
    <xdr:clientData/>
  </xdr:twoCellAnchor>
  <xdr:twoCellAnchor>
    <xdr:from>
      <xdr:col>14</xdr:col>
      <xdr:colOff>0</xdr:colOff>
      <xdr:row>150</xdr:row>
      <xdr:rowOff>0</xdr:rowOff>
    </xdr:from>
    <xdr:to>
      <xdr:col>21</xdr:col>
      <xdr:colOff>127000</xdr:colOff>
      <xdr:row>154</xdr:row>
      <xdr:rowOff>12700</xdr:rowOff>
    </xdr:to>
    <xdr:sp macro="" textlink="">
      <xdr:nvSpPr>
        <xdr:cNvPr id="16" name="ZoneTexte 15"/>
        <xdr:cNvSpPr txBox="1"/>
      </xdr:nvSpPr>
      <xdr:spPr>
        <a:xfrm>
          <a:off x="13982700" y="29489400"/>
          <a:ext cx="8153400" cy="7239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Aviation domestique : chiffres mis à jour à</a:t>
          </a:r>
          <a:r>
            <a:rPr lang="fr-FR" sz="1100" b="0" baseline="0"/>
            <a:t> partir des trafics</a:t>
          </a:r>
        </a:p>
        <a:p>
          <a:r>
            <a:rPr lang="fr-FR" sz="1100" b="0" baseline="0"/>
            <a:t>Besoins militaires : supposés constants (hypothèse DGEC)</a:t>
          </a:r>
        </a:p>
        <a:p>
          <a:r>
            <a:rPr lang="fr-FR" sz="1100" b="0" baseline="0"/>
            <a:t>Aviation internationale : </a:t>
          </a:r>
          <a:r>
            <a:rPr lang="fr-FR" sz="1100">
              <a:solidFill>
                <a:schemeClr val="dk1"/>
              </a:solidFill>
              <a:effectLst/>
              <a:latin typeface="+mn-lt"/>
              <a:ea typeface="+mn-ea"/>
              <a:cs typeface="+mn-cs"/>
            </a:rPr>
            <a:t>ni l'IFPEN, ni la DGAC n'ont actualisé cette année leurs projections, les chiffres de la DGAC de l'exercice AME 2014-15 sont repris</a:t>
          </a:r>
          <a:endParaRPr lang="fr-FR" sz="1100" b="0"/>
        </a:p>
      </xdr:txBody>
    </xdr:sp>
    <xdr:clientData/>
  </xdr:twoCellAnchor>
  <xdr:twoCellAnchor>
    <xdr:from>
      <xdr:col>14</xdr:col>
      <xdr:colOff>1676400</xdr:colOff>
      <xdr:row>51</xdr:row>
      <xdr:rowOff>76200</xdr:rowOff>
    </xdr:from>
    <xdr:to>
      <xdr:col>20</xdr:col>
      <xdr:colOff>736600</xdr:colOff>
      <xdr:row>53</xdr:row>
      <xdr:rowOff>25400</xdr:rowOff>
    </xdr:to>
    <xdr:sp macro="" textlink="">
      <xdr:nvSpPr>
        <xdr:cNvPr id="17" name="ZoneTexte 16"/>
        <xdr:cNvSpPr txBox="1"/>
      </xdr:nvSpPr>
      <xdr:spPr>
        <a:xfrm>
          <a:off x="15659100" y="8839200"/>
          <a:ext cx="6743700" cy="3048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aseline="0">
              <a:solidFill>
                <a:schemeClr val="dk1"/>
              </a:solidFill>
              <a:effectLst/>
              <a:latin typeface="+mn-lt"/>
              <a:ea typeface="+mn-ea"/>
              <a:cs typeface="+mn-cs"/>
            </a:rPr>
            <a:t>Les parcs et immatriculations sont déduits des hypothèses de trafics, de kilométrage annuel et de taux de charge.</a:t>
          </a:r>
          <a:endParaRPr lang="fr-FR">
            <a:effectLst/>
          </a:endParaRPr>
        </a:p>
      </xdr:txBody>
    </xdr:sp>
    <xdr:clientData/>
  </xdr:twoCellAnchor>
  <xdr:twoCellAnchor>
    <xdr:from>
      <xdr:col>14</xdr:col>
      <xdr:colOff>1676400</xdr:colOff>
      <xdr:row>59</xdr:row>
      <xdr:rowOff>63500</xdr:rowOff>
    </xdr:from>
    <xdr:to>
      <xdr:col>20</xdr:col>
      <xdr:colOff>736600</xdr:colOff>
      <xdr:row>62</xdr:row>
      <xdr:rowOff>38100</xdr:rowOff>
    </xdr:to>
    <xdr:sp macro="" textlink="">
      <xdr:nvSpPr>
        <xdr:cNvPr id="18" name="ZoneTexte 17"/>
        <xdr:cNvSpPr txBox="1"/>
      </xdr:nvSpPr>
      <xdr:spPr>
        <a:xfrm>
          <a:off x="15659100" y="10287000"/>
          <a:ext cx="6743700" cy="508000"/>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aseline="0">
              <a:solidFill>
                <a:schemeClr val="dk1"/>
              </a:solidFill>
              <a:effectLst/>
              <a:latin typeface="+mn-lt"/>
              <a:ea typeface="+mn-ea"/>
              <a:cs typeface="+mn-cs"/>
            </a:rPr>
            <a:t>Le parc est déduit des hypothèses de trafics, de kilométrage annuel (supposé constant) et de taux de charge (supposé constant).</a:t>
          </a:r>
          <a:endParaRPr lang="fr-FR">
            <a:effectLst/>
          </a:endParaRPr>
        </a:p>
      </xdr:txBody>
    </xdr:sp>
    <xdr:clientData/>
  </xdr:twoCellAnchor>
  <xdr:twoCellAnchor>
    <xdr:from>
      <xdr:col>14</xdr:col>
      <xdr:colOff>0</xdr:colOff>
      <xdr:row>6</xdr:row>
      <xdr:rowOff>0</xdr:rowOff>
    </xdr:from>
    <xdr:to>
      <xdr:col>23</xdr:col>
      <xdr:colOff>774246</xdr:colOff>
      <xdr:row>7</xdr:row>
      <xdr:rowOff>167368</xdr:rowOff>
    </xdr:to>
    <xdr:sp macro="" textlink="">
      <xdr:nvSpPr>
        <xdr:cNvPr id="9" name="ZoneTexte 8"/>
        <xdr:cNvSpPr txBox="1"/>
      </xdr:nvSpPr>
      <xdr:spPr>
        <a:xfrm>
          <a:off x="13906500" y="1104900"/>
          <a:ext cx="10765971" cy="348343"/>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Les hypothèses présentées dans cette feuille ne tiennent pas compte des</a:t>
          </a:r>
          <a:r>
            <a:rPr lang="fr-FR" sz="1100" b="0" baseline="0"/>
            <a:t> CEEdont l'effet est estimé additionnelement à toutes les hypothèses sectorielles</a:t>
          </a:r>
          <a:endParaRPr lang="fr-FR"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185057</xdr:colOff>
      <xdr:row>13</xdr:row>
      <xdr:rowOff>32657</xdr:rowOff>
    </xdr:from>
    <xdr:to>
      <xdr:col>7</xdr:col>
      <xdr:colOff>521426</xdr:colOff>
      <xdr:row>15</xdr:row>
      <xdr:rowOff>169817</xdr:rowOff>
    </xdr:to>
    <xdr:sp macro="" textlink="">
      <xdr:nvSpPr>
        <xdr:cNvPr id="2" name="ZoneTexte 1"/>
        <xdr:cNvSpPr txBox="1"/>
      </xdr:nvSpPr>
      <xdr:spPr>
        <a:xfrm>
          <a:off x="979714" y="2471057"/>
          <a:ext cx="6029598" cy="507274"/>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 CGDD calcule l’évolution tous les 5 ans en % et applique ces pourcentages à la valeur de 2015 (commune à l’AME 2014-15)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0</xdr:colOff>
      <xdr:row>5</xdr:row>
      <xdr:rowOff>0</xdr:rowOff>
    </xdr:from>
    <xdr:to>
      <xdr:col>22</xdr:col>
      <xdr:colOff>224971</xdr:colOff>
      <xdr:row>6</xdr:row>
      <xdr:rowOff>170543</xdr:rowOff>
    </xdr:to>
    <xdr:sp macro="" textlink="">
      <xdr:nvSpPr>
        <xdr:cNvPr id="2" name="ZoneTexte 1"/>
        <xdr:cNvSpPr txBox="1"/>
      </xdr:nvSpPr>
      <xdr:spPr>
        <a:xfrm>
          <a:off x="15278100" y="1028700"/>
          <a:ext cx="10765971" cy="348343"/>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Les hypothèses présentées dans cette feuille ne tiennent pas compte des</a:t>
          </a:r>
          <a:r>
            <a:rPr lang="fr-FR" sz="1100" b="0" baseline="0"/>
            <a:t> CEEdont l'effet est estimé additionnelement à toutes les hypothèses sectorielles</a:t>
          </a:r>
          <a:endParaRPr lang="fr-FR"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1480457</xdr:colOff>
      <xdr:row>24</xdr:row>
      <xdr:rowOff>174171</xdr:rowOff>
    </xdr:from>
    <xdr:to>
      <xdr:col>11</xdr:col>
      <xdr:colOff>402772</xdr:colOff>
      <xdr:row>26</xdr:row>
      <xdr:rowOff>119742</xdr:rowOff>
    </xdr:to>
    <xdr:sp macro="" textlink="">
      <xdr:nvSpPr>
        <xdr:cNvPr id="4" name="ZoneTexte 3"/>
        <xdr:cNvSpPr txBox="1"/>
      </xdr:nvSpPr>
      <xdr:spPr>
        <a:xfrm>
          <a:off x="1480457" y="4811485"/>
          <a:ext cx="7935686" cy="315686"/>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fr-FR" sz="1100" b="0"/>
            <a:t>Les valeurs pour 2018 et 2023 sont issues de l'arrêté du 24 avril 2016. Après 2023, taux de croissance de 8% (hypothèse DGEC)</a:t>
          </a:r>
        </a:p>
      </xdr:txBody>
    </xdr:sp>
    <xdr:clientData/>
  </xdr:twoCellAnchor>
  <xdr:oneCellAnchor>
    <xdr:from>
      <xdr:col>0</xdr:col>
      <xdr:colOff>1149803</xdr:colOff>
      <xdr:row>65</xdr:row>
      <xdr:rowOff>110218</xdr:rowOff>
    </xdr:from>
    <xdr:ext cx="5355771" cy="4535323"/>
    <xdr:pic>
      <xdr:nvPicPr>
        <xdr:cNvPr id="3" name="Image 2" descr="http://www.developpement-durable.gouv.fr/IMG/png/cam_BCIA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9803" y="4727938"/>
          <a:ext cx="5355771" cy="45353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D9:K14"/>
  <sheetViews>
    <sheetView zoomScaleNormal="100" workbookViewId="0">
      <selection activeCell="D18" sqref="D18"/>
    </sheetView>
  </sheetViews>
  <sheetFormatPr baseColWidth="10" defaultColWidth="11.5703125" defaultRowHeight="15" x14ac:dyDescent="0.25"/>
  <cols>
    <col min="1" max="16384" width="11.5703125" style="22"/>
  </cols>
  <sheetData>
    <row r="9" spans="4:11" ht="26.25" x14ac:dyDescent="0.4">
      <c r="D9" s="24" t="s">
        <v>385</v>
      </c>
      <c r="I9" s="25"/>
      <c r="K9" s="24"/>
    </row>
    <row r="10" spans="4:11" ht="26.25" x14ac:dyDescent="0.4">
      <c r="D10" s="24" t="s">
        <v>384</v>
      </c>
      <c r="K10" s="24"/>
    </row>
    <row r="11" spans="4:11" ht="26.25" x14ac:dyDescent="0.4">
      <c r="D11" s="24" t="s">
        <v>383</v>
      </c>
      <c r="K11" s="24"/>
    </row>
    <row r="14" spans="4:11" ht="26.25" x14ac:dyDescent="0.25">
      <c r="D14" s="23" t="s">
        <v>382</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
  <sheetViews>
    <sheetView zoomScale="80" zoomScaleNormal="80" workbookViewId="0">
      <selection activeCell="I32" sqref="I32"/>
    </sheetView>
  </sheetViews>
  <sheetFormatPr baseColWidth="10" defaultRowHeight="15" x14ac:dyDescent="0.25"/>
  <cols>
    <col min="1" max="1" width="13.5703125" bestFit="1" customWidth="1"/>
    <col min="2" max="2" width="34.5703125" bestFit="1" customWidth="1"/>
    <col min="4" max="4" width="19" customWidth="1"/>
    <col min="5" max="5" width="19.140625" customWidth="1"/>
    <col min="11" max="11" width="6" customWidth="1"/>
    <col min="12" max="44" width="6.7109375" customWidth="1"/>
  </cols>
  <sheetData>
    <row r="1" spans="1:31" x14ac:dyDescent="0.25">
      <c r="A1" s="811"/>
      <c r="B1" s="811" t="s">
        <v>698</v>
      </c>
      <c r="C1" s="811" t="s">
        <v>699</v>
      </c>
      <c r="E1" t="s">
        <v>700</v>
      </c>
      <c r="F1">
        <v>13</v>
      </c>
      <c r="L1" s="1">
        <v>1</v>
      </c>
      <c r="M1" s="1">
        <v>2</v>
      </c>
      <c r="N1" s="1">
        <v>3</v>
      </c>
      <c r="O1" s="1">
        <v>4</v>
      </c>
      <c r="P1" s="1">
        <v>5</v>
      </c>
      <c r="Q1" s="1">
        <v>6</v>
      </c>
      <c r="R1" s="1">
        <v>7</v>
      </c>
      <c r="S1" s="1">
        <v>8</v>
      </c>
      <c r="T1" s="1">
        <v>9</v>
      </c>
      <c r="U1" s="1">
        <v>10</v>
      </c>
      <c r="V1" s="1">
        <v>11</v>
      </c>
      <c r="W1" s="1">
        <v>12</v>
      </c>
      <c r="X1" s="1">
        <v>13</v>
      </c>
      <c r="Y1" s="1">
        <v>14</v>
      </c>
      <c r="Z1" s="1">
        <v>15</v>
      </c>
      <c r="AA1" s="1">
        <v>16</v>
      </c>
      <c r="AB1" s="1">
        <v>17</v>
      </c>
      <c r="AC1" s="1">
        <v>18</v>
      </c>
      <c r="AD1" s="1">
        <v>19</v>
      </c>
      <c r="AE1" s="1">
        <v>20</v>
      </c>
    </row>
    <row r="2" spans="1:31" x14ac:dyDescent="0.25">
      <c r="A2" s="811" t="s">
        <v>701</v>
      </c>
      <c r="B2" s="811">
        <v>165</v>
      </c>
      <c r="C2" s="811">
        <f>B2/$F$1</f>
        <v>12.692307692307692</v>
      </c>
      <c r="L2" s="812">
        <v>2016</v>
      </c>
      <c r="M2" s="812">
        <v>2017</v>
      </c>
      <c r="N2" s="812">
        <v>2018</v>
      </c>
      <c r="O2" s="812">
        <v>2019</v>
      </c>
      <c r="P2" s="812">
        <v>2020</v>
      </c>
      <c r="Q2" s="812">
        <v>2021</v>
      </c>
      <c r="R2" s="812">
        <v>2022</v>
      </c>
      <c r="S2" s="812">
        <v>2023</v>
      </c>
      <c r="T2" s="812">
        <v>2024</v>
      </c>
      <c r="U2" s="812">
        <v>2025</v>
      </c>
      <c r="V2" s="812">
        <v>2026</v>
      </c>
      <c r="W2" s="812">
        <v>2027</v>
      </c>
      <c r="X2" s="812">
        <v>2028</v>
      </c>
      <c r="Y2" s="812">
        <v>2029</v>
      </c>
      <c r="Z2" s="812">
        <v>2030</v>
      </c>
      <c r="AA2" s="812">
        <v>2031</v>
      </c>
      <c r="AB2" s="812">
        <v>2032</v>
      </c>
      <c r="AC2" s="812">
        <v>2033</v>
      </c>
      <c r="AD2" s="812">
        <v>2034</v>
      </c>
      <c r="AE2" s="812">
        <v>2035</v>
      </c>
    </row>
    <row r="3" spans="1:31" x14ac:dyDescent="0.25">
      <c r="A3" s="811" t="s">
        <v>702</v>
      </c>
      <c r="B3" s="811">
        <v>35</v>
      </c>
      <c r="C3" s="811">
        <f>B3/$F$1</f>
        <v>2.6923076923076925</v>
      </c>
      <c r="L3">
        <v>7.66</v>
      </c>
      <c r="M3">
        <v>7.66</v>
      </c>
      <c r="N3">
        <v>7.66</v>
      </c>
      <c r="O3">
        <v>7.66</v>
      </c>
      <c r="P3">
        <v>7.66</v>
      </c>
      <c r="Q3">
        <v>7.66</v>
      </c>
      <c r="R3">
        <v>7.66</v>
      </c>
      <c r="S3">
        <v>7.66</v>
      </c>
      <c r="T3">
        <v>7.66</v>
      </c>
      <c r="U3">
        <v>7.66</v>
      </c>
      <c r="V3">
        <v>7.66</v>
      </c>
      <c r="W3">
        <v>7.66</v>
      </c>
      <c r="X3">
        <v>7.66</v>
      </c>
      <c r="Y3">
        <v>7.66</v>
      </c>
    </row>
    <row r="4" spans="1:31" x14ac:dyDescent="0.25">
      <c r="F4" s="894" t="s">
        <v>703</v>
      </c>
      <c r="G4" s="894"/>
      <c r="H4" s="894"/>
      <c r="I4" s="894"/>
      <c r="M4">
        <v>7.66</v>
      </c>
      <c r="N4">
        <v>7.66</v>
      </c>
      <c r="O4">
        <v>7.66</v>
      </c>
      <c r="P4">
        <v>7.66</v>
      </c>
      <c r="Q4">
        <v>7.66</v>
      </c>
      <c r="R4">
        <v>7.66</v>
      </c>
      <c r="S4">
        <v>7.66</v>
      </c>
      <c r="T4">
        <v>7.66</v>
      </c>
      <c r="U4">
        <v>7.66</v>
      </c>
      <c r="V4">
        <v>7.66</v>
      </c>
      <c r="W4">
        <v>7.66</v>
      </c>
      <c r="X4">
        <v>7.66</v>
      </c>
      <c r="Y4">
        <v>7.66</v>
      </c>
      <c r="Z4">
        <v>7.66</v>
      </c>
    </row>
    <row r="5" spans="1:31" x14ac:dyDescent="0.25">
      <c r="N5">
        <v>11.3</v>
      </c>
      <c r="O5">
        <v>11.3</v>
      </c>
      <c r="P5">
        <v>11.3</v>
      </c>
      <c r="Q5">
        <v>11.3</v>
      </c>
      <c r="R5">
        <v>11.3</v>
      </c>
      <c r="S5">
        <v>11.3</v>
      </c>
      <c r="T5">
        <v>11.3</v>
      </c>
      <c r="U5">
        <v>11.3</v>
      </c>
      <c r="V5">
        <v>11.3</v>
      </c>
      <c r="W5">
        <v>11.3</v>
      </c>
      <c r="X5">
        <v>11.3</v>
      </c>
      <c r="Y5">
        <v>11.3</v>
      </c>
      <c r="Z5">
        <v>11.3</v>
      </c>
      <c r="AA5">
        <v>11.3</v>
      </c>
    </row>
    <row r="6" spans="1:31" x14ac:dyDescent="0.25">
      <c r="B6" s="813"/>
      <c r="C6" s="813" t="s">
        <v>704</v>
      </c>
      <c r="D6" s="895" t="s">
        <v>705</v>
      </c>
      <c r="E6" s="896"/>
      <c r="F6" s="814" t="s">
        <v>706</v>
      </c>
      <c r="H6" s="814" t="s">
        <v>707</v>
      </c>
      <c r="I6" s="814" t="s">
        <v>706</v>
      </c>
      <c r="O6">
        <v>11.3</v>
      </c>
      <c r="P6">
        <v>11.3</v>
      </c>
      <c r="Q6">
        <v>11.3</v>
      </c>
      <c r="R6">
        <v>11.3</v>
      </c>
      <c r="S6">
        <v>11.3</v>
      </c>
      <c r="T6">
        <v>11.3</v>
      </c>
      <c r="U6">
        <v>11.3</v>
      </c>
      <c r="V6">
        <v>11.3</v>
      </c>
      <c r="W6">
        <v>11.3</v>
      </c>
      <c r="X6">
        <v>11.3</v>
      </c>
      <c r="Y6">
        <v>11.3</v>
      </c>
      <c r="Z6">
        <v>11.3</v>
      </c>
      <c r="AA6">
        <v>11.3</v>
      </c>
      <c r="AB6">
        <v>11.3</v>
      </c>
    </row>
    <row r="7" spans="1:31" x14ac:dyDescent="0.25">
      <c r="B7" s="815" t="s">
        <v>708</v>
      </c>
      <c r="C7" s="816">
        <v>6.3323697334834797E-2</v>
      </c>
      <c r="D7" s="813">
        <v>1</v>
      </c>
      <c r="E7" s="813"/>
      <c r="F7" s="817">
        <f>$C$2*C7*D7</f>
        <v>0.80372385078828779</v>
      </c>
      <c r="H7" s="814" t="s">
        <v>709</v>
      </c>
      <c r="I7" s="817">
        <f>F8</f>
        <v>1.9322396361848029</v>
      </c>
      <c r="P7">
        <v>11.3</v>
      </c>
      <c r="Q7">
        <v>11.3</v>
      </c>
      <c r="R7">
        <v>11.3</v>
      </c>
      <c r="S7">
        <v>11.3</v>
      </c>
      <c r="T7">
        <v>11.3</v>
      </c>
      <c r="U7">
        <v>11.3</v>
      </c>
      <c r="V7">
        <v>11.3</v>
      </c>
      <c r="W7">
        <v>11.3</v>
      </c>
      <c r="X7">
        <v>11.3</v>
      </c>
      <c r="Y7">
        <v>11.3</v>
      </c>
      <c r="Z7">
        <v>11.3</v>
      </c>
      <c r="AA7">
        <v>11.3</v>
      </c>
      <c r="AB7">
        <v>11.3</v>
      </c>
      <c r="AC7">
        <v>11.3</v>
      </c>
    </row>
    <row r="8" spans="1:31" x14ac:dyDescent="0.25">
      <c r="B8" s="815" t="s">
        <v>710</v>
      </c>
      <c r="C8" s="816">
        <v>0.54906409910310416</v>
      </c>
      <c r="D8" s="813">
        <v>0.2</v>
      </c>
      <c r="E8" s="813"/>
      <c r="F8" s="817">
        <f>$C$2*C8*D8+C3*D8</f>
        <v>1.9322396361848029</v>
      </c>
      <c r="H8" s="814" t="s">
        <v>711</v>
      </c>
      <c r="I8" s="817">
        <f>F9</f>
        <v>2.1429939610639779</v>
      </c>
    </row>
    <row r="9" spans="1:31" x14ac:dyDescent="0.25">
      <c r="B9" s="815" t="s">
        <v>712</v>
      </c>
      <c r="C9" s="816">
        <v>0.16884194844746495</v>
      </c>
      <c r="D9" s="813">
        <v>1</v>
      </c>
      <c r="E9" s="813"/>
      <c r="F9" s="817">
        <f>$C$2*C9*D9</f>
        <v>2.1429939610639779</v>
      </c>
      <c r="H9" s="814" t="s">
        <v>713</v>
      </c>
      <c r="I9" s="817">
        <f>F10</f>
        <v>2.3672905850942416</v>
      </c>
    </row>
    <row r="10" spans="1:31" x14ac:dyDescent="0.25">
      <c r="B10" s="815" t="s">
        <v>714</v>
      </c>
      <c r="C10" s="816">
        <v>0.18651380367409179</v>
      </c>
      <c r="D10" s="813">
        <v>1</v>
      </c>
      <c r="E10" s="813"/>
      <c r="F10" s="817">
        <f>$C$2*C10*D10</f>
        <v>2.3672905850942416</v>
      </c>
      <c r="H10" s="814" t="s">
        <v>715</v>
      </c>
      <c r="I10" s="817">
        <f>F7+F11+F12</f>
        <v>1.213132657533152</v>
      </c>
    </row>
    <row r="11" spans="1:31" x14ac:dyDescent="0.25">
      <c r="B11" s="815" t="s">
        <v>716</v>
      </c>
      <c r="C11" s="816">
        <v>3.0955431979947969E-3</v>
      </c>
      <c r="D11" s="813">
        <v>1</v>
      </c>
      <c r="E11" s="813"/>
      <c r="F11" s="817">
        <f>$C$2*C11*D11</f>
        <v>3.9289586743780115E-2</v>
      </c>
      <c r="H11" s="818" t="s">
        <v>717</v>
      </c>
      <c r="I11" s="2">
        <f>SUM(I7:I10)</f>
        <v>7.6556568398761753</v>
      </c>
    </row>
    <row r="12" spans="1:31" x14ac:dyDescent="0.25">
      <c r="B12" s="815" t="s">
        <v>718</v>
      </c>
      <c r="C12" s="816">
        <v>2.9160908242509661E-2</v>
      </c>
      <c r="D12" s="813">
        <v>1</v>
      </c>
      <c r="E12" s="813"/>
      <c r="F12" s="817">
        <f>$C$2*C12*D12</f>
        <v>0.37011922000108416</v>
      </c>
    </row>
    <row r="13" spans="1:31" x14ac:dyDescent="0.25">
      <c r="F13" s="2"/>
    </row>
    <row r="14" spans="1:31" x14ac:dyDescent="0.25">
      <c r="F14" s="897" t="s">
        <v>719</v>
      </c>
      <c r="G14" s="897"/>
      <c r="H14" s="897"/>
      <c r="I14" s="897"/>
    </row>
    <row r="15" spans="1:31" x14ac:dyDescent="0.25">
      <c r="F15" s="2"/>
    </row>
    <row r="16" spans="1:31" x14ac:dyDescent="0.25">
      <c r="B16" s="813"/>
      <c r="C16" s="813" t="s">
        <v>704</v>
      </c>
      <c r="D16" s="895" t="s">
        <v>720</v>
      </c>
      <c r="E16" s="896"/>
      <c r="F16" s="817" t="s">
        <v>706</v>
      </c>
      <c r="H16" s="814" t="s">
        <v>707</v>
      </c>
      <c r="I16" s="814" t="s">
        <v>706</v>
      </c>
    </row>
    <row r="17" spans="2:31" x14ac:dyDescent="0.25">
      <c r="B17" s="815" t="s">
        <v>708</v>
      </c>
      <c r="C17" s="816">
        <v>6.3323697334834797E-2</v>
      </c>
      <c r="D17" s="813">
        <v>1</v>
      </c>
      <c r="E17" s="813"/>
      <c r="F17" s="817">
        <f>$C$2*C17*D17</f>
        <v>0.80372385078828779</v>
      </c>
      <c r="H17" s="814" t="s">
        <v>709</v>
      </c>
      <c r="I17" s="817">
        <f>F18</f>
        <v>5.5751123908930573</v>
      </c>
    </row>
    <row r="18" spans="2:31" x14ac:dyDescent="0.25">
      <c r="B18" s="815" t="s">
        <v>710</v>
      </c>
      <c r="C18" s="816">
        <v>0.54906409910310416</v>
      </c>
      <c r="D18" s="813">
        <v>0.8</v>
      </c>
      <c r="E18" s="813"/>
      <c r="F18" s="817">
        <f>$C$2*C18*D18+C13*D18</f>
        <v>5.5751123908930573</v>
      </c>
      <c r="H18" s="814" t="s">
        <v>711</v>
      </c>
      <c r="I18" s="817">
        <f>F19</f>
        <v>2.1429939610639779</v>
      </c>
    </row>
    <row r="19" spans="2:31" x14ac:dyDescent="0.25">
      <c r="B19" s="815" t="s">
        <v>712</v>
      </c>
      <c r="C19" s="816">
        <v>0.16884194844746495</v>
      </c>
      <c r="D19" s="813">
        <v>1</v>
      </c>
      <c r="E19" s="813"/>
      <c r="F19" s="817">
        <f>$C$2*C19*D19</f>
        <v>2.1429939610639779</v>
      </c>
      <c r="H19" s="814" t="s">
        <v>713</v>
      </c>
      <c r="I19" s="817">
        <f>F20</f>
        <v>2.3672905850942416</v>
      </c>
    </row>
    <row r="20" spans="2:31" x14ac:dyDescent="0.25">
      <c r="B20" s="815" t="s">
        <v>714</v>
      </c>
      <c r="C20" s="816">
        <v>0.18651380367409179</v>
      </c>
      <c r="D20" s="813">
        <v>1</v>
      </c>
      <c r="E20" s="813"/>
      <c r="F20" s="817">
        <f>$C$2*C20*D20</f>
        <v>2.3672905850942416</v>
      </c>
      <c r="H20" s="814" t="s">
        <v>715</v>
      </c>
      <c r="I20" s="817">
        <f>F17+F21+F22</f>
        <v>1.213132657533152</v>
      </c>
    </row>
    <row r="21" spans="2:31" x14ac:dyDescent="0.25">
      <c r="B21" s="815" t="s">
        <v>716</v>
      </c>
      <c r="C21" s="816">
        <v>3.0955431979947969E-3</v>
      </c>
      <c r="D21" s="813">
        <v>1</v>
      </c>
      <c r="E21" s="813"/>
      <c r="F21" s="817">
        <f>$C$2*C21*D21</f>
        <v>3.9289586743780115E-2</v>
      </c>
      <c r="H21" s="818" t="s">
        <v>717</v>
      </c>
      <c r="I21" s="2">
        <f>SUM(I17:I20)</f>
        <v>11.298529594584428</v>
      </c>
    </row>
    <row r="22" spans="2:31" x14ac:dyDescent="0.25">
      <c r="B22" s="815" t="s">
        <v>718</v>
      </c>
      <c r="C22" s="816">
        <v>2.9160908242509661E-2</v>
      </c>
      <c r="D22" s="813">
        <v>1</v>
      </c>
      <c r="E22" s="813"/>
      <c r="F22" s="817">
        <f>$C$2*C22*D22</f>
        <v>0.37011922000108416</v>
      </c>
    </row>
    <row r="24" spans="2:31" x14ac:dyDescent="0.25">
      <c r="K24" t="s">
        <v>717</v>
      </c>
      <c r="L24">
        <f>SUM(L3:L22)</f>
        <v>7.66</v>
      </c>
      <c r="M24">
        <f t="shared" ref="M24:AE24" si="0">SUM(M3:M22)</f>
        <v>15.32</v>
      </c>
      <c r="N24">
        <f t="shared" si="0"/>
        <v>26.62</v>
      </c>
      <c r="O24">
        <f t="shared" si="0"/>
        <v>37.92</v>
      </c>
      <c r="P24">
        <f t="shared" si="0"/>
        <v>49.22</v>
      </c>
      <c r="Q24">
        <f t="shared" si="0"/>
        <v>49.22</v>
      </c>
      <c r="R24">
        <f t="shared" si="0"/>
        <v>49.22</v>
      </c>
      <c r="S24">
        <f t="shared" si="0"/>
        <v>49.22</v>
      </c>
      <c r="T24">
        <f t="shared" si="0"/>
        <v>49.22</v>
      </c>
      <c r="U24">
        <f t="shared" si="0"/>
        <v>49.22</v>
      </c>
      <c r="V24">
        <f t="shared" si="0"/>
        <v>49.22</v>
      </c>
      <c r="W24">
        <f t="shared" si="0"/>
        <v>49.22</v>
      </c>
      <c r="X24">
        <f t="shared" si="0"/>
        <v>49.22</v>
      </c>
      <c r="Y24">
        <f t="shared" si="0"/>
        <v>49.22</v>
      </c>
      <c r="Z24">
        <f t="shared" si="0"/>
        <v>41.56</v>
      </c>
      <c r="AA24">
        <f t="shared" si="0"/>
        <v>33.900000000000006</v>
      </c>
      <c r="AB24">
        <f t="shared" si="0"/>
        <v>22.6</v>
      </c>
      <c r="AC24">
        <f t="shared" si="0"/>
        <v>11.3</v>
      </c>
      <c r="AD24">
        <f t="shared" si="0"/>
        <v>0</v>
      </c>
      <c r="AE24">
        <f t="shared" si="0"/>
        <v>0</v>
      </c>
    </row>
  </sheetData>
  <mergeCells count="4">
    <mergeCell ref="F4:I4"/>
    <mergeCell ref="D6:E6"/>
    <mergeCell ref="F14:I14"/>
    <mergeCell ref="D16:E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T78"/>
  <sheetViews>
    <sheetView zoomScale="70" zoomScaleNormal="70" workbookViewId="0">
      <selection activeCell="M5" sqref="M5"/>
    </sheetView>
  </sheetViews>
  <sheetFormatPr baseColWidth="10" defaultColWidth="11.5703125" defaultRowHeight="15" x14ac:dyDescent="0.25"/>
  <cols>
    <col min="1" max="1" width="8.7109375" style="26" customWidth="1"/>
    <col min="2" max="2" width="28.85546875" style="26" customWidth="1"/>
    <col min="3" max="16384" width="11.5703125" style="26"/>
  </cols>
  <sheetData>
    <row r="1" spans="1:20" ht="15.75" thickBot="1" x14ac:dyDescent="0.3">
      <c r="A1" s="278"/>
      <c r="B1" s="276"/>
      <c r="C1" s="276"/>
      <c r="D1" s="276"/>
      <c r="E1" s="277"/>
      <c r="F1" s="277"/>
      <c r="G1" s="277"/>
      <c r="H1" s="277"/>
      <c r="I1" s="277"/>
      <c r="J1" s="277"/>
      <c r="K1" s="277"/>
      <c r="L1" s="277"/>
      <c r="M1" s="277"/>
      <c r="N1" s="277"/>
      <c r="O1" s="275"/>
      <c r="P1" s="275"/>
      <c r="Q1" s="275"/>
      <c r="R1" s="275"/>
    </row>
    <row r="2" spans="1:20" ht="19.5" thickBot="1" x14ac:dyDescent="0.3">
      <c r="A2" s="297" t="s">
        <v>430</v>
      </c>
      <c r="B2" s="280"/>
      <c r="C2" s="280"/>
      <c r="D2" s="280"/>
      <c r="E2" s="280"/>
      <c r="F2" s="280"/>
      <c r="G2" s="280"/>
      <c r="H2" s="280"/>
      <c r="I2" s="280"/>
      <c r="J2" s="280"/>
      <c r="K2" s="280"/>
      <c r="L2" s="280"/>
      <c r="M2" s="280"/>
      <c r="N2" s="280"/>
      <c r="O2" s="280"/>
      <c r="P2" s="280"/>
      <c r="Q2" s="280"/>
      <c r="R2" s="280"/>
      <c r="S2" s="280"/>
      <c r="T2" s="280"/>
    </row>
    <row r="3" spans="1:20" ht="15.75" thickBot="1" x14ac:dyDescent="0.3">
      <c r="A3" s="278"/>
      <c r="B3" s="276"/>
      <c r="C3" s="276"/>
      <c r="D3" s="276"/>
      <c r="E3" s="277"/>
      <c r="F3" s="277"/>
      <c r="G3" s="277"/>
      <c r="H3" s="277"/>
      <c r="I3" s="277"/>
      <c r="J3" s="277"/>
      <c r="K3" s="277"/>
      <c r="L3" s="277"/>
      <c r="M3" s="277"/>
      <c r="N3" s="277"/>
      <c r="O3" s="275"/>
      <c r="P3" s="275"/>
      <c r="Q3" s="275"/>
      <c r="R3" s="275"/>
    </row>
    <row r="4" spans="1:20" ht="15.75" thickBot="1" x14ac:dyDescent="0.3">
      <c r="B4" s="167"/>
      <c r="C4" s="144">
        <v>2000</v>
      </c>
      <c r="D4" s="144">
        <v>2010</v>
      </c>
      <c r="E4" s="144">
        <v>2018</v>
      </c>
      <c r="F4" s="144">
        <v>2020</v>
      </c>
      <c r="G4" s="144">
        <v>2023</v>
      </c>
      <c r="H4" s="144">
        <v>2025</v>
      </c>
      <c r="I4" s="144">
        <v>2030</v>
      </c>
      <c r="J4" s="202">
        <v>2035</v>
      </c>
      <c r="K4" s="277"/>
      <c r="L4" s="277"/>
      <c r="M4" s="277"/>
      <c r="N4" s="277"/>
      <c r="O4" s="275"/>
      <c r="P4" s="275"/>
      <c r="Q4" s="275"/>
      <c r="R4" s="275"/>
    </row>
    <row r="5" spans="1:20" ht="15.75" thickBot="1" x14ac:dyDescent="0.3">
      <c r="B5" s="163" t="s">
        <v>431</v>
      </c>
      <c r="C5" s="281"/>
      <c r="D5" s="281"/>
      <c r="E5" s="281">
        <v>7.0000000000000007E-2</v>
      </c>
      <c r="F5" s="281">
        <v>7.0000000000000007E-2</v>
      </c>
      <c r="G5" s="281">
        <v>7.0000000000000007E-2</v>
      </c>
      <c r="H5" s="281">
        <v>7.0000000000000007E-2</v>
      </c>
      <c r="I5" s="281">
        <v>7.0000000000000007E-2</v>
      </c>
      <c r="J5" s="282">
        <v>7.0000000000000007E-2</v>
      </c>
      <c r="K5" s="277"/>
      <c r="L5" s="277"/>
      <c r="M5" s="277"/>
      <c r="N5" s="277"/>
      <c r="O5" s="275"/>
      <c r="P5" s="275"/>
      <c r="Q5" s="275"/>
      <c r="R5" s="275"/>
    </row>
    <row r="6" spans="1:20" ht="15.75" thickBot="1" x14ac:dyDescent="0.3">
      <c r="B6" s="163" t="s">
        <v>432</v>
      </c>
      <c r="C6" s="281"/>
      <c r="D6" s="281"/>
      <c r="E6" s="281">
        <v>1.6E-2</v>
      </c>
      <c r="F6" s="281">
        <f>0.016+(0.034-0.016)/5*2</f>
        <v>2.3200000000000002E-2</v>
      </c>
      <c r="G6" s="281">
        <v>3.4000000000000002E-2</v>
      </c>
      <c r="H6" s="281">
        <v>3.4000000000000002E-2</v>
      </c>
      <c r="I6" s="281">
        <v>3.4000000000000002E-2</v>
      </c>
      <c r="J6" s="282">
        <v>3.4000000000000002E-2</v>
      </c>
      <c r="K6" s="277"/>
      <c r="L6" s="277"/>
      <c r="M6" s="277"/>
      <c r="N6" s="277"/>
      <c r="O6" s="275"/>
      <c r="P6" s="275"/>
      <c r="Q6" s="275"/>
      <c r="R6" s="275"/>
    </row>
    <row r="7" spans="1:20" ht="15.75" thickBot="1" x14ac:dyDescent="0.3">
      <c r="B7" s="163" t="s">
        <v>433</v>
      </c>
      <c r="C7" s="281"/>
      <c r="D7" s="281"/>
      <c r="E7" s="281">
        <v>0.01</v>
      </c>
      <c r="F7" s="281">
        <f>0.01+(0.023-0.01)/5*2</f>
        <v>1.52E-2</v>
      </c>
      <c r="G7" s="281">
        <v>2.3E-2</v>
      </c>
      <c r="H7" s="281">
        <v>2.3E-2</v>
      </c>
      <c r="I7" s="281">
        <v>2.3E-2</v>
      </c>
      <c r="J7" s="282">
        <v>2.3E-2</v>
      </c>
      <c r="K7" s="277"/>
      <c r="L7" s="277"/>
      <c r="M7" s="277"/>
      <c r="N7" s="277"/>
      <c r="O7" s="275"/>
      <c r="P7" s="275"/>
      <c r="Q7" s="275"/>
      <c r="R7" s="275"/>
    </row>
    <row r="8" spans="1:20" ht="15.75" thickBot="1" x14ac:dyDescent="0.3">
      <c r="B8" s="163" t="s">
        <v>434</v>
      </c>
      <c r="C8" s="281">
        <v>0</v>
      </c>
      <c r="D8" s="281">
        <v>5.8651667027490702E-2</v>
      </c>
      <c r="E8" s="281"/>
      <c r="F8" s="281">
        <v>8.7177050069684806E-2</v>
      </c>
      <c r="G8" s="281"/>
      <c r="H8" s="281">
        <v>9.5857697266547817E-2</v>
      </c>
      <c r="I8" s="281">
        <v>9.5857161883539557E-2</v>
      </c>
      <c r="J8" s="282">
        <v>9.5753852016713381E-2</v>
      </c>
      <c r="K8" s="277"/>
      <c r="L8" s="277"/>
      <c r="M8" s="277"/>
      <c r="N8" s="277"/>
      <c r="O8" s="275"/>
      <c r="P8" s="275"/>
      <c r="Q8" s="275"/>
      <c r="R8" s="275"/>
    </row>
    <row r="9" spans="1:20" x14ac:dyDescent="0.25">
      <c r="B9" s="275" t="s">
        <v>438</v>
      </c>
      <c r="J9" s="277"/>
      <c r="K9" s="277"/>
      <c r="L9" s="277"/>
      <c r="M9" s="277"/>
      <c r="N9" s="277"/>
      <c r="O9" s="275"/>
      <c r="P9" s="275"/>
      <c r="Q9" s="275"/>
      <c r="R9" s="275"/>
    </row>
    <row r="10" spans="1:20" x14ac:dyDescent="0.25">
      <c r="A10" s="278"/>
      <c r="B10" s="276"/>
      <c r="C10" s="276"/>
      <c r="D10" s="276"/>
      <c r="E10" s="277"/>
      <c r="F10" s="277"/>
      <c r="G10" s="277"/>
      <c r="H10" s="277"/>
      <c r="I10" s="277"/>
      <c r="J10" s="277"/>
      <c r="K10" s="277"/>
      <c r="L10" s="277"/>
      <c r="M10" s="277"/>
      <c r="N10" s="277"/>
      <c r="O10" s="275"/>
      <c r="P10" s="275"/>
      <c r="Q10" s="275"/>
      <c r="R10" s="275"/>
    </row>
    <row r="11" spans="1:20" ht="15.75" thickBot="1" x14ac:dyDescent="0.3">
      <c r="A11" s="278"/>
      <c r="B11" s="276"/>
      <c r="C11" s="276"/>
      <c r="D11" s="276"/>
      <c r="E11" s="277"/>
      <c r="F11" s="277"/>
      <c r="G11" s="277"/>
      <c r="H11" s="277"/>
      <c r="I11" s="277"/>
      <c r="J11" s="277"/>
      <c r="K11" s="277"/>
      <c r="L11" s="277"/>
      <c r="M11" s="277"/>
      <c r="N11" s="277"/>
      <c r="O11" s="275"/>
      <c r="P11" s="275"/>
      <c r="Q11" s="275"/>
      <c r="R11" s="275"/>
    </row>
    <row r="12" spans="1:20" ht="19.5" thickBot="1" x14ac:dyDescent="0.3">
      <c r="A12" s="297" t="s">
        <v>435</v>
      </c>
      <c r="B12" s="280"/>
      <c r="C12" s="280"/>
      <c r="D12" s="280"/>
      <c r="E12" s="280"/>
      <c r="F12" s="280"/>
      <c r="G12" s="280"/>
      <c r="H12" s="280"/>
      <c r="I12" s="280"/>
      <c r="J12" s="280"/>
      <c r="K12" s="280"/>
      <c r="L12" s="280"/>
      <c r="M12" s="280"/>
      <c r="N12" s="280"/>
      <c r="O12" s="280"/>
      <c r="P12" s="280"/>
      <c r="Q12" s="280"/>
      <c r="R12" s="280"/>
      <c r="S12" s="280"/>
      <c r="T12" s="280"/>
    </row>
    <row r="13" spans="1:20" ht="15.75" thickBot="1" x14ac:dyDescent="0.3">
      <c r="A13" s="278"/>
      <c r="B13" s="276"/>
      <c r="C13" s="276"/>
      <c r="D13" s="276"/>
      <c r="E13" s="277"/>
      <c r="F13" s="277"/>
      <c r="G13" s="277"/>
      <c r="H13" s="277"/>
      <c r="I13" s="277"/>
      <c r="J13" s="277"/>
      <c r="K13" s="277"/>
      <c r="L13" s="277"/>
      <c r="M13" s="277"/>
      <c r="N13" s="277"/>
      <c r="O13" s="275"/>
      <c r="P13" s="275"/>
      <c r="Q13" s="275"/>
      <c r="R13" s="275"/>
    </row>
    <row r="14" spans="1:20" ht="15.75" thickBot="1" x14ac:dyDescent="0.3">
      <c r="B14" s="167"/>
      <c r="C14" s="144"/>
      <c r="D14" s="144"/>
      <c r="E14" s="144">
        <v>2018</v>
      </c>
      <c r="F14" s="144">
        <v>2020</v>
      </c>
      <c r="G14" s="144">
        <v>2023</v>
      </c>
      <c r="H14" s="144">
        <v>2025</v>
      </c>
      <c r="I14" s="202">
        <v>2030</v>
      </c>
      <c r="J14" s="202">
        <v>2035</v>
      </c>
      <c r="K14" s="277"/>
      <c r="L14" s="277"/>
      <c r="M14" s="277"/>
      <c r="N14" s="277"/>
      <c r="O14" s="275"/>
      <c r="P14" s="275"/>
      <c r="Q14" s="275"/>
      <c r="R14" s="275"/>
    </row>
    <row r="15" spans="1:20" ht="15.75" thickBot="1" x14ac:dyDescent="0.3">
      <c r="B15" s="163" t="s">
        <v>437</v>
      </c>
      <c r="C15" s="283"/>
      <c r="D15" s="283"/>
      <c r="E15" s="283">
        <v>1.7</v>
      </c>
      <c r="F15" s="283">
        <v>4.22</v>
      </c>
      <c r="G15" s="283">
        <v>8</v>
      </c>
      <c r="H15" s="283">
        <v>9.1428571428571423</v>
      </c>
      <c r="I15" s="283">
        <v>12</v>
      </c>
      <c r="J15" s="284">
        <v>15</v>
      </c>
      <c r="K15" s="277"/>
      <c r="L15" s="277"/>
      <c r="M15" s="277"/>
      <c r="N15" s="277"/>
      <c r="O15" s="275"/>
      <c r="P15" s="275"/>
      <c r="Q15" s="275"/>
      <c r="R15" s="275"/>
    </row>
    <row r="16" spans="1:20" x14ac:dyDescent="0.25">
      <c r="B16" s="275" t="s">
        <v>438</v>
      </c>
      <c r="D16" s="276"/>
      <c r="E16" s="279"/>
      <c r="F16" s="276"/>
      <c r="G16" s="279"/>
      <c r="H16" s="277"/>
      <c r="I16" s="277"/>
      <c r="J16" s="277"/>
      <c r="K16" s="277"/>
      <c r="L16" s="277"/>
      <c r="M16" s="277"/>
      <c r="N16" s="277"/>
      <c r="O16" s="275"/>
      <c r="P16" s="275"/>
      <c r="Q16" s="275"/>
      <c r="R16" s="275"/>
    </row>
    <row r="17" spans="1:20" x14ac:dyDescent="0.25">
      <c r="A17" s="278"/>
      <c r="E17" s="276"/>
      <c r="F17" s="277"/>
      <c r="G17" s="277"/>
      <c r="H17" s="277"/>
      <c r="I17" s="277"/>
      <c r="J17" s="277"/>
      <c r="K17" s="277"/>
      <c r="L17" s="277"/>
      <c r="M17" s="277"/>
      <c r="N17" s="277"/>
      <c r="O17" s="275"/>
      <c r="P17" s="275"/>
      <c r="Q17" s="275"/>
      <c r="R17" s="275"/>
    </row>
    <row r="18" spans="1:20" x14ac:dyDescent="0.25">
      <c r="E18" s="274"/>
      <c r="F18" s="274"/>
      <c r="G18" s="277"/>
      <c r="H18" s="277"/>
      <c r="I18" s="277"/>
      <c r="J18" s="277"/>
      <c r="K18" s="277"/>
      <c r="L18" s="277"/>
      <c r="M18" s="277"/>
      <c r="N18" s="277"/>
      <c r="O18" s="275"/>
      <c r="P18" s="275"/>
      <c r="Q18" s="275"/>
      <c r="R18" s="275"/>
    </row>
    <row r="19" spans="1:20" ht="15.75" thickBot="1" x14ac:dyDescent="0.3">
      <c r="A19" s="278"/>
      <c r="B19" s="276"/>
      <c r="E19" s="279"/>
      <c r="F19" s="279"/>
      <c r="G19" s="277"/>
      <c r="H19" s="277"/>
      <c r="I19" s="277"/>
      <c r="J19" s="277"/>
      <c r="K19" s="277"/>
      <c r="L19" s="277"/>
      <c r="M19" s="277"/>
      <c r="N19" s="277"/>
      <c r="O19" s="275"/>
      <c r="P19" s="275"/>
      <c r="Q19" s="275"/>
      <c r="R19" s="275"/>
    </row>
    <row r="20" spans="1:20" ht="19.5" thickBot="1" x14ac:dyDescent="0.3">
      <c r="A20" s="297" t="s">
        <v>439</v>
      </c>
      <c r="B20" s="280"/>
      <c r="C20" s="280"/>
      <c r="D20" s="280"/>
      <c r="E20" s="280"/>
      <c r="F20" s="280"/>
      <c r="G20" s="280"/>
      <c r="H20" s="280"/>
      <c r="I20" s="280"/>
      <c r="J20" s="280"/>
      <c r="K20" s="280"/>
      <c r="L20" s="280"/>
      <c r="M20" s="280"/>
      <c r="N20" s="280"/>
      <c r="O20" s="280"/>
      <c r="P20" s="280"/>
      <c r="Q20" s="280"/>
      <c r="R20" s="280"/>
      <c r="S20" s="280"/>
      <c r="T20" s="280"/>
    </row>
    <row r="21" spans="1:20" ht="15.75" thickBot="1" x14ac:dyDescent="0.3">
      <c r="A21" s="278"/>
      <c r="B21" s="276"/>
      <c r="C21" s="276"/>
      <c r="D21" s="276"/>
      <c r="E21" s="277"/>
      <c r="F21" s="277"/>
      <c r="G21" s="277"/>
      <c r="H21" s="277"/>
      <c r="I21" s="277"/>
      <c r="J21" s="277"/>
      <c r="K21" s="277"/>
      <c r="L21" s="277"/>
      <c r="M21" s="277"/>
      <c r="N21" s="277"/>
      <c r="O21" s="275"/>
      <c r="P21" s="275"/>
      <c r="Q21" s="275"/>
      <c r="R21" s="275"/>
    </row>
    <row r="22" spans="1:20" ht="15.75" thickBot="1" x14ac:dyDescent="0.3">
      <c r="B22" s="167"/>
      <c r="C22" s="144"/>
      <c r="D22" s="144"/>
      <c r="E22" s="144">
        <v>2018</v>
      </c>
      <c r="F22" s="144">
        <v>2020</v>
      </c>
      <c r="G22" s="144">
        <v>2023</v>
      </c>
      <c r="H22" s="144">
        <v>2025</v>
      </c>
      <c r="I22" s="202">
        <v>2030</v>
      </c>
      <c r="J22" s="202">
        <v>2035</v>
      </c>
      <c r="K22" s="287" t="s">
        <v>441</v>
      </c>
      <c r="L22" s="287"/>
      <c r="M22" s="277"/>
      <c r="N22" s="277"/>
      <c r="O22" s="275"/>
      <c r="P22" s="275"/>
      <c r="Q22" s="275"/>
      <c r="R22" s="275"/>
    </row>
    <row r="23" spans="1:20" ht="15.75" thickBot="1" x14ac:dyDescent="0.3">
      <c r="B23" s="163" t="s">
        <v>440</v>
      </c>
      <c r="C23" s="283"/>
      <c r="D23" s="283"/>
      <c r="E23" s="288">
        <v>180</v>
      </c>
      <c r="F23" s="288">
        <f>E23+(G23-E23)/5*2</f>
        <v>216</v>
      </c>
      <c r="G23" s="288">
        <v>270</v>
      </c>
      <c r="H23" s="289">
        <f>G23*(1+$K$23)^2</f>
        <v>314.92800000000005</v>
      </c>
      <c r="I23" s="289">
        <f>H23*(1+$K$23)^5</f>
        <v>462.7325525704706</v>
      </c>
      <c r="J23" s="289">
        <f>I23*(1+$K$23)^5</f>
        <v>679.90593154112457</v>
      </c>
      <c r="K23" s="290">
        <v>0.08</v>
      </c>
      <c r="L23" s="291"/>
      <c r="M23" s="277"/>
      <c r="N23" s="277"/>
      <c r="O23" s="275"/>
      <c r="P23" s="275"/>
      <c r="Q23" s="275"/>
      <c r="R23" s="275"/>
    </row>
    <row r="24" spans="1:20" x14ac:dyDescent="0.25">
      <c r="B24" s="275" t="s">
        <v>438</v>
      </c>
      <c r="D24" s="276"/>
      <c r="E24" s="285"/>
      <c r="F24" s="286"/>
      <c r="G24" s="285"/>
      <c r="H24" s="286"/>
      <c r="I24" s="286"/>
      <c r="J24" s="286"/>
      <c r="L24" s="277"/>
      <c r="M24" s="277"/>
      <c r="N24" s="277"/>
      <c r="O24" s="275"/>
      <c r="P24" s="275"/>
      <c r="Q24" s="275"/>
      <c r="R24" s="275"/>
    </row>
    <row r="29" spans="1:20" x14ac:dyDescent="0.25">
      <c r="B29" s="292">
        <v>2010</v>
      </c>
      <c r="C29" s="293" t="s">
        <v>442</v>
      </c>
      <c r="D29" s="293" t="s">
        <v>443</v>
      </c>
    </row>
    <row r="30" spans="1:20" x14ac:dyDescent="0.25">
      <c r="B30" s="292" t="s">
        <v>436</v>
      </c>
      <c r="C30" s="294">
        <v>56.344106643356632</v>
      </c>
      <c r="D30" s="295">
        <v>0.87587412587412583</v>
      </c>
    </row>
    <row r="31" spans="1:20" x14ac:dyDescent="0.25">
      <c r="B31" s="292" t="s">
        <v>320</v>
      </c>
      <c r="C31" s="294">
        <v>7.9848933566433553</v>
      </c>
      <c r="D31" s="295">
        <v>0.12412587412587411</v>
      </c>
    </row>
    <row r="32" spans="1:20" x14ac:dyDescent="0.25">
      <c r="B32" s="26" t="s">
        <v>444</v>
      </c>
    </row>
    <row r="33" spans="1:20" ht="15.75" thickBot="1" x14ac:dyDescent="0.3"/>
    <row r="34" spans="1:20" ht="15.75" thickBot="1" x14ac:dyDescent="0.3">
      <c r="B34" s="143" t="s">
        <v>448</v>
      </c>
      <c r="C34" s="144"/>
      <c r="D34" s="144"/>
      <c r="E34" s="144">
        <v>2018</v>
      </c>
      <c r="F34" s="144">
        <v>2020</v>
      </c>
      <c r="G34" s="144">
        <v>2023</v>
      </c>
      <c r="H34" s="144">
        <v>2025</v>
      </c>
      <c r="I34" s="202">
        <v>2030</v>
      </c>
      <c r="J34" s="202">
        <v>2035</v>
      </c>
    </row>
    <row r="35" spans="1:20" ht="15.75" thickBot="1" x14ac:dyDescent="0.3">
      <c r="B35" s="163" t="s">
        <v>446</v>
      </c>
      <c r="C35" s="283"/>
      <c r="D35" s="283"/>
      <c r="E35" s="289">
        <f t="shared" ref="E35:J35" si="0">E23*$D$30</f>
        <v>157.65734265734264</v>
      </c>
      <c r="F35" s="289">
        <f t="shared" si="0"/>
        <v>189.18881118881117</v>
      </c>
      <c r="G35" s="289">
        <f t="shared" si="0"/>
        <v>236.48601398601397</v>
      </c>
      <c r="H35" s="289">
        <f t="shared" si="0"/>
        <v>275.83728671328674</v>
      </c>
      <c r="I35" s="289">
        <f t="shared" si="0"/>
        <v>405.29546999616394</v>
      </c>
      <c r="J35" s="296">
        <f t="shared" si="0"/>
        <v>595.51201346521577</v>
      </c>
    </row>
    <row r="36" spans="1:20" ht="15.75" thickBot="1" x14ac:dyDescent="0.3">
      <c r="B36" s="163" t="s">
        <v>447</v>
      </c>
      <c r="C36" s="283"/>
      <c r="D36" s="283"/>
      <c r="E36" s="289">
        <f>E23-E35</f>
        <v>22.342657342657361</v>
      </c>
      <c r="F36" s="289">
        <f t="shared" ref="F36:J36" si="1">F23-F35</f>
        <v>26.811188811188828</v>
      </c>
      <c r="G36" s="289">
        <f t="shared" si="1"/>
        <v>33.513986013986028</v>
      </c>
      <c r="H36" s="289">
        <f t="shared" si="1"/>
        <v>39.09071328671331</v>
      </c>
      <c r="I36" s="289">
        <f t="shared" si="1"/>
        <v>57.437082574306658</v>
      </c>
      <c r="J36" s="296">
        <f t="shared" si="1"/>
        <v>84.3939180759088</v>
      </c>
    </row>
    <row r="37" spans="1:20" x14ac:dyDescent="0.25">
      <c r="B37" s="275" t="s">
        <v>445</v>
      </c>
      <c r="D37" s="276"/>
      <c r="E37" s="285"/>
      <c r="F37" s="286"/>
      <c r="G37" s="285"/>
      <c r="H37" s="286"/>
      <c r="I37" s="286"/>
      <c r="J37" s="286"/>
    </row>
    <row r="39" spans="1:20" ht="15.75" thickBot="1" x14ac:dyDescent="0.3"/>
    <row r="40" spans="1:20" ht="19.5" thickBot="1" x14ac:dyDescent="0.3">
      <c r="A40" s="297" t="s">
        <v>215</v>
      </c>
      <c r="B40" s="280"/>
      <c r="C40" s="280"/>
      <c r="D40" s="280"/>
      <c r="E40" s="280"/>
      <c r="F40" s="280"/>
      <c r="G40" s="280"/>
      <c r="H40" s="280"/>
      <c r="I40" s="280"/>
      <c r="J40" s="280"/>
      <c r="K40" s="280"/>
      <c r="L40" s="280"/>
      <c r="M40" s="280"/>
      <c r="N40" s="280"/>
      <c r="O40" s="280"/>
      <c r="P40" s="280"/>
      <c r="Q40" s="280"/>
      <c r="R40" s="280"/>
      <c r="S40" s="280"/>
      <c r="T40" s="280"/>
    </row>
    <row r="42" spans="1:20" ht="23.25" x14ac:dyDescent="0.25">
      <c r="B42" s="783" t="s">
        <v>696</v>
      </c>
      <c r="C42" s="694"/>
      <c r="D42" s="694"/>
      <c r="E42" s="694"/>
      <c r="F42" s="694"/>
      <c r="G42" s="694"/>
    </row>
    <row r="44" spans="1:20" x14ac:dyDescent="0.25">
      <c r="B44" s="26" t="s">
        <v>695</v>
      </c>
    </row>
    <row r="46" spans="1:20" ht="15.75" thickBot="1" x14ac:dyDescent="0.3"/>
    <row r="47" spans="1:20" ht="45.75" thickBot="1" x14ac:dyDescent="0.3">
      <c r="B47" s="898" t="s">
        <v>694</v>
      </c>
      <c r="C47" s="899" t="s">
        <v>693</v>
      </c>
      <c r="D47" s="899" t="s">
        <v>692</v>
      </c>
      <c r="E47" s="899" t="s">
        <v>691</v>
      </c>
      <c r="F47" s="899" t="s">
        <v>690</v>
      </c>
      <c r="G47" s="782" t="s">
        <v>689</v>
      </c>
      <c r="L47" s="787" t="s">
        <v>368</v>
      </c>
      <c r="M47" s="765" t="s">
        <v>368</v>
      </c>
      <c r="N47" s="766" t="s">
        <v>368</v>
      </c>
    </row>
    <row r="48" spans="1:20" ht="45.75" thickBot="1" x14ac:dyDescent="0.3">
      <c r="B48" s="898"/>
      <c r="C48" s="899"/>
      <c r="D48" s="899"/>
      <c r="E48" s="899"/>
      <c r="F48" s="899"/>
      <c r="G48" s="782" t="s">
        <v>688</v>
      </c>
      <c r="L48" s="787" t="s">
        <v>687</v>
      </c>
      <c r="M48" s="765" t="s">
        <v>686</v>
      </c>
      <c r="N48" s="766" t="s">
        <v>685</v>
      </c>
    </row>
    <row r="49" spans="2:17" ht="15.75" thickBot="1" x14ac:dyDescent="0.3">
      <c r="B49" s="119" t="s">
        <v>684</v>
      </c>
      <c r="C49" s="780">
        <v>147</v>
      </c>
      <c r="D49" s="780">
        <v>867</v>
      </c>
      <c r="E49" s="780">
        <v>334</v>
      </c>
      <c r="F49" s="780">
        <v>808</v>
      </c>
      <c r="G49" s="781">
        <v>20.6</v>
      </c>
      <c r="H49" s="779">
        <f t="shared" ref="H49:H55" si="2">G49*$H$56/$G$56</f>
        <v>20.747494033412892</v>
      </c>
      <c r="I49" s="769">
        <f t="shared" ref="I49:I55" si="3">E49/$E$56*$E$58/(H49*20)</f>
        <v>0.11498806949273978</v>
      </c>
      <c r="J49" s="778"/>
      <c r="L49" s="784">
        <f t="shared" ref="L49:L55" si="4">I49</f>
        <v>0.11498806949273978</v>
      </c>
      <c r="M49" s="750">
        <f t="shared" ref="M49:M55" si="5">L49*3+F49/1000</f>
        <v>1.1529642084782195</v>
      </c>
      <c r="N49" s="751">
        <f t="shared" ref="N49:N55" si="6">2*L49</f>
        <v>0.22997613898547956</v>
      </c>
      <c r="O49" s="26" t="s">
        <v>672</v>
      </c>
    </row>
    <row r="50" spans="2:17" ht="15.75" thickBot="1" x14ac:dyDescent="0.3">
      <c r="B50" s="119" t="s">
        <v>683</v>
      </c>
      <c r="C50" s="780">
        <v>762</v>
      </c>
      <c r="D50" s="780">
        <v>1295</v>
      </c>
      <c r="E50" s="780">
        <v>327</v>
      </c>
      <c r="F50" s="780">
        <v>523</v>
      </c>
      <c r="G50" s="781">
        <v>31</v>
      </c>
      <c r="H50" s="779">
        <f t="shared" si="2"/>
        <v>31.221957040572793</v>
      </c>
      <c r="I50" s="769">
        <f t="shared" si="3"/>
        <v>7.4809989735077631E-2</v>
      </c>
      <c r="J50" s="778"/>
      <c r="L50" s="784">
        <f t="shared" si="4"/>
        <v>7.4809989735077631E-2</v>
      </c>
      <c r="M50" s="750">
        <f t="shared" si="5"/>
        <v>0.74742996920523286</v>
      </c>
      <c r="N50" s="751">
        <f t="shared" si="6"/>
        <v>0.14961997947015526</v>
      </c>
      <c r="O50" s="26" t="s">
        <v>682</v>
      </c>
    </row>
    <row r="51" spans="2:17" ht="15.75" thickBot="1" x14ac:dyDescent="0.3">
      <c r="B51" s="119" t="s">
        <v>86</v>
      </c>
      <c r="C51" s="780">
        <v>394</v>
      </c>
      <c r="D51" s="780">
        <v>499</v>
      </c>
      <c r="E51" s="780">
        <v>106</v>
      </c>
      <c r="F51" s="780">
        <v>115</v>
      </c>
      <c r="G51" s="781">
        <v>46</v>
      </c>
      <c r="H51" s="779">
        <f t="shared" si="2"/>
        <v>46.329355608591889</v>
      </c>
      <c r="I51" s="769">
        <f t="shared" si="3"/>
        <v>1.6342615760501601E-2</v>
      </c>
      <c r="J51" s="778"/>
      <c r="L51" s="784">
        <f t="shared" si="4"/>
        <v>1.6342615760501601E-2</v>
      </c>
      <c r="M51" s="750">
        <f t="shared" si="5"/>
        <v>0.16402784728150482</v>
      </c>
      <c r="N51" s="751">
        <f t="shared" si="6"/>
        <v>3.2685231521003201E-2</v>
      </c>
      <c r="O51" s="26" t="s">
        <v>676</v>
      </c>
    </row>
    <row r="52" spans="2:17" ht="15.75" thickBot="1" x14ac:dyDescent="0.3">
      <c r="B52" s="119" t="s">
        <v>681</v>
      </c>
      <c r="C52" s="780">
        <v>51</v>
      </c>
      <c r="D52" s="780">
        <v>200</v>
      </c>
      <c r="E52" s="780">
        <v>31</v>
      </c>
      <c r="F52" s="780">
        <v>68</v>
      </c>
      <c r="G52" s="781">
        <v>22.9</v>
      </c>
      <c r="H52" s="779">
        <f t="shared" si="2"/>
        <v>23.063961813842482</v>
      </c>
      <c r="I52" s="769">
        <f t="shared" si="3"/>
        <v>9.6006303347100953E-3</v>
      </c>
      <c r="J52" s="778"/>
      <c r="L52" s="784">
        <f t="shared" si="4"/>
        <v>9.6006303347100953E-3</v>
      </c>
      <c r="M52" s="750">
        <f t="shared" si="5"/>
        <v>9.6801891004130294E-2</v>
      </c>
      <c r="N52" s="751">
        <f t="shared" si="6"/>
        <v>1.9201260669420191E-2</v>
      </c>
      <c r="O52" s="26" t="s">
        <v>680</v>
      </c>
    </row>
    <row r="53" spans="2:17" ht="15.75" thickBot="1" x14ac:dyDescent="0.3">
      <c r="B53" s="119" t="s">
        <v>679</v>
      </c>
      <c r="C53" s="780">
        <v>1590</v>
      </c>
      <c r="D53" s="780">
        <v>154</v>
      </c>
      <c r="E53" s="780">
        <v>73</v>
      </c>
      <c r="F53" s="780">
        <v>7</v>
      </c>
      <c r="G53" s="781">
        <v>521</v>
      </c>
      <c r="H53" s="779">
        <f t="shared" si="2"/>
        <v>524.73031026252988</v>
      </c>
      <c r="I53" s="769">
        <f t="shared" si="3"/>
        <v>9.9370774134944378E-4</v>
      </c>
      <c r="J53" s="778"/>
      <c r="L53" s="784">
        <f t="shared" si="4"/>
        <v>9.9370774134944378E-4</v>
      </c>
      <c r="M53" s="750">
        <f t="shared" si="5"/>
        <v>9.9811232240483317E-3</v>
      </c>
      <c r="N53" s="751">
        <f t="shared" si="6"/>
        <v>1.9874154826988876E-3</v>
      </c>
      <c r="O53" s="26" t="s">
        <v>678</v>
      </c>
    </row>
    <row r="54" spans="2:17" ht="15.75" thickBot="1" x14ac:dyDescent="0.3">
      <c r="B54" s="119" t="s">
        <v>677</v>
      </c>
      <c r="C54" s="780">
        <v>668</v>
      </c>
      <c r="D54" s="780">
        <v>1565</v>
      </c>
      <c r="E54" s="780">
        <v>506</v>
      </c>
      <c r="F54" s="780">
        <v>248</v>
      </c>
      <c r="G54" s="781">
        <v>102</v>
      </c>
      <c r="H54" s="779">
        <f t="shared" si="2"/>
        <v>102.73031026252985</v>
      </c>
      <c r="I54" s="769">
        <f t="shared" si="3"/>
        <v>3.5182271960917055E-2</v>
      </c>
      <c r="J54" s="778"/>
      <c r="L54" s="784">
        <f t="shared" si="4"/>
        <v>3.5182271960917055E-2</v>
      </c>
      <c r="M54" s="785">
        <f t="shared" si="5"/>
        <v>0.35354681588275116</v>
      </c>
      <c r="N54" s="786">
        <f t="shared" si="6"/>
        <v>7.0364543921834111E-2</v>
      </c>
      <c r="O54" s="26" t="s">
        <v>676</v>
      </c>
    </row>
    <row r="55" spans="2:17" ht="30.75" thickBot="1" x14ac:dyDescent="0.3">
      <c r="B55" s="119" t="s">
        <v>675</v>
      </c>
      <c r="C55" s="780">
        <v>32</v>
      </c>
      <c r="D55" s="780">
        <v>46</v>
      </c>
      <c r="E55" s="780">
        <v>14</v>
      </c>
      <c r="F55" s="780">
        <v>21</v>
      </c>
      <c r="G55" s="781">
        <v>33.299999999999997</v>
      </c>
      <c r="H55" s="779">
        <f t="shared" si="2"/>
        <v>33.538424821002387</v>
      </c>
      <c r="I55" s="769">
        <f t="shared" si="3"/>
        <v>2.9816546404224124E-3</v>
      </c>
      <c r="J55" s="778"/>
      <c r="L55" s="784">
        <f t="shared" si="4"/>
        <v>2.9816546404224124E-3</v>
      </c>
      <c r="M55" s="750">
        <f t="shared" si="5"/>
        <v>2.9944963921267238E-2</v>
      </c>
      <c r="N55" s="751">
        <f t="shared" si="6"/>
        <v>5.9633092808448248E-3</v>
      </c>
    </row>
    <row r="56" spans="2:17" ht="15.75" thickBot="1" x14ac:dyDescent="0.3">
      <c r="B56" s="119" t="s">
        <v>87</v>
      </c>
      <c r="C56" s="120">
        <v>3644</v>
      </c>
      <c r="D56" s="120">
        <v>4626</v>
      </c>
      <c r="E56" s="120">
        <v>1501</v>
      </c>
      <c r="F56" s="120">
        <v>1790</v>
      </c>
      <c r="G56" s="121">
        <v>41.9</v>
      </c>
      <c r="H56" s="26">
        <v>42.2</v>
      </c>
      <c r="L56" s="772"/>
    </row>
    <row r="57" spans="2:17" x14ac:dyDescent="0.25">
      <c r="B57" s="26" t="s">
        <v>674</v>
      </c>
    </row>
    <row r="58" spans="2:17" x14ac:dyDescent="0.25">
      <c r="E58" s="779">
        <f>E56/7</f>
        <v>214.42857142857142</v>
      </c>
      <c r="F58" s="779">
        <f>F56/7</f>
        <v>255.71428571428572</v>
      </c>
    </row>
    <row r="59" spans="2:17" x14ac:dyDescent="0.25">
      <c r="B59" s="26" t="s">
        <v>673</v>
      </c>
      <c r="M59" s="769"/>
    </row>
    <row r="63" spans="2:17" ht="18.75" x14ac:dyDescent="0.3">
      <c r="B63" s="693" t="s">
        <v>672</v>
      </c>
      <c r="C63" s="788"/>
      <c r="D63" s="788"/>
      <c r="E63" s="788"/>
      <c r="F63" s="788"/>
      <c r="G63" s="788"/>
      <c r="H63" s="788"/>
      <c r="I63" s="788"/>
      <c r="J63" s="788"/>
      <c r="K63" s="788"/>
      <c r="L63" s="4"/>
      <c r="M63" s="777"/>
      <c r="N63" s="777"/>
      <c r="O63" s="777"/>
      <c r="P63" s="777"/>
      <c r="Q63" s="777"/>
    </row>
    <row r="65" spans="2:18" x14ac:dyDescent="0.25">
      <c r="B65" s="776" t="s">
        <v>671</v>
      </c>
    </row>
    <row r="70" spans="2:18" x14ac:dyDescent="0.25">
      <c r="N70" s="775"/>
      <c r="O70" s="774"/>
      <c r="P70" s="774"/>
    </row>
    <row r="71" spans="2:18" ht="15.75" thickBot="1" x14ac:dyDescent="0.3">
      <c r="J71" s="769"/>
      <c r="K71" s="769"/>
      <c r="L71" s="769"/>
      <c r="N71" s="773"/>
      <c r="O71" s="772"/>
      <c r="P71" s="771"/>
      <c r="Q71" s="771"/>
      <c r="R71" s="771"/>
    </row>
    <row r="72" spans="2:18" ht="15.75" thickBot="1" x14ac:dyDescent="0.3">
      <c r="H72" s="828" t="s">
        <v>697</v>
      </c>
      <c r="I72" s="830"/>
    </row>
    <row r="73" spans="2:18" ht="15.75" thickBot="1" x14ac:dyDescent="0.3">
      <c r="F73" s="26" t="s">
        <v>311</v>
      </c>
      <c r="H73" s="235">
        <v>50</v>
      </c>
      <c r="I73" s="789">
        <f>H73/$H$78</f>
        <v>0.44642857142857145</v>
      </c>
      <c r="J73" s="769"/>
      <c r="K73" s="769"/>
      <c r="L73" s="769"/>
    </row>
    <row r="74" spans="2:18" ht="15.75" thickBot="1" x14ac:dyDescent="0.3">
      <c r="F74" s="26" t="s">
        <v>670</v>
      </c>
      <c r="H74" s="235">
        <v>12</v>
      </c>
      <c r="I74" s="789">
        <f>H74/$H$78</f>
        <v>0.10714285714285714</v>
      </c>
      <c r="J74" s="769"/>
      <c r="K74" s="769"/>
      <c r="L74" s="769"/>
    </row>
    <row r="75" spans="2:18" ht="15.75" thickBot="1" x14ac:dyDescent="0.3">
      <c r="F75" s="26" t="s">
        <v>669</v>
      </c>
      <c r="H75" s="235">
        <v>35</v>
      </c>
      <c r="I75" s="789">
        <f>H75/$H$78</f>
        <v>0.3125</v>
      </c>
      <c r="J75" s="769"/>
      <c r="K75" s="769"/>
      <c r="L75" s="769"/>
    </row>
    <row r="76" spans="2:18" ht="15.75" thickBot="1" x14ac:dyDescent="0.3">
      <c r="F76" s="26" t="s">
        <v>309</v>
      </c>
      <c r="H76" s="235">
        <v>8</v>
      </c>
      <c r="I76" s="789">
        <f>H76/$H$78</f>
        <v>7.1428571428571425E-2</v>
      </c>
      <c r="J76" s="769"/>
      <c r="K76" s="769"/>
      <c r="L76" s="769"/>
    </row>
    <row r="77" spans="2:18" ht="15.75" thickBot="1" x14ac:dyDescent="0.3">
      <c r="F77" s="26" t="s">
        <v>99</v>
      </c>
      <c r="H77" s="235">
        <v>7</v>
      </c>
      <c r="I77" s="789">
        <f>H77/$H$78</f>
        <v>6.25E-2</v>
      </c>
      <c r="J77" s="769"/>
      <c r="K77" s="769"/>
      <c r="L77" s="769"/>
    </row>
    <row r="78" spans="2:18" ht="15.75" thickBot="1" x14ac:dyDescent="0.3">
      <c r="H78" s="235">
        <f>SUM(H73:H77)</f>
        <v>112</v>
      </c>
      <c r="I78" s="431"/>
    </row>
  </sheetData>
  <mergeCells count="6">
    <mergeCell ref="H72:I72"/>
    <mergeCell ref="B47:B48"/>
    <mergeCell ref="C47:C48"/>
    <mergeCell ref="D47:D48"/>
    <mergeCell ref="E47:E48"/>
    <mergeCell ref="F47:F4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2:BC75"/>
  <sheetViews>
    <sheetView zoomScale="70" zoomScaleNormal="70" workbookViewId="0">
      <pane ySplit="4" topLeftCell="A5" activePane="bottomLeft" state="frozen"/>
      <selection pane="bottomLeft" activeCell="A3" sqref="A3:G3"/>
    </sheetView>
  </sheetViews>
  <sheetFormatPr baseColWidth="10" defaultColWidth="11.5703125" defaultRowHeight="15" x14ac:dyDescent="0.25"/>
  <cols>
    <col min="1" max="1" width="52.28515625" style="84" bestFit="1" customWidth="1"/>
    <col min="2" max="2" width="15.85546875" style="84" customWidth="1"/>
    <col min="3" max="4" width="11.5703125" style="84"/>
    <col min="5" max="5" width="16.42578125" style="84" customWidth="1"/>
    <col min="6" max="8" width="11.5703125" style="84"/>
    <col min="9" max="9" width="64.5703125" style="84" bestFit="1" customWidth="1"/>
    <col min="10" max="11" width="10.140625" style="84" customWidth="1"/>
    <col min="12" max="12" width="14.42578125" style="84" customWidth="1"/>
    <col min="13" max="14" width="11.5703125" style="84"/>
    <col min="15" max="15" width="14.5703125" style="84" customWidth="1"/>
    <col min="16" max="16" width="11.5703125" style="84"/>
    <col min="17" max="17" width="52.28515625" style="84" bestFit="1" customWidth="1"/>
    <col min="18" max="18" width="17.5703125" style="84" customWidth="1"/>
    <col min="19" max="19" width="19.28515625" style="84" customWidth="1"/>
    <col min="20" max="20" width="13.5703125" style="84" customWidth="1"/>
    <col min="21" max="21" width="14.5703125" style="84" customWidth="1"/>
    <col min="22" max="55" width="11.5703125" style="84"/>
    <col min="56" max="16384" width="11.5703125" style="26"/>
  </cols>
  <sheetData>
    <row r="2" spans="1:21" ht="15.75" thickBot="1" x14ac:dyDescent="0.3"/>
    <row r="3" spans="1:21" ht="15.75" thickBot="1" x14ac:dyDescent="0.3">
      <c r="A3" s="828" t="s">
        <v>393</v>
      </c>
      <c r="B3" s="829"/>
      <c r="C3" s="829"/>
      <c r="D3" s="829"/>
      <c r="E3" s="829"/>
      <c r="F3" s="829"/>
      <c r="G3" s="830"/>
      <c r="I3" s="828" t="s">
        <v>1</v>
      </c>
      <c r="J3" s="829"/>
      <c r="K3" s="829"/>
      <c r="L3" s="829"/>
      <c r="M3" s="829"/>
      <c r="N3" s="828"/>
      <c r="O3" s="829"/>
      <c r="Q3" s="828" t="s">
        <v>55</v>
      </c>
      <c r="R3" s="829"/>
      <c r="S3" s="829"/>
      <c r="T3" s="829"/>
      <c r="U3" s="829"/>
    </row>
    <row r="4" spans="1:21" x14ac:dyDescent="0.25">
      <c r="A4" s="82"/>
      <c r="B4" s="82"/>
      <c r="C4" s="82"/>
      <c r="D4" s="82"/>
      <c r="E4" s="82"/>
      <c r="F4" s="82"/>
      <c r="G4" s="82"/>
      <c r="I4" s="85"/>
      <c r="J4" s="85"/>
      <c r="K4" s="85"/>
      <c r="L4" s="85"/>
      <c r="M4" s="85"/>
      <c r="N4" s="85"/>
      <c r="O4" s="85"/>
      <c r="Q4" s="85"/>
      <c r="R4" s="85"/>
      <c r="S4" s="85"/>
      <c r="T4" s="85"/>
      <c r="U4" s="85"/>
    </row>
    <row r="5" spans="1:21" ht="15.75" thickBot="1" x14ac:dyDescent="0.3">
      <c r="A5" s="29" t="s">
        <v>56</v>
      </c>
      <c r="I5" s="29" t="s">
        <v>56</v>
      </c>
      <c r="Q5" s="29" t="s">
        <v>56</v>
      </c>
    </row>
    <row r="6" spans="1:21" ht="18.75" thickBot="1" x14ac:dyDescent="0.3">
      <c r="A6" s="88"/>
      <c r="B6" s="831" t="s">
        <v>396</v>
      </c>
      <c r="C6" s="831"/>
      <c r="D6" s="831"/>
      <c r="E6" s="831"/>
      <c r="F6" s="831"/>
      <c r="G6" s="86"/>
      <c r="H6" s="86"/>
      <c r="I6" s="88"/>
      <c r="J6" s="88"/>
      <c r="K6" s="88"/>
      <c r="L6" s="832" t="s">
        <v>397</v>
      </c>
      <c r="M6" s="832"/>
      <c r="N6" s="832"/>
      <c r="O6" s="832"/>
      <c r="Q6" s="88"/>
      <c r="R6" s="832" t="s">
        <v>397</v>
      </c>
      <c r="S6" s="832"/>
      <c r="T6" s="832"/>
      <c r="U6" s="832"/>
    </row>
    <row r="7" spans="1:21" ht="15.75" thickBot="1" x14ac:dyDescent="0.3">
      <c r="A7" s="88"/>
      <c r="B7" s="89">
        <v>2015</v>
      </c>
      <c r="C7" s="89">
        <v>2020</v>
      </c>
      <c r="D7" s="89">
        <v>2025</v>
      </c>
      <c r="E7" s="89">
        <v>2030</v>
      </c>
      <c r="F7" s="90">
        <v>2035</v>
      </c>
      <c r="G7" s="62"/>
      <c r="H7" s="62"/>
      <c r="I7" s="97"/>
      <c r="J7" s="97"/>
      <c r="K7" s="97"/>
      <c r="L7" s="89">
        <v>2020</v>
      </c>
      <c r="M7" s="89">
        <v>2025</v>
      </c>
      <c r="N7" s="89">
        <v>2030</v>
      </c>
      <c r="O7" s="90">
        <v>2035</v>
      </c>
      <c r="Q7" s="97"/>
      <c r="R7" s="89">
        <v>2020</v>
      </c>
      <c r="S7" s="89">
        <v>2025</v>
      </c>
      <c r="T7" s="89">
        <v>2030</v>
      </c>
      <c r="U7" s="90">
        <v>2035</v>
      </c>
    </row>
    <row r="8" spans="1:21" ht="15.75" thickBot="1" x14ac:dyDescent="0.3">
      <c r="A8" s="91" t="s">
        <v>56</v>
      </c>
      <c r="B8" s="91">
        <v>7</v>
      </c>
      <c r="C8" s="91">
        <v>10</v>
      </c>
      <c r="D8" s="91">
        <v>14</v>
      </c>
      <c r="E8" s="91">
        <v>35</v>
      </c>
      <c r="F8" s="92">
        <v>57</v>
      </c>
      <c r="G8" s="87"/>
      <c r="H8" s="87"/>
      <c r="I8" s="101" t="s">
        <v>56</v>
      </c>
      <c r="J8" s="115"/>
      <c r="K8" s="116"/>
      <c r="L8" s="91">
        <v>15</v>
      </c>
      <c r="M8" s="91">
        <v>22.5</v>
      </c>
      <c r="N8" s="91">
        <v>33.5</v>
      </c>
      <c r="O8" s="92">
        <v>42</v>
      </c>
      <c r="Q8" s="93" t="s">
        <v>56</v>
      </c>
      <c r="R8" s="98">
        <f>(L8-C8)/C8</f>
        <v>0.5</v>
      </c>
      <c r="S8" s="98">
        <f>(M8-D8)/D8</f>
        <v>0.6071428571428571</v>
      </c>
      <c r="T8" s="98">
        <f>(N8-E8)/E8</f>
        <v>-4.2857142857142858E-2</v>
      </c>
      <c r="U8" s="98">
        <f>(O8-F8)/F8</f>
        <v>-0.26315789473684209</v>
      </c>
    </row>
    <row r="9" spans="1:21" x14ac:dyDescent="0.25">
      <c r="I9" s="84" t="s">
        <v>394</v>
      </c>
    </row>
    <row r="11" spans="1:21" ht="15.75" thickBot="1" x14ac:dyDescent="0.3">
      <c r="A11" s="29" t="s">
        <v>57</v>
      </c>
      <c r="I11" s="29" t="s">
        <v>57</v>
      </c>
      <c r="Q11" s="29" t="s">
        <v>57</v>
      </c>
    </row>
    <row r="12" spans="1:21" ht="15.75" thickBot="1" x14ac:dyDescent="0.3">
      <c r="A12" s="88"/>
      <c r="B12" s="90"/>
      <c r="C12" s="831" t="s">
        <v>58</v>
      </c>
      <c r="D12" s="831"/>
      <c r="E12" s="831"/>
      <c r="F12" s="831"/>
      <c r="G12" s="831"/>
      <c r="I12" s="97"/>
      <c r="J12" s="97"/>
      <c r="K12" s="97"/>
      <c r="L12" s="832" t="s">
        <v>59</v>
      </c>
      <c r="M12" s="832"/>
      <c r="N12" s="832"/>
      <c r="O12" s="832"/>
      <c r="Q12" s="97"/>
      <c r="R12" s="832" t="s">
        <v>59</v>
      </c>
      <c r="S12" s="832"/>
      <c r="T12" s="832"/>
      <c r="U12" s="832"/>
    </row>
    <row r="13" spans="1:21" ht="15.75" thickBot="1" x14ac:dyDescent="0.3">
      <c r="A13" s="88"/>
      <c r="B13" s="90">
        <v>2010</v>
      </c>
      <c r="C13" s="89">
        <v>2015</v>
      </c>
      <c r="D13" s="89">
        <v>2020</v>
      </c>
      <c r="E13" s="89">
        <v>2025</v>
      </c>
      <c r="F13" s="89">
        <v>2030</v>
      </c>
      <c r="G13" s="90">
        <v>2035</v>
      </c>
      <c r="I13" s="97"/>
      <c r="J13" s="97"/>
      <c r="K13" s="97"/>
      <c r="L13" s="89">
        <v>2020</v>
      </c>
      <c r="M13" s="89">
        <v>2025</v>
      </c>
      <c r="N13" s="89">
        <v>2030</v>
      </c>
      <c r="O13" s="90">
        <v>2035</v>
      </c>
      <c r="Q13" s="97"/>
      <c r="R13" s="89">
        <v>2020</v>
      </c>
      <c r="S13" s="89">
        <v>2025</v>
      </c>
      <c r="T13" s="89">
        <v>2030</v>
      </c>
      <c r="U13" s="90">
        <v>2035</v>
      </c>
    </row>
    <row r="14" spans="1:21" ht="15.75" thickBot="1" x14ac:dyDescent="0.3">
      <c r="A14" s="93" t="s">
        <v>60</v>
      </c>
      <c r="B14" s="92">
        <v>60</v>
      </c>
      <c r="C14" s="91">
        <v>77</v>
      </c>
      <c r="D14" s="91">
        <v>88.5</v>
      </c>
      <c r="E14" s="91">
        <v>89.2</v>
      </c>
      <c r="F14" s="91">
        <v>93.1</v>
      </c>
      <c r="G14" s="92">
        <v>95.9</v>
      </c>
      <c r="I14" s="101" t="s">
        <v>60</v>
      </c>
      <c r="J14" s="115"/>
      <c r="K14" s="116"/>
      <c r="L14" s="91">
        <v>75</v>
      </c>
      <c r="M14" s="91">
        <v>85.1</v>
      </c>
      <c r="N14" s="91">
        <v>93.8</v>
      </c>
      <c r="O14" s="92">
        <v>97.8</v>
      </c>
      <c r="Q14" s="93" t="s">
        <v>60</v>
      </c>
      <c r="R14" s="98">
        <f>(L14-D14)/D14</f>
        <v>-0.15254237288135594</v>
      </c>
      <c r="S14" s="98">
        <f>(M14-E14)/E14</f>
        <v>-4.5964125560538208E-2</v>
      </c>
      <c r="T14" s="98">
        <f>(N14-F14)/F14</f>
        <v>7.5187969924812338E-3</v>
      </c>
      <c r="U14" s="98">
        <f>(O14-G14)/G14</f>
        <v>1.981230448383724E-2</v>
      </c>
    </row>
    <row r="15" spans="1:21" ht="15.75" thickBot="1" x14ac:dyDescent="0.3">
      <c r="A15" s="93" t="s">
        <v>61</v>
      </c>
      <c r="B15" s="92">
        <v>16</v>
      </c>
      <c r="C15" s="91">
        <v>15</v>
      </c>
      <c r="D15" s="91" t="s">
        <v>62</v>
      </c>
      <c r="E15" s="91" t="s">
        <v>63</v>
      </c>
      <c r="F15" s="91" t="s">
        <v>64</v>
      </c>
      <c r="G15" s="92" t="s">
        <v>65</v>
      </c>
      <c r="I15" s="101" t="s">
        <v>61</v>
      </c>
      <c r="J15" s="115"/>
      <c r="K15" s="116"/>
      <c r="L15" s="91">
        <v>14.3</v>
      </c>
      <c r="M15" s="91">
        <v>17.100000000000001</v>
      </c>
      <c r="N15" s="91">
        <v>20.5</v>
      </c>
      <c r="O15" s="92">
        <v>21.7</v>
      </c>
      <c r="Q15" s="93" t="s">
        <v>61</v>
      </c>
      <c r="R15" s="98">
        <f>(L15-D16)/D16</f>
        <v>-0.3125</v>
      </c>
      <c r="S15" s="98">
        <f>(M15-E16)/E16</f>
        <v>-0.21198156682027641</v>
      </c>
      <c r="T15" s="98">
        <f>(N15-F16)/F16</f>
        <v>-6.8181818181818177E-2</v>
      </c>
      <c r="U15" s="98">
        <f>(O15-G16)/G16</f>
        <v>-5.4466230936819175E-2</v>
      </c>
    </row>
    <row r="16" spans="1:21" x14ac:dyDescent="0.25">
      <c r="A16" s="84" t="s">
        <v>66</v>
      </c>
      <c r="B16" s="84">
        <v>16</v>
      </c>
      <c r="C16" s="84">
        <v>15</v>
      </c>
      <c r="D16" s="84">
        <f>(19+22.6)*0.5</f>
        <v>20.8</v>
      </c>
      <c r="E16" s="84">
        <f>(19.7+23.7)*0.5</f>
        <v>21.7</v>
      </c>
      <c r="F16" s="84">
        <f>22</f>
        <v>22</v>
      </c>
      <c r="G16" s="84">
        <f>(20.4+25.5)*0.5</f>
        <v>22.95</v>
      </c>
      <c r="I16" s="84" t="s">
        <v>394</v>
      </c>
    </row>
    <row r="18" spans="1:21" ht="15.75" thickBot="1" x14ac:dyDescent="0.3">
      <c r="A18" s="29" t="s">
        <v>67</v>
      </c>
      <c r="I18" s="29" t="s">
        <v>67</v>
      </c>
      <c r="Q18" s="29" t="s">
        <v>67</v>
      </c>
    </row>
    <row r="19" spans="1:21" ht="15.75" thickBot="1" x14ac:dyDescent="0.3">
      <c r="A19" s="88"/>
      <c r="B19" s="90"/>
      <c r="C19" s="831" t="s">
        <v>68</v>
      </c>
      <c r="D19" s="831"/>
      <c r="E19" s="831"/>
      <c r="F19" s="831"/>
      <c r="G19" s="831"/>
      <c r="I19" s="97"/>
      <c r="J19" s="97"/>
      <c r="K19" s="97"/>
      <c r="L19" s="832" t="s">
        <v>69</v>
      </c>
      <c r="M19" s="832"/>
      <c r="N19" s="832"/>
      <c r="O19" s="832"/>
      <c r="Q19" s="97"/>
      <c r="R19" s="832" t="s">
        <v>69</v>
      </c>
      <c r="S19" s="832"/>
      <c r="T19" s="832"/>
      <c r="U19" s="832"/>
    </row>
    <row r="20" spans="1:21" ht="15.75" thickBot="1" x14ac:dyDescent="0.3">
      <c r="A20" s="88"/>
      <c r="B20" s="90">
        <v>2010</v>
      </c>
      <c r="C20" s="89">
        <v>2015</v>
      </c>
      <c r="D20" s="89">
        <v>2020</v>
      </c>
      <c r="E20" s="89">
        <v>2025</v>
      </c>
      <c r="F20" s="89">
        <v>2030</v>
      </c>
      <c r="G20" s="90">
        <v>2035</v>
      </c>
      <c r="I20" s="97"/>
      <c r="J20" s="97"/>
      <c r="K20" s="97"/>
      <c r="L20" s="89">
        <v>2020</v>
      </c>
      <c r="M20" s="89">
        <v>2025</v>
      </c>
      <c r="N20" s="89">
        <v>2030</v>
      </c>
      <c r="O20" s="90">
        <v>2035</v>
      </c>
      <c r="Q20" s="97"/>
      <c r="R20" s="89">
        <v>2020</v>
      </c>
      <c r="S20" s="89">
        <v>2025</v>
      </c>
      <c r="T20" s="89">
        <v>2030</v>
      </c>
      <c r="U20" s="90">
        <v>2035</v>
      </c>
    </row>
    <row r="21" spans="1:21" ht="15.75" thickBot="1" x14ac:dyDescent="0.3">
      <c r="A21" s="93" t="s">
        <v>70</v>
      </c>
      <c r="B21" s="92">
        <v>37.9</v>
      </c>
      <c r="C21" s="91">
        <v>50</v>
      </c>
      <c r="D21" s="91">
        <v>61.5</v>
      </c>
      <c r="E21" s="91">
        <v>58.9</v>
      </c>
      <c r="F21" s="91">
        <v>64.5</v>
      </c>
      <c r="G21" s="92">
        <v>65.7</v>
      </c>
      <c r="I21" s="101" t="s">
        <v>70</v>
      </c>
      <c r="J21" s="115"/>
      <c r="K21" s="116"/>
      <c r="L21" s="91">
        <v>48.3</v>
      </c>
      <c r="M21" s="91">
        <v>52.2</v>
      </c>
      <c r="N21" s="91">
        <v>56.8</v>
      </c>
      <c r="O21" s="92">
        <v>60.6</v>
      </c>
      <c r="Q21" s="93" t="s">
        <v>70</v>
      </c>
      <c r="R21" s="98">
        <f>(L21-D21)/D21</f>
        <v>-0.21463414634146347</v>
      </c>
      <c r="S21" s="98">
        <f>(M21-E21)/E21</f>
        <v>-0.11375212224108652</v>
      </c>
      <c r="T21" s="98">
        <f>(N21-F21)/F21</f>
        <v>-0.11937984496124035</v>
      </c>
      <c r="U21" s="98">
        <f>(O21-G21)/G21</f>
        <v>-7.7625570776255731E-2</v>
      </c>
    </row>
    <row r="22" spans="1:21" x14ac:dyDescent="0.25">
      <c r="I22" s="84" t="s">
        <v>394</v>
      </c>
    </row>
    <row r="24" spans="1:21" ht="15.75" thickBot="1" x14ac:dyDescent="0.3">
      <c r="A24" s="29" t="s">
        <v>71</v>
      </c>
      <c r="I24" s="29" t="s">
        <v>71</v>
      </c>
      <c r="Q24" s="29" t="s">
        <v>71</v>
      </c>
    </row>
    <row r="25" spans="1:21" ht="15.75" thickBot="1" x14ac:dyDescent="0.3">
      <c r="B25" s="112">
        <v>2015</v>
      </c>
      <c r="C25" s="112">
        <v>2020</v>
      </c>
      <c r="D25" s="112">
        <v>2025</v>
      </c>
      <c r="E25" s="112">
        <v>2030</v>
      </c>
      <c r="F25" s="112">
        <v>2035</v>
      </c>
      <c r="L25" s="114">
        <v>2020</v>
      </c>
      <c r="M25" s="114">
        <v>2025</v>
      </c>
      <c r="N25" s="114">
        <v>2030</v>
      </c>
      <c r="O25" s="114">
        <v>2035</v>
      </c>
      <c r="R25" s="112">
        <v>2020</v>
      </c>
      <c r="S25" s="112">
        <v>2025</v>
      </c>
      <c r="T25" s="112">
        <v>2030</v>
      </c>
      <c r="U25" s="112">
        <v>2035</v>
      </c>
    </row>
    <row r="26" spans="1:21" ht="15.75" thickBot="1" x14ac:dyDescent="0.3">
      <c r="A26" s="91" t="s">
        <v>72</v>
      </c>
      <c r="B26" s="125">
        <v>66175754</v>
      </c>
      <c r="C26" s="125">
        <v>67658927</v>
      </c>
      <c r="D26" s="125">
        <v>69034738</v>
      </c>
      <c r="E26" s="125">
        <v>70396105</v>
      </c>
      <c r="F26" s="125">
        <v>71680014</v>
      </c>
      <c r="I26" s="122" t="s">
        <v>72</v>
      </c>
      <c r="J26" s="117"/>
      <c r="K26" s="118"/>
      <c r="L26" s="126">
        <v>64435000</v>
      </c>
      <c r="M26" s="126">
        <v>65739000</v>
      </c>
      <c r="N26" s="126">
        <v>67030000</v>
      </c>
      <c r="O26" s="126">
        <v>68236000</v>
      </c>
      <c r="Q26" s="100" t="s">
        <v>72</v>
      </c>
      <c r="R26" s="99">
        <f>(L26-C26)/C26</f>
        <v>-4.7649691518164339E-2</v>
      </c>
      <c r="S26" s="99">
        <f>(M26-D26)/D26</f>
        <v>-4.7740284029179632E-2</v>
      </c>
      <c r="T26" s="99">
        <f>(N26-E26)/E26</f>
        <v>-4.7816637014221168E-2</v>
      </c>
      <c r="U26" s="99">
        <f>(O26-F26)/F26</f>
        <v>-4.8047060928308412E-2</v>
      </c>
    </row>
    <row r="27" spans="1:21" ht="15.75" thickBot="1" x14ac:dyDescent="0.3">
      <c r="A27" s="88"/>
      <c r="B27" s="127"/>
      <c r="C27" s="127"/>
      <c r="D27" s="127"/>
      <c r="E27" s="127"/>
      <c r="F27" s="127"/>
      <c r="I27" s="131" t="s">
        <v>394</v>
      </c>
      <c r="J27" s="117"/>
      <c r="K27" s="117"/>
      <c r="L27" s="130"/>
      <c r="M27" s="130"/>
      <c r="N27" s="130"/>
      <c r="O27" s="130"/>
      <c r="Q27" s="128"/>
      <c r="R27" s="129"/>
      <c r="S27" s="129"/>
      <c r="T27" s="129"/>
      <c r="U27" s="129"/>
    </row>
    <row r="28" spans="1:21" ht="29.25" customHeight="1" thickBot="1" x14ac:dyDescent="0.3">
      <c r="I28" s="119" t="s">
        <v>398</v>
      </c>
      <c r="J28" s="120"/>
      <c r="K28" s="121"/>
      <c r="L28" s="125">
        <v>67658927</v>
      </c>
      <c r="M28" s="125">
        <v>69034738</v>
      </c>
      <c r="N28" s="125">
        <v>70396105</v>
      </c>
      <c r="O28" s="125">
        <v>71680014</v>
      </c>
    </row>
    <row r="29" spans="1:21" x14ac:dyDescent="0.25">
      <c r="Q29" s="833"/>
      <c r="R29" s="833"/>
      <c r="S29" s="833"/>
      <c r="T29" s="833"/>
      <c r="U29" s="833"/>
    </row>
    <row r="30" spans="1:21" x14ac:dyDescent="0.25">
      <c r="Q30" s="83"/>
      <c r="R30" s="83"/>
      <c r="S30" s="83"/>
      <c r="T30" s="83"/>
      <c r="U30" s="83"/>
    </row>
    <row r="31" spans="1:21" ht="15.75" thickBot="1" x14ac:dyDescent="0.3">
      <c r="Q31" s="83"/>
      <c r="R31" s="83"/>
      <c r="S31" s="83"/>
      <c r="T31" s="83"/>
      <c r="U31" s="83"/>
    </row>
    <row r="32" spans="1:21" ht="15.75" thickBot="1" x14ac:dyDescent="0.3">
      <c r="A32" s="29" t="s">
        <v>73</v>
      </c>
      <c r="B32" s="831" t="s">
        <v>74</v>
      </c>
      <c r="C32" s="831"/>
      <c r="D32" s="831"/>
      <c r="E32" s="831"/>
      <c r="I32" s="29" t="s">
        <v>73</v>
      </c>
      <c r="L32" s="831" t="s">
        <v>75</v>
      </c>
      <c r="M32" s="831"/>
      <c r="N32" s="831"/>
      <c r="O32" s="831"/>
      <c r="Q32" s="29" t="s">
        <v>73</v>
      </c>
      <c r="R32" s="831" t="s">
        <v>75</v>
      </c>
      <c r="S32" s="831"/>
      <c r="T32" s="831"/>
      <c r="U32" s="831"/>
    </row>
    <row r="33" spans="1:21" ht="15.75" thickBot="1" x14ac:dyDescent="0.3">
      <c r="B33" s="89" t="s">
        <v>76</v>
      </c>
      <c r="C33" s="89" t="s">
        <v>77</v>
      </c>
      <c r="D33" s="89" t="s">
        <v>78</v>
      </c>
      <c r="E33" s="90" t="s">
        <v>79</v>
      </c>
      <c r="L33" s="89" t="s">
        <v>76</v>
      </c>
      <c r="M33" s="89" t="s">
        <v>77</v>
      </c>
      <c r="N33" s="89" t="s">
        <v>78</v>
      </c>
      <c r="O33" s="90" t="s">
        <v>79</v>
      </c>
      <c r="R33" s="89" t="s">
        <v>76</v>
      </c>
      <c r="S33" s="89" t="s">
        <v>77</v>
      </c>
      <c r="T33" s="89" t="s">
        <v>78</v>
      </c>
      <c r="U33" s="90" t="s">
        <v>79</v>
      </c>
    </row>
    <row r="34" spans="1:21" ht="15.75" thickBot="1" x14ac:dyDescent="0.3">
      <c r="A34" s="91" t="s">
        <v>72</v>
      </c>
      <c r="B34" s="91">
        <v>1.6</v>
      </c>
      <c r="C34" s="91">
        <v>1.9</v>
      </c>
      <c r="D34" s="91">
        <v>1.7</v>
      </c>
      <c r="E34" s="92">
        <v>1.6</v>
      </c>
      <c r="I34" s="133" t="s">
        <v>72</v>
      </c>
      <c r="J34" s="123"/>
      <c r="K34" s="124"/>
      <c r="L34" s="95">
        <v>1.6</v>
      </c>
      <c r="M34" s="95">
        <v>1.3</v>
      </c>
      <c r="N34" s="95">
        <v>1.4</v>
      </c>
      <c r="O34" s="96">
        <v>1.7</v>
      </c>
      <c r="Q34" s="95" t="s">
        <v>72</v>
      </c>
      <c r="R34" s="95">
        <f>(L34-B34)</f>
        <v>0</v>
      </c>
      <c r="S34" s="95">
        <f>M34-C34</f>
        <v>-0.59999999999999987</v>
      </c>
      <c r="T34" s="95">
        <f>N34-D34</f>
        <v>-0.30000000000000004</v>
      </c>
      <c r="U34" s="96">
        <f>O34-E34</f>
        <v>9.9999999999999867E-2</v>
      </c>
    </row>
    <row r="35" spans="1:21" ht="15.75" thickBot="1" x14ac:dyDescent="0.3">
      <c r="A35" s="88"/>
      <c r="B35" s="88"/>
      <c r="C35" s="88"/>
      <c r="D35" s="88"/>
      <c r="E35" s="87"/>
      <c r="I35" s="131" t="s">
        <v>394</v>
      </c>
      <c r="J35" s="123"/>
      <c r="K35" s="123"/>
      <c r="L35" s="123"/>
      <c r="M35" s="123"/>
      <c r="N35" s="123"/>
      <c r="O35" s="136"/>
      <c r="Q35" s="134"/>
      <c r="R35" s="134"/>
      <c r="S35" s="134"/>
      <c r="T35" s="134"/>
      <c r="U35" s="135"/>
    </row>
    <row r="36" spans="1:21" ht="15.75" thickBot="1" x14ac:dyDescent="0.3">
      <c r="I36" s="122" t="s">
        <v>401</v>
      </c>
      <c r="J36" s="123"/>
      <c r="K36" s="124"/>
      <c r="L36" s="102">
        <f>(L74/K74)^(1/(L60-K60))-1</f>
        <v>1.5864302896129612E-2</v>
      </c>
      <c r="M36" s="102">
        <f>(M74/L74)^(1/(M60-L60))-1</f>
        <v>1.2226681083135071E-2</v>
      </c>
      <c r="N36" s="102">
        <f>(N74/M74)^(1/(N60-M60))-1</f>
        <v>1.5697656280764916E-2</v>
      </c>
      <c r="O36" s="102">
        <f>(O74/N74)^(1/(O60-N60))-1</f>
        <v>1.9945269919868558E-2</v>
      </c>
    </row>
    <row r="37" spans="1:21" x14ac:dyDescent="0.25">
      <c r="I37" s="84" t="s">
        <v>402</v>
      </c>
    </row>
    <row r="39" spans="1:21" ht="15.75" thickBot="1" x14ac:dyDescent="0.3"/>
    <row r="40" spans="1:21" ht="15.75" thickBot="1" x14ac:dyDescent="0.3">
      <c r="A40" s="29" t="s">
        <v>80</v>
      </c>
      <c r="B40" s="831" t="s">
        <v>81</v>
      </c>
      <c r="C40" s="831"/>
      <c r="D40" s="831"/>
      <c r="E40" s="831"/>
      <c r="I40" s="29" t="s">
        <v>80</v>
      </c>
      <c r="L40" s="831" t="s">
        <v>82</v>
      </c>
      <c r="M40" s="831"/>
      <c r="N40" s="831"/>
      <c r="O40" s="831"/>
      <c r="Q40" s="29" t="s">
        <v>80</v>
      </c>
      <c r="R40" s="831" t="s">
        <v>82</v>
      </c>
      <c r="S40" s="831"/>
      <c r="T40" s="831"/>
      <c r="U40" s="831"/>
    </row>
    <row r="41" spans="1:21" ht="15.75" thickBot="1" x14ac:dyDescent="0.3">
      <c r="B41" s="89" t="s">
        <v>76</v>
      </c>
      <c r="C41" s="89" t="s">
        <v>77</v>
      </c>
      <c r="D41" s="89" t="s">
        <v>78</v>
      </c>
      <c r="E41" s="90" t="s">
        <v>79</v>
      </c>
      <c r="L41" s="89" t="s">
        <v>76</v>
      </c>
      <c r="M41" s="89" t="s">
        <v>77</v>
      </c>
      <c r="N41" s="89" t="s">
        <v>78</v>
      </c>
      <c r="O41" s="90" t="s">
        <v>79</v>
      </c>
      <c r="R41" s="89" t="s">
        <v>76</v>
      </c>
      <c r="S41" s="89" t="s">
        <v>77</v>
      </c>
      <c r="T41" s="89" t="s">
        <v>78</v>
      </c>
      <c r="U41" s="90" t="s">
        <v>79</v>
      </c>
    </row>
    <row r="42" spans="1:21" ht="15.75" thickBot="1" x14ac:dyDescent="0.3">
      <c r="A42" s="91" t="s">
        <v>72</v>
      </c>
      <c r="B42" s="95">
        <v>1.2</v>
      </c>
      <c r="C42" s="95">
        <v>1.5</v>
      </c>
      <c r="D42" s="95">
        <v>1.3</v>
      </c>
      <c r="E42" s="96">
        <v>1.3</v>
      </c>
      <c r="I42" s="122" t="s">
        <v>72</v>
      </c>
      <c r="J42" s="123"/>
      <c r="K42" s="124"/>
      <c r="L42" s="95">
        <v>1.2</v>
      </c>
      <c r="M42" s="95">
        <v>0.9</v>
      </c>
      <c r="N42" s="95">
        <v>1</v>
      </c>
      <c r="O42" s="96">
        <v>1.3</v>
      </c>
      <c r="Q42" s="95" t="s">
        <v>72</v>
      </c>
      <c r="R42" s="95">
        <f>L42-B42</f>
        <v>0</v>
      </c>
      <c r="S42" s="95">
        <f>M42-C42</f>
        <v>-0.6</v>
      </c>
      <c r="T42" s="95">
        <f>N42-D42</f>
        <v>-0.30000000000000004</v>
      </c>
      <c r="U42" s="95">
        <f>O42-E42</f>
        <v>0</v>
      </c>
    </row>
    <row r="43" spans="1:21" x14ac:dyDescent="0.25">
      <c r="I43" s="84" t="s">
        <v>394</v>
      </c>
    </row>
    <row r="44" spans="1:21" ht="15.75" thickBot="1" x14ac:dyDescent="0.3"/>
    <row r="45" spans="1:21" ht="15.75" thickBot="1" x14ac:dyDescent="0.3">
      <c r="A45" s="29" t="s">
        <v>83</v>
      </c>
      <c r="B45" s="94">
        <v>1.3</v>
      </c>
      <c r="I45" s="29" t="s">
        <v>83</v>
      </c>
      <c r="L45" s="94">
        <v>1.2</v>
      </c>
      <c r="Q45" s="29" t="s">
        <v>83</v>
      </c>
      <c r="R45" s="113">
        <f>(L45-B45)/B45</f>
        <v>-7.6923076923076983E-2</v>
      </c>
    </row>
    <row r="47" spans="1:21" ht="15.75" thickBot="1" x14ac:dyDescent="0.3"/>
    <row r="48" spans="1:21" ht="15.75" thickBot="1" x14ac:dyDescent="0.3">
      <c r="A48" s="29" t="s">
        <v>84</v>
      </c>
      <c r="B48" s="831" t="s">
        <v>85</v>
      </c>
      <c r="C48" s="831"/>
      <c r="D48" s="831"/>
      <c r="E48" s="831"/>
      <c r="I48" s="29" t="s">
        <v>84</v>
      </c>
      <c r="L48" s="831" t="s">
        <v>85</v>
      </c>
      <c r="M48" s="831"/>
      <c r="N48" s="831"/>
      <c r="O48" s="831"/>
      <c r="Q48" s="29" t="s">
        <v>84</v>
      </c>
      <c r="R48" s="831" t="s">
        <v>85</v>
      </c>
      <c r="S48" s="831"/>
      <c r="T48" s="831"/>
      <c r="U48" s="831"/>
    </row>
    <row r="49" spans="1:21" ht="15.75" thickBot="1" x14ac:dyDescent="0.3">
      <c r="B49" s="89" t="s">
        <v>76</v>
      </c>
      <c r="C49" s="89" t="s">
        <v>77</v>
      </c>
      <c r="D49" s="89" t="s">
        <v>78</v>
      </c>
      <c r="E49" s="90" t="s">
        <v>79</v>
      </c>
      <c r="L49" s="89" t="s">
        <v>76</v>
      </c>
      <c r="M49" s="89" t="s">
        <v>77</v>
      </c>
      <c r="N49" s="89" t="s">
        <v>78</v>
      </c>
      <c r="O49" s="90" t="s">
        <v>79</v>
      </c>
      <c r="R49" s="89" t="s">
        <v>76</v>
      </c>
      <c r="S49" s="89" t="s">
        <v>77</v>
      </c>
      <c r="T49" s="89" t="s">
        <v>78</v>
      </c>
      <c r="U49" s="90" t="s">
        <v>79</v>
      </c>
    </row>
    <row r="50" spans="1:21" ht="15.75" thickBot="1" x14ac:dyDescent="0.3">
      <c r="A50" s="91" t="s">
        <v>72</v>
      </c>
      <c r="B50" s="95">
        <v>1.6</v>
      </c>
      <c r="C50" s="95">
        <v>2</v>
      </c>
      <c r="D50" s="95">
        <v>1.5</v>
      </c>
      <c r="E50" s="96">
        <v>1.3</v>
      </c>
      <c r="I50" s="122" t="s">
        <v>323</v>
      </c>
      <c r="J50" s="123"/>
      <c r="K50" s="124"/>
      <c r="L50" s="95">
        <v>1.4</v>
      </c>
      <c r="M50" s="95">
        <v>1</v>
      </c>
      <c r="N50" s="95">
        <v>1.1000000000000001</v>
      </c>
      <c r="O50" s="96">
        <v>1.3</v>
      </c>
      <c r="Q50" s="95" t="s">
        <v>72</v>
      </c>
      <c r="R50" s="95">
        <f>L50-B50</f>
        <v>-0.20000000000000018</v>
      </c>
      <c r="S50" s="95">
        <f>M50-C50</f>
        <v>-1</v>
      </c>
      <c r="T50" s="95">
        <f>N50-D50</f>
        <v>-0.39999999999999991</v>
      </c>
      <c r="U50" s="95">
        <f>O50-E50</f>
        <v>0</v>
      </c>
    </row>
    <row r="51" spans="1:21" ht="15.75" thickBot="1" x14ac:dyDescent="0.3">
      <c r="A51" s="88"/>
      <c r="B51" s="134"/>
      <c r="C51" s="134"/>
      <c r="D51" s="134"/>
      <c r="E51" s="135"/>
      <c r="I51" s="131" t="s">
        <v>394</v>
      </c>
      <c r="J51" s="123"/>
      <c r="K51" s="123"/>
      <c r="L51" s="123"/>
      <c r="M51" s="123"/>
      <c r="N51" s="123"/>
      <c r="O51" s="136"/>
      <c r="Q51" s="134"/>
      <c r="R51" s="134"/>
      <c r="S51" s="134"/>
      <c r="T51" s="134"/>
      <c r="U51" s="134"/>
    </row>
    <row r="52" spans="1:21" ht="15.75" thickBot="1" x14ac:dyDescent="0.3">
      <c r="I52" s="122" t="s">
        <v>401</v>
      </c>
      <c r="J52" s="123"/>
      <c r="K52" s="124"/>
      <c r="L52" s="102">
        <f>(L72/K72)^(1/(L60-K60))-1</f>
        <v>1.740478490731312E-2</v>
      </c>
      <c r="M52" s="102">
        <f>(M72/L72)^(1/(M60-L60))-1</f>
        <v>1.3497035745746455E-2</v>
      </c>
      <c r="N52" s="102">
        <f>(N72/M72)^(1/(N60-M60))-1</f>
        <v>1.349784615468308E-2</v>
      </c>
      <c r="O52" s="103">
        <f>(O72/N72)^(1/(O60-N60))-1</f>
        <v>1.5424977012054919E-2</v>
      </c>
    </row>
    <row r="53" spans="1:21" x14ac:dyDescent="0.25">
      <c r="I53" s="84" t="s">
        <v>402</v>
      </c>
    </row>
    <row r="56" spans="1:21" x14ac:dyDescent="0.25">
      <c r="I56" s="29" t="s">
        <v>399</v>
      </c>
    </row>
    <row r="58" spans="1:21" x14ac:dyDescent="0.25">
      <c r="I58" s="84" t="s">
        <v>400</v>
      </c>
      <c r="L58" s="30"/>
      <c r="M58" s="30"/>
      <c r="N58" s="30"/>
      <c r="O58" s="30"/>
    </row>
    <row r="59" spans="1:21" ht="15.75" thickBot="1" x14ac:dyDescent="0.3">
      <c r="I59" s="132"/>
    </row>
    <row r="60" spans="1:21" ht="15.75" thickBot="1" x14ac:dyDescent="0.3">
      <c r="I60" s="109" t="s">
        <v>14</v>
      </c>
      <c r="J60" s="110">
        <v>2010</v>
      </c>
      <c r="K60" s="110">
        <v>2015</v>
      </c>
      <c r="L60" s="111">
        <v>2020</v>
      </c>
      <c r="M60" s="111">
        <v>2025</v>
      </c>
      <c r="N60" s="111">
        <v>2030</v>
      </c>
      <c r="O60" s="110">
        <v>2035</v>
      </c>
    </row>
    <row r="61" spans="1:21" ht="15.75" thickBot="1" x14ac:dyDescent="0.3">
      <c r="I61" s="94" t="s">
        <v>313</v>
      </c>
      <c r="J61" s="94">
        <v>40750</v>
      </c>
      <c r="K61" s="104">
        <v>42127.021642860338</v>
      </c>
      <c r="L61" s="104">
        <v>44926.017710940068</v>
      </c>
      <c r="M61" s="104">
        <v>45965.004146665262</v>
      </c>
      <c r="N61" s="104">
        <v>48956.129898972591</v>
      </c>
      <c r="O61" s="104">
        <v>54015.505353167653</v>
      </c>
    </row>
    <row r="62" spans="1:21" ht="15.75" thickBot="1" x14ac:dyDescent="0.3">
      <c r="I62" s="105" t="s">
        <v>314</v>
      </c>
      <c r="J62" s="104">
        <v>27215</v>
      </c>
      <c r="K62" s="104">
        <v>29089.235114368454</v>
      </c>
      <c r="L62" s="104">
        <v>31965.437278744852</v>
      </c>
      <c r="M62" s="104">
        <v>34567.999853217239</v>
      </c>
      <c r="N62" s="104">
        <v>37187.255084819968</v>
      </c>
      <c r="O62" s="104">
        <v>39731.819246722887</v>
      </c>
    </row>
    <row r="63" spans="1:21" ht="15.75" thickBot="1" x14ac:dyDescent="0.3">
      <c r="I63" s="105" t="s">
        <v>315</v>
      </c>
      <c r="J63" s="104">
        <v>35005</v>
      </c>
      <c r="K63" s="104">
        <v>38224.024379268361</v>
      </c>
      <c r="L63" s="104">
        <v>41859.573049815146</v>
      </c>
      <c r="M63" s="104">
        <v>44742.957528685867</v>
      </c>
      <c r="N63" s="104">
        <v>47854.119527445248</v>
      </c>
      <c r="O63" s="104">
        <v>51757.456359244999</v>
      </c>
    </row>
    <row r="64" spans="1:21" ht="15.75" thickBot="1" x14ac:dyDescent="0.3">
      <c r="I64" s="105" t="s">
        <v>316</v>
      </c>
      <c r="J64" s="104">
        <v>8155</v>
      </c>
      <c r="K64" s="104">
        <v>8599.5614082691518</v>
      </c>
      <c r="L64" s="104">
        <v>9747.2215162009361</v>
      </c>
      <c r="M64" s="104">
        <v>10920.835600530918</v>
      </c>
      <c r="N64" s="104">
        <v>12138.158666956857</v>
      </c>
      <c r="O64" s="104">
        <v>13578.2236697716</v>
      </c>
    </row>
    <row r="65" spans="9:15" ht="15.75" thickBot="1" x14ac:dyDescent="0.3">
      <c r="I65" s="105" t="s">
        <v>317</v>
      </c>
      <c r="J65" s="104">
        <v>29446</v>
      </c>
      <c r="K65" s="104">
        <v>30017.966553832739</v>
      </c>
      <c r="L65" s="104">
        <v>31677.201560900634</v>
      </c>
      <c r="M65" s="104">
        <v>32707.186649228977</v>
      </c>
      <c r="N65" s="104">
        <v>33848.543535675672</v>
      </c>
      <c r="O65" s="104">
        <v>35836.016032575033</v>
      </c>
    </row>
    <row r="66" spans="9:15" ht="15.75" thickBot="1" x14ac:dyDescent="0.3">
      <c r="I66" s="105" t="s">
        <v>15</v>
      </c>
      <c r="J66" s="104">
        <v>62216</v>
      </c>
      <c r="K66" s="104">
        <v>67399.407935745636</v>
      </c>
      <c r="L66" s="104">
        <v>74749.384973465654</v>
      </c>
      <c r="M66" s="104">
        <v>81497.467168374191</v>
      </c>
      <c r="N66" s="104">
        <v>88649.069540593759</v>
      </c>
      <c r="O66" s="104">
        <v>97318.252136990559</v>
      </c>
    </row>
    <row r="67" spans="9:15" ht="15.75" thickBot="1" x14ac:dyDescent="0.3">
      <c r="I67" s="105" t="s">
        <v>16</v>
      </c>
      <c r="J67" s="104">
        <v>35567</v>
      </c>
      <c r="K67" s="104">
        <v>36702.269898787825</v>
      </c>
      <c r="L67" s="104">
        <v>38958.910790215123</v>
      </c>
      <c r="M67" s="104">
        <v>40395.295481348723</v>
      </c>
      <c r="N67" s="104">
        <v>42130.227004552209</v>
      </c>
      <c r="O67" s="104">
        <v>44410.070386955922</v>
      </c>
    </row>
    <row r="68" spans="9:15" ht="15.75" thickBot="1" x14ac:dyDescent="0.3">
      <c r="I68" s="94" t="s">
        <v>318</v>
      </c>
      <c r="J68" s="104">
        <v>33961</v>
      </c>
      <c r="K68" s="104">
        <v>33464.652054762228</v>
      </c>
      <c r="L68" s="104">
        <v>35649.973810398289</v>
      </c>
      <c r="M68" s="104">
        <v>34171.982123589645</v>
      </c>
      <c r="N68" s="104">
        <v>35289.498101368416</v>
      </c>
      <c r="O68" s="104">
        <v>34881.600783205744</v>
      </c>
    </row>
    <row r="69" spans="9:15" ht="15.75" thickBot="1" x14ac:dyDescent="0.3">
      <c r="I69" s="94" t="s">
        <v>319</v>
      </c>
      <c r="J69" s="104">
        <v>97800</v>
      </c>
      <c r="K69" s="104">
        <v>98550.000639563033</v>
      </c>
      <c r="L69" s="104">
        <v>111801.3576639094</v>
      </c>
      <c r="M69" s="104">
        <v>126309.40723197794</v>
      </c>
      <c r="N69" s="104">
        <v>141160.38875024972</v>
      </c>
      <c r="O69" s="104">
        <v>158044.92429353122</v>
      </c>
    </row>
    <row r="70" spans="9:15" ht="15.75" thickBot="1" x14ac:dyDescent="0.3">
      <c r="I70" s="94" t="s">
        <v>320</v>
      </c>
      <c r="J70" s="104">
        <v>1401618</v>
      </c>
      <c r="K70" s="104">
        <v>1451365.5770485238</v>
      </c>
      <c r="L70" s="104">
        <v>1564495.9135651814</v>
      </c>
      <c r="M70" s="104">
        <v>1658958.639575009</v>
      </c>
      <c r="N70" s="104">
        <v>1793934.4828909109</v>
      </c>
      <c r="O70" s="104">
        <v>1988322.0858507422</v>
      </c>
    </row>
    <row r="71" spans="9:15" ht="15.75" thickBot="1" x14ac:dyDescent="0.3">
      <c r="I71" s="106"/>
      <c r="J71" s="107"/>
      <c r="K71" s="107"/>
      <c r="L71" s="107"/>
      <c r="M71" s="107"/>
      <c r="N71" s="107"/>
      <c r="O71" s="107"/>
    </row>
    <row r="72" spans="9:15" ht="15.75" thickBot="1" x14ac:dyDescent="0.3">
      <c r="I72" s="108" t="s">
        <v>321</v>
      </c>
      <c r="J72" s="104">
        <v>197604</v>
      </c>
      <c r="K72" s="104">
        <v>210032.46529027214</v>
      </c>
      <c r="L72" s="104">
        <v>228957.72916934235</v>
      </c>
      <c r="M72" s="104">
        <v>244831.74228138593</v>
      </c>
      <c r="N72" s="104">
        <v>261807.37336004368</v>
      </c>
      <c r="O72" s="104">
        <v>282631.83783226099</v>
      </c>
    </row>
    <row r="73" spans="9:15" ht="15.75" thickBot="1" x14ac:dyDescent="0.3">
      <c r="I73" s="108" t="s">
        <v>322</v>
      </c>
      <c r="J73" s="104">
        <v>231565</v>
      </c>
      <c r="K73" s="104">
        <v>243497.11734503438</v>
      </c>
      <c r="L73" s="104">
        <v>264607.70297974063</v>
      </c>
      <c r="M73" s="104">
        <v>279003.7244049756</v>
      </c>
      <c r="N73" s="104">
        <v>297096.87146141211</v>
      </c>
      <c r="O73" s="104">
        <v>317513.43861546676</v>
      </c>
    </row>
    <row r="74" spans="9:15" ht="15.75" thickBot="1" x14ac:dyDescent="0.3">
      <c r="I74" s="108" t="s">
        <v>87</v>
      </c>
      <c r="J74" s="104">
        <v>1771733</v>
      </c>
      <c r="K74" s="104">
        <v>1835539.7166759816</v>
      </c>
      <c r="L74" s="104">
        <v>1985830.9919197715</v>
      </c>
      <c r="M74" s="104">
        <v>2110236.7753586276</v>
      </c>
      <c r="N74" s="104">
        <v>2281147.8730015452</v>
      </c>
      <c r="O74" s="104">
        <v>2517895.9541129079</v>
      </c>
    </row>
    <row r="75" spans="9:15" x14ac:dyDescent="0.25">
      <c r="I75" s="26"/>
      <c r="J75" s="26"/>
      <c r="K75" s="26"/>
      <c r="L75" s="26"/>
      <c r="M75" s="26"/>
      <c r="N75" s="26"/>
      <c r="O75" s="26"/>
    </row>
  </sheetData>
  <mergeCells count="23">
    <mergeCell ref="B48:E48"/>
    <mergeCell ref="L48:O48"/>
    <mergeCell ref="R48:U48"/>
    <mergeCell ref="Q29:U29"/>
    <mergeCell ref="B32:E32"/>
    <mergeCell ref="L32:O32"/>
    <mergeCell ref="R32:U32"/>
    <mergeCell ref="B40:E40"/>
    <mergeCell ref="L40:O40"/>
    <mergeCell ref="R40:U40"/>
    <mergeCell ref="C12:G12"/>
    <mergeCell ref="L12:O12"/>
    <mergeCell ref="R12:U12"/>
    <mergeCell ref="C19:G19"/>
    <mergeCell ref="L19:O19"/>
    <mergeCell ref="R19:U19"/>
    <mergeCell ref="A3:G3"/>
    <mergeCell ref="Q3:U3"/>
    <mergeCell ref="B6:F6"/>
    <mergeCell ref="L6:O6"/>
    <mergeCell ref="R6:U6"/>
    <mergeCell ref="I3:M3"/>
    <mergeCell ref="N3:O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AB93"/>
  <sheetViews>
    <sheetView topLeftCell="I1" zoomScale="70" zoomScaleNormal="70" workbookViewId="0">
      <pane ySplit="4" topLeftCell="A5" activePane="bottomLeft" state="frozen"/>
      <selection pane="bottomLeft" activeCell="K8" sqref="K8"/>
    </sheetView>
  </sheetViews>
  <sheetFormatPr baseColWidth="10" defaultColWidth="11.5703125" defaultRowHeight="15" x14ac:dyDescent="0.25"/>
  <cols>
    <col min="1" max="1" width="42.85546875" style="26" customWidth="1"/>
    <col min="2" max="11" width="11.5703125" style="26"/>
    <col min="12" max="12" width="11.42578125" style="26"/>
    <col min="13" max="13" width="11.42578125" style="56"/>
    <col min="14" max="15" width="11.42578125" style="33"/>
    <col min="16" max="16" width="11.42578125" style="57"/>
    <col min="17" max="17" width="11.5703125" style="26"/>
    <col min="18" max="18" width="41.140625" style="26" customWidth="1"/>
    <col min="19" max="16384" width="11.5703125" style="26"/>
  </cols>
  <sheetData>
    <row r="1" spans="1:28" x14ac:dyDescent="0.25">
      <c r="R1" s="26" t="s">
        <v>390</v>
      </c>
    </row>
    <row r="2" spans="1:28" x14ac:dyDescent="0.25">
      <c r="R2" s="26" t="s">
        <v>391</v>
      </c>
    </row>
    <row r="3" spans="1:28" ht="15.75" thickBot="1" x14ac:dyDescent="0.3">
      <c r="R3" s="26" t="s">
        <v>392</v>
      </c>
    </row>
    <row r="4" spans="1:28" ht="15" customHeight="1" thickBot="1" x14ac:dyDescent="0.3">
      <c r="A4" s="828" t="s">
        <v>0</v>
      </c>
      <c r="B4" s="829"/>
      <c r="C4" s="829"/>
      <c r="D4" s="829"/>
      <c r="E4" s="829"/>
      <c r="F4" s="829"/>
      <c r="G4" s="829"/>
      <c r="H4" s="829"/>
      <c r="I4" s="829"/>
      <c r="J4" s="829"/>
      <c r="K4" s="830"/>
      <c r="L4" s="27"/>
      <c r="R4" s="828" t="s">
        <v>1</v>
      </c>
      <c r="S4" s="829"/>
      <c r="T4" s="829"/>
      <c r="U4" s="829"/>
      <c r="V4" s="829"/>
      <c r="W4" s="829"/>
      <c r="X4" s="829"/>
      <c r="Y4" s="829"/>
      <c r="Z4" s="829"/>
      <c r="AA4" s="829"/>
      <c r="AB4" s="830"/>
    </row>
    <row r="6" spans="1:28" x14ac:dyDescent="0.25">
      <c r="M6" s="537"/>
      <c r="P6" s="547"/>
    </row>
    <row r="7" spans="1:28" x14ac:dyDescent="0.25">
      <c r="M7" s="537"/>
      <c r="P7" s="547"/>
    </row>
    <row r="8" spans="1:28" x14ac:dyDescent="0.25">
      <c r="P8" s="547"/>
    </row>
    <row r="9" spans="1:28" x14ac:dyDescent="0.25">
      <c r="A9" s="28" t="s">
        <v>41</v>
      </c>
      <c r="R9" s="28" t="s">
        <v>36</v>
      </c>
    </row>
    <row r="10" spans="1:28" ht="15.75" thickBot="1" x14ac:dyDescent="0.3">
      <c r="H10" s="834" t="s">
        <v>23</v>
      </c>
      <c r="I10" s="834"/>
      <c r="J10" s="834" t="s">
        <v>24</v>
      </c>
      <c r="K10" s="834"/>
      <c r="M10" s="58"/>
      <c r="N10" s="59"/>
      <c r="O10" s="59"/>
      <c r="P10" s="60"/>
      <c r="Y10" s="834" t="s">
        <v>23</v>
      </c>
      <c r="Z10" s="834"/>
      <c r="AA10" s="834" t="s">
        <v>24</v>
      </c>
      <c r="AB10" s="834"/>
    </row>
    <row r="11" spans="1:28" ht="16.5" thickTop="1" thickBot="1" x14ac:dyDescent="0.3">
      <c r="A11" s="51" t="s">
        <v>2</v>
      </c>
      <c r="B11" s="52">
        <v>2010</v>
      </c>
      <c r="C11" s="52">
        <v>2015</v>
      </c>
      <c r="D11" s="52">
        <v>2020</v>
      </c>
      <c r="E11" s="52">
        <v>2025</v>
      </c>
      <c r="F11" s="52">
        <v>2030</v>
      </c>
      <c r="G11" s="53">
        <v>2035</v>
      </c>
      <c r="H11" s="29" t="s">
        <v>26</v>
      </c>
      <c r="I11" s="29" t="s">
        <v>25</v>
      </c>
      <c r="J11" s="29" t="s">
        <v>26</v>
      </c>
      <c r="K11" s="29" t="s">
        <v>25</v>
      </c>
      <c r="P11" s="61"/>
      <c r="R11" s="51" t="s">
        <v>2</v>
      </c>
      <c r="S11" s="52">
        <v>2010</v>
      </c>
      <c r="T11" s="52">
        <v>2015</v>
      </c>
      <c r="U11" s="52">
        <v>2020</v>
      </c>
      <c r="V11" s="52">
        <v>2025</v>
      </c>
      <c r="W11" s="52">
        <v>2030</v>
      </c>
      <c r="X11" s="53">
        <v>2035</v>
      </c>
      <c r="Y11" s="29" t="s">
        <v>26</v>
      </c>
      <c r="Z11" s="29" t="s">
        <v>25</v>
      </c>
      <c r="AA11" s="29" t="s">
        <v>26</v>
      </c>
      <c r="AB11" s="29" t="s">
        <v>25</v>
      </c>
    </row>
    <row r="12" spans="1:28" ht="15.75" thickBot="1" x14ac:dyDescent="0.3">
      <c r="A12" s="54"/>
      <c r="B12" s="40"/>
      <c r="C12" s="40"/>
      <c r="D12" s="40"/>
      <c r="E12" s="40"/>
      <c r="F12" s="40"/>
      <c r="G12" s="42"/>
      <c r="R12" s="54"/>
      <c r="S12" s="40"/>
      <c r="T12" s="40"/>
      <c r="U12" s="40"/>
      <c r="V12" s="40"/>
      <c r="W12" s="40"/>
      <c r="X12" s="42"/>
    </row>
    <row r="13" spans="1:28" ht="15.75" thickBot="1" x14ac:dyDescent="0.3">
      <c r="A13" s="54" t="s">
        <v>3</v>
      </c>
      <c r="B13" s="45">
        <v>15.414</v>
      </c>
      <c r="C13" s="45">
        <v>18.207000000000001</v>
      </c>
      <c r="D13" s="45">
        <v>21</v>
      </c>
      <c r="E13" s="45">
        <v>21</v>
      </c>
      <c r="F13" s="45">
        <v>21</v>
      </c>
      <c r="G13" s="46">
        <v>21</v>
      </c>
      <c r="H13" s="30">
        <f>(G13-B13)/B13</f>
        <v>0.36239782016348776</v>
      </c>
      <c r="I13" s="30">
        <f>(G13-C13)/C13</f>
        <v>0.15340253748558241</v>
      </c>
      <c r="J13" s="30">
        <f>(G13/B13)^(1/25)-1</f>
        <v>1.2446673045726886E-2</v>
      </c>
      <c r="K13" s="30">
        <f>(G13/C13)^(1/20)-1</f>
        <v>7.1613357060258398E-3</v>
      </c>
      <c r="M13" s="835" t="s">
        <v>22</v>
      </c>
      <c r="N13" s="836"/>
      <c r="O13" s="836"/>
      <c r="P13" s="837"/>
      <c r="R13" s="54" t="s">
        <v>3</v>
      </c>
      <c r="S13" s="45">
        <v>15.414</v>
      </c>
      <c r="T13" s="63">
        <v>18.207000000000001</v>
      </c>
      <c r="U13" s="63">
        <v>21</v>
      </c>
      <c r="V13" s="63">
        <v>21</v>
      </c>
      <c r="W13" s="63">
        <v>21</v>
      </c>
      <c r="X13" s="64">
        <v>21</v>
      </c>
      <c r="Y13" s="30">
        <f>(X13-S13)/S13</f>
        <v>0.36239782016348776</v>
      </c>
      <c r="Z13" s="30">
        <f>(X13-T13)/T13</f>
        <v>0.15340253748558241</v>
      </c>
      <c r="AA13" s="30">
        <f>(X13/S13)^(1/25)-1</f>
        <v>1.2446673045726886E-2</v>
      </c>
      <c r="AB13" s="30">
        <f>(X13/T13)^(1/20)-1</f>
        <v>7.1613357060258398E-3</v>
      </c>
    </row>
    <row r="14" spans="1:28" ht="15.75" thickBot="1" x14ac:dyDescent="0.3">
      <c r="A14" s="55" t="s">
        <v>4</v>
      </c>
      <c r="B14" s="45">
        <v>5.601</v>
      </c>
      <c r="C14" s="45">
        <v>6.8005000000000004</v>
      </c>
      <c r="D14" s="45">
        <v>8</v>
      </c>
      <c r="E14" s="45">
        <v>8</v>
      </c>
      <c r="F14" s="45">
        <v>8</v>
      </c>
      <c r="G14" s="46">
        <v>8</v>
      </c>
      <c r="H14" s="30">
        <f t="shared" ref="H14:H77" si="0">(G14-B14)/B14</f>
        <v>0.42831637207641493</v>
      </c>
      <c r="I14" s="30">
        <f t="shared" ref="I14:I77" si="1">(G14-C14)/C14</f>
        <v>0.17638408940519071</v>
      </c>
      <c r="J14" s="30">
        <f t="shared" ref="J14:J77" si="2">(G14/B14)^(1/25)-1</f>
        <v>1.436201228062628E-2</v>
      </c>
      <c r="K14" s="30">
        <f t="shared" ref="K14:K77" si="3">(G14/C14)^(1/20)-1</f>
        <v>8.1553452632867618E-3</v>
      </c>
      <c r="M14" s="835"/>
      <c r="N14" s="836"/>
      <c r="O14" s="836"/>
      <c r="P14" s="837"/>
      <c r="R14" s="55" t="s">
        <v>4</v>
      </c>
      <c r="S14" s="45">
        <v>5.601</v>
      </c>
      <c r="T14" s="63">
        <v>6.8005000000000004</v>
      </c>
      <c r="U14" s="63">
        <v>8</v>
      </c>
      <c r="V14" s="63">
        <v>8</v>
      </c>
      <c r="W14" s="63">
        <v>8</v>
      </c>
      <c r="X14" s="64">
        <v>8</v>
      </c>
      <c r="Y14" s="30">
        <f t="shared" ref="Y14:Y22" si="4">(X14-S14)/S14</f>
        <v>0.42831637207641493</v>
      </c>
      <c r="Z14" s="30">
        <f t="shared" ref="Z14:Z22" si="5">(X14-T14)/T14</f>
        <v>0.17638408940519071</v>
      </c>
      <c r="AA14" s="30">
        <f t="shared" ref="AA14:AA22" si="6">(X14/S14)^(1/25)-1</f>
        <v>1.436201228062628E-2</v>
      </c>
      <c r="AB14" s="30">
        <f t="shared" ref="AB14:AB22" si="7">(X14/T14)^(1/20)-1</f>
        <v>8.1553452632867618E-3</v>
      </c>
    </row>
    <row r="15" spans="1:28" ht="15.75" thickBot="1" x14ac:dyDescent="0.3">
      <c r="A15" s="54" t="s">
        <v>5</v>
      </c>
      <c r="B15" s="45">
        <v>0.51290000000000002</v>
      </c>
      <c r="C15" s="45">
        <v>0.57140000000000002</v>
      </c>
      <c r="D15" s="45">
        <v>0.63</v>
      </c>
      <c r="E15" s="45">
        <v>0.63</v>
      </c>
      <c r="F15" s="45">
        <v>0.63</v>
      </c>
      <c r="G15" s="46">
        <v>0.63</v>
      </c>
      <c r="H15" s="30">
        <f t="shared" si="0"/>
        <v>0.22830961201013839</v>
      </c>
      <c r="I15" s="30">
        <f t="shared" si="1"/>
        <v>0.1025551277563878</v>
      </c>
      <c r="J15" s="30">
        <f t="shared" si="2"/>
        <v>8.2594798412227721E-3</v>
      </c>
      <c r="K15" s="30">
        <f t="shared" si="3"/>
        <v>4.8934504918054511E-3</v>
      </c>
      <c r="M15" s="835"/>
      <c r="N15" s="836"/>
      <c r="O15" s="836"/>
      <c r="P15" s="837"/>
      <c r="R15" s="54" t="s">
        <v>5</v>
      </c>
      <c r="S15" s="45">
        <v>0.51290000000000002</v>
      </c>
      <c r="T15" s="63">
        <v>0.57140000000000002</v>
      </c>
      <c r="U15" s="63">
        <v>0.63</v>
      </c>
      <c r="V15" s="63">
        <v>0.63</v>
      </c>
      <c r="W15" s="63">
        <v>0.63</v>
      </c>
      <c r="X15" s="64">
        <v>0.63</v>
      </c>
      <c r="Y15" s="30">
        <f t="shared" si="4"/>
        <v>0.22830961201013839</v>
      </c>
      <c r="Z15" s="30">
        <f t="shared" si="5"/>
        <v>0.1025551277563878</v>
      </c>
      <c r="AA15" s="30">
        <f t="shared" si="6"/>
        <v>8.2594798412227721E-3</v>
      </c>
      <c r="AB15" s="30">
        <f t="shared" si="7"/>
        <v>4.8934504918054511E-3</v>
      </c>
    </row>
    <row r="16" spans="1:28" ht="15.75" thickBot="1" x14ac:dyDescent="0.3">
      <c r="A16" s="54" t="s">
        <v>6</v>
      </c>
      <c r="B16" s="45">
        <v>2.3380000000000001</v>
      </c>
      <c r="C16" s="45">
        <v>2.3380000000000001</v>
      </c>
      <c r="D16" s="45">
        <v>2.3380000000000001</v>
      </c>
      <c r="E16" s="45">
        <v>2.3380000000000001</v>
      </c>
      <c r="F16" s="45">
        <v>2.3380000000000001</v>
      </c>
      <c r="G16" s="46">
        <v>2.3380000000000001</v>
      </c>
      <c r="H16" s="30">
        <f t="shared" si="0"/>
        <v>0</v>
      </c>
      <c r="I16" s="30">
        <f t="shared" si="1"/>
        <v>0</v>
      </c>
      <c r="J16" s="30">
        <f t="shared" si="2"/>
        <v>0</v>
      </c>
      <c r="K16" s="30">
        <f t="shared" si="3"/>
        <v>0</v>
      </c>
      <c r="M16" s="835"/>
      <c r="N16" s="836"/>
      <c r="O16" s="836"/>
      <c r="P16" s="837"/>
      <c r="R16" s="54" t="s">
        <v>6</v>
      </c>
      <c r="S16" s="45">
        <v>2.3380000000000001</v>
      </c>
      <c r="T16" s="65">
        <v>2.2999999999999998</v>
      </c>
      <c r="U16" s="65">
        <v>2.2999999999999998</v>
      </c>
      <c r="V16" s="65">
        <v>2.2999999999999998</v>
      </c>
      <c r="W16" s="65">
        <v>2.2999999999999998</v>
      </c>
      <c r="X16" s="66">
        <v>2.2999999999999998</v>
      </c>
      <c r="Y16" s="30">
        <f t="shared" si="4"/>
        <v>-1.6253207869974445E-2</v>
      </c>
      <c r="Z16" s="30">
        <f t="shared" si="5"/>
        <v>0</v>
      </c>
      <c r="AA16" s="30">
        <f t="shared" si="6"/>
        <v>-6.5525483131800843E-4</v>
      </c>
      <c r="AB16" s="30">
        <f t="shared" si="7"/>
        <v>0</v>
      </c>
    </row>
    <row r="17" spans="1:28" ht="15.75" thickBot="1" x14ac:dyDescent="0.3">
      <c r="A17" s="54" t="s">
        <v>7</v>
      </c>
      <c r="B17" s="45">
        <v>1.1319999999999999</v>
      </c>
      <c r="C17" s="45">
        <v>1</v>
      </c>
      <c r="D17" s="45">
        <v>1</v>
      </c>
      <c r="E17" s="45">
        <v>1</v>
      </c>
      <c r="F17" s="45">
        <v>1</v>
      </c>
      <c r="G17" s="46">
        <v>1</v>
      </c>
      <c r="H17" s="30">
        <f t="shared" si="0"/>
        <v>-0.11660777385159002</v>
      </c>
      <c r="I17" s="30">
        <f t="shared" si="1"/>
        <v>0</v>
      </c>
      <c r="J17" s="30">
        <f t="shared" si="2"/>
        <v>-4.9471614779369455E-3</v>
      </c>
      <c r="K17" s="30">
        <f t="shared" si="3"/>
        <v>0</v>
      </c>
      <c r="M17" s="835"/>
      <c r="N17" s="836"/>
      <c r="O17" s="836"/>
      <c r="P17" s="837"/>
      <c r="R17" s="54" t="s">
        <v>7</v>
      </c>
      <c r="S17" s="45">
        <v>1.1319999999999999</v>
      </c>
      <c r="T17" s="65">
        <v>1</v>
      </c>
      <c r="U17" s="65">
        <v>1.1000000000000001</v>
      </c>
      <c r="V17" s="65">
        <v>1.1499999999999999</v>
      </c>
      <c r="W17" s="65">
        <v>1.2</v>
      </c>
      <c r="X17" s="66">
        <v>1.2</v>
      </c>
      <c r="Y17" s="30">
        <f t="shared" si="4"/>
        <v>6.0070671378091932E-2</v>
      </c>
      <c r="Z17" s="30">
        <f t="shared" si="5"/>
        <v>0.19999999999999996</v>
      </c>
      <c r="AA17" s="30">
        <f t="shared" si="6"/>
        <v>2.3361476309189388E-3</v>
      </c>
      <c r="AB17" s="30">
        <f t="shared" si="7"/>
        <v>9.1577558276130233E-3</v>
      </c>
    </row>
    <row r="18" spans="1:28" ht="15.75" thickBot="1" x14ac:dyDescent="0.3">
      <c r="A18" s="54" t="s">
        <v>8</v>
      </c>
      <c r="B18" s="45">
        <v>0.81020000000000003</v>
      </c>
      <c r="C18" s="45">
        <v>0.81020000000000003</v>
      </c>
      <c r="D18" s="45">
        <v>0.81020000000000003</v>
      </c>
      <c r="E18" s="45">
        <v>0.81020000000000003</v>
      </c>
      <c r="F18" s="45">
        <v>0.81020000000000003</v>
      </c>
      <c r="G18" s="46">
        <v>0.81020000000000003</v>
      </c>
      <c r="H18" s="30">
        <f t="shared" si="0"/>
        <v>0</v>
      </c>
      <c r="I18" s="30">
        <f t="shared" si="1"/>
        <v>0</v>
      </c>
      <c r="J18" s="30">
        <f t="shared" si="2"/>
        <v>0</v>
      </c>
      <c r="K18" s="30">
        <f t="shared" si="3"/>
        <v>0</v>
      </c>
      <c r="R18" s="54" t="s">
        <v>8</v>
      </c>
      <c r="S18" s="45">
        <v>0.81020000000000003</v>
      </c>
      <c r="T18" s="65">
        <v>0.9</v>
      </c>
      <c r="U18" s="65">
        <v>0.92</v>
      </c>
      <c r="V18" s="65">
        <v>0.95</v>
      </c>
      <c r="W18" s="65">
        <v>0.97</v>
      </c>
      <c r="X18" s="66">
        <v>1</v>
      </c>
      <c r="Y18" s="30">
        <f t="shared" si="4"/>
        <v>0.23426314490249317</v>
      </c>
      <c r="Z18" s="30">
        <f t="shared" si="5"/>
        <v>0.11111111111111108</v>
      </c>
      <c r="AA18" s="30">
        <f t="shared" si="6"/>
        <v>8.4545050865039162E-3</v>
      </c>
      <c r="AB18" s="30">
        <f t="shared" si="7"/>
        <v>5.2819262292997937E-3</v>
      </c>
    </row>
    <row r="19" spans="1:28" ht="15.75" thickBot="1" x14ac:dyDescent="0.3">
      <c r="A19" s="54" t="s">
        <v>9</v>
      </c>
      <c r="B19" s="45">
        <v>14.901</v>
      </c>
      <c r="C19" s="45">
        <v>15.3208</v>
      </c>
      <c r="D19" s="45">
        <v>15.740600000000001</v>
      </c>
      <c r="E19" s="45">
        <v>16.160400000000003</v>
      </c>
      <c r="F19" s="45">
        <v>16.580200000000001</v>
      </c>
      <c r="G19" s="46">
        <v>17</v>
      </c>
      <c r="H19" s="30">
        <f t="shared" si="0"/>
        <v>0.14086302932689082</v>
      </c>
      <c r="I19" s="30">
        <f t="shared" si="1"/>
        <v>0.10960263171635945</v>
      </c>
      <c r="J19" s="30">
        <f t="shared" si="2"/>
        <v>5.2853190490851354E-3</v>
      </c>
      <c r="K19" s="30">
        <f t="shared" si="3"/>
        <v>5.2136420658612792E-3</v>
      </c>
      <c r="R19" s="54" t="s">
        <v>9</v>
      </c>
      <c r="S19" s="45">
        <v>14.901</v>
      </c>
      <c r="T19" s="67">
        <v>12.5</v>
      </c>
      <c r="U19" s="67">
        <v>14</v>
      </c>
      <c r="V19" s="67">
        <v>15</v>
      </c>
      <c r="W19" s="67">
        <v>16</v>
      </c>
      <c r="X19" s="68">
        <v>17</v>
      </c>
      <c r="Y19" s="30">
        <f t="shared" si="4"/>
        <v>0.14086302932689082</v>
      </c>
      <c r="Z19" s="30">
        <f t="shared" si="5"/>
        <v>0.36</v>
      </c>
      <c r="AA19" s="30">
        <f t="shared" si="6"/>
        <v>5.2853190490851354E-3</v>
      </c>
      <c r="AB19" s="30">
        <f t="shared" si="7"/>
        <v>1.5493026533750287E-2</v>
      </c>
    </row>
    <row r="20" spans="1:28" ht="15.75" thickBot="1" x14ac:dyDescent="0.3">
      <c r="A20" s="54" t="s">
        <v>10</v>
      </c>
      <c r="B20" s="45">
        <v>4.6260000000000003</v>
      </c>
      <c r="C20" s="45">
        <v>5</v>
      </c>
      <c r="D20" s="45">
        <v>5</v>
      </c>
      <c r="E20" s="45">
        <v>5</v>
      </c>
      <c r="F20" s="45">
        <v>5</v>
      </c>
      <c r="G20" s="46">
        <v>5</v>
      </c>
      <c r="H20" s="30">
        <f t="shared" si="0"/>
        <v>8.0847384349329796E-2</v>
      </c>
      <c r="I20" s="30">
        <f t="shared" si="1"/>
        <v>0</v>
      </c>
      <c r="J20" s="30">
        <f t="shared" si="2"/>
        <v>3.1146544327518288E-3</v>
      </c>
      <c r="K20" s="30">
        <f t="shared" si="3"/>
        <v>0</v>
      </c>
      <c r="R20" s="54" t="s">
        <v>10</v>
      </c>
      <c r="S20" s="45">
        <v>4.6260000000000003</v>
      </c>
      <c r="T20" s="67">
        <v>4.573842</v>
      </c>
      <c r="U20" s="67">
        <v>4.573842</v>
      </c>
      <c r="V20" s="67">
        <v>4.573842</v>
      </c>
      <c r="W20" s="67">
        <v>4.573842</v>
      </c>
      <c r="X20" s="68">
        <v>4.573842</v>
      </c>
      <c r="Y20" s="30">
        <f t="shared" si="4"/>
        <v>-1.1274967574578548E-2</v>
      </c>
      <c r="Z20" s="30">
        <f t="shared" si="5"/>
        <v>0</v>
      </c>
      <c r="AA20" s="30">
        <f t="shared" si="6"/>
        <v>-4.5345763198911815E-4</v>
      </c>
      <c r="AB20" s="30">
        <f t="shared" si="7"/>
        <v>0</v>
      </c>
    </row>
    <row r="21" spans="1:28" ht="15.75" thickBot="1" x14ac:dyDescent="0.3">
      <c r="A21" s="54" t="s">
        <v>11</v>
      </c>
      <c r="B21" s="45">
        <v>8.8298000000000005</v>
      </c>
      <c r="C21" s="45">
        <v>9.3724000000000007</v>
      </c>
      <c r="D21" s="45">
        <v>9.9148999999999994</v>
      </c>
      <c r="E21" s="45">
        <v>10.45745</v>
      </c>
      <c r="F21" s="45">
        <v>11</v>
      </c>
      <c r="G21" s="46">
        <v>11.5426</v>
      </c>
      <c r="H21" s="30">
        <f t="shared" si="0"/>
        <v>0.30723232689302132</v>
      </c>
      <c r="I21" s="30">
        <f t="shared" si="1"/>
        <v>0.23155221714822236</v>
      </c>
      <c r="J21" s="30">
        <f t="shared" si="2"/>
        <v>1.0774114204209706E-2</v>
      </c>
      <c r="K21" s="30">
        <f t="shared" si="3"/>
        <v>1.0468178931733574E-2</v>
      </c>
      <c r="R21" s="54" t="s">
        <v>11</v>
      </c>
      <c r="S21" s="45">
        <v>8.8298000000000005</v>
      </c>
      <c r="T21" s="63">
        <v>9.3724000000000007</v>
      </c>
      <c r="U21" s="63">
        <v>9.9148999999999994</v>
      </c>
      <c r="V21" s="63">
        <v>10.45745</v>
      </c>
      <c r="W21" s="63">
        <v>11</v>
      </c>
      <c r="X21" s="64">
        <v>11.5426</v>
      </c>
      <c r="Y21" s="30">
        <f t="shared" si="4"/>
        <v>0.30723232689302132</v>
      </c>
      <c r="Z21" s="30">
        <f t="shared" si="5"/>
        <v>0.23155221714822236</v>
      </c>
      <c r="AA21" s="30">
        <f t="shared" si="6"/>
        <v>1.0774114204209706E-2</v>
      </c>
      <c r="AB21" s="30">
        <f t="shared" si="7"/>
        <v>1.0468178931733574E-2</v>
      </c>
    </row>
    <row r="22" spans="1:28" ht="15.75" thickBot="1" x14ac:dyDescent="0.3">
      <c r="A22" s="54" t="s">
        <v>12</v>
      </c>
      <c r="B22" s="45">
        <v>3.867</v>
      </c>
      <c r="C22" s="45">
        <v>5</v>
      </c>
      <c r="D22" s="45">
        <v>5.5</v>
      </c>
      <c r="E22" s="45">
        <v>5.5</v>
      </c>
      <c r="F22" s="45">
        <v>5.5</v>
      </c>
      <c r="G22" s="46">
        <v>5.5</v>
      </c>
      <c r="H22" s="30">
        <f t="shared" si="0"/>
        <v>0.4222911817946729</v>
      </c>
      <c r="I22" s="30">
        <f t="shared" si="1"/>
        <v>0.1</v>
      </c>
      <c r="J22" s="30">
        <f t="shared" si="2"/>
        <v>1.4190505921228613E-2</v>
      </c>
      <c r="K22" s="30">
        <f t="shared" si="3"/>
        <v>4.776882087206058E-3</v>
      </c>
      <c r="R22" s="54" t="s">
        <v>12</v>
      </c>
      <c r="S22" s="67">
        <v>5</v>
      </c>
      <c r="T22" s="67">
        <v>5</v>
      </c>
      <c r="U22" s="67">
        <v>6</v>
      </c>
      <c r="V22" s="67">
        <v>6</v>
      </c>
      <c r="W22" s="67">
        <v>6</v>
      </c>
      <c r="X22" s="68">
        <v>6.5</v>
      </c>
      <c r="Y22" s="30">
        <f t="shared" si="4"/>
        <v>0.3</v>
      </c>
      <c r="Z22" s="30">
        <f t="shared" si="5"/>
        <v>0.3</v>
      </c>
      <c r="AA22" s="30">
        <f t="shared" si="6"/>
        <v>1.0549831729349979E-2</v>
      </c>
      <c r="AB22" s="30">
        <f t="shared" si="7"/>
        <v>1.3204634466420062E-2</v>
      </c>
    </row>
    <row r="23" spans="1:28" x14ac:dyDescent="0.25">
      <c r="A23" s="26" t="s">
        <v>13</v>
      </c>
      <c r="H23" s="30"/>
      <c r="I23" s="30"/>
      <c r="J23" s="30"/>
      <c r="K23" s="30"/>
      <c r="R23" s="26" t="s">
        <v>389</v>
      </c>
    </row>
    <row r="24" spans="1:28" x14ac:dyDescent="0.25">
      <c r="H24" s="30"/>
      <c r="I24" s="30"/>
      <c r="J24" s="30"/>
      <c r="K24" s="30"/>
    </row>
    <row r="25" spans="1:28" x14ac:dyDescent="0.25">
      <c r="H25" s="30"/>
      <c r="I25" s="30"/>
      <c r="J25" s="30"/>
      <c r="K25" s="30"/>
    </row>
    <row r="26" spans="1:28" x14ac:dyDescent="0.25">
      <c r="H26" s="30"/>
      <c r="I26" s="30"/>
      <c r="J26" s="30"/>
      <c r="K26" s="30"/>
    </row>
    <row r="27" spans="1:28" x14ac:dyDescent="0.25">
      <c r="A27" s="28" t="s">
        <v>27</v>
      </c>
      <c r="H27" s="30"/>
      <c r="I27" s="30"/>
      <c r="J27" s="30"/>
      <c r="K27" s="30"/>
      <c r="R27" s="28" t="s">
        <v>395</v>
      </c>
    </row>
    <row r="28" spans="1:28" ht="15.75" thickBot="1" x14ac:dyDescent="0.3">
      <c r="H28" s="834" t="s">
        <v>23</v>
      </c>
      <c r="I28" s="834"/>
      <c r="J28" s="834" t="s">
        <v>24</v>
      </c>
      <c r="K28" s="834"/>
      <c r="Y28" s="834" t="s">
        <v>23</v>
      </c>
      <c r="Z28" s="834"/>
      <c r="AA28" s="834" t="s">
        <v>24</v>
      </c>
      <c r="AB28" s="834"/>
    </row>
    <row r="29" spans="1:28" ht="15.75" thickBot="1" x14ac:dyDescent="0.3">
      <c r="A29" s="47" t="s">
        <v>14</v>
      </c>
      <c r="B29" s="36">
        <v>2010</v>
      </c>
      <c r="C29" s="36">
        <v>2015</v>
      </c>
      <c r="D29" s="37">
        <v>2020</v>
      </c>
      <c r="E29" s="37">
        <v>2025</v>
      </c>
      <c r="F29" s="37">
        <v>2030</v>
      </c>
      <c r="G29" s="43">
        <v>2035</v>
      </c>
      <c r="H29" s="29" t="s">
        <v>26</v>
      </c>
      <c r="I29" s="29" t="s">
        <v>25</v>
      </c>
      <c r="J29" s="29" t="s">
        <v>26</v>
      </c>
      <c r="K29" s="29" t="s">
        <v>25</v>
      </c>
      <c r="R29" s="47" t="s">
        <v>14</v>
      </c>
      <c r="S29" s="36">
        <v>2010</v>
      </c>
      <c r="T29" s="36">
        <v>2015</v>
      </c>
      <c r="U29" s="37">
        <v>2020</v>
      </c>
      <c r="V29" s="37">
        <v>2025</v>
      </c>
      <c r="W29" s="37">
        <v>2030</v>
      </c>
      <c r="X29" s="43">
        <v>2035</v>
      </c>
      <c r="Y29" s="29" t="s">
        <v>26</v>
      </c>
      <c r="Z29" s="29" t="s">
        <v>25</v>
      </c>
      <c r="AA29" s="29" t="s">
        <v>26</v>
      </c>
      <c r="AB29" s="29" t="s">
        <v>25</v>
      </c>
    </row>
    <row r="30" spans="1:28" ht="15.75" thickBot="1" x14ac:dyDescent="0.3">
      <c r="A30" s="39" t="s">
        <v>308</v>
      </c>
      <c r="B30" s="48">
        <v>27215</v>
      </c>
      <c r="C30" s="48">
        <v>29253</v>
      </c>
      <c r="D30" s="49">
        <v>32618</v>
      </c>
      <c r="E30" s="49">
        <v>37007</v>
      </c>
      <c r="F30" s="49">
        <v>40688</v>
      </c>
      <c r="G30" s="50">
        <v>44099</v>
      </c>
      <c r="H30" s="30">
        <f t="shared" si="0"/>
        <v>0.62039316553371304</v>
      </c>
      <c r="I30" s="30">
        <f t="shared" si="1"/>
        <v>0.50750350391412846</v>
      </c>
      <c r="J30" s="30">
        <f t="shared" si="2"/>
        <v>1.9494333176514944E-2</v>
      </c>
      <c r="K30" s="30">
        <f t="shared" si="3"/>
        <v>2.0734788365376566E-2</v>
      </c>
      <c r="R30" s="39" t="s">
        <v>308</v>
      </c>
      <c r="S30" s="69">
        <v>27215</v>
      </c>
      <c r="T30" s="80">
        <f>'Cadrage macro'!K62</f>
        <v>29089.235114368454</v>
      </c>
      <c r="U30" s="80">
        <f>'Cadrage macro'!L62</f>
        <v>31965.437278744852</v>
      </c>
      <c r="V30" s="80">
        <f>'Cadrage macro'!M62</f>
        <v>34567.999853217239</v>
      </c>
      <c r="W30" s="80">
        <f>'Cadrage macro'!N62</f>
        <v>37187.255084819968</v>
      </c>
      <c r="X30" s="81">
        <f>'Cadrage macro'!O62</f>
        <v>39731.819246722887</v>
      </c>
      <c r="Y30" s="30">
        <f t="shared" ref="Y30:Y35" si="8">(X30-S30)/S30</f>
        <v>0.45992354388105411</v>
      </c>
      <c r="Z30" s="30">
        <f t="shared" ref="Z30:Z35" si="9">(X30-T30)/T30</f>
        <v>0.36585988220424515</v>
      </c>
      <c r="AA30" s="30">
        <f t="shared" ref="AA30:AA35" si="10">(X30/S30)^(1/25)-1</f>
        <v>1.5250482346913508E-2</v>
      </c>
      <c r="AB30" s="30">
        <f t="shared" ref="AB30:AB35" si="11">(X30/T30)^(1/20)-1</f>
        <v>1.5711354643236586E-2</v>
      </c>
    </row>
    <row r="31" spans="1:28" ht="15.75" thickBot="1" x14ac:dyDescent="0.3">
      <c r="A31" s="39" t="s">
        <v>309</v>
      </c>
      <c r="B31" s="48">
        <v>35005</v>
      </c>
      <c r="C31" s="48">
        <v>38364</v>
      </c>
      <c r="D31" s="49">
        <v>42514</v>
      </c>
      <c r="E31" s="49">
        <v>47682</v>
      </c>
      <c r="F31" s="49">
        <v>52130</v>
      </c>
      <c r="G31" s="50">
        <v>56459</v>
      </c>
      <c r="H31" s="30">
        <f t="shared" si="0"/>
        <v>0.612883873732324</v>
      </c>
      <c r="I31" s="30">
        <f t="shared" si="1"/>
        <v>0.47166614534459389</v>
      </c>
      <c r="J31" s="30">
        <f t="shared" si="2"/>
        <v>1.9304928236871799E-2</v>
      </c>
      <c r="K31" s="30">
        <f t="shared" si="3"/>
        <v>1.9507593799572787E-2</v>
      </c>
      <c r="R31" s="39" t="s">
        <v>309</v>
      </c>
      <c r="S31" s="69">
        <v>35005</v>
      </c>
      <c r="T31" s="80">
        <f>'Cadrage macro'!K63</f>
        <v>38224.024379268361</v>
      </c>
      <c r="U31" s="80">
        <f>'Cadrage macro'!L63</f>
        <v>41859.573049815146</v>
      </c>
      <c r="V31" s="80">
        <f>'Cadrage macro'!M63</f>
        <v>44742.957528685867</v>
      </c>
      <c r="W31" s="80">
        <f>'Cadrage macro'!N63</f>
        <v>47854.119527445248</v>
      </c>
      <c r="X31" s="81">
        <f>'Cadrage macro'!O63</f>
        <v>51757.456359244999</v>
      </c>
      <c r="Y31" s="30">
        <f t="shared" si="8"/>
        <v>0.47857324265804885</v>
      </c>
      <c r="Z31" s="30">
        <f t="shared" si="9"/>
        <v>0.35405565478125822</v>
      </c>
      <c r="AA31" s="30">
        <f t="shared" si="10"/>
        <v>1.5766097751082953E-2</v>
      </c>
      <c r="AB31" s="30">
        <f t="shared" si="11"/>
        <v>1.5270636482469735E-2</v>
      </c>
    </row>
    <row r="32" spans="1:28" ht="15.75" thickBot="1" x14ac:dyDescent="0.3">
      <c r="A32" s="39" t="s">
        <v>310</v>
      </c>
      <c r="B32" s="48">
        <v>8155</v>
      </c>
      <c r="C32" s="48">
        <v>8605</v>
      </c>
      <c r="D32" s="49">
        <v>9775</v>
      </c>
      <c r="E32" s="49">
        <v>11283</v>
      </c>
      <c r="F32" s="49">
        <v>12710</v>
      </c>
      <c r="G32" s="50">
        <v>14115</v>
      </c>
      <c r="H32" s="30">
        <f t="shared" si="0"/>
        <v>0.73083997547516866</v>
      </c>
      <c r="I32" s="30">
        <f t="shared" si="1"/>
        <v>0.64032539221382911</v>
      </c>
      <c r="J32" s="30">
        <f t="shared" si="2"/>
        <v>2.2186819504180111E-2</v>
      </c>
      <c r="K32" s="30">
        <f t="shared" si="3"/>
        <v>2.5053423379193918E-2</v>
      </c>
      <c r="R32" s="39" t="s">
        <v>310</v>
      </c>
      <c r="S32" s="69">
        <v>8155</v>
      </c>
      <c r="T32" s="80">
        <f>'Cadrage macro'!K64</f>
        <v>8599.5614082691518</v>
      </c>
      <c r="U32" s="80">
        <f>'Cadrage macro'!L64</f>
        <v>9747.2215162009361</v>
      </c>
      <c r="V32" s="80">
        <f>'Cadrage macro'!M64</f>
        <v>10920.835600530918</v>
      </c>
      <c r="W32" s="80">
        <f>'Cadrage macro'!N64</f>
        <v>12138.158666956857</v>
      </c>
      <c r="X32" s="81">
        <f>'Cadrage macro'!O64</f>
        <v>13578.2236697716</v>
      </c>
      <c r="Y32" s="30">
        <f t="shared" si="8"/>
        <v>0.66501823050540765</v>
      </c>
      <c r="Z32" s="30">
        <f t="shared" si="9"/>
        <v>0.57894374202794507</v>
      </c>
      <c r="AA32" s="30">
        <f t="shared" si="10"/>
        <v>2.0602809978232273E-2</v>
      </c>
      <c r="AB32" s="30">
        <f t="shared" si="11"/>
        <v>2.3100584585301176E-2</v>
      </c>
    </row>
    <row r="33" spans="1:28" ht="15.75" thickBot="1" x14ac:dyDescent="0.3">
      <c r="A33" s="39" t="s">
        <v>311</v>
      </c>
      <c r="B33" s="48">
        <v>29446</v>
      </c>
      <c r="C33" s="48">
        <v>30047</v>
      </c>
      <c r="D33" s="49">
        <v>31889</v>
      </c>
      <c r="E33" s="49">
        <v>34249</v>
      </c>
      <c r="F33" s="49">
        <v>36047</v>
      </c>
      <c r="G33" s="50">
        <v>37563</v>
      </c>
      <c r="H33" s="30">
        <f t="shared" si="0"/>
        <v>0.27565713509474971</v>
      </c>
      <c r="I33" s="30">
        <f t="shared" si="1"/>
        <v>0.25014144506939129</v>
      </c>
      <c r="J33" s="30">
        <f t="shared" si="2"/>
        <v>9.7860309210706653E-3</v>
      </c>
      <c r="K33" s="30">
        <f t="shared" si="3"/>
        <v>1.1225371971390175E-2</v>
      </c>
      <c r="R33" s="39" t="s">
        <v>311</v>
      </c>
      <c r="S33" s="69">
        <v>29446</v>
      </c>
      <c r="T33" s="80">
        <f>'Cadrage macro'!K65</f>
        <v>30017.966553832739</v>
      </c>
      <c r="U33" s="80">
        <f>'Cadrage macro'!L65</f>
        <v>31677.201560900634</v>
      </c>
      <c r="V33" s="80">
        <f>'Cadrage macro'!M65</f>
        <v>32707.186649228977</v>
      </c>
      <c r="W33" s="80">
        <f>'Cadrage macro'!N65</f>
        <v>33848.543535675672</v>
      </c>
      <c r="X33" s="81">
        <f>'Cadrage macro'!O65</f>
        <v>35836.016032575033</v>
      </c>
      <c r="Y33" s="30">
        <f t="shared" si="8"/>
        <v>0.21700794785624644</v>
      </c>
      <c r="Z33" s="30">
        <f t="shared" si="9"/>
        <v>0.19381890736364474</v>
      </c>
      <c r="AA33" s="30">
        <f t="shared" si="10"/>
        <v>7.886751653280788E-3</v>
      </c>
      <c r="AB33" s="30">
        <f t="shared" si="11"/>
        <v>8.8972137221408065E-3</v>
      </c>
    </row>
    <row r="34" spans="1:28" ht="15.75" thickBot="1" x14ac:dyDescent="0.3">
      <c r="A34" s="39" t="s">
        <v>15</v>
      </c>
      <c r="B34" s="48">
        <v>62216</v>
      </c>
      <c r="C34" s="48">
        <v>67613</v>
      </c>
      <c r="D34" s="49">
        <v>75792</v>
      </c>
      <c r="E34" s="49">
        <v>86500</v>
      </c>
      <c r="F34" s="49">
        <v>96013</v>
      </c>
      <c r="G34" s="50">
        <v>105413</v>
      </c>
      <c r="H34" s="30">
        <f t="shared" si="0"/>
        <v>0.69430693069306926</v>
      </c>
      <c r="I34" s="30">
        <f t="shared" si="1"/>
        <v>0.55906408530903817</v>
      </c>
      <c r="J34" s="30">
        <f t="shared" si="2"/>
        <v>2.1314936691967601E-2</v>
      </c>
      <c r="K34" s="30">
        <f t="shared" si="3"/>
        <v>2.2452634664506643E-2</v>
      </c>
      <c r="R34" s="39" t="s">
        <v>15</v>
      </c>
      <c r="S34" s="69">
        <v>62216</v>
      </c>
      <c r="T34" s="80">
        <f>'Cadrage macro'!K66</f>
        <v>67399.407935745636</v>
      </c>
      <c r="U34" s="80">
        <f>'Cadrage macro'!L66</f>
        <v>74749.384973465654</v>
      </c>
      <c r="V34" s="80">
        <f>'Cadrage macro'!M66</f>
        <v>81497.467168374191</v>
      </c>
      <c r="W34" s="80">
        <f>'Cadrage macro'!N66</f>
        <v>88649.069540593759</v>
      </c>
      <c r="X34" s="81">
        <f>'Cadrage macro'!O66</f>
        <v>97318.252136990559</v>
      </c>
      <c r="Y34" s="30">
        <f t="shared" si="8"/>
        <v>0.56419975789170884</v>
      </c>
      <c r="Z34" s="30">
        <f t="shared" si="9"/>
        <v>0.44390366499610312</v>
      </c>
      <c r="AA34" s="30">
        <f t="shared" si="10"/>
        <v>1.8056048681046155E-2</v>
      </c>
      <c r="AB34" s="30">
        <f t="shared" si="11"/>
        <v>1.8537236559891923E-2</v>
      </c>
    </row>
    <row r="35" spans="1:28" ht="15.75" thickBot="1" x14ac:dyDescent="0.3">
      <c r="A35" s="39" t="s">
        <v>16</v>
      </c>
      <c r="B35" s="48">
        <v>35567</v>
      </c>
      <c r="C35" s="48">
        <v>36819</v>
      </c>
      <c r="D35" s="49">
        <v>39500</v>
      </c>
      <c r="E35" s="49">
        <v>42865</v>
      </c>
      <c r="F35" s="49">
        <v>45608</v>
      </c>
      <c r="G35" s="50">
        <v>48002</v>
      </c>
      <c r="H35" s="30">
        <f t="shared" si="0"/>
        <v>0.3496218404700987</v>
      </c>
      <c r="I35" s="30">
        <f t="shared" si="1"/>
        <v>0.30372905293462615</v>
      </c>
      <c r="J35" s="30">
        <f t="shared" si="2"/>
        <v>1.2065181513781775E-2</v>
      </c>
      <c r="K35" s="30">
        <f t="shared" si="3"/>
        <v>1.3349755821153275E-2</v>
      </c>
      <c r="R35" s="39" t="s">
        <v>16</v>
      </c>
      <c r="S35" s="69">
        <v>35567</v>
      </c>
      <c r="T35" s="80">
        <f>'Cadrage macro'!K67</f>
        <v>36702.269898787825</v>
      </c>
      <c r="U35" s="80">
        <f>'Cadrage macro'!L67</f>
        <v>38958.910790215123</v>
      </c>
      <c r="V35" s="80">
        <f>'Cadrage macro'!M67</f>
        <v>40395.295481348723</v>
      </c>
      <c r="W35" s="80">
        <f>'Cadrage macro'!N67</f>
        <v>42130.227004552209</v>
      </c>
      <c r="X35" s="81">
        <f>'Cadrage macro'!O67</f>
        <v>44410.070386955922</v>
      </c>
      <c r="Y35" s="30">
        <f t="shared" si="8"/>
        <v>0.24863132642494229</v>
      </c>
      <c r="Z35" s="30">
        <f t="shared" si="9"/>
        <v>0.21000882259935277</v>
      </c>
      <c r="AA35" s="30">
        <f t="shared" si="10"/>
        <v>8.9214817987544048E-3</v>
      </c>
      <c r="AB35" s="30">
        <f t="shared" si="11"/>
        <v>9.5769508371703616E-3</v>
      </c>
    </row>
    <row r="36" spans="1:28" x14ac:dyDescent="0.25">
      <c r="A36" s="26" t="s">
        <v>17</v>
      </c>
      <c r="H36" s="30"/>
      <c r="I36" s="30"/>
      <c r="J36" s="30"/>
      <c r="K36" s="30"/>
      <c r="R36" s="26" t="s">
        <v>386</v>
      </c>
    </row>
    <row r="37" spans="1:28" x14ac:dyDescent="0.25">
      <c r="H37" s="30"/>
      <c r="I37" s="30"/>
      <c r="J37" s="30"/>
      <c r="K37" s="30"/>
    </row>
    <row r="38" spans="1:28" x14ac:dyDescent="0.25">
      <c r="H38" s="30"/>
      <c r="I38" s="30"/>
      <c r="J38" s="30"/>
      <c r="K38" s="30"/>
    </row>
    <row r="39" spans="1:28" x14ac:dyDescent="0.25">
      <c r="A39" s="28" t="s">
        <v>28</v>
      </c>
      <c r="H39" s="30"/>
      <c r="I39" s="30"/>
      <c r="J39" s="30"/>
      <c r="K39" s="30"/>
      <c r="R39" s="28" t="s">
        <v>35</v>
      </c>
    </row>
    <row r="40" spans="1:28" ht="15.75" thickBot="1" x14ac:dyDescent="0.3">
      <c r="H40" s="834" t="s">
        <v>23</v>
      </c>
      <c r="I40" s="834"/>
      <c r="J40" s="834" t="s">
        <v>24</v>
      </c>
      <c r="K40" s="834"/>
      <c r="Y40" s="834" t="s">
        <v>23</v>
      </c>
      <c r="Z40" s="834"/>
      <c r="AA40" s="834" t="s">
        <v>24</v>
      </c>
      <c r="AB40" s="834"/>
    </row>
    <row r="41" spans="1:28" ht="15.75" thickBot="1" x14ac:dyDescent="0.3">
      <c r="A41" s="35" t="s">
        <v>18</v>
      </c>
      <c r="B41" s="36">
        <v>2010</v>
      </c>
      <c r="C41" s="37">
        <v>2015</v>
      </c>
      <c r="D41" s="37">
        <v>2020</v>
      </c>
      <c r="E41" s="36">
        <v>2025</v>
      </c>
      <c r="F41" s="36">
        <v>2030</v>
      </c>
      <c r="G41" s="43">
        <v>2035</v>
      </c>
      <c r="H41" s="29" t="s">
        <v>26</v>
      </c>
      <c r="I41" s="29" t="s">
        <v>25</v>
      </c>
      <c r="J41" s="29" t="s">
        <v>26</v>
      </c>
      <c r="K41" s="29" t="s">
        <v>25</v>
      </c>
      <c r="R41" s="35" t="s">
        <v>18</v>
      </c>
      <c r="S41" s="36">
        <v>2010</v>
      </c>
      <c r="T41" s="37">
        <v>2015</v>
      </c>
      <c r="U41" s="37">
        <v>2020</v>
      </c>
      <c r="V41" s="36">
        <v>2025</v>
      </c>
      <c r="W41" s="36">
        <v>2030</v>
      </c>
      <c r="X41" s="43">
        <v>2035</v>
      </c>
      <c r="Y41" s="29" t="s">
        <v>26</v>
      </c>
      <c r="Z41" s="29" t="s">
        <v>25</v>
      </c>
      <c r="AA41" s="29" t="s">
        <v>26</v>
      </c>
      <c r="AB41" s="29" t="s">
        <v>25</v>
      </c>
    </row>
    <row r="42" spans="1:28" ht="15.75" thickBot="1" x14ac:dyDescent="0.3">
      <c r="A42" s="39" t="s">
        <v>3</v>
      </c>
      <c r="B42" s="40">
        <v>1</v>
      </c>
      <c r="C42" s="44">
        <v>0.95</v>
      </c>
      <c r="D42" s="44">
        <v>0.9</v>
      </c>
      <c r="E42" s="45">
        <v>0.86899999999999999</v>
      </c>
      <c r="F42" s="45">
        <v>0.83699999999999997</v>
      </c>
      <c r="G42" s="46">
        <v>0.83699999999999997</v>
      </c>
      <c r="H42" s="30">
        <f t="shared" si="0"/>
        <v>-0.16300000000000003</v>
      </c>
      <c r="I42" s="30">
        <f t="shared" si="1"/>
        <v>-0.11894736842105262</v>
      </c>
      <c r="J42" s="30">
        <f t="shared" si="2"/>
        <v>-7.0919807086140541E-3</v>
      </c>
      <c r="K42" s="30">
        <f t="shared" si="3"/>
        <v>-6.31189149743272E-3</v>
      </c>
      <c r="R42" s="39" t="s">
        <v>3</v>
      </c>
      <c r="S42" s="40">
        <v>1</v>
      </c>
      <c r="T42" s="70">
        <v>0.95</v>
      </c>
      <c r="U42" s="70">
        <v>0.9</v>
      </c>
      <c r="V42" s="63">
        <v>0.86899999999999999</v>
      </c>
      <c r="W42" s="63">
        <v>0.83699999999999997</v>
      </c>
      <c r="X42" s="64">
        <v>0.83699999999999997</v>
      </c>
      <c r="Y42" s="30">
        <f>(X42-S42)/S42</f>
        <v>-0.16300000000000003</v>
      </c>
      <c r="Z42" s="30">
        <f>(X42-T42)/T42</f>
        <v>-0.11894736842105262</v>
      </c>
      <c r="AA42" s="30">
        <f>(X42/S42)^(1/25)-1</f>
        <v>-7.0919807086140541E-3</v>
      </c>
      <c r="AB42" s="30">
        <f>(X42/T42)^(1/20)-1</f>
        <v>-6.31189149743272E-3</v>
      </c>
    </row>
    <row r="43" spans="1:28" ht="15.75" thickBot="1" x14ac:dyDescent="0.3">
      <c r="A43" s="39" t="s">
        <v>6</v>
      </c>
      <c r="B43" s="40">
        <v>1</v>
      </c>
      <c r="C43" s="44">
        <v>0.96299999999999997</v>
      </c>
      <c r="D43" s="44">
        <v>0.92700000000000005</v>
      </c>
      <c r="E43" s="45">
        <v>0.89</v>
      </c>
      <c r="F43" s="45">
        <v>0.85399999999999998</v>
      </c>
      <c r="G43" s="46">
        <v>0.85399999999999998</v>
      </c>
      <c r="H43" s="30">
        <f t="shared" si="0"/>
        <v>-0.14600000000000002</v>
      </c>
      <c r="I43" s="30">
        <f t="shared" si="1"/>
        <v>-0.11318795430944963</v>
      </c>
      <c r="J43" s="30">
        <f t="shared" si="2"/>
        <v>-6.2930785204416972E-3</v>
      </c>
      <c r="K43" s="30">
        <f t="shared" si="3"/>
        <v>-5.9881102723563506E-3</v>
      </c>
      <c r="R43" s="39" t="s">
        <v>6</v>
      </c>
      <c r="S43" s="40">
        <v>1</v>
      </c>
      <c r="T43" s="71">
        <v>0.97</v>
      </c>
      <c r="U43" s="71">
        <v>0.94</v>
      </c>
      <c r="V43" s="65">
        <v>0.91</v>
      </c>
      <c r="W43" s="65">
        <v>0.89</v>
      </c>
      <c r="X43" s="66">
        <v>0.86</v>
      </c>
      <c r="Y43" s="30">
        <f t="shared" ref="Y43:Y50" si="12">(X43-S43)/S43</f>
        <v>-0.14000000000000001</v>
      </c>
      <c r="Z43" s="30">
        <f t="shared" ref="Z43:Z50" si="13">(X43-T43)/T43</f>
        <v>-0.11340206185567009</v>
      </c>
      <c r="AA43" s="30">
        <f t="shared" ref="AA43:AA50" si="14">(X43/S43)^(1/25)-1</f>
        <v>-6.0147540947377287E-3</v>
      </c>
      <c r="AB43" s="30">
        <f t="shared" ref="AB43:AB50" si="15">(X43/T43)^(1/20)-1</f>
        <v>-6.0001111162029108E-3</v>
      </c>
    </row>
    <row r="44" spans="1:28" ht="15.75" thickBot="1" x14ac:dyDescent="0.3">
      <c r="A44" s="39" t="s">
        <v>7</v>
      </c>
      <c r="B44" s="40">
        <v>1</v>
      </c>
      <c r="C44" s="44">
        <v>0.98699999999999999</v>
      </c>
      <c r="D44" s="44">
        <v>0.97399999999999998</v>
      </c>
      <c r="E44" s="45">
        <v>0.97399999999999998</v>
      </c>
      <c r="F44" s="45">
        <v>0.97399999999999998</v>
      </c>
      <c r="G44" s="46">
        <v>0.97399999999999998</v>
      </c>
      <c r="H44" s="30">
        <f t="shared" si="0"/>
        <v>-2.6000000000000023E-2</v>
      </c>
      <c r="I44" s="30">
        <f t="shared" si="1"/>
        <v>-1.3171225937183395E-2</v>
      </c>
      <c r="J44" s="30">
        <f t="shared" si="2"/>
        <v>-1.0532040045204694E-3</v>
      </c>
      <c r="K44" s="30">
        <f t="shared" si="3"/>
        <v>-6.6271709550425051E-4</v>
      </c>
      <c r="R44" s="39" t="s">
        <v>7</v>
      </c>
      <c r="S44" s="40">
        <v>1</v>
      </c>
      <c r="T44" s="71">
        <v>1</v>
      </c>
      <c r="U44" s="71">
        <v>1</v>
      </c>
      <c r="V44" s="65">
        <v>1</v>
      </c>
      <c r="W44" s="65">
        <v>1</v>
      </c>
      <c r="X44" s="66">
        <v>1</v>
      </c>
      <c r="Y44" s="30">
        <f t="shared" si="12"/>
        <v>0</v>
      </c>
      <c r="Z44" s="30">
        <f t="shared" si="13"/>
        <v>0</v>
      </c>
      <c r="AA44" s="30">
        <f t="shared" si="14"/>
        <v>0</v>
      </c>
      <c r="AB44" s="30">
        <f t="shared" si="15"/>
        <v>0</v>
      </c>
    </row>
    <row r="45" spans="1:28" ht="15.75" thickBot="1" x14ac:dyDescent="0.3">
      <c r="A45" s="39" t="s">
        <v>8</v>
      </c>
      <c r="B45" s="40">
        <v>1</v>
      </c>
      <c r="C45" s="44">
        <v>0.97899999999999998</v>
      </c>
      <c r="D45" s="44">
        <v>0.95799999999999996</v>
      </c>
      <c r="E45" s="45">
        <v>0.92600000000000005</v>
      </c>
      <c r="F45" s="45">
        <v>0.89400000000000002</v>
      </c>
      <c r="G45" s="46">
        <v>0.89400000000000002</v>
      </c>
      <c r="H45" s="30">
        <f t="shared" si="0"/>
        <v>-0.10599999999999998</v>
      </c>
      <c r="I45" s="30">
        <f t="shared" si="1"/>
        <v>-8.682328907048005E-2</v>
      </c>
      <c r="J45" s="30">
        <f t="shared" si="2"/>
        <v>-4.4719510682817987E-3</v>
      </c>
      <c r="K45" s="30">
        <f t="shared" si="3"/>
        <v>-4.5309972868613491E-3</v>
      </c>
      <c r="R45" s="39" t="s">
        <v>8</v>
      </c>
      <c r="S45" s="40">
        <v>1</v>
      </c>
      <c r="T45" s="71">
        <v>0.97</v>
      </c>
      <c r="U45" s="71">
        <v>0.95</v>
      </c>
      <c r="V45" s="65">
        <v>0.93</v>
      </c>
      <c r="W45" s="65">
        <v>0.91</v>
      </c>
      <c r="X45" s="66">
        <v>0.88</v>
      </c>
      <c r="Y45" s="30">
        <f t="shared" si="12"/>
        <v>-0.12</v>
      </c>
      <c r="Z45" s="30">
        <f t="shared" si="13"/>
        <v>-9.2783505154639151E-2</v>
      </c>
      <c r="AA45" s="30">
        <f t="shared" si="14"/>
        <v>-5.1002840176166409E-3</v>
      </c>
      <c r="AB45" s="30">
        <f t="shared" si="15"/>
        <v>-4.8568752529972725E-3</v>
      </c>
    </row>
    <row r="46" spans="1:28" ht="15.75" thickBot="1" x14ac:dyDescent="0.3">
      <c r="A46" s="39" t="s">
        <v>9</v>
      </c>
      <c r="B46" s="40">
        <v>1</v>
      </c>
      <c r="C46" s="44">
        <v>0.96099999999999997</v>
      </c>
      <c r="D46" s="44">
        <v>0.92200000000000004</v>
      </c>
      <c r="E46" s="45">
        <v>0.92200000000000004</v>
      </c>
      <c r="F46" s="45">
        <v>0.92200000000000004</v>
      </c>
      <c r="G46" s="46">
        <v>0.92200000000000004</v>
      </c>
      <c r="H46" s="30">
        <f t="shared" si="0"/>
        <v>-7.7999999999999958E-2</v>
      </c>
      <c r="I46" s="30">
        <f t="shared" si="1"/>
        <v>-4.0582726326742896E-2</v>
      </c>
      <c r="J46" s="30">
        <f t="shared" si="2"/>
        <v>-3.2431318668235676E-3</v>
      </c>
      <c r="K46" s="30">
        <f t="shared" si="3"/>
        <v>-2.0693152795820957E-3</v>
      </c>
      <c r="R46" s="39" t="s">
        <v>9</v>
      </c>
      <c r="S46" s="40">
        <v>1</v>
      </c>
      <c r="T46" s="72">
        <v>1.02</v>
      </c>
      <c r="U46" s="72">
        <v>0.99</v>
      </c>
      <c r="V46" s="67">
        <v>0.97</v>
      </c>
      <c r="W46" s="67">
        <v>0.97</v>
      </c>
      <c r="X46" s="68">
        <v>0.97</v>
      </c>
      <c r="Y46" s="30">
        <f t="shared" si="12"/>
        <v>-3.0000000000000027E-2</v>
      </c>
      <c r="Z46" s="30">
        <f t="shared" si="13"/>
        <v>-4.9019607843137296E-2</v>
      </c>
      <c r="AA46" s="30">
        <f t="shared" si="14"/>
        <v>-1.2176263900687267E-3</v>
      </c>
      <c r="AB46" s="30">
        <f t="shared" si="15"/>
        <v>-2.5099365676318763E-3</v>
      </c>
    </row>
    <row r="47" spans="1:28" ht="15.75" thickBot="1" x14ac:dyDescent="0.3">
      <c r="A47" s="39" t="s">
        <v>19</v>
      </c>
      <c r="B47" s="40">
        <v>1</v>
      </c>
      <c r="C47" s="44">
        <v>0.89800000000000002</v>
      </c>
      <c r="D47" s="44">
        <v>0.79600000000000004</v>
      </c>
      <c r="E47" s="45">
        <v>0.79600000000000004</v>
      </c>
      <c r="F47" s="45">
        <v>0.79600000000000004</v>
      </c>
      <c r="G47" s="46">
        <v>0.79600000000000004</v>
      </c>
      <c r="H47" s="30">
        <f t="shared" si="0"/>
        <v>-0.20399999999999996</v>
      </c>
      <c r="I47" s="30">
        <f t="shared" si="1"/>
        <v>-0.11358574610244987</v>
      </c>
      <c r="J47" s="30">
        <f t="shared" si="2"/>
        <v>-9.0847259596537056E-3</v>
      </c>
      <c r="K47" s="30">
        <f t="shared" si="3"/>
        <v>-6.0104089120437409E-3</v>
      </c>
      <c r="R47" s="39" t="s">
        <v>19</v>
      </c>
      <c r="S47" s="40">
        <v>1</v>
      </c>
      <c r="T47" s="70">
        <v>0.89800000000000002</v>
      </c>
      <c r="U47" s="70">
        <v>0.79600000000000004</v>
      </c>
      <c r="V47" s="63">
        <v>0.79600000000000004</v>
      </c>
      <c r="W47" s="63">
        <v>0.79600000000000004</v>
      </c>
      <c r="X47" s="64">
        <v>0.79600000000000004</v>
      </c>
      <c r="Y47" s="30">
        <f t="shared" si="12"/>
        <v>-0.20399999999999996</v>
      </c>
      <c r="Z47" s="30">
        <f t="shared" si="13"/>
        <v>-0.11358574610244987</v>
      </c>
      <c r="AA47" s="30">
        <f t="shared" si="14"/>
        <v>-9.0847259596537056E-3</v>
      </c>
      <c r="AB47" s="30">
        <f t="shared" si="15"/>
        <v>-6.0104089120437409E-3</v>
      </c>
    </row>
    <row r="48" spans="1:28" ht="15.75" thickBot="1" x14ac:dyDescent="0.3">
      <c r="A48" s="39" t="s">
        <v>10</v>
      </c>
      <c r="B48" s="40">
        <v>1</v>
      </c>
      <c r="C48" s="44">
        <v>0.94199999999999995</v>
      </c>
      <c r="D48" s="44">
        <v>0.88500000000000001</v>
      </c>
      <c r="E48" s="45">
        <v>0.88500000000000001</v>
      </c>
      <c r="F48" s="45">
        <v>0.88500000000000001</v>
      </c>
      <c r="G48" s="46">
        <v>0.88500000000000001</v>
      </c>
      <c r="H48" s="30">
        <f t="shared" si="0"/>
        <v>-0.11499999999999999</v>
      </c>
      <c r="I48" s="30">
        <f t="shared" si="1"/>
        <v>-6.0509554140127327E-2</v>
      </c>
      <c r="J48" s="30">
        <f t="shared" si="2"/>
        <v>-4.8747848395955806E-3</v>
      </c>
      <c r="K48" s="30">
        <f t="shared" si="3"/>
        <v>-3.116016590049786E-3</v>
      </c>
      <c r="R48" s="39" t="s">
        <v>10</v>
      </c>
      <c r="S48" s="40">
        <v>1</v>
      </c>
      <c r="T48" s="72">
        <v>0.99</v>
      </c>
      <c r="U48" s="72">
        <v>0.99</v>
      </c>
      <c r="V48" s="72">
        <v>0.99</v>
      </c>
      <c r="W48" s="72">
        <v>0.99</v>
      </c>
      <c r="X48" s="73">
        <v>0.99</v>
      </c>
      <c r="Y48" s="30">
        <f t="shared" si="12"/>
        <v>-1.0000000000000009E-2</v>
      </c>
      <c r="Z48" s="30">
        <f t="shared" si="13"/>
        <v>0</v>
      </c>
      <c r="AA48" s="30">
        <f t="shared" si="14"/>
        <v>-4.0193263756693742E-4</v>
      </c>
      <c r="AB48" s="30">
        <f t="shared" si="15"/>
        <v>0</v>
      </c>
    </row>
    <row r="49" spans="1:28" ht="15.75" thickBot="1" x14ac:dyDescent="0.3">
      <c r="A49" s="39" t="s">
        <v>5</v>
      </c>
      <c r="B49" s="40">
        <v>1</v>
      </c>
      <c r="C49" s="44">
        <v>1</v>
      </c>
      <c r="D49" s="44">
        <v>1</v>
      </c>
      <c r="E49" s="45">
        <v>1</v>
      </c>
      <c r="F49" s="45">
        <v>1</v>
      </c>
      <c r="G49" s="46">
        <v>1</v>
      </c>
      <c r="H49" s="30">
        <f t="shared" si="0"/>
        <v>0</v>
      </c>
      <c r="I49" s="30">
        <f t="shared" si="1"/>
        <v>0</v>
      </c>
      <c r="J49" s="30">
        <f t="shared" si="2"/>
        <v>0</v>
      </c>
      <c r="K49" s="30">
        <f t="shared" si="3"/>
        <v>0</v>
      </c>
      <c r="R49" s="39" t="s">
        <v>5</v>
      </c>
      <c r="S49" s="40">
        <v>1</v>
      </c>
      <c r="T49" s="70">
        <v>1</v>
      </c>
      <c r="U49" s="70">
        <v>1</v>
      </c>
      <c r="V49" s="63">
        <v>1</v>
      </c>
      <c r="W49" s="63">
        <v>1</v>
      </c>
      <c r="X49" s="64">
        <v>1</v>
      </c>
      <c r="Y49" s="30">
        <f t="shared" si="12"/>
        <v>0</v>
      </c>
      <c r="Z49" s="30">
        <f t="shared" si="13"/>
        <v>0</v>
      </c>
      <c r="AA49" s="30">
        <f t="shared" si="14"/>
        <v>0</v>
      </c>
      <c r="AB49" s="30">
        <f t="shared" si="15"/>
        <v>0</v>
      </c>
    </row>
    <row r="50" spans="1:28" ht="15.75" thickBot="1" x14ac:dyDescent="0.3">
      <c r="A50" s="39" t="s">
        <v>12</v>
      </c>
      <c r="B50" s="40">
        <v>1</v>
      </c>
      <c r="C50" s="44">
        <v>0.96399999999999997</v>
      </c>
      <c r="D50" s="44">
        <v>0.92800000000000005</v>
      </c>
      <c r="E50" s="45">
        <v>0.89200000000000002</v>
      </c>
      <c r="F50" s="45">
        <v>0.85599999999999998</v>
      </c>
      <c r="G50" s="46">
        <v>0.85599999999999998</v>
      </c>
      <c r="H50" s="30">
        <f t="shared" si="0"/>
        <v>-0.14400000000000002</v>
      </c>
      <c r="I50" s="30">
        <f t="shared" si="1"/>
        <v>-0.11203319502074688</v>
      </c>
      <c r="J50" s="30">
        <f t="shared" si="2"/>
        <v>-6.2000957026362435E-3</v>
      </c>
      <c r="K50" s="30">
        <f t="shared" si="3"/>
        <v>-5.923432807480089E-3</v>
      </c>
      <c r="R50" s="39" t="s">
        <v>12</v>
      </c>
      <c r="S50" s="40">
        <v>1</v>
      </c>
      <c r="T50" s="72">
        <v>1</v>
      </c>
      <c r="U50" s="72">
        <v>0.97</v>
      </c>
      <c r="V50" s="67">
        <v>0.94</v>
      </c>
      <c r="W50" s="67">
        <v>0.91</v>
      </c>
      <c r="X50" s="68">
        <v>0.88</v>
      </c>
      <c r="Y50" s="30">
        <f t="shared" si="12"/>
        <v>-0.12</v>
      </c>
      <c r="Z50" s="30">
        <f t="shared" si="13"/>
        <v>-0.12</v>
      </c>
      <c r="AA50" s="30">
        <f t="shared" si="14"/>
        <v>-5.1002840176166409E-3</v>
      </c>
      <c r="AB50" s="30">
        <f t="shared" si="15"/>
        <v>-6.3712853127129154E-3</v>
      </c>
    </row>
    <row r="51" spans="1:28" x14ac:dyDescent="0.25">
      <c r="A51" s="26" t="s">
        <v>13</v>
      </c>
      <c r="H51" s="30"/>
      <c r="I51" s="30"/>
      <c r="J51" s="30"/>
      <c r="K51" s="30"/>
      <c r="R51" s="26" t="s">
        <v>389</v>
      </c>
    </row>
    <row r="52" spans="1:28" x14ac:dyDescent="0.25">
      <c r="H52" s="30"/>
      <c r="I52" s="30"/>
      <c r="J52" s="30"/>
      <c r="K52" s="30"/>
    </row>
    <row r="53" spans="1:28" x14ac:dyDescent="0.25">
      <c r="H53" s="30"/>
      <c r="I53" s="30"/>
      <c r="J53" s="30"/>
      <c r="K53" s="30"/>
    </row>
    <row r="54" spans="1:28" x14ac:dyDescent="0.25">
      <c r="A54" s="28" t="s">
        <v>29</v>
      </c>
      <c r="H54" s="30"/>
      <c r="I54" s="30"/>
      <c r="J54" s="30"/>
      <c r="K54" s="30"/>
      <c r="R54" s="28" t="s">
        <v>34</v>
      </c>
    </row>
    <row r="55" spans="1:28" ht="15.75" thickBot="1" x14ac:dyDescent="0.3">
      <c r="H55" s="834" t="s">
        <v>23</v>
      </c>
      <c r="I55" s="834"/>
      <c r="J55" s="834" t="s">
        <v>24</v>
      </c>
      <c r="K55" s="834"/>
      <c r="Y55" s="834" t="s">
        <v>23</v>
      </c>
      <c r="Z55" s="834"/>
      <c r="AA55" s="834" t="s">
        <v>24</v>
      </c>
      <c r="AB55" s="834"/>
    </row>
    <row r="56" spans="1:28" ht="15.75" thickBot="1" x14ac:dyDescent="0.3">
      <c r="A56" s="35" t="s">
        <v>18</v>
      </c>
      <c r="B56" s="36">
        <v>2010</v>
      </c>
      <c r="C56" s="37">
        <v>2015</v>
      </c>
      <c r="D56" s="37">
        <v>2020</v>
      </c>
      <c r="E56" s="36">
        <v>2025</v>
      </c>
      <c r="F56" s="36">
        <v>2030</v>
      </c>
      <c r="G56" s="43">
        <v>2035</v>
      </c>
      <c r="H56" s="29" t="s">
        <v>26</v>
      </c>
      <c r="I56" s="29" t="s">
        <v>25</v>
      </c>
      <c r="J56" s="29" t="s">
        <v>26</v>
      </c>
      <c r="K56" s="29" t="s">
        <v>25</v>
      </c>
      <c r="R56" s="35" t="s">
        <v>18</v>
      </c>
      <c r="S56" s="36">
        <v>2010</v>
      </c>
      <c r="T56" s="37">
        <v>2015</v>
      </c>
      <c r="U56" s="37">
        <v>2020</v>
      </c>
      <c r="V56" s="36">
        <v>2025</v>
      </c>
      <c r="W56" s="36">
        <v>2030</v>
      </c>
      <c r="X56" s="43">
        <v>2035</v>
      </c>
      <c r="Y56" s="29" t="s">
        <v>26</v>
      </c>
      <c r="Z56" s="29" t="s">
        <v>25</v>
      </c>
      <c r="AA56" s="29" t="s">
        <v>26</v>
      </c>
      <c r="AB56" s="29" t="s">
        <v>25</v>
      </c>
    </row>
    <row r="57" spans="1:28" ht="15.75" thickBot="1" x14ac:dyDescent="0.3">
      <c r="A57" s="39" t="s">
        <v>3</v>
      </c>
      <c r="B57" s="40">
        <v>1</v>
      </c>
      <c r="C57" s="44">
        <v>0.754</v>
      </c>
      <c r="D57" s="44">
        <v>0.745</v>
      </c>
      <c r="E57" s="45">
        <v>0.745</v>
      </c>
      <c r="F57" s="45">
        <v>0.745</v>
      </c>
      <c r="G57" s="46">
        <v>0.745</v>
      </c>
      <c r="H57" s="30">
        <f t="shared" si="0"/>
        <v>-0.255</v>
      </c>
      <c r="I57" s="30">
        <f t="shared" si="1"/>
        <v>-1.193633952254643E-2</v>
      </c>
      <c r="J57" s="30">
        <f t="shared" si="2"/>
        <v>-1.1705790258900173E-2</v>
      </c>
      <c r="K57" s="30">
        <f t="shared" si="3"/>
        <v>-6.0022727291597633E-4</v>
      </c>
      <c r="R57" s="39" t="s">
        <v>3</v>
      </c>
      <c r="S57" s="40">
        <v>1</v>
      </c>
      <c r="T57" s="70">
        <v>0.754</v>
      </c>
      <c r="U57" s="70">
        <v>0.745</v>
      </c>
      <c r="V57" s="63">
        <v>0.745</v>
      </c>
      <c r="W57" s="63">
        <v>0.745</v>
      </c>
      <c r="X57" s="64">
        <v>0.745</v>
      </c>
      <c r="Y57" s="30">
        <f>(X57-S57)/S57</f>
        <v>-0.255</v>
      </c>
      <c r="Z57" s="30">
        <f>(X57-T57)/T57</f>
        <v>-1.193633952254643E-2</v>
      </c>
      <c r="AA57" s="30">
        <f>(X57/S57)^(1/25)-1</f>
        <v>-1.1705790258900173E-2</v>
      </c>
      <c r="AB57" s="30">
        <f>(X57/T57)^(1/20)-1</f>
        <v>-6.0022727291597633E-4</v>
      </c>
    </row>
    <row r="58" spans="1:28" ht="15.75" thickBot="1" x14ac:dyDescent="0.3">
      <c r="A58" s="39" t="s">
        <v>6</v>
      </c>
      <c r="B58" s="40">
        <v>1</v>
      </c>
      <c r="C58" s="44">
        <v>0.96799999999999997</v>
      </c>
      <c r="D58" s="44">
        <v>0.93500000000000005</v>
      </c>
      <c r="E58" s="45">
        <v>0.93500000000000005</v>
      </c>
      <c r="F58" s="45">
        <v>0.93500000000000005</v>
      </c>
      <c r="G58" s="46">
        <v>0.93500000000000005</v>
      </c>
      <c r="H58" s="30">
        <f t="shared" si="0"/>
        <v>-6.4999999999999947E-2</v>
      </c>
      <c r="I58" s="30">
        <f t="shared" si="1"/>
        <v>-3.4090909090909005E-2</v>
      </c>
      <c r="J58" s="30">
        <f t="shared" si="2"/>
        <v>-2.6847396109531685E-3</v>
      </c>
      <c r="K58" s="30">
        <f t="shared" si="3"/>
        <v>-1.7327749084719013E-3</v>
      </c>
      <c r="R58" s="39" t="s">
        <v>6</v>
      </c>
      <c r="S58" s="40">
        <v>1</v>
      </c>
      <c r="T58" s="71">
        <v>0.97</v>
      </c>
      <c r="U58" s="71">
        <v>0.94</v>
      </c>
      <c r="V58" s="65">
        <v>0.91</v>
      </c>
      <c r="W58" s="65">
        <v>0.89</v>
      </c>
      <c r="X58" s="66">
        <v>0.86</v>
      </c>
      <c r="Y58" s="30">
        <f t="shared" ref="Y58:Y65" si="16">(X58-S58)/S58</f>
        <v>-0.14000000000000001</v>
      </c>
      <c r="Z58" s="30">
        <f t="shared" ref="Z58:Z65" si="17">(X58-T58)/T58</f>
        <v>-0.11340206185567009</v>
      </c>
      <c r="AA58" s="30">
        <f t="shared" ref="AA58:AA65" si="18">(X58/S58)^(1/25)-1</f>
        <v>-6.0147540947377287E-3</v>
      </c>
      <c r="AB58" s="30">
        <f t="shared" ref="AB58:AB65" si="19">(X58/T58)^(1/20)-1</f>
        <v>-6.0001111162029108E-3</v>
      </c>
    </row>
    <row r="59" spans="1:28" ht="15.75" thickBot="1" x14ac:dyDescent="0.3">
      <c r="A59" s="39" t="s">
        <v>7</v>
      </c>
      <c r="B59" s="40">
        <v>1</v>
      </c>
      <c r="C59" s="44">
        <v>0.96899999999999997</v>
      </c>
      <c r="D59" s="44">
        <v>0.93799999999999994</v>
      </c>
      <c r="E59" s="45">
        <v>0.91100000000000003</v>
      </c>
      <c r="F59" s="45">
        <v>0.88500000000000001</v>
      </c>
      <c r="G59" s="46">
        <v>0.88500000000000001</v>
      </c>
      <c r="H59" s="30">
        <f t="shared" si="0"/>
        <v>-0.11499999999999999</v>
      </c>
      <c r="I59" s="30">
        <f t="shared" si="1"/>
        <v>-8.6687306501547948E-2</v>
      </c>
      <c r="J59" s="30">
        <f t="shared" si="2"/>
        <v>-4.8747848395955806E-3</v>
      </c>
      <c r="K59" s="30">
        <f t="shared" si="3"/>
        <v>-4.5235859689468638E-3</v>
      </c>
      <c r="R59" s="39" t="s">
        <v>7</v>
      </c>
      <c r="S59" s="40">
        <v>1</v>
      </c>
      <c r="T59" s="71">
        <v>0.85</v>
      </c>
      <c r="U59" s="71">
        <v>0.8</v>
      </c>
      <c r="V59" s="65">
        <v>0.8</v>
      </c>
      <c r="W59" s="65">
        <v>0.8</v>
      </c>
      <c r="X59" s="66">
        <v>0.8</v>
      </c>
      <c r="Y59" s="30">
        <f t="shared" si="16"/>
        <v>-0.19999999999999996</v>
      </c>
      <c r="Z59" s="30">
        <f t="shared" si="17"/>
        <v>-5.8823529411764629E-2</v>
      </c>
      <c r="AA59" s="30">
        <f t="shared" si="18"/>
        <v>-8.8860258702805339E-3</v>
      </c>
      <c r="AB59" s="30">
        <f t="shared" si="19"/>
        <v>-3.0266415483511944E-3</v>
      </c>
    </row>
    <row r="60" spans="1:28" ht="15.75" thickBot="1" x14ac:dyDescent="0.3">
      <c r="A60" s="39" t="s">
        <v>8</v>
      </c>
      <c r="B60" s="40">
        <v>1</v>
      </c>
      <c r="C60" s="44">
        <v>0.89300000000000002</v>
      </c>
      <c r="D60" s="44">
        <v>0.78600000000000003</v>
      </c>
      <c r="E60" s="45">
        <v>0.78600000000000003</v>
      </c>
      <c r="F60" s="45">
        <v>0.78600000000000003</v>
      </c>
      <c r="G60" s="46">
        <v>0.78600000000000003</v>
      </c>
      <c r="H60" s="30">
        <f t="shared" si="0"/>
        <v>-0.21399999999999997</v>
      </c>
      <c r="I60" s="30">
        <f t="shared" si="1"/>
        <v>-0.1198208286674132</v>
      </c>
      <c r="J60" s="30">
        <f t="shared" si="2"/>
        <v>-9.5857009079508559E-3</v>
      </c>
      <c r="K60" s="30">
        <f t="shared" si="3"/>
        <v>-6.3611709623944135E-3</v>
      </c>
      <c r="R60" s="39" t="s">
        <v>8</v>
      </c>
      <c r="S60" s="40">
        <v>1</v>
      </c>
      <c r="T60" s="71">
        <v>0.97</v>
      </c>
      <c r="U60" s="71">
        <v>0.95</v>
      </c>
      <c r="V60" s="65">
        <v>0.93</v>
      </c>
      <c r="W60" s="65">
        <v>0.91</v>
      </c>
      <c r="X60" s="66">
        <v>0.88</v>
      </c>
      <c r="Y60" s="30">
        <f t="shared" si="16"/>
        <v>-0.12</v>
      </c>
      <c r="Z60" s="30">
        <f t="shared" si="17"/>
        <v>-9.2783505154639151E-2</v>
      </c>
      <c r="AA60" s="30">
        <f t="shared" si="18"/>
        <v>-5.1002840176166409E-3</v>
      </c>
      <c r="AB60" s="30">
        <f t="shared" si="19"/>
        <v>-4.8568752529972725E-3</v>
      </c>
    </row>
    <row r="61" spans="1:28" ht="15.75" thickBot="1" x14ac:dyDescent="0.3">
      <c r="A61" s="39" t="s">
        <v>9</v>
      </c>
      <c r="B61" s="40">
        <v>1</v>
      </c>
      <c r="C61" s="44">
        <v>0.98099999999999998</v>
      </c>
      <c r="D61" s="44">
        <v>0.96099999999999997</v>
      </c>
      <c r="E61" s="45">
        <v>0.94299999999999995</v>
      </c>
      <c r="F61" s="45">
        <v>0.92400000000000004</v>
      </c>
      <c r="G61" s="46">
        <v>0.92400000000000004</v>
      </c>
      <c r="H61" s="30">
        <f t="shared" si="0"/>
        <v>-7.5999999999999956E-2</v>
      </c>
      <c r="I61" s="30">
        <f t="shared" si="1"/>
        <v>-5.8103975535168134E-2</v>
      </c>
      <c r="J61" s="30">
        <f t="shared" si="2"/>
        <v>-3.1567352942720728E-3</v>
      </c>
      <c r="K61" s="30">
        <f t="shared" si="3"/>
        <v>-2.9885447789496089E-3</v>
      </c>
      <c r="R61" s="39" t="s">
        <v>9</v>
      </c>
      <c r="S61" s="40">
        <v>1</v>
      </c>
      <c r="T61" s="72">
        <v>1</v>
      </c>
      <c r="U61" s="72">
        <v>0.98</v>
      </c>
      <c r="V61" s="67">
        <v>0.96</v>
      </c>
      <c r="W61" s="67">
        <v>0.96</v>
      </c>
      <c r="X61" s="68">
        <v>0.96</v>
      </c>
      <c r="Y61" s="30">
        <f t="shared" si="16"/>
        <v>-4.0000000000000036E-2</v>
      </c>
      <c r="Z61" s="30">
        <f t="shared" si="17"/>
        <v>-4.0000000000000036E-2</v>
      </c>
      <c r="AA61" s="30">
        <f t="shared" si="18"/>
        <v>-1.6315473579483486E-3</v>
      </c>
      <c r="AB61" s="30">
        <f t="shared" si="19"/>
        <v>-2.0390180984776185E-3</v>
      </c>
    </row>
    <row r="62" spans="1:28" ht="15.75" thickBot="1" x14ac:dyDescent="0.3">
      <c r="A62" s="39" t="s">
        <v>19</v>
      </c>
      <c r="B62" s="40">
        <v>1</v>
      </c>
      <c r="C62" s="44">
        <v>1</v>
      </c>
      <c r="D62" s="44">
        <v>1</v>
      </c>
      <c r="E62" s="45">
        <v>1</v>
      </c>
      <c r="F62" s="45">
        <v>1</v>
      </c>
      <c r="G62" s="46">
        <v>1</v>
      </c>
      <c r="H62" s="30">
        <f t="shared" si="0"/>
        <v>0</v>
      </c>
      <c r="I62" s="30">
        <f t="shared" si="1"/>
        <v>0</v>
      </c>
      <c r="J62" s="30">
        <f t="shared" si="2"/>
        <v>0</v>
      </c>
      <c r="K62" s="30">
        <f t="shared" si="3"/>
        <v>0</v>
      </c>
      <c r="R62" s="39" t="s">
        <v>19</v>
      </c>
      <c r="S62" s="40">
        <v>1</v>
      </c>
      <c r="T62" s="70">
        <v>1</v>
      </c>
      <c r="U62" s="70">
        <v>1</v>
      </c>
      <c r="V62" s="63">
        <v>1</v>
      </c>
      <c r="W62" s="63">
        <v>1</v>
      </c>
      <c r="X62" s="64">
        <v>1</v>
      </c>
      <c r="Y62" s="30">
        <f t="shared" si="16"/>
        <v>0</v>
      </c>
      <c r="Z62" s="30">
        <f t="shared" si="17"/>
        <v>0</v>
      </c>
      <c r="AA62" s="30">
        <f t="shared" si="18"/>
        <v>0</v>
      </c>
      <c r="AB62" s="30">
        <f t="shared" si="19"/>
        <v>0</v>
      </c>
    </row>
    <row r="63" spans="1:28" ht="15.75" thickBot="1" x14ac:dyDescent="0.3">
      <c r="A63" s="39" t="s">
        <v>10</v>
      </c>
      <c r="B63" s="40">
        <v>1</v>
      </c>
      <c r="C63" s="44">
        <v>0.91700000000000004</v>
      </c>
      <c r="D63" s="44">
        <v>0.83399999999999996</v>
      </c>
      <c r="E63" s="45">
        <v>0.83399999999999996</v>
      </c>
      <c r="F63" s="45">
        <v>0.83399999999999996</v>
      </c>
      <c r="G63" s="46">
        <v>0.83399999999999996</v>
      </c>
      <c r="H63" s="30">
        <f t="shared" si="0"/>
        <v>-0.16600000000000004</v>
      </c>
      <c r="I63" s="30">
        <f t="shared" si="1"/>
        <v>-9.0512540894220367E-2</v>
      </c>
      <c r="J63" s="30">
        <f t="shared" si="2"/>
        <v>-7.2345785951997144E-3</v>
      </c>
      <c r="K63" s="30">
        <f t="shared" si="3"/>
        <v>-4.7324699034242412E-3</v>
      </c>
      <c r="R63" s="39" t="s">
        <v>10</v>
      </c>
      <c r="S63" s="40">
        <v>1</v>
      </c>
      <c r="T63" s="72">
        <v>1</v>
      </c>
      <c r="U63" s="72">
        <v>1</v>
      </c>
      <c r="V63" s="67">
        <v>1</v>
      </c>
      <c r="W63" s="67">
        <v>1</v>
      </c>
      <c r="X63" s="68">
        <v>1</v>
      </c>
      <c r="Y63" s="30">
        <f t="shared" si="16"/>
        <v>0</v>
      </c>
      <c r="Z63" s="30">
        <f t="shared" si="17"/>
        <v>0</v>
      </c>
      <c r="AA63" s="30">
        <f t="shared" si="18"/>
        <v>0</v>
      </c>
      <c r="AB63" s="30">
        <f t="shared" si="19"/>
        <v>0</v>
      </c>
    </row>
    <row r="64" spans="1:28" ht="15.75" thickBot="1" x14ac:dyDescent="0.3">
      <c r="A64" s="39" t="s">
        <v>5</v>
      </c>
      <c r="B64" s="40">
        <v>1</v>
      </c>
      <c r="C64" s="44">
        <v>1</v>
      </c>
      <c r="D64" s="44">
        <v>1</v>
      </c>
      <c r="E64" s="45">
        <v>1</v>
      </c>
      <c r="F64" s="45">
        <v>1</v>
      </c>
      <c r="G64" s="46">
        <v>1</v>
      </c>
      <c r="H64" s="30">
        <f t="shared" si="0"/>
        <v>0</v>
      </c>
      <c r="I64" s="30">
        <f t="shared" si="1"/>
        <v>0</v>
      </c>
      <c r="J64" s="30">
        <f t="shared" si="2"/>
        <v>0</v>
      </c>
      <c r="K64" s="30">
        <f t="shared" si="3"/>
        <v>0</v>
      </c>
      <c r="R64" s="39" t="s">
        <v>5</v>
      </c>
      <c r="S64" s="40">
        <v>1</v>
      </c>
      <c r="T64" s="70">
        <v>1</v>
      </c>
      <c r="U64" s="70">
        <v>1</v>
      </c>
      <c r="V64" s="63">
        <v>1</v>
      </c>
      <c r="W64" s="63">
        <v>1</v>
      </c>
      <c r="X64" s="64">
        <v>1</v>
      </c>
      <c r="Y64" s="30">
        <f t="shared" si="16"/>
        <v>0</v>
      </c>
      <c r="Z64" s="30">
        <f t="shared" si="17"/>
        <v>0</v>
      </c>
      <c r="AA64" s="30">
        <f t="shared" si="18"/>
        <v>0</v>
      </c>
      <c r="AB64" s="30">
        <f t="shared" si="19"/>
        <v>0</v>
      </c>
    </row>
    <row r="65" spans="1:28" ht="15.75" thickBot="1" x14ac:dyDescent="0.3">
      <c r="A65" s="39" t="s">
        <v>12</v>
      </c>
      <c r="B65" s="40">
        <v>1</v>
      </c>
      <c r="C65" s="44">
        <v>1</v>
      </c>
      <c r="D65" s="44">
        <v>1</v>
      </c>
      <c r="E65" s="45">
        <v>1</v>
      </c>
      <c r="F65" s="45">
        <v>1</v>
      </c>
      <c r="G65" s="46">
        <v>1</v>
      </c>
      <c r="H65" s="30">
        <f t="shared" si="0"/>
        <v>0</v>
      </c>
      <c r="I65" s="30">
        <f t="shared" si="1"/>
        <v>0</v>
      </c>
      <c r="J65" s="30">
        <f t="shared" si="2"/>
        <v>0</v>
      </c>
      <c r="K65" s="30">
        <f t="shared" si="3"/>
        <v>0</v>
      </c>
      <c r="R65" s="39" t="s">
        <v>12</v>
      </c>
      <c r="S65" s="40">
        <v>1</v>
      </c>
      <c r="T65" s="72">
        <v>1</v>
      </c>
      <c r="U65" s="72">
        <v>1</v>
      </c>
      <c r="V65" s="67">
        <v>1</v>
      </c>
      <c r="W65" s="67">
        <v>1</v>
      </c>
      <c r="X65" s="68">
        <v>1</v>
      </c>
      <c r="Y65" s="30">
        <f t="shared" si="16"/>
        <v>0</v>
      </c>
      <c r="Z65" s="30">
        <f t="shared" si="17"/>
        <v>0</v>
      </c>
      <c r="AA65" s="30">
        <f t="shared" si="18"/>
        <v>0</v>
      </c>
      <c r="AB65" s="30">
        <f t="shared" si="19"/>
        <v>0</v>
      </c>
    </row>
    <row r="66" spans="1:28" x14ac:dyDescent="0.25">
      <c r="A66" s="26" t="s">
        <v>13</v>
      </c>
      <c r="B66" s="31"/>
      <c r="C66" s="31"/>
      <c r="D66" s="32"/>
      <c r="E66" s="32"/>
      <c r="F66" s="31"/>
      <c r="G66" s="31"/>
      <c r="H66" s="30"/>
      <c r="I66" s="30"/>
      <c r="J66" s="30"/>
      <c r="K66" s="30"/>
      <c r="R66" s="26" t="s">
        <v>389</v>
      </c>
      <c r="S66" s="31"/>
      <c r="T66" s="31"/>
      <c r="U66" s="32"/>
      <c r="V66" s="32"/>
      <c r="W66" s="31"/>
      <c r="X66" s="31"/>
      <c r="Y66" s="31"/>
    </row>
    <row r="67" spans="1:28" x14ac:dyDescent="0.25">
      <c r="H67" s="30"/>
      <c r="I67" s="30"/>
      <c r="J67" s="30"/>
      <c r="K67" s="30"/>
    </row>
    <row r="68" spans="1:28" x14ac:dyDescent="0.25">
      <c r="H68" s="30"/>
      <c r="I68" s="30"/>
      <c r="J68" s="30"/>
      <c r="K68" s="30"/>
    </row>
    <row r="69" spans="1:28" x14ac:dyDescent="0.25">
      <c r="A69" s="28" t="s">
        <v>30</v>
      </c>
      <c r="H69" s="30"/>
      <c r="I69" s="30"/>
      <c r="J69" s="30"/>
      <c r="K69" s="30"/>
      <c r="R69" s="28" t="s">
        <v>33</v>
      </c>
    </row>
    <row r="70" spans="1:28" ht="15.75" thickBot="1" x14ac:dyDescent="0.3">
      <c r="H70" s="834" t="s">
        <v>23</v>
      </c>
      <c r="I70" s="834"/>
      <c r="J70" s="834" t="s">
        <v>24</v>
      </c>
      <c r="K70" s="834"/>
      <c r="Y70" s="834" t="s">
        <v>23</v>
      </c>
      <c r="Z70" s="834"/>
      <c r="AA70" s="834" t="s">
        <v>24</v>
      </c>
      <c r="AB70" s="834"/>
    </row>
    <row r="71" spans="1:28" ht="15.75" thickBot="1" x14ac:dyDescent="0.3">
      <c r="A71" s="35" t="s">
        <v>18</v>
      </c>
      <c r="B71" s="36">
        <v>2010</v>
      </c>
      <c r="C71" s="36">
        <v>2015</v>
      </c>
      <c r="D71" s="36">
        <v>2020</v>
      </c>
      <c r="E71" s="36">
        <v>2025</v>
      </c>
      <c r="F71" s="37">
        <v>2030</v>
      </c>
      <c r="G71" s="38">
        <v>2035</v>
      </c>
      <c r="H71" s="29" t="s">
        <v>26</v>
      </c>
      <c r="I71" s="29" t="s">
        <v>25</v>
      </c>
      <c r="J71" s="29" t="s">
        <v>26</v>
      </c>
      <c r="K71" s="29" t="s">
        <v>25</v>
      </c>
      <c r="R71" s="35" t="s">
        <v>18</v>
      </c>
      <c r="S71" s="36">
        <v>2010</v>
      </c>
      <c r="T71" s="36">
        <v>2015</v>
      </c>
      <c r="U71" s="36">
        <v>2020</v>
      </c>
      <c r="V71" s="36">
        <v>2025</v>
      </c>
      <c r="W71" s="37">
        <v>2030</v>
      </c>
      <c r="X71" s="38">
        <v>2035</v>
      </c>
      <c r="Y71" s="29" t="s">
        <v>26</v>
      </c>
      <c r="Z71" s="29" t="s">
        <v>25</v>
      </c>
      <c r="AA71" s="29" t="s">
        <v>26</v>
      </c>
      <c r="AB71" s="29" t="s">
        <v>25</v>
      </c>
    </row>
    <row r="72" spans="1:28" ht="15.75" thickBot="1" x14ac:dyDescent="0.3">
      <c r="A72" s="39" t="s">
        <v>37</v>
      </c>
      <c r="B72" s="40">
        <v>1</v>
      </c>
      <c r="C72" s="41">
        <v>1</v>
      </c>
      <c r="D72" s="41">
        <v>1</v>
      </c>
      <c r="E72" s="40">
        <v>1</v>
      </c>
      <c r="F72" s="40">
        <v>1</v>
      </c>
      <c r="G72" s="42">
        <v>1</v>
      </c>
      <c r="H72" s="30">
        <f t="shared" si="0"/>
        <v>0</v>
      </c>
      <c r="I72" s="30">
        <f t="shared" si="1"/>
        <v>0</v>
      </c>
      <c r="J72" s="30">
        <f t="shared" si="2"/>
        <v>0</v>
      </c>
      <c r="K72" s="30">
        <f t="shared" si="3"/>
        <v>0</v>
      </c>
      <c r="R72" s="39" t="s">
        <v>37</v>
      </c>
      <c r="S72" s="40">
        <v>1</v>
      </c>
      <c r="T72" s="74">
        <v>1</v>
      </c>
      <c r="U72" s="74">
        <v>1</v>
      </c>
      <c r="V72" s="75">
        <v>1</v>
      </c>
      <c r="W72" s="75">
        <v>1</v>
      </c>
      <c r="X72" s="76">
        <v>1</v>
      </c>
      <c r="Y72" s="30">
        <f>(X72-S72)/S72</f>
        <v>0</v>
      </c>
      <c r="Z72" s="30">
        <f>(X72-T72)/T72</f>
        <v>0</v>
      </c>
      <c r="AA72" s="30">
        <f>(X72/S72)^(1/25)-1</f>
        <v>0</v>
      </c>
      <c r="AB72" s="30">
        <f>(X72/T72)^(1/20)-1</f>
        <v>0</v>
      </c>
    </row>
    <row r="73" spans="1:28" ht="15.75" thickBot="1" x14ac:dyDescent="0.3">
      <c r="A73" s="39" t="s">
        <v>38</v>
      </c>
      <c r="B73" s="40">
        <v>1</v>
      </c>
      <c r="C73" s="41">
        <v>0.98099999999999998</v>
      </c>
      <c r="D73" s="41">
        <v>0.96199999999999997</v>
      </c>
      <c r="E73" s="40">
        <v>0.94299999999999995</v>
      </c>
      <c r="F73" s="40">
        <v>0.92400000000000004</v>
      </c>
      <c r="G73" s="42">
        <v>0.90500000000000003</v>
      </c>
      <c r="H73" s="30">
        <f t="shared" si="0"/>
        <v>-9.4999999999999973E-2</v>
      </c>
      <c r="I73" s="30">
        <f t="shared" si="1"/>
        <v>-7.7471967380224216E-2</v>
      </c>
      <c r="J73" s="30">
        <f t="shared" si="2"/>
        <v>-3.9848527305151871E-3</v>
      </c>
      <c r="K73" s="30">
        <f t="shared" si="3"/>
        <v>-4.0237586947743376E-3</v>
      </c>
      <c r="R73" s="39" t="s">
        <v>38</v>
      </c>
      <c r="S73" s="40">
        <v>1</v>
      </c>
      <c r="T73" s="77">
        <v>0.94</v>
      </c>
      <c r="U73" s="77">
        <v>0.85</v>
      </c>
      <c r="V73" s="78">
        <v>0.8</v>
      </c>
      <c r="W73" s="78">
        <v>0.76</v>
      </c>
      <c r="X73" s="79">
        <v>0.72</v>
      </c>
      <c r="Y73" s="30">
        <f t="shared" ref="Y73:Y77" si="20">(X73-S73)/S73</f>
        <v>-0.28000000000000003</v>
      </c>
      <c r="Z73" s="30">
        <f t="shared" ref="Z73:Z77" si="21">(X73-T73)/T73</f>
        <v>-0.23404255319148934</v>
      </c>
      <c r="AA73" s="30">
        <f t="shared" ref="AA73:AA77" si="22">(X73/S73)^(1/25)-1</f>
        <v>-1.3054207640892712E-2</v>
      </c>
      <c r="AB73" s="30">
        <f t="shared" ref="AB73:AB77" si="23">(X73/T73)^(1/20)-1</f>
        <v>-1.3242963187839574E-2</v>
      </c>
    </row>
    <row r="74" spans="1:28" ht="15.75" thickBot="1" x14ac:dyDescent="0.3">
      <c r="A74" s="39" t="s">
        <v>39</v>
      </c>
      <c r="B74" s="40">
        <v>1</v>
      </c>
      <c r="C74" s="41">
        <v>0.98499999999999999</v>
      </c>
      <c r="D74" s="41">
        <v>0.96899999999999997</v>
      </c>
      <c r="E74" s="40">
        <v>0.95399999999999996</v>
      </c>
      <c r="F74" s="40">
        <v>0.94</v>
      </c>
      <c r="G74" s="42">
        <v>0.92500000000000004</v>
      </c>
      <c r="H74" s="30">
        <f t="shared" si="0"/>
        <v>-7.4999999999999956E-2</v>
      </c>
      <c r="I74" s="30">
        <f t="shared" si="1"/>
        <v>-6.0913705583756285E-2</v>
      </c>
      <c r="J74" s="30">
        <f t="shared" si="2"/>
        <v>-3.1136043076960274E-3</v>
      </c>
      <c r="K74" s="30">
        <f t="shared" si="3"/>
        <v>-3.137463026854026E-3</v>
      </c>
      <c r="R74" s="39" t="s">
        <v>39</v>
      </c>
      <c r="S74" s="40">
        <v>1</v>
      </c>
      <c r="T74" s="74">
        <v>0.98499999999999999</v>
      </c>
      <c r="U74" s="74">
        <v>0.96899999999999997</v>
      </c>
      <c r="V74" s="75">
        <v>0.95399999999999996</v>
      </c>
      <c r="W74" s="75">
        <v>0.94</v>
      </c>
      <c r="X74" s="76">
        <v>0.92500000000000004</v>
      </c>
      <c r="Y74" s="30">
        <f t="shared" si="20"/>
        <v>-7.4999999999999956E-2</v>
      </c>
      <c r="Z74" s="30">
        <f t="shared" si="21"/>
        <v>-6.0913705583756285E-2</v>
      </c>
      <c r="AA74" s="30">
        <f t="shared" si="22"/>
        <v>-3.1136043076960274E-3</v>
      </c>
      <c r="AB74" s="30">
        <f t="shared" si="23"/>
        <v>-3.137463026854026E-3</v>
      </c>
    </row>
    <row r="75" spans="1:28" ht="15.75" thickBot="1" x14ac:dyDescent="0.3">
      <c r="A75" s="39" t="s">
        <v>40</v>
      </c>
      <c r="B75" s="40">
        <v>1</v>
      </c>
      <c r="C75" s="41">
        <v>0.98199999999999998</v>
      </c>
      <c r="D75" s="41">
        <v>0.96299999999999997</v>
      </c>
      <c r="E75" s="40">
        <v>0.94499999999999995</v>
      </c>
      <c r="F75" s="40">
        <v>0.92600000000000005</v>
      </c>
      <c r="G75" s="42">
        <v>0.90800000000000003</v>
      </c>
      <c r="H75" s="30">
        <f t="shared" si="0"/>
        <v>-9.1999999999999971E-2</v>
      </c>
      <c r="I75" s="30">
        <f t="shared" si="1"/>
        <v>-7.5356415478615033E-2</v>
      </c>
      <c r="J75" s="30">
        <f t="shared" si="2"/>
        <v>-3.8529941115308386E-3</v>
      </c>
      <c r="K75" s="30">
        <f t="shared" si="3"/>
        <v>-3.9096836951098002E-3</v>
      </c>
      <c r="R75" s="39" t="s">
        <v>40</v>
      </c>
      <c r="S75" s="40">
        <v>1</v>
      </c>
      <c r="T75" s="74">
        <v>0.98199999999999998</v>
      </c>
      <c r="U75" s="74">
        <v>0.96299999999999997</v>
      </c>
      <c r="V75" s="75">
        <v>0.94499999999999995</v>
      </c>
      <c r="W75" s="75">
        <v>0.92600000000000005</v>
      </c>
      <c r="X75" s="76">
        <v>0.90800000000000003</v>
      </c>
      <c r="Y75" s="30">
        <f t="shared" si="20"/>
        <v>-9.1999999999999971E-2</v>
      </c>
      <c r="Z75" s="30">
        <f t="shared" si="21"/>
        <v>-7.5356415478615033E-2</v>
      </c>
      <c r="AA75" s="30">
        <f t="shared" si="22"/>
        <v>-3.8529941115308386E-3</v>
      </c>
      <c r="AB75" s="30">
        <f t="shared" si="23"/>
        <v>-3.9096836951098002E-3</v>
      </c>
    </row>
    <row r="76" spans="1:28" ht="15.75" thickBot="1" x14ac:dyDescent="0.3">
      <c r="A76" s="39" t="s">
        <v>15</v>
      </c>
      <c r="B76" s="40">
        <v>1</v>
      </c>
      <c r="C76" s="41">
        <v>0.92800000000000005</v>
      </c>
      <c r="D76" s="41">
        <v>0.85599999999999998</v>
      </c>
      <c r="E76" s="40">
        <v>0.78300000000000003</v>
      </c>
      <c r="F76" s="40">
        <v>0.71</v>
      </c>
      <c r="G76" s="42">
        <v>0.64400000000000002</v>
      </c>
      <c r="H76" s="30">
        <f t="shared" si="0"/>
        <v>-0.35599999999999998</v>
      </c>
      <c r="I76" s="30">
        <f t="shared" si="1"/>
        <v>-0.30603448275862072</v>
      </c>
      <c r="J76" s="30">
        <f t="shared" si="2"/>
        <v>-1.7448247293077368E-2</v>
      </c>
      <c r="K76" s="30">
        <f t="shared" si="3"/>
        <v>-1.8100826295209815E-2</v>
      </c>
      <c r="R76" s="39" t="s">
        <v>15</v>
      </c>
      <c r="S76" s="40">
        <v>1</v>
      </c>
      <c r="T76" s="74">
        <v>0.92800000000000005</v>
      </c>
      <c r="U76" s="74">
        <v>0.85599999999999998</v>
      </c>
      <c r="V76" s="75">
        <v>0.78300000000000003</v>
      </c>
      <c r="W76" s="75">
        <v>0.71</v>
      </c>
      <c r="X76" s="76">
        <v>0.64400000000000002</v>
      </c>
      <c r="Y76" s="30">
        <f t="shared" si="20"/>
        <v>-0.35599999999999998</v>
      </c>
      <c r="Z76" s="30">
        <f t="shared" si="21"/>
        <v>-0.30603448275862072</v>
      </c>
      <c r="AA76" s="30">
        <f t="shared" si="22"/>
        <v>-1.7448247293077368E-2</v>
      </c>
      <c r="AB76" s="30">
        <f t="shared" si="23"/>
        <v>-1.8100826295209815E-2</v>
      </c>
    </row>
    <row r="77" spans="1:28" ht="15.75" thickBot="1" x14ac:dyDescent="0.3">
      <c r="A77" s="39" t="s">
        <v>16</v>
      </c>
      <c r="B77" s="40">
        <v>1</v>
      </c>
      <c r="C77" s="41">
        <v>0.98699999999999999</v>
      </c>
      <c r="D77" s="41">
        <v>0.97399999999999998</v>
      </c>
      <c r="E77" s="40">
        <v>0.96099999999999997</v>
      </c>
      <c r="F77" s="40">
        <v>0.94699999999999995</v>
      </c>
      <c r="G77" s="42">
        <v>0.93400000000000005</v>
      </c>
      <c r="H77" s="30">
        <f t="shared" si="0"/>
        <v>-6.5999999999999948E-2</v>
      </c>
      <c r="I77" s="30">
        <f t="shared" si="1"/>
        <v>-5.3698074974670655E-2</v>
      </c>
      <c r="J77" s="30">
        <f t="shared" si="2"/>
        <v>-2.7274274231092743E-3</v>
      </c>
      <c r="K77" s="30">
        <f t="shared" si="3"/>
        <v>-2.7558756436767418E-3</v>
      </c>
      <c r="R77" s="39" t="s">
        <v>16</v>
      </c>
      <c r="S77" s="40">
        <v>1</v>
      </c>
      <c r="T77" s="74">
        <v>0.98699999999999999</v>
      </c>
      <c r="U77" s="74">
        <v>0.97399999999999998</v>
      </c>
      <c r="V77" s="75">
        <v>0.96099999999999997</v>
      </c>
      <c r="W77" s="75">
        <v>0.94699999999999995</v>
      </c>
      <c r="X77" s="76">
        <v>0.93400000000000005</v>
      </c>
      <c r="Y77" s="30">
        <f t="shared" si="20"/>
        <v>-6.5999999999999948E-2</v>
      </c>
      <c r="Z77" s="30">
        <f t="shared" si="21"/>
        <v>-5.3698074974670655E-2</v>
      </c>
      <c r="AA77" s="30">
        <f t="shared" si="22"/>
        <v>-2.7274274231092743E-3</v>
      </c>
      <c r="AB77" s="30">
        <f t="shared" si="23"/>
        <v>-2.7558756436767418E-3</v>
      </c>
    </row>
    <row r="78" spans="1:28" x14ac:dyDescent="0.25">
      <c r="A78" s="26" t="s">
        <v>20</v>
      </c>
      <c r="H78" s="30"/>
      <c r="I78" s="30"/>
      <c r="J78" s="30"/>
      <c r="K78" s="30"/>
      <c r="R78" s="26" t="s">
        <v>388</v>
      </c>
    </row>
    <row r="79" spans="1:28" x14ac:dyDescent="0.25">
      <c r="H79" s="30"/>
      <c r="I79" s="30"/>
      <c r="J79" s="30"/>
      <c r="K79" s="30"/>
    </row>
    <row r="80" spans="1:28" x14ac:dyDescent="0.25">
      <c r="H80" s="30"/>
      <c r="I80" s="30"/>
      <c r="J80" s="30"/>
      <c r="K80" s="30"/>
    </row>
    <row r="81" spans="1:28" x14ac:dyDescent="0.25">
      <c r="A81" s="28" t="s">
        <v>31</v>
      </c>
      <c r="H81" s="30"/>
      <c r="I81" s="30"/>
      <c r="J81" s="30"/>
      <c r="K81" s="30"/>
      <c r="R81" s="28" t="s">
        <v>32</v>
      </c>
    </row>
    <row r="82" spans="1:28" ht="15.75" thickBot="1" x14ac:dyDescent="0.3">
      <c r="H82" s="834" t="s">
        <v>23</v>
      </c>
      <c r="I82" s="834"/>
      <c r="J82" s="834" t="s">
        <v>24</v>
      </c>
      <c r="K82" s="834"/>
      <c r="Y82" s="834" t="s">
        <v>23</v>
      </c>
      <c r="Z82" s="834"/>
      <c r="AA82" s="834" t="s">
        <v>24</v>
      </c>
      <c r="AB82" s="834"/>
    </row>
    <row r="83" spans="1:28" ht="15.75" thickBot="1" x14ac:dyDescent="0.3">
      <c r="A83" s="35" t="s">
        <v>18</v>
      </c>
      <c r="B83" s="36">
        <v>2010</v>
      </c>
      <c r="C83" s="36">
        <v>2015</v>
      </c>
      <c r="D83" s="36">
        <v>2020</v>
      </c>
      <c r="E83" s="36">
        <v>2025</v>
      </c>
      <c r="F83" s="37">
        <v>2030</v>
      </c>
      <c r="G83" s="38">
        <v>2035</v>
      </c>
      <c r="H83" s="29" t="s">
        <v>26</v>
      </c>
      <c r="I83" s="29" t="s">
        <v>25</v>
      </c>
      <c r="J83" s="29" t="s">
        <v>26</v>
      </c>
      <c r="K83" s="29" t="s">
        <v>25</v>
      </c>
      <c r="R83" s="35" t="s">
        <v>18</v>
      </c>
      <c r="S83" s="36">
        <v>2010</v>
      </c>
      <c r="T83" s="36">
        <v>2015</v>
      </c>
      <c r="U83" s="36">
        <v>2020</v>
      </c>
      <c r="V83" s="36">
        <v>2025</v>
      </c>
      <c r="W83" s="37">
        <v>2030</v>
      </c>
      <c r="X83" s="38">
        <v>2035</v>
      </c>
      <c r="Y83" s="29" t="s">
        <v>26</v>
      </c>
      <c r="Z83" s="29" t="s">
        <v>25</v>
      </c>
      <c r="AA83" s="29" t="s">
        <v>26</v>
      </c>
      <c r="AB83" s="29" t="s">
        <v>25</v>
      </c>
    </row>
    <row r="84" spans="1:28" ht="15.75" thickBot="1" x14ac:dyDescent="0.3">
      <c r="A84" s="39" t="s">
        <v>37</v>
      </c>
      <c r="B84" s="40">
        <v>1</v>
      </c>
      <c r="C84" s="41">
        <v>0.98799999999999999</v>
      </c>
      <c r="D84" s="41">
        <v>0.97699999999999998</v>
      </c>
      <c r="E84" s="40">
        <v>0.96499999999999997</v>
      </c>
      <c r="F84" s="40">
        <v>0.95399999999999996</v>
      </c>
      <c r="G84" s="42">
        <v>0.94199999999999995</v>
      </c>
      <c r="H84" s="30">
        <f t="shared" ref="H84:H89" si="24">(G84-B84)/B84</f>
        <v>-5.8000000000000052E-2</v>
      </c>
      <c r="I84" s="30">
        <f t="shared" ref="I84:I89" si="25">(G84-C84)/C84</f>
        <v>-4.6558704453441339E-2</v>
      </c>
      <c r="J84" s="30">
        <f t="shared" ref="J84:J89" si="26">(G84/B84)^(1/25)-1</f>
        <v>-2.3871463997712228E-3</v>
      </c>
      <c r="K84" s="30">
        <f t="shared" ref="K84:K89" si="27">(G84/C84)^(1/20)-1</f>
        <v>-2.3810319942403346E-3</v>
      </c>
      <c r="R84" s="39" t="s">
        <v>37</v>
      </c>
      <c r="S84" s="40">
        <v>1</v>
      </c>
      <c r="T84" s="74">
        <v>0.98799999999999999</v>
      </c>
      <c r="U84" s="74">
        <v>0.97699999999999998</v>
      </c>
      <c r="V84" s="75">
        <v>0.96499999999999997</v>
      </c>
      <c r="W84" s="75">
        <v>0.95399999999999996</v>
      </c>
      <c r="X84" s="76">
        <v>0.94199999999999995</v>
      </c>
      <c r="Y84" s="30">
        <f>(X84-S84)/S84</f>
        <v>-5.8000000000000052E-2</v>
      </c>
      <c r="Z84" s="30">
        <f>(X84-T84)/T84</f>
        <v>-4.6558704453441339E-2</v>
      </c>
      <c r="AA84" s="30">
        <f>(X84/S84)^(1/25)-1</f>
        <v>-2.3871463997712228E-3</v>
      </c>
      <c r="AB84" s="30">
        <f>(X84/T84)^(1/20)-1</f>
        <v>-2.3810319942403346E-3</v>
      </c>
    </row>
    <row r="85" spans="1:28" ht="15.75" thickBot="1" x14ac:dyDescent="0.3">
      <c r="A85" s="39" t="s">
        <v>38</v>
      </c>
      <c r="B85" s="40">
        <v>1</v>
      </c>
      <c r="C85" s="41">
        <v>0.97599999999999998</v>
      </c>
      <c r="D85" s="41">
        <v>0.95199999999999996</v>
      </c>
      <c r="E85" s="40">
        <v>0.92800000000000005</v>
      </c>
      <c r="F85" s="40">
        <v>0.90400000000000003</v>
      </c>
      <c r="G85" s="42">
        <v>0.88</v>
      </c>
      <c r="H85" s="30">
        <f t="shared" si="24"/>
        <v>-0.12</v>
      </c>
      <c r="I85" s="30">
        <f t="shared" si="25"/>
        <v>-9.8360655737704888E-2</v>
      </c>
      <c r="J85" s="30">
        <f t="shared" si="26"/>
        <v>-5.1002840176166409E-3</v>
      </c>
      <c r="K85" s="30">
        <f t="shared" si="27"/>
        <v>-5.1636562024330868E-3</v>
      </c>
      <c r="R85" s="39" t="s">
        <v>38</v>
      </c>
      <c r="S85" s="40">
        <v>1</v>
      </c>
      <c r="T85" s="77">
        <v>0.94</v>
      </c>
      <c r="U85" s="77">
        <v>0.84</v>
      </c>
      <c r="V85" s="78">
        <v>0.78</v>
      </c>
      <c r="W85" s="78">
        <v>0.74</v>
      </c>
      <c r="X85" s="79">
        <v>0.71</v>
      </c>
      <c r="Y85" s="30">
        <f t="shared" ref="Y85:Y89" si="28">(X85-S85)/S85</f>
        <v>-0.29000000000000004</v>
      </c>
      <c r="Z85" s="30">
        <f>(X85-T85)/T85</f>
        <v>-0.24468085106382978</v>
      </c>
      <c r="AA85" s="30">
        <f t="shared" ref="AA85:AA89" si="29">(X85/S85)^(1/25)-1</f>
        <v>-1.3606199727313362E-2</v>
      </c>
      <c r="AB85" s="30">
        <f t="shared" ref="AB85:AB89" si="30">(X85/T85)^(1/20)-1</f>
        <v>-1.3932773097876328E-2</v>
      </c>
    </row>
    <row r="86" spans="1:28" ht="15.75" thickBot="1" x14ac:dyDescent="0.3">
      <c r="A86" s="39" t="s">
        <v>39</v>
      </c>
      <c r="B86" s="40">
        <v>1</v>
      </c>
      <c r="C86" s="41">
        <v>0.98499999999999999</v>
      </c>
      <c r="D86" s="41">
        <v>0.97</v>
      </c>
      <c r="E86" s="40">
        <v>0.95499999999999996</v>
      </c>
      <c r="F86" s="40">
        <v>0.94099999999999995</v>
      </c>
      <c r="G86" s="42">
        <v>0.92600000000000005</v>
      </c>
      <c r="H86" s="30">
        <f t="shared" si="24"/>
        <v>-7.3999999999999955E-2</v>
      </c>
      <c r="I86" s="30">
        <f t="shared" si="25"/>
        <v>-5.9898477157360346E-2</v>
      </c>
      <c r="J86" s="30">
        <f t="shared" si="26"/>
        <v>-3.0705180608824323E-3</v>
      </c>
      <c r="K86" s="30">
        <f t="shared" si="27"/>
        <v>-3.0836062163664968E-3</v>
      </c>
      <c r="R86" s="39" t="s">
        <v>39</v>
      </c>
      <c r="S86" s="40">
        <v>1</v>
      </c>
      <c r="T86" s="74">
        <v>0.98499999999999999</v>
      </c>
      <c r="U86" s="74">
        <v>0.97</v>
      </c>
      <c r="V86" s="75">
        <v>0.95499999999999996</v>
      </c>
      <c r="W86" s="75">
        <v>0.94099999999999995</v>
      </c>
      <c r="X86" s="76">
        <v>0.92600000000000005</v>
      </c>
      <c r="Y86" s="30">
        <f t="shared" si="28"/>
        <v>-7.3999999999999955E-2</v>
      </c>
      <c r="Z86" s="30">
        <f t="shared" ref="Z86:Z89" si="31">(X86-T86)/T86</f>
        <v>-5.9898477157360346E-2</v>
      </c>
      <c r="AA86" s="30">
        <f t="shared" si="29"/>
        <v>-3.0705180608824323E-3</v>
      </c>
      <c r="AB86" s="30">
        <f t="shared" si="30"/>
        <v>-3.0836062163664968E-3</v>
      </c>
    </row>
    <row r="87" spans="1:28" ht="15.75" thickBot="1" x14ac:dyDescent="0.3">
      <c r="A87" s="39" t="s">
        <v>40</v>
      </c>
      <c r="B87" s="40">
        <v>1</v>
      </c>
      <c r="C87" s="41">
        <v>0.97099999999999997</v>
      </c>
      <c r="D87" s="41">
        <v>0.94199999999999995</v>
      </c>
      <c r="E87" s="40">
        <v>0.91400000000000003</v>
      </c>
      <c r="F87" s="40">
        <v>0.88500000000000001</v>
      </c>
      <c r="G87" s="42">
        <v>0.85699999999999998</v>
      </c>
      <c r="H87" s="30">
        <f t="shared" si="24"/>
        <v>-0.14300000000000002</v>
      </c>
      <c r="I87" s="30">
        <f t="shared" si="25"/>
        <v>-0.11740473738414005</v>
      </c>
      <c r="J87" s="30">
        <f t="shared" si="26"/>
        <v>-6.1536824756134312E-3</v>
      </c>
      <c r="K87" s="30">
        <f t="shared" si="27"/>
        <v>-6.2249715654617566E-3</v>
      </c>
      <c r="R87" s="39" t="s">
        <v>40</v>
      </c>
      <c r="S87" s="40">
        <v>1</v>
      </c>
      <c r="T87" s="74">
        <v>0.97099999999999997</v>
      </c>
      <c r="U87" s="74">
        <v>0.94199999999999995</v>
      </c>
      <c r="V87" s="75">
        <v>0.91400000000000003</v>
      </c>
      <c r="W87" s="75">
        <v>0.88500000000000001</v>
      </c>
      <c r="X87" s="76">
        <v>0.85699999999999998</v>
      </c>
      <c r="Y87" s="30">
        <f t="shared" si="28"/>
        <v>-0.14300000000000002</v>
      </c>
      <c r="Z87" s="30">
        <f t="shared" si="31"/>
        <v>-0.11740473738414005</v>
      </c>
      <c r="AA87" s="30">
        <f t="shared" si="29"/>
        <v>-6.1536824756134312E-3</v>
      </c>
      <c r="AB87" s="30">
        <f t="shared" si="30"/>
        <v>-6.2249715654617566E-3</v>
      </c>
    </row>
    <row r="88" spans="1:28" ht="15.75" thickBot="1" x14ac:dyDescent="0.3">
      <c r="A88" s="39" t="s">
        <v>15</v>
      </c>
      <c r="B88" s="40">
        <v>1</v>
      </c>
      <c r="C88" s="41">
        <v>0.97799999999999998</v>
      </c>
      <c r="D88" s="41">
        <v>0.95699999999999996</v>
      </c>
      <c r="E88" s="40">
        <v>0.93500000000000005</v>
      </c>
      <c r="F88" s="40">
        <v>0.91300000000000003</v>
      </c>
      <c r="G88" s="42">
        <v>0.89200000000000002</v>
      </c>
      <c r="H88" s="30">
        <f t="shared" si="24"/>
        <v>-0.10799999999999998</v>
      </c>
      <c r="I88" s="30">
        <f t="shared" si="25"/>
        <v>-8.7934560327198333E-2</v>
      </c>
      <c r="J88" s="30">
        <f t="shared" si="26"/>
        <v>-4.5611321544035688E-3</v>
      </c>
      <c r="K88" s="30">
        <f t="shared" si="27"/>
        <v>-4.5916030837910293E-3</v>
      </c>
      <c r="R88" s="39" t="s">
        <v>15</v>
      </c>
      <c r="S88" s="40">
        <v>1</v>
      </c>
      <c r="T88" s="74">
        <v>0.97799999999999998</v>
      </c>
      <c r="U88" s="74">
        <v>0.95699999999999996</v>
      </c>
      <c r="V88" s="75">
        <v>0.93500000000000005</v>
      </c>
      <c r="W88" s="75">
        <v>0.91300000000000003</v>
      </c>
      <c r="X88" s="76">
        <v>0.89200000000000002</v>
      </c>
      <c r="Y88" s="30">
        <f t="shared" si="28"/>
        <v>-0.10799999999999998</v>
      </c>
      <c r="Z88" s="30">
        <f t="shared" si="31"/>
        <v>-8.7934560327198333E-2</v>
      </c>
      <c r="AA88" s="30">
        <f t="shared" si="29"/>
        <v>-4.5611321544035688E-3</v>
      </c>
      <c r="AB88" s="30">
        <f t="shared" si="30"/>
        <v>-4.5916030837910293E-3</v>
      </c>
    </row>
    <row r="89" spans="1:28" ht="15.75" thickBot="1" x14ac:dyDescent="0.3">
      <c r="A89" s="39" t="s">
        <v>16</v>
      </c>
      <c r="B89" s="40">
        <v>1</v>
      </c>
      <c r="C89" s="41">
        <v>0.97699999999999998</v>
      </c>
      <c r="D89" s="41">
        <v>0.95499999999999996</v>
      </c>
      <c r="E89" s="40">
        <v>0.93200000000000005</v>
      </c>
      <c r="F89" s="40">
        <v>0.91</v>
      </c>
      <c r="G89" s="42">
        <v>0.88800000000000001</v>
      </c>
      <c r="H89" s="30">
        <f t="shared" si="24"/>
        <v>-0.11199999999999999</v>
      </c>
      <c r="I89" s="30">
        <f t="shared" si="25"/>
        <v>-9.109518935516886E-2</v>
      </c>
      <c r="J89" s="30">
        <f t="shared" si="26"/>
        <v>-4.7400716727624692E-3</v>
      </c>
      <c r="K89" s="30">
        <f t="shared" si="27"/>
        <v>-4.7643597125600623E-3</v>
      </c>
      <c r="R89" s="39" t="s">
        <v>16</v>
      </c>
      <c r="S89" s="40">
        <v>1</v>
      </c>
      <c r="T89" s="74">
        <v>0.97699999999999998</v>
      </c>
      <c r="U89" s="74">
        <v>0.95499999999999996</v>
      </c>
      <c r="V89" s="75">
        <v>0.93200000000000005</v>
      </c>
      <c r="W89" s="75">
        <v>0.91</v>
      </c>
      <c r="X89" s="76">
        <v>0.88800000000000001</v>
      </c>
      <c r="Y89" s="30">
        <f t="shared" si="28"/>
        <v>-0.11199999999999999</v>
      </c>
      <c r="Z89" s="30">
        <f t="shared" si="31"/>
        <v>-9.109518935516886E-2</v>
      </c>
      <c r="AA89" s="30">
        <f t="shared" si="29"/>
        <v>-4.7400716727624692E-3</v>
      </c>
      <c r="AB89" s="30">
        <f t="shared" si="30"/>
        <v>-4.7643597125600623E-3</v>
      </c>
    </row>
    <row r="90" spans="1:28" x14ac:dyDescent="0.25">
      <c r="A90" s="26" t="s">
        <v>21</v>
      </c>
      <c r="R90" s="26" t="s">
        <v>387</v>
      </c>
    </row>
    <row r="92" spans="1:28" x14ac:dyDescent="0.25">
      <c r="K92" s="33"/>
      <c r="L92" s="34"/>
      <c r="M92" s="33"/>
      <c r="AB92" s="33"/>
    </row>
    <row r="93" spans="1:28" x14ac:dyDescent="0.25">
      <c r="K93" s="33"/>
      <c r="L93" s="34"/>
      <c r="M93" s="33"/>
      <c r="AB93" s="33"/>
    </row>
  </sheetData>
  <mergeCells count="27">
    <mergeCell ref="Y70:Z70"/>
    <mergeCell ref="AA70:AB70"/>
    <mergeCell ref="Y82:Z82"/>
    <mergeCell ref="AA82:AB82"/>
    <mergeCell ref="Y28:Z28"/>
    <mergeCell ref="AA28:AB28"/>
    <mergeCell ref="Y40:Z40"/>
    <mergeCell ref="AA40:AB40"/>
    <mergeCell ref="Y55:Z55"/>
    <mergeCell ref="AA55:AB55"/>
    <mergeCell ref="H70:I70"/>
    <mergeCell ref="J70:K70"/>
    <mergeCell ref="H82:I82"/>
    <mergeCell ref="J82:K82"/>
    <mergeCell ref="H40:I40"/>
    <mergeCell ref="J40:K40"/>
    <mergeCell ref="H28:I28"/>
    <mergeCell ref="J28:K28"/>
    <mergeCell ref="H55:I55"/>
    <mergeCell ref="J55:K55"/>
    <mergeCell ref="M13:P17"/>
    <mergeCell ref="R4:AB4"/>
    <mergeCell ref="H10:I10"/>
    <mergeCell ref="J10:K10"/>
    <mergeCell ref="Y10:Z10"/>
    <mergeCell ref="AA10:AB10"/>
    <mergeCell ref="A4:K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AU150"/>
  <sheetViews>
    <sheetView topLeftCell="N1" zoomScale="80" zoomScaleNormal="80" workbookViewId="0">
      <pane ySplit="5" topLeftCell="A6" activePane="bottomLeft" state="frozen"/>
      <selection pane="bottomLeft" activeCell="W95" sqref="W95"/>
    </sheetView>
  </sheetViews>
  <sheetFormatPr baseColWidth="10" defaultRowHeight="15" x14ac:dyDescent="0.25"/>
  <cols>
    <col min="1" max="1" width="54.5703125" style="137" customWidth="1"/>
    <col min="2" max="9" width="11.42578125" style="137"/>
    <col min="10" max="10" width="11.42578125" style="138"/>
    <col min="11" max="11" width="11.42578125" style="139"/>
    <col min="12" max="12" width="11.42578125" style="97"/>
    <col min="13" max="13" width="11.42578125" style="140"/>
    <col min="14" max="14" width="11.5703125" style="26"/>
    <col min="15" max="15" width="54.5703125" style="5" customWidth="1"/>
    <col min="16" max="24" width="11.42578125" style="5"/>
    <col min="25" max="25" width="21.28515625" style="5" customWidth="1"/>
    <col min="26" max="26" width="11.42578125" style="97"/>
    <col min="27" max="29" width="11.5703125" style="33"/>
    <col min="30" max="30" width="12.7109375" style="33" bestFit="1" customWidth="1"/>
    <col min="31" max="47" width="11.5703125" style="33"/>
    <col min="48" max="256" width="11.5703125" style="26"/>
    <col min="257" max="257" width="32.28515625" style="26" customWidth="1"/>
    <col min="258" max="270" width="11.5703125" style="26"/>
    <col min="271" max="271" width="32.28515625" style="26" customWidth="1"/>
    <col min="272" max="280" width="11.5703125" style="26"/>
    <col min="281" max="281" width="21.28515625" style="26" customWidth="1"/>
    <col min="282" max="512" width="11.5703125" style="26"/>
    <col min="513" max="513" width="32.28515625" style="26" customWidth="1"/>
    <col min="514" max="526" width="11.5703125" style="26"/>
    <col min="527" max="527" width="32.28515625" style="26" customWidth="1"/>
    <col min="528" max="536" width="11.5703125" style="26"/>
    <col min="537" max="537" width="21.28515625" style="26" customWidth="1"/>
    <col min="538" max="768" width="11.5703125" style="26"/>
    <col min="769" max="769" width="32.28515625" style="26" customWidth="1"/>
    <col min="770" max="782" width="11.5703125" style="26"/>
    <col min="783" max="783" width="32.28515625" style="26" customWidth="1"/>
    <col min="784" max="792" width="11.5703125" style="26"/>
    <col min="793" max="793" width="21.28515625" style="26" customWidth="1"/>
    <col min="794" max="1024" width="11.5703125" style="26"/>
    <col min="1025" max="1025" width="32.28515625" style="26" customWidth="1"/>
    <col min="1026" max="1038" width="11.5703125" style="26"/>
    <col min="1039" max="1039" width="32.28515625" style="26" customWidth="1"/>
    <col min="1040" max="1048" width="11.5703125" style="26"/>
    <col min="1049" max="1049" width="21.28515625" style="26" customWidth="1"/>
    <col min="1050" max="1280" width="11.5703125" style="26"/>
    <col min="1281" max="1281" width="32.28515625" style="26" customWidth="1"/>
    <col min="1282" max="1294" width="11.5703125" style="26"/>
    <col min="1295" max="1295" width="32.28515625" style="26" customWidth="1"/>
    <col min="1296" max="1304" width="11.5703125" style="26"/>
    <col min="1305" max="1305" width="21.28515625" style="26" customWidth="1"/>
    <col min="1306" max="1536" width="11.5703125" style="26"/>
    <col min="1537" max="1537" width="32.28515625" style="26" customWidth="1"/>
    <col min="1538" max="1550" width="11.5703125" style="26"/>
    <col min="1551" max="1551" width="32.28515625" style="26" customWidth="1"/>
    <col min="1552" max="1560" width="11.5703125" style="26"/>
    <col min="1561" max="1561" width="21.28515625" style="26" customWidth="1"/>
    <col min="1562" max="1792" width="11.5703125" style="26"/>
    <col min="1793" max="1793" width="32.28515625" style="26" customWidth="1"/>
    <col min="1794" max="1806" width="11.5703125" style="26"/>
    <col min="1807" max="1807" width="32.28515625" style="26" customWidth="1"/>
    <col min="1808" max="1816" width="11.5703125" style="26"/>
    <col min="1817" max="1817" width="21.28515625" style="26" customWidth="1"/>
    <col min="1818" max="2048" width="11.5703125" style="26"/>
    <col min="2049" max="2049" width="32.28515625" style="26" customWidth="1"/>
    <col min="2050" max="2062" width="11.5703125" style="26"/>
    <col min="2063" max="2063" width="32.28515625" style="26" customWidth="1"/>
    <col min="2064" max="2072" width="11.5703125" style="26"/>
    <col min="2073" max="2073" width="21.28515625" style="26" customWidth="1"/>
    <col min="2074" max="2304" width="11.5703125" style="26"/>
    <col min="2305" max="2305" width="32.28515625" style="26" customWidth="1"/>
    <col min="2306" max="2318" width="11.5703125" style="26"/>
    <col min="2319" max="2319" width="32.28515625" style="26" customWidth="1"/>
    <col min="2320" max="2328" width="11.5703125" style="26"/>
    <col min="2329" max="2329" width="21.28515625" style="26" customWidth="1"/>
    <col min="2330" max="2560" width="11.5703125" style="26"/>
    <col min="2561" max="2561" width="32.28515625" style="26" customWidth="1"/>
    <col min="2562" max="2574" width="11.5703125" style="26"/>
    <col min="2575" max="2575" width="32.28515625" style="26" customWidth="1"/>
    <col min="2576" max="2584" width="11.5703125" style="26"/>
    <col min="2585" max="2585" width="21.28515625" style="26" customWidth="1"/>
    <col min="2586" max="2816" width="11.5703125" style="26"/>
    <col min="2817" max="2817" width="32.28515625" style="26" customWidth="1"/>
    <col min="2818" max="2830" width="11.5703125" style="26"/>
    <col min="2831" max="2831" width="32.28515625" style="26" customWidth="1"/>
    <col min="2832" max="2840" width="11.5703125" style="26"/>
    <col min="2841" max="2841" width="21.28515625" style="26" customWidth="1"/>
    <col min="2842" max="3072" width="11.5703125" style="26"/>
    <col min="3073" max="3073" width="32.28515625" style="26" customWidth="1"/>
    <col min="3074" max="3086" width="11.5703125" style="26"/>
    <col min="3087" max="3087" width="32.28515625" style="26" customWidth="1"/>
    <col min="3088" max="3096" width="11.5703125" style="26"/>
    <col min="3097" max="3097" width="21.28515625" style="26" customWidth="1"/>
    <col min="3098" max="3328" width="11.5703125" style="26"/>
    <col min="3329" max="3329" width="32.28515625" style="26" customWidth="1"/>
    <col min="3330" max="3342" width="11.5703125" style="26"/>
    <col min="3343" max="3343" width="32.28515625" style="26" customWidth="1"/>
    <col min="3344" max="3352" width="11.5703125" style="26"/>
    <col min="3353" max="3353" width="21.28515625" style="26" customWidth="1"/>
    <col min="3354" max="3584" width="11.5703125" style="26"/>
    <col min="3585" max="3585" width="32.28515625" style="26" customWidth="1"/>
    <col min="3586" max="3598" width="11.5703125" style="26"/>
    <col min="3599" max="3599" width="32.28515625" style="26" customWidth="1"/>
    <col min="3600" max="3608" width="11.5703125" style="26"/>
    <col min="3609" max="3609" width="21.28515625" style="26" customWidth="1"/>
    <col min="3610" max="3840" width="11.5703125" style="26"/>
    <col min="3841" max="3841" width="32.28515625" style="26" customWidth="1"/>
    <col min="3842" max="3854" width="11.5703125" style="26"/>
    <col min="3855" max="3855" width="32.28515625" style="26" customWidth="1"/>
    <col min="3856" max="3864" width="11.5703125" style="26"/>
    <col min="3865" max="3865" width="21.28515625" style="26" customWidth="1"/>
    <col min="3866" max="4096" width="11.5703125" style="26"/>
    <col min="4097" max="4097" width="32.28515625" style="26" customWidth="1"/>
    <col min="4098" max="4110" width="11.5703125" style="26"/>
    <col min="4111" max="4111" width="32.28515625" style="26" customWidth="1"/>
    <col min="4112" max="4120" width="11.5703125" style="26"/>
    <col min="4121" max="4121" width="21.28515625" style="26" customWidth="1"/>
    <col min="4122" max="4352" width="11.5703125" style="26"/>
    <col min="4353" max="4353" width="32.28515625" style="26" customWidth="1"/>
    <col min="4354" max="4366" width="11.5703125" style="26"/>
    <col min="4367" max="4367" width="32.28515625" style="26" customWidth="1"/>
    <col min="4368" max="4376" width="11.5703125" style="26"/>
    <col min="4377" max="4377" width="21.28515625" style="26" customWidth="1"/>
    <col min="4378" max="4608" width="11.5703125" style="26"/>
    <col min="4609" max="4609" width="32.28515625" style="26" customWidth="1"/>
    <col min="4610" max="4622" width="11.5703125" style="26"/>
    <col min="4623" max="4623" width="32.28515625" style="26" customWidth="1"/>
    <col min="4624" max="4632" width="11.5703125" style="26"/>
    <col min="4633" max="4633" width="21.28515625" style="26" customWidth="1"/>
    <col min="4634" max="4864" width="11.5703125" style="26"/>
    <col min="4865" max="4865" width="32.28515625" style="26" customWidth="1"/>
    <col min="4866" max="4878" width="11.5703125" style="26"/>
    <col min="4879" max="4879" width="32.28515625" style="26" customWidth="1"/>
    <col min="4880" max="4888" width="11.5703125" style="26"/>
    <col min="4889" max="4889" width="21.28515625" style="26" customWidth="1"/>
    <col min="4890" max="5120" width="11.5703125" style="26"/>
    <col min="5121" max="5121" width="32.28515625" style="26" customWidth="1"/>
    <col min="5122" max="5134" width="11.5703125" style="26"/>
    <col min="5135" max="5135" width="32.28515625" style="26" customWidth="1"/>
    <col min="5136" max="5144" width="11.5703125" style="26"/>
    <col min="5145" max="5145" width="21.28515625" style="26" customWidth="1"/>
    <col min="5146" max="5376" width="11.5703125" style="26"/>
    <col min="5377" max="5377" width="32.28515625" style="26" customWidth="1"/>
    <col min="5378" max="5390" width="11.5703125" style="26"/>
    <col min="5391" max="5391" width="32.28515625" style="26" customWidth="1"/>
    <col min="5392" max="5400" width="11.5703125" style="26"/>
    <col min="5401" max="5401" width="21.28515625" style="26" customWidth="1"/>
    <col min="5402" max="5632" width="11.5703125" style="26"/>
    <col min="5633" max="5633" width="32.28515625" style="26" customWidth="1"/>
    <col min="5634" max="5646" width="11.5703125" style="26"/>
    <col min="5647" max="5647" width="32.28515625" style="26" customWidth="1"/>
    <col min="5648" max="5656" width="11.5703125" style="26"/>
    <col min="5657" max="5657" width="21.28515625" style="26" customWidth="1"/>
    <col min="5658" max="5888" width="11.5703125" style="26"/>
    <col min="5889" max="5889" width="32.28515625" style="26" customWidth="1"/>
    <col min="5890" max="5902" width="11.5703125" style="26"/>
    <col min="5903" max="5903" width="32.28515625" style="26" customWidth="1"/>
    <col min="5904" max="5912" width="11.5703125" style="26"/>
    <col min="5913" max="5913" width="21.28515625" style="26" customWidth="1"/>
    <col min="5914" max="6144" width="11.5703125" style="26"/>
    <col min="6145" max="6145" width="32.28515625" style="26" customWidth="1"/>
    <col min="6146" max="6158" width="11.5703125" style="26"/>
    <col min="6159" max="6159" width="32.28515625" style="26" customWidth="1"/>
    <col min="6160" max="6168" width="11.5703125" style="26"/>
    <col min="6169" max="6169" width="21.28515625" style="26" customWidth="1"/>
    <col min="6170" max="6400" width="11.5703125" style="26"/>
    <col min="6401" max="6401" width="32.28515625" style="26" customWidth="1"/>
    <col min="6402" max="6414" width="11.5703125" style="26"/>
    <col min="6415" max="6415" width="32.28515625" style="26" customWidth="1"/>
    <col min="6416" max="6424" width="11.5703125" style="26"/>
    <col min="6425" max="6425" width="21.28515625" style="26" customWidth="1"/>
    <col min="6426" max="6656" width="11.5703125" style="26"/>
    <col min="6657" max="6657" width="32.28515625" style="26" customWidth="1"/>
    <col min="6658" max="6670" width="11.5703125" style="26"/>
    <col min="6671" max="6671" width="32.28515625" style="26" customWidth="1"/>
    <col min="6672" max="6680" width="11.5703125" style="26"/>
    <col min="6681" max="6681" width="21.28515625" style="26" customWidth="1"/>
    <col min="6682" max="6912" width="11.5703125" style="26"/>
    <col min="6913" max="6913" width="32.28515625" style="26" customWidth="1"/>
    <col min="6914" max="6926" width="11.5703125" style="26"/>
    <col min="6927" max="6927" width="32.28515625" style="26" customWidth="1"/>
    <col min="6928" max="6936" width="11.5703125" style="26"/>
    <col min="6937" max="6937" width="21.28515625" style="26" customWidth="1"/>
    <col min="6938" max="7168" width="11.5703125" style="26"/>
    <col min="7169" max="7169" width="32.28515625" style="26" customWidth="1"/>
    <col min="7170" max="7182" width="11.5703125" style="26"/>
    <col min="7183" max="7183" width="32.28515625" style="26" customWidth="1"/>
    <col min="7184" max="7192" width="11.5703125" style="26"/>
    <col min="7193" max="7193" width="21.28515625" style="26" customWidth="1"/>
    <col min="7194" max="7424" width="11.5703125" style="26"/>
    <col min="7425" max="7425" width="32.28515625" style="26" customWidth="1"/>
    <col min="7426" max="7438" width="11.5703125" style="26"/>
    <col min="7439" max="7439" width="32.28515625" style="26" customWidth="1"/>
    <col min="7440" max="7448" width="11.5703125" style="26"/>
    <col min="7449" max="7449" width="21.28515625" style="26" customWidth="1"/>
    <col min="7450" max="7680" width="11.5703125" style="26"/>
    <col min="7681" max="7681" width="32.28515625" style="26" customWidth="1"/>
    <col min="7682" max="7694" width="11.5703125" style="26"/>
    <col min="7695" max="7695" width="32.28515625" style="26" customWidth="1"/>
    <col min="7696" max="7704" width="11.5703125" style="26"/>
    <col min="7705" max="7705" width="21.28515625" style="26" customWidth="1"/>
    <col min="7706" max="7936" width="11.5703125" style="26"/>
    <col min="7937" max="7937" width="32.28515625" style="26" customWidth="1"/>
    <col min="7938" max="7950" width="11.5703125" style="26"/>
    <col min="7951" max="7951" width="32.28515625" style="26" customWidth="1"/>
    <col min="7952" max="7960" width="11.5703125" style="26"/>
    <col min="7961" max="7961" width="21.28515625" style="26" customWidth="1"/>
    <col min="7962" max="8192" width="11.5703125" style="26"/>
    <col min="8193" max="8193" width="32.28515625" style="26" customWidth="1"/>
    <col min="8194" max="8206" width="11.5703125" style="26"/>
    <col min="8207" max="8207" width="32.28515625" style="26" customWidth="1"/>
    <col min="8208" max="8216" width="11.5703125" style="26"/>
    <col min="8217" max="8217" width="21.28515625" style="26" customWidth="1"/>
    <col min="8218" max="8448" width="11.5703125" style="26"/>
    <col min="8449" max="8449" width="32.28515625" style="26" customWidth="1"/>
    <col min="8450" max="8462" width="11.5703125" style="26"/>
    <col min="8463" max="8463" width="32.28515625" style="26" customWidth="1"/>
    <col min="8464" max="8472" width="11.5703125" style="26"/>
    <col min="8473" max="8473" width="21.28515625" style="26" customWidth="1"/>
    <col min="8474" max="8704" width="11.5703125" style="26"/>
    <col min="8705" max="8705" width="32.28515625" style="26" customWidth="1"/>
    <col min="8706" max="8718" width="11.5703125" style="26"/>
    <col min="8719" max="8719" width="32.28515625" style="26" customWidth="1"/>
    <col min="8720" max="8728" width="11.5703125" style="26"/>
    <col min="8729" max="8729" width="21.28515625" style="26" customWidth="1"/>
    <col min="8730" max="8960" width="11.5703125" style="26"/>
    <col min="8961" max="8961" width="32.28515625" style="26" customWidth="1"/>
    <col min="8962" max="8974" width="11.5703125" style="26"/>
    <col min="8975" max="8975" width="32.28515625" style="26" customWidth="1"/>
    <col min="8976" max="8984" width="11.5703125" style="26"/>
    <col min="8985" max="8985" width="21.28515625" style="26" customWidth="1"/>
    <col min="8986" max="9216" width="11.5703125" style="26"/>
    <col min="9217" max="9217" width="32.28515625" style="26" customWidth="1"/>
    <col min="9218" max="9230" width="11.5703125" style="26"/>
    <col min="9231" max="9231" width="32.28515625" style="26" customWidth="1"/>
    <col min="9232" max="9240" width="11.5703125" style="26"/>
    <col min="9241" max="9241" width="21.28515625" style="26" customWidth="1"/>
    <col min="9242" max="9472" width="11.5703125" style="26"/>
    <col min="9473" max="9473" width="32.28515625" style="26" customWidth="1"/>
    <col min="9474" max="9486" width="11.5703125" style="26"/>
    <col min="9487" max="9487" width="32.28515625" style="26" customWidth="1"/>
    <col min="9488" max="9496" width="11.5703125" style="26"/>
    <col min="9497" max="9497" width="21.28515625" style="26" customWidth="1"/>
    <col min="9498" max="9728" width="11.5703125" style="26"/>
    <col min="9729" max="9729" width="32.28515625" style="26" customWidth="1"/>
    <col min="9730" max="9742" width="11.5703125" style="26"/>
    <col min="9743" max="9743" width="32.28515625" style="26" customWidth="1"/>
    <col min="9744" max="9752" width="11.5703125" style="26"/>
    <col min="9753" max="9753" width="21.28515625" style="26" customWidth="1"/>
    <col min="9754" max="9984" width="11.5703125" style="26"/>
    <col min="9985" max="9985" width="32.28515625" style="26" customWidth="1"/>
    <col min="9986" max="9998" width="11.5703125" style="26"/>
    <col min="9999" max="9999" width="32.28515625" style="26" customWidth="1"/>
    <col min="10000" max="10008" width="11.5703125" style="26"/>
    <col min="10009" max="10009" width="21.28515625" style="26" customWidth="1"/>
    <col min="10010" max="10240" width="11.5703125" style="26"/>
    <col min="10241" max="10241" width="32.28515625" style="26" customWidth="1"/>
    <col min="10242" max="10254" width="11.5703125" style="26"/>
    <col min="10255" max="10255" width="32.28515625" style="26" customWidth="1"/>
    <col min="10256" max="10264" width="11.5703125" style="26"/>
    <col min="10265" max="10265" width="21.28515625" style="26" customWidth="1"/>
    <col min="10266" max="10496" width="11.5703125" style="26"/>
    <col min="10497" max="10497" width="32.28515625" style="26" customWidth="1"/>
    <col min="10498" max="10510" width="11.5703125" style="26"/>
    <col min="10511" max="10511" width="32.28515625" style="26" customWidth="1"/>
    <col min="10512" max="10520" width="11.5703125" style="26"/>
    <col min="10521" max="10521" width="21.28515625" style="26" customWidth="1"/>
    <col min="10522" max="10752" width="11.5703125" style="26"/>
    <col min="10753" max="10753" width="32.28515625" style="26" customWidth="1"/>
    <col min="10754" max="10766" width="11.5703125" style="26"/>
    <col min="10767" max="10767" width="32.28515625" style="26" customWidth="1"/>
    <col min="10768" max="10776" width="11.5703125" style="26"/>
    <col min="10777" max="10777" width="21.28515625" style="26" customWidth="1"/>
    <col min="10778" max="11008" width="11.5703125" style="26"/>
    <col min="11009" max="11009" width="32.28515625" style="26" customWidth="1"/>
    <col min="11010" max="11022" width="11.5703125" style="26"/>
    <col min="11023" max="11023" width="32.28515625" style="26" customWidth="1"/>
    <col min="11024" max="11032" width="11.5703125" style="26"/>
    <col min="11033" max="11033" width="21.28515625" style="26" customWidth="1"/>
    <col min="11034" max="11264" width="11.5703125" style="26"/>
    <col min="11265" max="11265" width="32.28515625" style="26" customWidth="1"/>
    <col min="11266" max="11278" width="11.5703125" style="26"/>
    <col min="11279" max="11279" width="32.28515625" style="26" customWidth="1"/>
    <col min="11280" max="11288" width="11.5703125" style="26"/>
    <col min="11289" max="11289" width="21.28515625" style="26" customWidth="1"/>
    <col min="11290" max="11520" width="11.5703125" style="26"/>
    <col min="11521" max="11521" width="32.28515625" style="26" customWidth="1"/>
    <col min="11522" max="11534" width="11.5703125" style="26"/>
    <col min="11535" max="11535" width="32.28515625" style="26" customWidth="1"/>
    <col min="11536" max="11544" width="11.5703125" style="26"/>
    <col min="11545" max="11545" width="21.28515625" style="26" customWidth="1"/>
    <col min="11546" max="11776" width="11.5703125" style="26"/>
    <col min="11777" max="11777" width="32.28515625" style="26" customWidth="1"/>
    <col min="11778" max="11790" width="11.5703125" style="26"/>
    <col min="11791" max="11791" width="32.28515625" style="26" customWidth="1"/>
    <col min="11792" max="11800" width="11.5703125" style="26"/>
    <col min="11801" max="11801" width="21.28515625" style="26" customWidth="1"/>
    <col min="11802" max="12032" width="11.5703125" style="26"/>
    <col min="12033" max="12033" width="32.28515625" style="26" customWidth="1"/>
    <col min="12034" max="12046" width="11.5703125" style="26"/>
    <col min="12047" max="12047" width="32.28515625" style="26" customWidth="1"/>
    <col min="12048" max="12056" width="11.5703125" style="26"/>
    <col min="12057" max="12057" width="21.28515625" style="26" customWidth="1"/>
    <col min="12058" max="12288" width="11.5703125" style="26"/>
    <col min="12289" max="12289" width="32.28515625" style="26" customWidth="1"/>
    <col min="12290" max="12302" width="11.5703125" style="26"/>
    <col min="12303" max="12303" width="32.28515625" style="26" customWidth="1"/>
    <col min="12304" max="12312" width="11.5703125" style="26"/>
    <col min="12313" max="12313" width="21.28515625" style="26" customWidth="1"/>
    <col min="12314" max="12544" width="11.5703125" style="26"/>
    <col min="12545" max="12545" width="32.28515625" style="26" customWidth="1"/>
    <col min="12546" max="12558" width="11.5703125" style="26"/>
    <col min="12559" max="12559" width="32.28515625" style="26" customWidth="1"/>
    <col min="12560" max="12568" width="11.5703125" style="26"/>
    <col min="12569" max="12569" width="21.28515625" style="26" customWidth="1"/>
    <col min="12570" max="12800" width="11.5703125" style="26"/>
    <col min="12801" max="12801" width="32.28515625" style="26" customWidth="1"/>
    <col min="12802" max="12814" width="11.5703125" style="26"/>
    <col min="12815" max="12815" width="32.28515625" style="26" customWidth="1"/>
    <col min="12816" max="12824" width="11.5703125" style="26"/>
    <col min="12825" max="12825" width="21.28515625" style="26" customWidth="1"/>
    <col min="12826" max="13056" width="11.5703125" style="26"/>
    <col min="13057" max="13057" width="32.28515625" style="26" customWidth="1"/>
    <col min="13058" max="13070" width="11.5703125" style="26"/>
    <col min="13071" max="13071" width="32.28515625" style="26" customWidth="1"/>
    <col min="13072" max="13080" width="11.5703125" style="26"/>
    <col min="13081" max="13081" width="21.28515625" style="26" customWidth="1"/>
    <col min="13082" max="13312" width="11.5703125" style="26"/>
    <col min="13313" max="13313" width="32.28515625" style="26" customWidth="1"/>
    <col min="13314" max="13326" width="11.5703125" style="26"/>
    <col min="13327" max="13327" width="32.28515625" style="26" customWidth="1"/>
    <col min="13328" max="13336" width="11.5703125" style="26"/>
    <col min="13337" max="13337" width="21.28515625" style="26" customWidth="1"/>
    <col min="13338" max="13568" width="11.5703125" style="26"/>
    <col min="13569" max="13569" width="32.28515625" style="26" customWidth="1"/>
    <col min="13570" max="13582" width="11.5703125" style="26"/>
    <col min="13583" max="13583" width="32.28515625" style="26" customWidth="1"/>
    <col min="13584" max="13592" width="11.5703125" style="26"/>
    <col min="13593" max="13593" width="21.28515625" style="26" customWidth="1"/>
    <col min="13594" max="13824" width="11.5703125" style="26"/>
    <col min="13825" max="13825" width="32.28515625" style="26" customWidth="1"/>
    <col min="13826" max="13838" width="11.5703125" style="26"/>
    <col min="13839" max="13839" width="32.28515625" style="26" customWidth="1"/>
    <col min="13840" max="13848" width="11.5703125" style="26"/>
    <col min="13849" max="13849" width="21.28515625" style="26" customWidth="1"/>
    <col min="13850" max="14080" width="11.5703125" style="26"/>
    <col min="14081" max="14081" width="32.28515625" style="26" customWidth="1"/>
    <col min="14082" max="14094" width="11.5703125" style="26"/>
    <col min="14095" max="14095" width="32.28515625" style="26" customWidth="1"/>
    <col min="14096" max="14104" width="11.5703125" style="26"/>
    <col min="14105" max="14105" width="21.28515625" style="26" customWidth="1"/>
    <col min="14106" max="14336" width="11.5703125" style="26"/>
    <col min="14337" max="14337" width="32.28515625" style="26" customWidth="1"/>
    <col min="14338" max="14350" width="11.5703125" style="26"/>
    <col min="14351" max="14351" width="32.28515625" style="26" customWidth="1"/>
    <col min="14352" max="14360" width="11.5703125" style="26"/>
    <col min="14361" max="14361" width="21.28515625" style="26" customWidth="1"/>
    <col min="14362" max="14592" width="11.5703125" style="26"/>
    <col min="14593" max="14593" width="32.28515625" style="26" customWidth="1"/>
    <col min="14594" max="14606" width="11.5703125" style="26"/>
    <col min="14607" max="14607" width="32.28515625" style="26" customWidth="1"/>
    <col min="14608" max="14616" width="11.5703125" style="26"/>
    <col min="14617" max="14617" width="21.28515625" style="26" customWidth="1"/>
    <col min="14618" max="14848" width="11.5703125" style="26"/>
    <col min="14849" max="14849" width="32.28515625" style="26" customWidth="1"/>
    <col min="14850" max="14862" width="11.5703125" style="26"/>
    <col min="14863" max="14863" width="32.28515625" style="26" customWidth="1"/>
    <col min="14864" max="14872" width="11.5703125" style="26"/>
    <col min="14873" max="14873" width="21.28515625" style="26" customWidth="1"/>
    <col min="14874" max="15104" width="11.5703125" style="26"/>
    <col min="15105" max="15105" width="32.28515625" style="26" customWidth="1"/>
    <col min="15106" max="15118" width="11.5703125" style="26"/>
    <col min="15119" max="15119" width="32.28515625" style="26" customWidth="1"/>
    <col min="15120" max="15128" width="11.5703125" style="26"/>
    <col min="15129" max="15129" width="21.28515625" style="26" customWidth="1"/>
    <col min="15130" max="15360" width="11.5703125" style="26"/>
    <col min="15361" max="15361" width="32.28515625" style="26" customWidth="1"/>
    <col min="15362" max="15374" width="11.5703125" style="26"/>
    <col min="15375" max="15375" width="32.28515625" style="26" customWidth="1"/>
    <col min="15376" max="15384" width="11.5703125" style="26"/>
    <col min="15385" max="15385" width="21.28515625" style="26" customWidth="1"/>
    <col min="15386" max="15616" width="11.5703125" style="26"/>
    <col min="15617" max="15617" width="32.28515625" style="26" customWidth="1"/>
    <col min="15618" max="15630" width="11.5703125" style="26"/>
    <col min="15631" max="15631" width="32.28515625" style="26" customWidth="1"/>
    <col min="15632" max="15640" width="11.5703125" style="26"/>
    <col min="15641" max="15641" width="21.28515625" style="26" customWidth="1"/>
    <col min="15642" max="15872" width="11.5703125" style="26"/>
    <col min="15873" max="15873" width="32.28515625" style="26" customWidth="1"/>
    <col min="15874" max="15886" width="11.5703125" style="26"/>
    <col min="15887" max="15887" width="32.28515625" style="26" customWidth="1"/>
    <col min="15888" max="15896" width="11.5703125" style="26"/>
    <col min="15897" max="15897" width="21.28515625" style="26" customWidth="1"/>
    <col min="15898" max="16128" width="11.5703125" style="26"/>
    <col min="16129" max="16129" width="32.28515625" style="26" customWidth="1"/>
    <col min="16130" max="16142" width="11.5703125" style="26"/>
    <col min="16143" max="16143" width="32.28515625" style="26" customWidth="1"/>
    <col min="16144" max="16152" width="11.5703125" style="26"/>
    <col min="16153" max="16153" width="21.28515625" style="26" customWidth="1"/>
    <col min="16154" max="16384" width="11.5703125" style="26"/>
  </cols>
  <sheetData>
    <row r="1" spans="1:30" x14ac:dyDescent="0.25">
      <c r="O1" s="26"/>
      <c r="P1" s="26"/>
      <c r="Q1" s="26"/>
      <c r="R1" s="26"/>
      <c r="S1" s="26"/>
      <c r="T1" s="26"/>
      <c r="U1" s="26"/>
      <c r="V1" s="26"/>
      <c r="W1" s="26"/>
      <c r="X1" s="26"/>
      <c r="Y1" s="26"/>
    </row>
    <row r="2" spans="1:30" x14ac:dyDescent="0.25">
      <c r="O2" s="26"/>
      <c r="P2" s="26"/>
      <c r="Q2" s="26"/>
      <c r="R2" s="26"/>
      <c r="S2" s="26"/>
      <c r="T2" s="26"/>
      <c r="U2" s="26"/>
      <c r="V2" s="26"/>
      <c r="W2" s="26"/>
      <c r="X2" s="84"/>
      <c r="Y2" s="26"/>
    </row>
    <row r="3" spans="1:30" ht="15.75" thickBot="1" x14ac:dyDescent="0.3">
      <c r="O3" s="26"/>
      <c r="P3" s="26"/>
      <c r="Q3" s="26"/>
      <c r="R3" s="26"/>
      <c r="S3" s="26"/>
      <c r="T3" s="26"/>
      <c r="U3" s="26"/>
      <c r="V3" s="26"/>
      <c r="W3" s="26"/>
      <c r="X3" s="231"/>
      <c r="Y3" s="26"/>
    </row>
    <row r="4" spans="1:30" ht="15" customHeight="1" thickBot="1" x14ac:dyDescent="0.3">
      <c r="A4" s="828" t="s">
        <v>0</v>
      </c>
      <c r="B4" s="829"/>
      <c r="C4" s="829"/>
      <c r="D4" s="829"/>
      <c r="E4" s="829"/>
      <c r="F4" s="829"/>
      <c r="G4" s="829"/>
      <c r="H4" s="829"/>
      <c r="I4" s="829"/>
      <c r="O4" s="828" t="s">
        <v>1</v>
      </c>
      <c r="P4" s="829"/>
      <c r="Q4" s="829"/>
      <c r="R4" s="829"/>
      <c r="S4" s="829"/>
      <c r="T4" s="829"/>
      <c r="U4" s="829"/>
      <c r="V4" s="829"/>
      <c r="W4" s="829"/>
      <c r="X4" s="828"/>
      <c r="Y4" s="829"/>
    </row>
    <row r="5" spans="1:30" x14ac:dyDescent="0.25">
      <c r="O5" s="26"/>
      <c r="P5" s="26"/>
      <c r="Q5" s="26"/>
      <c r="R5" s="26"/>
      <c r="S5" s="26"/>
      <c r="T5" s="26"/>
      <c r="U5" s="26"/>
      <c r="V5" s="26"/>
      <c r="W5" s="26"/>
      <c r="X5" s="26"/>
      <c r="Y5" s="26"/>
      <c r="Z5" s="489"/>
      <c r="AA5" s="489"/>
      <c r="AB5" s="489"/>
      <c r="AC5" s="489"/>
      <c r="AD5" s="490"/>
    </row>
    <row r="6" spans="1:30" x14ac:dyDescent="0.25">
      <c r="J6" s="479"/>
      <c r="O6" s="26"/>
      <c r="P6" s="26"/>
      <c r="Q6" s="26"/>
      <c r="R6" s="26"/>
      <c r="S6" s="26"/>
      <c r="T6" s="26"/>
      <c r="U6" s="26"/>
      <c r="V6" s="26"/>
      <c r="W6" s="26"/>
      <c r="X6" s="26"/>
      <c r="Y6" s="26"/>
      <c r="Z6" s="489"/>
      <c r="AA6" s="489"/>
      <c r="AB6" s="489"/>
      <c r="AC6" s="489"/>
      <c r="AD6" s="490"/>
    </row>
    <row r="7" spans="1:30" x14ac:dyDescent="0.25">
      <c r="J7" s="479"/>
      <c r="O7" s="26"/>
      <c r="P7" s="26"/>
      <c r="Q7" s="26"/>
      <c r="R7" s="26"/>
      <c r="S7" s="26"/>
      <c r="T7" s="26"/>
      <c r="U7" s="26"/>
      <c r="V7" s="26"/>
      <c r="W7" s="26"/>
      <c r="X7" s="26"/>
      <c r="Y7" s="26"/>
      <c r="Z7" s="489"/>
      <c r="AA7" s="489"/>
      <c r="AB7" s="489"/>
      <c r="AC7" s="489"/>
      <c r="AD7" s="490"/>
    </row>
    <row r="8" spans="1:30" x14ac:dyDescent="0.25">
      <c r="J8" s="479"/>
      <c r="O8" s="26"/>
      <c r="P8" s="26"/>
      <c r="Q8" s="26"/>
      <c r="R8" s="26"/>
      <c r="S8" s="26"/>
      <c r="T8" s="26"/>
      <c r="U8" s="26"/>
      <c r="V8" s="26"/>
      <c r="W8" s="26"/>
      <c r="X8" s="26"/>
      <c r="Y8" s="26"/>
      <c r="Z8" s="489"/>
      <c r="AA8" s="489"/>
      <c r="AB8" s="489"/>
      <c r="AC8" s="489"/>
      <c r="AD8" s="490"/>
    </row>
    <row r="9" spans="1:30" x14ac:dyDescent="0.25">
      <c r="J9" s="479"/>
      <c r="O9" s="26"/>
      <c r="P9" s="26"/>
      <c r="Q9" s="26"/>
      <c r="R9" s="26"/>
      <c r="S9" s="26"/>
      <c r="T9" s="26"/>
      <c r="U9" s="26"/>
      <c r="V9" s="26"/>
      <c r="W9" s="26"/>
      <c r="X9" s="26"/>
      <c r="Y9" s="26"/>
      <c r="Z9" s="489"/>
      <c r="AA9" s="489"/>
      <c r="AB9" s="489"/>
      <c r="AC9" s="489"/>
      <c r="AD9" s="490"/>
    </row>
    <row r="10" spans="1:30" x14ac:dyDescent="0.25">
      <c r="A10" s="141" t="s">
        <v>100</v>
      </c>
      <c r="B10" s="142"/>
      <c r="C10" s="142"/>
      <c r="D10" s="142"/>
      <c r="E10" s="142"/>
      <c r="F10" s="142"/>
      <c r="G10" s="142"/>
      <c r="H10" s="142"/>
      <c r="O10" s="28" t="s">
        <v>306</v>
      </c>
      <c r="P10" s="26"/>
      <c r="Q10" s="26"/>
      <c r="R10" s="26"/>
      <c r="S10" s="26"/>
      <c r="T10" s="26"/>
      <c r="U10" s="26"/>
      <c r="V10" s="26"/>
      <c r="W10" s="26"/>
      <c r="X10" s="26"/>
      <c r="Y10" s="26"/>
    </row>
    <row r="11" spans="1:30" ht="15.75" thickBot="1" x14ac:dyDescent="0.3">
      <c r="O11" s="26"/>
      <c r="P11" s="26"/>
      <c r="Q11" s="26"/>
      <c r="R11" s="26"/>
      <c r="S11" s="26"/>
      <c r="T11" s="26"/>
      <c r="U11" s="26"/>
      <c r="V11" s="26"/>
      <c r="W11" s="26"/>
      <c r="X11" s="26"/>
      <c r="Y11" s="26"/>
    </row>
    <row r="12" spans="1:30" ht="15.75" thickBot="1" x14ac:dyDescent="0.3">
      <c r="A12" s="143"/>
      <c r="B12" s="144">
        <v>2010</v>
      </c>
      <c r="C12" s="144">
        <v>2015</v>
      </c>
      <c r="D12" s="144">
        <v>2020</v>
      </c>
      <c r="E12" s="144">
        <v>2025</v>
      </c>
      <c r="F12" s="144">
        <v>2030</v>
      </c>
      <c r="G12" s="145">
        <v>2035</v>
      </c>
      <c r="J12" s="146"/>
      <c r="K12" s="147"/>
      <c r="L12" s="148"/>
      <c r="M12" s="149"/>
      <c r="O12" s="417"/>
      <c r="P12" s="418">
        <v>2000</v>
      </c>
      <c r="Q12" s="418">
        <v>2010</v>
      </c>
      <c r="R12" s="418">
        <v>2015</v>
      </c>
      <c r="S12" s="418">
        <v>2020</v>
      </c>
      <c r="T12" s="418">
        <v>2025</v>
      </c>
      <c r="U12" s="418">
        <v>2030</v>
      </c>
      <c r="V12" s="419">
        <v>2035</v>
      </c>
    </row>
    <row r="13" spans="1:30" ht="16.5" thickTop="1" thickBot="1" x14ac:dyDescent="0.3">
      <c r="A13" s="150" t="s">
        <v>101</v>
      </c>
      <c r="B13" s="151"/>
      <c r="C13" s="151"/>
      <c r="D13" s="151"/>
      <c r="E13" s="151"/>
      <c r="F13" s="151"/>
      <c r="G13" s="152"/>
      <c r="M13" s="153"/>
      <c r="O13" s="452" t="s">
        <v>101</v>
      </c>
      <c r="P13" s="453"/>
      <c r="Q13" s="453"/>
      <c r="R13" s="453"/>
      <c r="S13" s="453"/>
      <c r="T13" s="453"/>
      <c r="U13" s="453"/>
      <c r="V13" s="454"/>
      <c r="W13" s="26"/>
      <c r="X13" s="26"/>
    </row>
    <row r="14" spans="1:30" ht="15.75" thickBot="1" x14ac:dyDescent="0.3">
      <c r="A14" s="154" t="s">
        <v>97</v>
      </c>
      <c r="B14" s="155">
        <v>31.175000000000001</v>
      </c>
      <c r="C14" s="155">
        <v>31.937000000000001</v>
      </c>
      <c r="D14" s="155">
        <v>32.409999999999997</v>
      </c>
      <c r="E14" s="155">
        <v>32.963999999999999</v>
      </c>
      <c r="F14" s="155">
        <v>33.518000000000001</v>
      </c>
      <c r="G14" s="156">
        <v>33.898000000000003</v>
      </c>
      <c r="O14" s="455" t="s">
        <v>97</v>
      </c>
      <c r="P14" s="456">
        <v>27.77</v>
      </c>
      <c r="Q14" s="456">
        <v>31.175000000000001</v>
      </c>
      <c r="R14" s="456">
        <v>31.937000000000001</v>
      </c>
      <c r="S14" s="456">
        <f>R14*'Détail Transport'!E9</f>
        <v>32.71358358662615</v>
      </c>
      <c r="T14" s="456">
        <f>S14*'Détail Transport'!F9</f>
        <v>33.39309422492402</v>
      </c>
      <c r="U14" s="456">
        <f>T14*'Détail Transport'!G9</f>
        <v>34.169677811550159</v>
      </c>
      <c r="V14" s="457">
        <f>U14*'Détail Transport'!H9</f>
        <v>34.849188449848029</v>
      </c>
      <c r="W14" s="26"/>
      <c r="X14" s="26"/>
    </row>
    <row r="15" spans="1:30" ht="15.75" thickBot="1" x14ac:dyDescent="0.3">
      <c r="A15" s="154" t="s">
        <v>103</v>
      </c>
      <c r="B15" s="155">
        <v>4.8499999999999996</v>
      </c>
      <c r="C15" s="155">
        <v>4.9189999999999996</v>
      </c>
      <c r="D15" s="155">
        <v>5.1059999999999999</v>
      </c>
      <c r="E15" s="155">
        <v>5.4219999999999997</v>
      </c>
      <c r="F15" s="155">
        <v>5.7370000000000001</v>
      </c>
      <c r="G15" s="156">
        <v>5.8949999999999996</v>
      </c>
      <c r="J15" s="840" t="s">
        <v>403</v>
      </c>
      <c r="K15" s="840"/>
      <c r="L15" s="840"/>
      <c r="M15" s="840"/>
      <c r="O15" s="455" t="s">
        <v>103</v>
      </c>
      <c r="P15" s="456">
        <v>3.7</v>
      </c>
      <c r="Q15" s="456">
        <v>4.8499999999999996</v>
      </c>
      <c r="R15" s="456">
        <v>4.9189999999999996</v>
      </c>
      <c r="S15" s="456">
        <v>5.1059999999999999</v>
      </c>
      <c r="T15" s="456">
        <v>5.4219999999999997</v>
      </c>
      <c r="U15" s="456">
        <v>5.7370000000000001</v>
      </c>
      <c r="V15" s="457">
        <v>5.8949999999999996</v>
      </c>
      <c r="W15" s="26"/>
      <c r="X15" s="26"/>
    </row>
    <row r="16" spans="1:30" ht="15.75" thickBot="1" x14ac:dyDescent="0.3">
      <c r="A16" s="157" t="s">
        <v>105</v>
      </c>
      <c r="B16" s="158"/>
      <c r="C16" s="158"/>
      <c r="D16" s="158"/>
      <c r="E16" s="158"/>
      <c r="F16" s="158"/>
      <c r="G16" s="159"/>
      <c r="J16" s="840"/>
      <c r="K16" s="840"/>
      <c r="L16" s="840"/>
      <c r="M16" s="840"/>
      <c r="O16" s="452" t="s">
        <v>105</v>
      </c>
      <c r="P16" s="458"/>
      <c r="Q16" s="458"/>
      <c r="R16" s="459"/>
      <c r="S16" s="460"/>
      <c r="T16" s="460"/>
      <c r="U16" s="460"/>
      <c r="V16" s="461"/>
      <c r="W16" s="26"/>
      <c r="X16" s="26"/>
    </row>
    <row r="17" spans="1:25" ht="15.75" thickBot="1" x14ac:dyDescent="0.3">
      <c r="A17" s="154" t="s">
        <v>97</v>
      </c>
      <c r="B17" s="155">
        <v>2.0379999999999998</v>
      </c>
      <c r="C17" s="155">
        <v>2.0289999999999999</v>
      </c>
      <c r="D17" s="155">
        <v>1.988</v>
      </c>
      <c r="E17" s="155">
        <v>1.9810000000000001</v>
      </c>
      <c r="F17" s="155">
        <v>1.9750000000000001</v>
      </c>
      <c r="G17" s="156">
        <v>1.9750000000000001</v>
      </c>
      <c r="J17" s="840"/>
      <c r="K17" s="840"/>
      <c r="L17" s="840"/>
      <c r="M17" s="840"/>
      <c r="O17" s="455" t="s">
        <v>97</v>
      </c>
      <c r="P17" s="456">
        <v>2.1339999999999999</v>
      </c>
      <c r="Q17" s="456">
        <v>2.0379999999999998</v>
      </c>
      <c r="R17" s="462">
        <v>2.0289999999999999</v>
      </c>
      <c r="S17" s="462">
        <f>R17*'Détail Transport'!E12</f>
        <v>2.0549021276595743</v>
      </c>
      <c r="T17" s="456">
        <f>S17*'Détail Transport'!F12</f>
        <v>1.8822212765957447</v>
      </c>
      <c r="U17" s="456">
        <f>T17*'Détail Transport'!G12</f>
        <v>1.7786127659574469</v>
      </c>
      <c r="V17" s="457">
        <f>U17*'Détail Transport'!H12</f>
        <v>1.6836382978723403</v>
      </c>
      <c r="W17" s="26"/>
      <c r="X17" s="26"/>
    </row>
    <row r="18" spans="1:25" ht="15.75" thickBot="1" x14ac:dyDescent="0.3">
      <c r="A18" s="154" t="s">
        <v>103</v>
      </c>
      <c r="B18" s="160">
        <v>0.34100000000000003</v>
      </c>
      <c r="C18" s="160">
        <v>0.30599999999999999</v>
      </c>
      <c r="D18" s="160">
        <v>0.32900000000000001</v>
      </c>
      <c r="E18" s="160">
        <v>0.34300000000000003</v>
      </c>
      <c r="F18" s="160">
        <v>0.35699999999999998</v>
      </c>
      <c r="G18" s="161">
        <v>0.35699999999999998</v>
      </c>
      <c r="J18" s="840"/>
      <c r="K18" s="840"/>
      <c r="L18" s="840"/>
      <c r="M18" s="840"/>
      <c r="O18" s="455" t="s">
        <v>103</v>
      </c>
      <c r="P18" s="456">
        <v>0.30399999999999999</v>
      </c>
      <c r="Q18" s="456">
        <v>0.34100000000000003</v>
      </c>
      <c r="R18" s="456">
        <v>0.30599999999999999</v>
      </c>
      <c r="S18" s="456">
        <v>0.32900000000000001</v>
      </c>
      <c r="T18" s="456">
        <v>0.34300000000000003</v>
      </c>
      <c r="U18" s="456">
        <v>0.35699999999999998</v>
      </c>
      <c r="V18" s="457">
        <v>0.35699999999999998</v>
      </c>
      <c r="W18" s="26"/>
      <c r="X18" s="26"/>
    </row>
    <row r="19" spans="1:25" x14ac:dyDescent="0.25">
      <c r="A19" s="137" t="s">
        <v>106</v>
      </c>
      <c r="J19" s="840"/>
      <c r="K19" s="840"/>
      <c r="L19" s="840"/>
      <c r="M19" s="840"/>
      <c r="O19" s="26" t="s">
        <v>409</v>
      </c>
      <c r="P19" s="26"/>
      <c r="Q19" s="26"/>
      <c r="R19" s="26"/>
      <c r="S19" s="26"/>
      <c r="T19" s="26"/>
      <c r="U19" s="26"/>
      <c r="V19" s="26"/>
      <c r="W19" s="26"/>
      <c r="X19" s="26"/>
    </row>
    <row r="20" spans="1:25" x14ac:dyDescent="0.25">
      <c r="J20" s="840"/>
      <c r="K20" s="840"/>
      <c r="L20" s="840"/>
      <c r="M20" s="840"/>
      <c r="O20" s="26"/>
      <c r="P20" s="26"/>
      <c r="Q20" s="26"/>
      <c r="R20" s="26"/>
      <c r="S20" s="26"/>
      <c r="T20" s="26"/>
      <c r="U20" s="26"/>
      <c r="V20" s="26"/>
      <c r="W20" s="26"/>
      <c r="X20" s="26"/>
    </row>
    <row r="21" spans="1:25" x14ac:dyDescent="0.25">
      <c r="J21" s="840"/>
      <c r="K21" s="840"/>
      <c r="L21" s="840"/>
      <c r="M21" s="840"/>
      <c r="O21" s="26"/>
      <c r="P21" s="26"/>
      <c r="Q21" s="448"/>
      <c r="R21" s="30"/>
      <c r="S21" s="30"/>
      <c r="T21" s="30"/>
      <c r="U21" s="30"/>
      <c r="V21" s="30"/>
      <c r="W21" s="26"/>
      <c r="X21" s="26"/>
    </row>
    <row r="22" spans="1:25" x14ac:dyDescent="0.25">
      <c r="A22" s="141" t="s">
        <v>107</v>
      </c>
      <c r="B22" s="142"/>
      <c r="C22" s="142"/>
      <c r="D22" s="142"/>
      <c r="E22" s="142"/>
      <c r="F22" s="142"/>
      <c r="G22" s="142"/>
      <c r="H22" s="142"/>
      <c r="O22" s="28" t="s">
        <v>107</v>
      </c>
      <c r="P22" s="26"/>
      <c r="Q22" s="26"/>
      <c r="R22" s="26"/>
      <c r="S22" s="26"/>
      <c r="T22" s="26"/>
      <c r="U22" s="26"/>
      <c r="V22" s="26"/>
      <c r="W22" s="26"/>
      <c r="X22" s="26"/>
    </row>
    <row r="23" spans="1:25" ht="15.75" thickBot="1" x14ac:dyDescent="0.3">
      <c r="O23" s="26"/>
      <c r="P23" s="26"/>
      <c r="Q23" s="26"/>
      <c r="R23" s="26"/>
      <c r="S23" s="26"/>
      <c r="T23" s="26"/>
      <c r="U23" s="26"/>
      <c r="V23" s="26"/>
      <c r="W23" s="26"/>
      <c r="X23" s="26"/>
    </row>
    <row r="24" spans="1:25" ht="15.75" thickBot="1" x14ac:dyDescent="0.3">
      <c r="A24" s="162"/>
      <c r="B24" s="144">
        <v>2010</v>
      </c>
      <c r="C24" s="144">
        <v>2015</v>
      </c>
      <c r="D24" s="144">
        <v>2020</v>
      </c>
      <c r="E24" s="144">
        <v>2025</v>
      </c>
      <c r="F24" s="144">
        <v>2030</v>
      </c>
      <c r="G24" s="145">
        <v>2035</v>
      </c>
      <c r="K24" s="139" t="s">
        <v>201</v>
      </c>
      <c r="O24" s="463"/>
      <c r="P24" s="418">
        <v>2010</v>
      </c>
      <c r="Q24" s="418">
        <v>2015</v>
      </c>
      <c r="R24" s="418">
        <v>2020</v>
      </c>
      <c r="S24" s="418">
        <v>2025</v>
      </c>
      <c r="T24" s="418">
        <v>2030</v>
      </c>
      <c r="U24" s="419">
        <v>2035</v>
      </c>
    </row>
    <row r="25" spans="1:25" ht="15.75" thickBot="1" x14ac:dyDescent="0.3">
      <c r="A25" s="163" t="s">
        <v>110</v>
      </c>
      <c r="B25" s="446">
        <v>0.25330000000000003</v>
      </c>
      <c r="C25" s="446">
        <v>0.35489999999999999</v>
      </c>
      <c r="D25" s="446">
        <v>0.4335</v>
      </c>
      <c r="E25" s="446">
        <v>0.4284</v>
      </c>
      <c r="F25" s="446">
        <v>0.4234</v>
      </c>
      <c r="G25" s="447">
        <v>0.40229999999999999</v>
      </c>
      <c r="O25" s="54" t="s">
        <v>110</v>
      </c>
      <c r="P25" s="464">
        <v>0.25330000000000003</v>
      </c>
      <c r="Q25" s="464">
        <f>'Détail Transport'!J24</f>
        <v>0.37987496262119036</v>
      </c>
      <c r="R25" s="464">
        <f>'Détail Transport'!K24</f>
        <v>0.5590966121879124</v>
      </c>
      <c r="S25" s="464">
        <f>'Détail Transport'!L24</f>
        <v>0.49436775038183423</v>
      </c>
      <c r="T25" s="464">
        <f>'Détail Transport'!M24</f>
        <v>0.41057181691692801</v>
      </c>
      <c r="U25" s="465">
        <f>'Détail Transport'!N24</f>
        <v>0.3233333210666301</v>
      </c>
      <c r="V25" s="26"/>
      <c r="W25" s="26"/>
      <c r="X25" s="26"/>
      <c r="Y25" s="26"/>
    </row>
    <row r="26" spans="1:25" ht="15.75" thickBot="1" x14ac:dyDescent="0.3">
      <c r="A26" s="163" t="s">
        <v>111</v>
      </c>
      <c r="B26" s="446">
        <v>0.74629999999999996</v>
      </c>
      <c r="C26" s="446">
        <v>0.61650000000000005</v>
      </c>
      <c r="D26" s="446">
        <v>0.48</v>
      </c>
      <c r="E26" s="446">
        <v>0.4798</v>
      </c>
      <c r="F26" s="446">
        <v>0.47960000000000003</v>
      </c>
      <c r="G26" s="447">
        <v>0.47839999999999999</v>
      </c>
      <c r="O26" s="54" t="s">
        <v>111</v>
      </c>
      <c r="P26" s="464">
        <v>0.74629999999999996</v>
      </c>
      <c r="Q26" s="464">
        <f>'Détail Transport'!J23</f>
        <v>0.60358222261575023</v>
      </c>
      <c r="R26" s="464">
        <f>'Détail Transport'!K23</f>
        <v>0.39498945060429513</v>
      </c>
      <c r="S26" s="464">
        <f>'Détail Transport'!L23</f>
        <v>0.40992334048552742</v>
      </c>
      <c r="T26" s="464">
        <f>'Détail Transport'!M23</f>
        <v>0.42499637733682349</v>
      </c>
      <c r="U26" s="465">
        <f>'Détail Transport'!N23</f>
        <v>0.42469412587567662</v>
      </c>
      <c r="V26" s="26"/>
      <c r="W26" s="26"/>
      <c r="X26" s="26"/>
      <c r="Y26" s="26"/>
    </row>
    <row r="27" spans="1:25" ht="15.75" thickBot="1" x14ac:dyDescent="0.3">
      <c r="A27" s="163" t="s">
        <v>112</v>
      </c>
      <c r="B27" s="446">
        <v>4.0000000000000002E-4</v>
      </c>
      <c r="C27" s="446">
        <v>2.3E-3</v>
      </c>
      <c r="D27" s="446">
        <v>3.0000000000000001E-3</v>
      </c>
      <c r="E27" s="446">
        <v>3.0000000000000001E-3</v>
      </c>
      <c r="F27" s="446">
        <v>3.0000000000000001E-3</v>
      </c>
      <c r="G27" s="447">
        <v>3.0000000000000001E-3</v>
      </c>
      <c r="O27" s="54" t="s">
        <v>112</v>
      </c>
      <c r="P27" s="464">
        <v>4.0000000000000002E-4</v>
      </c>
      <c r="Q27" s="464">
        <v>2.3E-3</v>
      </c>
      <c r="R27" s="464">
        <v>3.0000000000000001E-3</v>
      </c>
      <c r="S27" s="464">
        <v>3.0000000000000001E-3</v>
      </c>
      <c r="T27" s="464">
        <v>3.0000000000000001E-3</v>
      </c>
      <c r="U27" s="465">
        <v>3.0000000000000001E-3</v>
      </c>
      <c r="V27" s="26"/>
      <c r="W27" s="26"/>
      <c r="X27" s="26"/>
      <c r="Y27" s="26"/>
    </row>
    <row r="28" spans="1:25" ht="15.75" thickBot="1" x14ac:dyDescent="0.3">
      <c r="A28" s="163" t="s">
        <v>114</v>
      </c>
      <c r="B28" s="446">
        <v>0</v>
      </c>
      <c r="C28" s="446">
        <v>1.47E-2</v>
      </c>
      <c r="D28" s="446">
        <v>3.9E-2</v>
      </c>
      <c r="E28" s="446">
        <v>3.9E-2</v>
      </c>
      <c r="F28" s="446">
        <v>3.9E-2</v>
      </c>
      <c r="G28" s="447">
        <v>3.9E-2</v>
      </c>
      <c r="O28" s="54" t="s">
        <v>114</v>
      </c>
      <c r="P28" s="464">
        <v>0</v>
      </c>
      <c r="Q28" s="464">
        <f>'Détail Transport'!J25</f>
        <v>1.0682111072294533E-2</v>
      </c>
      <c r="R28" s="464">
        <f>'Détail Transport'!K25</f>
        <v>3.218545290584434E-2</v>
      </c>
      <c r="S28" s="464">
        <f>'Détail Transport'!L25</f>
        <v>6.9531681849478749E-2</v>
      </c>
      <c r="T28" s="464">
        <f>'Détail Transport'!M25</f>
        <v>0.1210738543096864</v>
      </c>
      <c r="U28" s="465">
        <f>'Détail Transport'!N25</f>
        <v>0.18631229368079913</v>
      </c>
      <c r="V28" s="26"/>
      <c r="W28" s="26"/>
      <c r="X28" s="26"/>
      <c r="Y28" s="26"/>
    </row>
    <row r="29" spans="1:25" ht="15.75" thickBot="1" x14ac:dyDescent="0.3">
      <c r="A29" s="163" t="s">
        <v>116</v>
      </c>
      <c r="B29" s="446">
        <v>0</v>
      </c>
      <c r="C29" s="446">
        <v>1.1599999999999999E-2</v>
      </c>
      <c r="D29" s="446">
        <v>4.4499999999999998E-2</v>
      </c>
      <c r="E29" s="446">
        <v>4.9799999999999997E-2</v>
      </c>
      <c r="F29" s="446">
        <v>5.5E-2</v>
      </c>
      <c r="G29" s="447">
        <v>7.7299999999999994E-2</v>
      </c>
      <c r="O29" s="54" t="s">
        <v>116</v>
      </c>
      <c r="P29" s="464">
        <v>0</v>
      </c>
      <c r="Q29" s="464">
        <f>'Détail Transport'!J26</f>
        <v>3.5607036907648439E-3</v>
      </c>
      <c r="R29" s="464">
        <f>'Détail Transport'!K26</f>
        <v>1.0728484301948114E-2</v>
      </c>
      <c r="S29" s="464">
        <f>'Détail Transport'!L26</f>
        <v>2.3177227283159584E-2</v>
      </c>
      <c r="T29" s="464">
        <f>'Détail Transport'!M26</f>
        <v>4.035795143656213E-2</v>
      </c>
      <c r="U29" s="465">
        <f>'Détail Transport'!N26</f>
        <v>6.2104097893599705E-2</v>
      </c>
      <c r="V29" s="26"/>
      <c r="W29" s="26"/>
      <c r="X29" s="26"/>
      <c r="Y29" s="26"/>
    </row>
    <row r="30" spans="1:25" x14ac:dyDescent="0.25">
      <c r="A30" s="137" t="s">
        <v>117</v>
      </c>
      <c r="O30" s="26" t="s">
        <v>406</v>
      </c>
      <c r="P30" s="26"/>
      <c r="Q30" s="26"/>
      <c r="R30" s="26"/>
      <c r="S30" s="26"/>
      <c r="T30" s="26"/>
      <c r="U30" s="26"/>
      <c r="V30" s="26"/>
      <c r="W30" s="26"/>
      <c r="X30" s="26"/>
      <c r="Y30" s="26"/>
    </row>
    <row r="31" spans="1:25" x14ac:dyDescent="0.25">
      <c r="O31" s="26"/>
      <c r="P31" s="26"/>
      <c r="Q31" s="26"/>
      <c r="R31" s="26"/>
      <c r="S31" s="26"/>
      <c r="T31" s="26"/>
      <c r="U31" s="26"/>
      <c r="V31" s="26"/>
      <c r="W31" s="26"/>
      <c r="X31" s="26"/>
      <c r="Y31" s="26"/>
    </row>
    <row r="32" spans="1:25" x14ac:dyDescent="0.25">
      <c r="O32" s="26"/>
      <c r="P32" s="26"/>
      <c r="Q32" s="26"/>
      <c r="R32" s="26"/>
      <c r="S32" s="26"/>
      <c r="T32" s="26"/>
      <c r="U32" s="26"/>
      <c r="V32" s="26"/>
      <c r="W32" s="26"/>
      <c r="X32" s="26"/>
      <c r="Y32" s="26"/>
    </row>
    <row r="33" spans="1:36" x14ac:dyDescent="0.25">
      <c r="A33" s="164" t="s">
        <v>405</v>
      </c>
      <c r="O33" s="28" t="s">
        <v>411</v>
      </c>
      <c r="P33" s="26"/>
      <c r="Q33" s="26"/>
      <c r="R33" s="26"/>
      <c r="S33" s="26"/>
      <c r="T33" s="26"/>
      <c r="U33" s="26"/>
      <c r="V33" s="26"/>
      <c r="W33" s="26"/>
      <c r="X33" s="26"/>
      <c r="Y33" s="26"/>
    </row>
    <row r="34" spans="1:36" ht="15.75" thickBot="1" x14ac:dyDescent="0.3">
      <c r="O34" s="26"/>
      <c r="P34" s="26"/>
      <c r="Q34" s="26"/>
      <c r="R34" s="26"/>
      <c r="S34" s="26"/>
      <c r="T34" s="26"/>
      <c r="U34" s="26"/>
      <c r="V34" s="26"/>
      <c r="W34" s="26"/>
      <c r="X34" s="26"/>
      <c r="Y34" s="26"/>
    </row>
    <row r="35" spans="1:36" ht="15.75" thickBot="1" x14ac:dyDescent="0.3">
      <c r="A35" s="143" t="s">
        <v>118</v>
      </c>
      <c r="B35" s="144">
        <v>2010</v>
      </c>
      <c r="C35" s="144">
        <v>2015</v>
      </c>
      <c r="D35" s="144">
        <v>2020</v>
      </c>
      <c r="E35" s="144">
        <v>2025</v>
      </c>
      <c r="F35" s="144">
        <v>2030</v>
      </c>
      <c r="G35" s="145">
        <v>2035</v>
      </c>
      <c r="O35" s="417" t="s">
        <v>118</v>
      </c>
      <c r="P35" s="418">
        <v>2010</v>
      </c>
      <c r="Q35" s="418">
        <v>2015</v>
      </c>
      <c r="R35" s="418">
        <v>2020</v>
      </c>
      <c r="S35" s="418">
        <v>2025</v>
      </c>
      <c r="T35" s="418">
        <v>2030</v>
      </c>
      <c r="U35" s="419">
        <v>2035</v>
      </c>
      <c r="AF35" s="97"/>
      <c r="AJ35" s="491"/>
    </row>
    <row r="36" spans="1:36" ht="15.75" thickBot="1" x14ac:dyDescent="0.3">
      <c r="A36" s="163" t="s">
        <v>110</v>
      </c>
      <c r="B36" s="165">
        <v>13.37</v>
      </c>
      <c r="C36" s="165">
        <v>13.48</v>
      </c>
      <c r="D36" s="165">
        <v>14.51</v>
      </c>
      <c r="E36" s="165">
        <v>15.27</v>
      </c>
      <c r="F36" s="165">
        <v>16.04</v>
      </c>
      <c r="G36" s="166">
        <v>16.18</v>
      </c>
      <c r="O36" s="54" t="s">
        <v>110</v>
      </c>
      <c r="P36" s="40">
        <v>13.37</v>
      </c>
      <c r="Q36" s="40"/>
      <c r="R36" s="466">
        <v>16.185100478530039</v>
      </c>
      <c r="S36" s="466">
        <v>17.360495886163022</v>
      </c>
      <c r="T36" s="466">
        <v>17.4608896276637</v>
      </c>
      <c r="U36" s="467">
        <v>16.603345686609316</v>
      </c>
      <c r="V36" s="26"/>
      <c r="W36" s="26"/>
      <c r="X36" s="26"/>
      <c r="Y36" s="26"/>
      <c r="Z36" s="492"/>
      <c r="AA36" s="492"/>
      <c r="AB36" s="492"/>
      <c r="AC36" s="492"/>
      <c r="AD36" s="492"/>
      <c r="AF36" s="492"/>
      <c r="AG36" s="492"/>
      <c r="AH36" s="492"/>
      <c r="AI36" s="492"/>
      <c r="AJ36" s="492"/>
    </row>
    <row r="37" spans="1:36" ht="15.75" thickBot="1" x14ac:dyDescent="0.3">
      <c r="A37" s="163" t="s">
        <v>111</v>
      </c>
      <c r="B37" s="165">
        <v>22.61</v>
      </c>
      <c r="C37" s="165">
        <v>23.01</v>
      </c>
      <c r="D37" s="165">
        <v>21.74</v>
      </c>
      <c r="E37" s="165">
        <v>21.08</v>
      </c>
      <c r="F37" s="165">
        <v>20.420000000000002</v>
      </c>
      <c r="G37" s="166">
        <v>20.22</v>
      </c>
      <c r="O37" s="54" t="s">
        <v>111</v>
      </c>
      <c r="P37" s="40">
        <v>22.61</v>
      </c>
      <c r="Q37" s="40"/>
      <c r="R37" s="466">
        <v>20.941689498870002</v>
      </c>
      <c r="S37" s="466">
        <v>19.92223662558753</v>
      </c>
      <c r="T37" s="466">
        <v>19.52894155935072</v>
      </c>
      <c r="U37" s="467">
        <v>19.266228720347858</v>
      </c>
      <c r="V37" s="26"/>
      <c r="W37" s="26"/>
      <c r="X37" s="26"/>
      <c r="Y37" s="26"/>
      <c r="Z37" s="488"/>
      <c r="AA37" s="488"/>
      <c r="AB37" s="488"/>
      <c r="AC37" s="488"/>
      <c r="AD37" s="488"/>
      <c r="AF37" s="493"/>
      <c r="AG37" s="493"/>
      <c r="AH37" s="493"/>
      <c r="AI37" s="493"/>
      <c r="AJ37" s="493"/>
    </row>
    <row r="38" spans="1:36" ht="15.75" thickBot="1" x14ac:dyDescent="0.3">
      <c r="A38" s="163" t="s">
        <v>112</v>
      </c>
      <c r="B38" s="165">
        <v>0.05</v>
      </c>
      <c r="C38" s="165">
        <v>0.06</v>
      </c>
      <c r="D38" s="165">
        <v>0.08</v>
      </c>
      <c r="E38" s="165">
        <v>0.09</v>
      </c>
      <c r="F38" s="165">
        <v>0.1</v>
      </c>
      <c r="G38" s="166">
        <v>0.11</v>
      </c>
      <c r="O38" s="54" t="s">
        <v>112</v>
      </c>
      <c r="P38" s="40">
        <v>0.05</v>
      </c>
      <c r="Q38" s="40"/>
      <c r="R38" s="466">
        <v>0.08</v>
      </c>
      <c r="S38" s="466">
        <v>9.1999999999999998E-2</v>
      </c>
      <c r="T38" s="466">
        <v>0.10100000000000001</v>
      </c>
      <c r="U38" s="467">
        <v>0.108</v>
      </c>
      <c r="V38" s="26"/>
      <c r="W38" s="26"/>
      <c r="X38" s="26"/>
      <c r="Y38" s="26"/>
      <c r="Z38" s="488"/>
      <c r="AA38" s="488"/>
      <c r="AB38" s="488"/>
      <c r="AC38" s="488"/>
      <c r="AD38" s="488"/>
      <c r="AF38" s="493"/>
      <c r="AG38" s="493"/>
      <c r="AH38" s="493"/>
      <c r="AI38" s="493"/>
      <c r="AJ38" s="493"/>
    </row>
    <row r="39" spans="1:36" ht="15.75" thickBot="1" x14ac:dyDescent="0.3">
      <c r="A39" s="163" t="s">
        <v>114</v>
      </c>
      <c r="B39" s="165">
        <v>0</v>
      </c>
      <c r="C39" s="165">
        <v>0.17</v>
      </c>
      <c r="D39" s="165">
        <v>0.56999999999999995</v>
      </c>
      <c r="E39" s="165">
        <v>0.86</v>
      </c>
      <c r="F39" s="165">
        <v>1.1499999999999999</v>
      </c>
      <c r="G39" s="166">
        <v>1.28</v>
      </c>
      <c r="O39" s="54" t="s">
        <v>114</v>
      </c>
      <c r="P39" s="40">
        <v>0</v>
      </c>
      <c r="Q39" s="40"/>
      <c r="R39" s="466">
        <v>0.46200000000000002</v>
      </c>
      <c r="S39" s="466">
        <v>1.097</v>
      </c>
      <c r="T39" s="466">
        <v>2.1230000000000002</v>
      </c>
      <c r="U39" s="467">
        <v>3.53</v>
      </c>
      <c r="V39" s="26"/>
      <c r="W39" s="26"/>
      <c r="X39" s="26"/>
      <c r="Y39" s="26"/>
      <c r="Z39" s="488"/>
      <c r="AA39" s="488"/>
      <c r="AB39" s="488"/>
      <c r="AC39" s="488"/>
      <c r="AD39" s="488"/>
      <c r="AF39" s="493"/>
      <c r="AG39" s="493"/>
      <c r="AH39" s="493"/>
      <c r="AI39" s="493"/>
      <c r="AJ39" s="493"/>
    </row>
    <row r="40" spans="1:36" ht="15.75" thickBot="1" x14ac:dyDescent="0.3">
      <c r="A40" s="163" t="s">
        <v>116</v>
      </c>
      <c r="B40" s="165">
        <v>0</v>
      </c>
      <c r="C40" s="165">
        <v>0.13</v>
      </c>
      <c r="D40" s="165">
        <v>0.62</v>
      </c>
      <c r="E40" s="165">
        <v>1.08</v>
      </c>
      <c r="F40" s="165">
        <v>1.54</v>
      </c>
      <c r="G40" s="166">
        <v>2</v>
      </c>
      <c r="O40" s="54" t="s">
        <v>116</v>
      </c>
      <c r="P40" s="40">
        <v>0</v>
      </c>
      <c r="Q40" s="40"/>
      <c r="R40" s="466">
        <v>0.10621002259996197</v>
      </c>
      <c r="S40" s="466">
        <v>0.29526748824944887</v>
      </c>
      <c r="T40" s="466">
        <v>0.64116881298557926</v>
      </c>
      <c r="U40" s="467">
        <v>1.1754255930428215</v>
      </c>
      <c r="V40" s="26"/>
      <c r="W40" s="26"/>
      <c r="X40" s="26"/>
      <c r="Y40" s="26"/>
      <c r="Z40" s="488"/>
      <c r="AA40" s="488"/>
      <c r="AB40" s="488"/>
      <c r="AC40" s="488"/>
      <c r="AD40" s="488"/>
      <c r="AF40" s="493"/>
      <c r="AG40" s="493"/>
      <c r="AH40" s="493"/>
      <c r="AI40" s="493"/>
      <c r="AJ40" s="493"/>
    </row>
    <row r="41" spans="1:36" ht="15.75" thickBot="1" x14ac:dyDescent="0.3">
      <c r="A41" s="163" t="s">
        <v>87</v>
      </c>
      <c r="B41" s="165">
        <v>36.03</v>
      </c>
      <c r="C41" s="165">
        <v>36.86</v>
      </c>
      <c r="D41" s="165">
        <v>37.520000000000003</v>
      </c>
      <c r="E41" s="165">
        <v>38.39</v>
      </c>
      <c r="F41" s="165">
        <v>39.26</v>
      </c>
      <c r="G41" s="166">
        <v>39.79</v>
      </c>
      <c r="O41" s="54" t="s">
        <v>87</v>
      </c>
      <c r="P41" s="40">
        <v>36.03</v>
      </c>
      <c r="Q41" s="40"/>
      <c r="R41" s="466">
        <v>37.774999999999999</v>
      </c>
      <c r="S41" s="466">
        <v>38.767000000000003</v>
      </c>
      <c r="T41" s="466">
        <v>39.85499999999999</v>
      </c>
      <c r="U41" s="467">
        <v>40.682999999999993</v>
      </c>
      <c r="V41" s="26"/>
      <c r="W41" s="26"/>
      <c r="X41" s="26"/>
      <c r="Y41" s="26"/>
      <c r="Z41" s="493"/>
      <c r="AA41" s="493"/>
      <c r="AB41" s="493"/>
      <c r="AC41" s="493"/>
      <c r="AD41" s="493"/>
      <c r="AF41" s="493"/>
      <c r="AG41" s="493"/>
      <c r="AH41" s="493"/>
      <c r="AI41" s="493"/>
      <c r="AJ41" s="493"/>
    </row>
    <row r="42" spans="1:36" x14ac:dyDescent="0.25">
      <c r="A42" s="137" t="s">
        <v>119</v>
      </c>
      <c r="O42" s="26" t="s">
        <v>530</v>
      </c>
      <c r="P42" s="26"/>
      <c r="Q42" s="26"/>
      <c r="R42" s="26"/>
      <c r="S42" s="26"/>
      <c r="T42" s="26"/>
      <c r="U42" s="449"/>
      <c r="V42" s="26"/>
      <c r="W42" s="26"/>
      <c r="X42" s="26"/>
      <c r="Y42" s="26"/>
    </row>
    <row r="43" spans="1:36" x14ac:dyDescent="0.25">
      <c r="O43" s="26"/>
      <c r="P43" s="26"/>
      <c r="Q43" s="26"/>
      <c r="R43" s="26"/>
      <c r="S43" s="26"/>
      <c r="T43" s="26"/>
      <c r="U43" s="26"/>
      <c r="V43" s="26"/>
      <c r="W43" s="26"/>
      <c r="X43" s="26"/>
      <c r="Y43" s="26"/>
    </row>
    <row r="44" spans="1:36" x14ac:dyDescent="0.25">
      <c r="A44" s="141" t="s">
        <v>120</v>
      </c>
      <c r="B44" s="142"/>
      <c r="C44" s="142"/>
      <c r="D44" s="142"/>
      <c r="E44" s="142"/>
      <c r="F44" s="142"/>
      <c r="G44" s="142"/>
      <c r="O44" s="451" t="s">
        <v>305</v>
      </c>
      <c r="P44" s="26"/>
      <c r="Q44" s="26"/>
      <c r="R44" s="26"/>
      <c r="S44" s="26"/>
      <c r="T44" s="26"/>
      <c r="U44" s="26"/>
      <c r="V44" s="26"/>
      <c r="W44" s="26"/>
      <c r="X44" s="26"/>
      <c r="Y44" s="26"/>
    </row>
    <row r="45" spans="1:36" ht="15.75" thickBot="1" x14ac:dyDescent="0.3">
      <c r="O45" s="26"/>
      <c r="P45" s="26"/>
      <c r="Q45" s="26"/>
      <c r="R45" s="26"/>
      <c r="S45" s="26"/>
      <c r="T45" s="26"/>
      <c r="U45" s="26"/>
      <c r="V45" s="26"/>
      <c r="W45" s="26"/>
      <c r="X45" s="26"/>
      <c r="Y45" s="26"/>
    </row>
    <row r="46" spans="1:36" ht="15.75" thickBot="1" x14ac:dyDescent="0.3">
      <c r="A46" s="172"/>
      <c r="B46" s="173">
        <v>2010</v>
      </c>
      <c r="C46" s="173">
        <v>2015</v>
      </c>
      <c r="D46" s="173">
        <v>2020</v>
      </c>
      <c r="E46" s="173">
        <v>2025</v>
      </c>
      <c r="F46" s="173">
        <v>2030</v>
      </c>
      <c r="G46" s="174">
        <v>2035</v>
      </c>
      <c r="O46" s="172"/>
      <c r="P46" s="173">
        <v>2010</v>
      </c>
      <c r="Q46" s="173">
        <v>2015</v>
      </c>
      <c r="R46" s="173">
        <v>2020</v>
      </c>
      <c r="S46" s="173">
        <v>2025</v>
      </c>
      <c r="T46" s="173">
        <v>2030</v>
      </c>
      <c r="U46" s="174">
        <v>2035</v>
      </c>
    </row>
    <row r="47" spans="1:36" ht="15.75" thickBot="1" x14ac:dyDescent="0.3">
      <c r="A47" s="175" t="s">
        <v>121</v>
      </c>
      <c r="B47" s="176">
        <v>145</v>
      </c>
      <c r="C47" s="176">
        <v>129</v>
      </c>
      <c r="D47" s="176">
        <v>156</v>
      </c>
      <c r="E47" s="176">
        <v>173</v>
      </c>
      <c r="F47" s="176">
        <v>173</v>
      </c>
      <c r="G47" s="177">
        <v>175</v>
      </c>
      <c r="O47" s="175" t="s">
        <v>121</v>
      </c>
      <c r="P47" s="176">
        <v>145</v>
      </c>
      <c r="Q47" s="176"/>
      <c r="R47" s="468">
        <v>140.2363816325506</v>
      </c>
      <c r="S47" s="468">
        <v>146.25321980799464</v>
      </c>
      <c r="T47" s="468">
        <v>151.64665207709174</v>
      </c>
      <c r="U47" s="469">
        <v>157.83163033290523</v>
      </c>
      <c r="V47" s="230"/>
      <c r="W47" s="230"/>
      <c r="X47" s="230"/>
      <c r="Y47" s="230"/>
    </row>
    <row r="48" spans="1:36" ht="15.75" thickBot="1" x14ac:dyDescent="0.3">
      <c r="A48" s="178" t="s">
        <v>122</v>
      </c>
      <c r="B48" s="176">
        <v>98</v>
      </c>
      <c r="C48" s="176">
        <v>87</v>
      </c>
      <c r="D48" s="176">
        <v>104</v>
      </c>
      <c r="E48" s="176">
        <v>116</v>
      </c>
      <c r="F48" s="176">
        <v>116</v>
      </c>
      <c r="G48" s="177">
        <v>117</v>
      </c>
      <c r="O48" s="178" t="s">
        <v>122</v>
      </c>
      <c r="P48" s="176">
        <v>98</v>
      </c>
      <c r="Q48" s="176"/>
      <c r="R48" s="468">
        <v>93.804115674013104</v>
      </c>
      <c r="S48" s="468">
        <v>97.828778729567603</v>
      </c>
      <c r="T48" s="468">
        <v>101.4065031294443</v>
      </c>
      <c r="U48" s="469">
        <v>105.59378868000292</v>
      </c>
      <c r="V48" s="230"/>
      <c r="W48" s="230"/>
      <c r="X48" s="230"/>
      <c r="Y48" s="230"/>
    </row>
    <row r="49" spans="1:25" ht="15.75" thickBot="1" x14ac:dyDescent="0.3">
      <c r="A49" s="175" t="s">
        <v>123</v>
      </c>
      <c r="B49" s="179">
        <v>2180</v>
      </c>
      <c r="C49" s="179">
        <v>2118</v>
      </c>
      <c r="D49" s="179">
        <v>2211</v>
      </c>
      <c r="E49" s="179">
        <v>2356</v>
      </c>
      <c r="F49" s="179">
        <v>2502</v>
      </c>
      <c r="G49" s="180">
        <v>2565</v>
      </c>
      <c r="O49" s="175" t="s">
        <v>123</v>
      </c>
      <c r="P49" s="179">
        <v>2180</v>
      </c>
      <c r="Q49" s="179"/>
      <c r="R49" s="477">
        <v>2165.3144345330174</v>
      </c>
      <c r="S49" s="477">
        <v>2192.8533423497597</v>
      </c>
      <c r="T49" s="477">
        <v>2238.4092664715467</v>
      </c>
      <c r="U49" s="478">
        <v>2300.0844065328201</v>
      </c>
      <c r="V49" s="230"/>
      <c r="W49" s="230"/>
      <c r="X49" s="230"/>
      <c r="Y49" s="230"/>
    </row>
    <row r="50" spans="1:25" ht="15.75" thickBot="1" x14ac:dyDescent="0.3">
      <c r="A50" s="178" t="s">
        <v>124</v>
      </c>
      <c r="B50" s="179">
        <v>1458</v>
      </c>
      <c r="C50" s="179">
        <v>1417</v>
      </c>
      <c r="D50" s="179">
        <v>1479</v>
      </c>
      <c r="E50" s="179">
        <v>1576</v>
      </c>
      <c r="F50" s="179">
        <v>1673</v>
      </c>
      <c r="G50" s="180">
        <v>1716</v>
      </c>
      <c r="O50" s="178" t="s">
        <v>124</v>
      </c>
      <c r="P50" s="179">
        <v>1458</v>
      </c>
      <c r="Q50" s="179"/>
      <c r="R50" s="477">
        <v>1448.3788252591353</v>
      </c>
      <c r="S50" s="477">
        <v>1466.7996006977544</v>
      </c>
      <c r="T50" s="477">
        <v>1497.1222461182058</v>
      </c>
      <c r="U50" s="478">
        <v>1538.5264595298036</v>
      </c>
      <c r="V50" s="230"/>
      <c r="W50" s="230"/>
      <c r="X50" s="230"/>
      <c r="Y50" s="230"/>
    </row>
    <row r="51" spans="1:25" x14ac:dyDescent="0.25">
      <c r="O51" s="432" t="s">
        <v>410</v>
      </c>
      <c r="P51" s="432"/>
      <c r="Q51" s="432"/>
      <c r="R51" s="432"/>
      <c r="S51" s="432"/>
      <c r="T51" s="432"/>
      <c r="U51" s="432"/>
      <c r="V51" s="230"/>
      <c r="W51" s="230"/>
      <c r="X51" s="230"/>
      <c r="Y51" s="230"/>
    </row>
    <row r="52" spans="1:25" x14ac:dyDescent="0.25">
      <c r="O52" s="230"/>
      <c r="P52" s="230"/>
      <c r="Q52" s="230"/>
      <c r="R52" s="230"/>
      <c r="S52" s="230"/>
      <c r="T52" s="230"/>
      <c r="U52" s="230"/>
      <c r="V52" s="230"/>
      <c r="W52" s="230"/>
      <c r="X52" s="230"/>
      <c r="Y52" s="230"/>
    </row>
    <row r="53" spans="1:25" x14ac:dyDescent="0.25">
      <c r="J53" s="479"/>
      <c r="O53" s="230"/>
      <c r="P53" s="230"/>
      <c r="Q53" s="230"/>
      <c r="R53" s="230"/>
      <c r="S53" s="230"/>
      <c r="T53" s="230"/>
      <c r="U53" s="230"/>
      <c r="V53" s="230"/>
      <c r="W53" s="230"/>
      <c r="X53" s="230"/>
      <c r="Y53" s="230"/>
    </row>
    <row r="54" spans="1:25" x14ac:dyDescent="0.25">
      <c r="J54" s="479"/>
      <c r="O54" s="230"/>
      <c r="P54" s="230"/>
      <c r="Q54" s="230"/>
      <c r="R54" s="230"/>
      <c r="S54" s="230"/>
      <c r="T54" s="230"/>
      <c r="U54" s="230"/>
      <c r="V54" s="230"/>
      <c r="W54" s="230"/>
      <c r="X54" s="230"/>
      <c r="Y54" s="230"/>
    </row>
    <row r="55" spans="1:25" x14ac:dyDescent="0.25">
      <c r="A55" s="164" t="s">
        <v>125</v>
      </c>
      <c r="O55" s="450" t="s">
        <v>125</v>
      </c>
      <c r="P55" s="230"/>
      <c r="Q55" s="230"/>
      <c r="R55" s="230"/>
      <c r="S55" s="230"/>
      <c r="T55" s="230"/>
      <c r="U55" s="230"/>
      <c r="V55" s="230"/>
      <c r="W55" s="234"/>
      <c r="X55" s="230"/>
      <c r="Y55" s="230"/>
    </row>
    <row r="56" spans="1:25" ht="15.75" thickBot="1" x14ac:dyDescent="0.3">
      <c r="O56" s="230"/>
      <c r="P56" s="230"/>
      <c r="Q56" s="230"/>
      <c r="R56" s="230"/>
      <c r="S56" s="230"/>
      <c r="T56" s="230"/>
      <c r="U56" s="230"/>
      <c r="V56" s="230"/>
      <c r="W56" s="230"/>
      <c r="X56" s="230"/>
      <c r="Y56" s="230"/>
    </row>
    <row r="57" spans="1:25" ht="15.75" thickBot="1" x14ac:dyDescent="0.3">
      <c r="A57" s="181" t="s">
        <v>126</v>
      </c>
      <c r="B57" s="173">
        <v>2010</v>
      </c>
      <c r="C57" s="173">
        <v>2015</v>
      </c>
      <c r="D57" s="173">
        <v>2020</v>
      </c>
      <c r="E57" s="173">
        <v>2025</v>
      </c>
      <c r="F57" s="173">
        <v>2030</v>
      </c>
      <c r="G57" s="174">
        <v>2035</v>
      </c>
      <c r="O57" s="181" t="s">
        <v>126</v>
      </c>
      <c r="P57" s="173">
        <v>2010</v>
      </c>
      <c r="Q57" s="173">
        <v>2015</v>
      </c>
      <c r="R57" s="173">
        <v>2020</v>
      </c>
      <c r="S57" s="173">
        <v>2025</v>
      </c>
      <c r="T57" s="173">
        <v>2030</v>
      </c>
      <c r="U57" s="174">
        <v>2035</v>
      </c>
    </row>
    <row r="58" spans="1:25" ht="15.75" thickBot="1" x14ac:dyDescent="0.3">
      <c r="A58" s="175" t="s">
        <v>127</v>
      </c>
      <c r="B58" s="176">
        <v>88</v>
      </c>
      <c r="C58" s="176">
        <v>95</v>
      </c>
      <c r="D58" s="176">
        <v>103</v>
      </c>
      <c r="E58" s="176">
        <v>111</v>
      </c>
      <c r="F58" s="176">
        <v>119</v>
      </c>
      <c r="G58" s="177">
        <v>129</v>
      </c>
      <c r="O58" s="470" t="s">
        <v>127</v>
      </c>
      <c r="P58" s="471">
        <v>88</v>
      </c>
      <c r="Q58" s="471"/>
      <c r="R58" s="472">
        <v>111.502</v>
      </c>
      <c r="S58" s="472">
        <v>127.896</v>
      </c>
      <c r="T58" s="472">
        <v>146.30799999999999</v>
      </c>
      <c r="U58" s="473">
        <v>168.334</v>
      </c>
    </row>
    <row r="59" spans="1:25" x14ac:dyDescent="0.25">
      <c r="O59" s="432" t="s">
        <v>530</v>
      </c>
      <c r="P59" s="230"/>
      <c r="Q59" s="230"/>
      <c r="R59" s="230"/>
      <c r="S59" s="230"/>
      <c r="T59" s="230"/>
      <c r="U59" s="230"/>
      <c r="V59" s="230"/>
      <c r="W59" s="230"/>
      <c r="X59" s="230"/>
      <c r="Y59" s="230"/>
    </row>
    <row r="60" spans="1:25" x14ac:dyDescent="0.25">
      <c r="J60" s="479"/>
      <c r="O60" s="230"/>
      <c r="P60" s="230"/>
      <c r="Q60" s="230"/>
      <c r="R60" s="230"/>
      <c r="S60" s="230"/>
      <c r="T60" s="230"/>
      <c r="U60" s="230"/>
      <c r="V60" s="230"/>
      <c r="W60" s="230"/>
      <c r="X60" s="230"/>
      <c r="Y60" s="230"/>
    </row>
    <row r="61" spans="1:25" x14ac:dyDescent="0.25">
      <c r="J61" s="479"/>
      <c r="O61" s="230"/>
      <c r="P61" s="230"/>
      <c r="Q61" s="230"/>
      <c r="R61" s="230"/>
      <c r="S61" s="230"/>
      <c r="T61" s="230"/>
      <c r="U61" s="230"/>
      <c r="V61" s="230"/>
      <c r="W61" s="230"/>
      <c r="X61" s="230"/>
      <c r="Y61" s="230"/>
    </row>
    <row r="62" spans="1:25" x14ac:dyDescent="0.25">
      <c r="J62" s="479"/>
      <c r="O62" s="230"/>
      <c r="P62" s="230"/>
      <c r="Q62" s="230"/>
      <c r="R62" s="230"/>
      <c r="S62" s="230"/>
      <c r="T62" s="230"/>
      <c r="U62" s="230"/>
      <c r="V62" s="230"/>
      <c r="W62" s="230"/>
      <c r="X62" s="230"/>
      <c r="Y62" s="230"/>
    </row>
    <row r="63" spans="1:25" x14ac:dyDescent="0.25">
      <c r="J63" s="479"/>
      <c r="O63" s="230"/>
      <c r="P63" s="230"/>
      <c r="Q63" s="230"/>
      <c r="R63" s="230"/>
      <c r="S63" s="230"/>
      <c r="T63" s="230"/>
      <c r="U63" s="230"/>
      <c r="V63" s="230"/>
      <c r="W63" s="230"/>
      <c r="X63" s="230"/>
      <c r="Y63" s="230"/>
    </row>
    <row r="64" spans="1:25" x14ac:dyDescent="0.25">
      <c r="A64" s="164" t="s">
        <v>128</v>
      </c>
      <c r="O64" s="474" t="s">
        <v>128</v>
      </c>
      <c r="P64" s="230"/>
      <c r="Q64" s="230"/>
      <c r="R64" s="230"/>
      <c r="S64" s="230"/>
      <c r="T64" s="230"/>
      <c r="U64" s="230"/>
      <c r="V64" s="230"/>
      <c r="W64" s="230"/>
      <c r="X64" s="230"/>
      <c r="Y64" s="230"/>
    </row>
    <row r="65" spans="1:30" ht="15.75" thickBot="1" x14ac:dyDescent="0.3">
      <c r="O65" s="230"/>
      <c r="P65" s="230"/>
      <c r="Q65" s="230"/>
      <c r="R65" s="230"/>
      <c r="S65" s="230"/>
      <c r="T65" s="230"/>
      <c r="U65" s="230"/>
      <c r="V65" s="230"/>
      <c r="W65" s="230"/>
      <c r="X65" s="230"/>
      <c r="Y65" s="230"/>
    </row>
    <row r="66" spans="1:30" ht="15.75" thickBot="1" x14ac:dyDescent="0.3">
      <c r="A66" s="181" t="s">
        <v>126</v>
      </c>
      <c r="B66" s="173">
        <v>2010</v>
      </c>
      <c r="C66" s="173">
        <v>2015</v>
      </c>
      <c r="D66" s="173">
        <v>2020</v>
      </c>
      <c r="E66" s="173">
        <v>2025</v>
      </c>
      <c r="F66" s="173">
        <v>2030</v>
      </c>
      <c r="G66" s="174">
        <v>2035</v>
      </c>
      <c r="O66" s="181" t="s">
        <v>126</v>
      </c>
      <c r="P66" s="173">
        <v>2010</v>
      </c>
      <c r="Q66" s="173">
        <v>2015</v>
      </c>
      <c r="R66" s="173">
        <v>2020</v>
      </c>
      <c r="S66" s="173">
        <v>2025</v>
      </c>
      <c r="T66" s="173">
        <v>2030</v>
      </c>
      <c r="U66" s="174">
        <v>2035</v>
      </c>
    </row>
    <row r="67" spans="1:30" ht="15.75" thickBot="1" x14ac:dyDescent="0.3">
      <c r="A67" s="182" t="s">
        <v>129</v>
      </c>
      <c r="B67" s="176">
        <v>3576</v>
      </c>
      <c r="C67" s="176">
        <v>3585</v>
      </c>
      <c r="D67" s="176">
        <v>3365</v>
      </c>
      <c r="E67" s="176">
        <v>3278</v>
      </c>
      <c r="F67" s="176">
        <v>3191</v>
      </c>
      <c r="G67" s="177">
        <v>3206</v>
      </c>
      <c r="O67" s="182" t="s">
        <v>129</v>
      </c>
      <c r="P67" s="477">
        <v>3576</v>
      </c>
      <c r="Q67" s="477">
        <v>3585</v>
      </c>
      <c r="R67" s="477">
        <v>3365</v>
      </c>
      <c r="S67" s="477">
        <v>3278</v>
      </c>
      <c r="T67" s="477">
        <v>3191</v>
      </c>
      <c r="U67" s="478">
        <v>3206</v>
      </c>
      <c r="V67" s="26"/>
      <c r="W67" s="26"/>
      <c r="X67" s="26"/>
      <c r="Y67" s="26"/>
    </row>
    <row r="68" spans="1:30" x14ac:dyDescent="0.25">
      <c r="O68" s="230" t="s">
        <v>529</v>
      </c>
      <c r="P68" s="26"/>
      <c r="Q68" s="26"/>
      <c r="R68" s="26"/>
      <c r="S68" s="26"/>
      <c r="T68" s="26"/>
      <c r="U68" s="26"/>
      <c r="V68" s="26"/>
      <c r="W68" s="26"/>
      <c r="X68" s="26"/>
      <c r="Y68" s="26"/>
    </row>
    <row r="69" spans="1:30" x14ac:dyDescent="0.25">
      <c r="O69" s="26"/>
      <c r="P69" s="26"/>
      <c r="Q69" s="26"/>
      <c r="R69" s="26"/>
      <c r="S69" s="26"/>
      <c r="T69" s="26"/>
      <c r="U69" s="26"/>
      <c r="V69" s="26"/>
      <c r="W69" s="26"/>
      <c r="X69" s="26"/>
      <c r="Y69" s="26"/>
    </row>
    <row r="70" spans="1:30" x14ac:dyDescent="0.25">
      <c r="O70" s="26"/>
      <c r="P70" s="26"/>
      <c r="Q70" s="26"/>
      <c r="R70" s="26"/>
      <c r="S70" s="26"/>
      <c r="T70" s="26"/>
      <c r="U70" s="26"/>
      <c r="V70" s="26"/>
      <c r="W70" s="26"/>
      <c r="X70" s="26"/>
      <c r="Y70" s="26"/>
    </row>
    <row r="71" spans="1:30" x14ac:dyDescent="0.25">
      <c r="A71" s="141" t="s">
        <v>130</v>
      </c>
      <c r="B71" s="142"/>
      <c r="C71" s="142"/>
      <c r="D71" s="142"/>
      <c r="E71" s="142"/>
      <c r="F71" s="142"/>
      <c r="G71" s="142"/>
      <c r="O71" s="28" t="s">
        <v>130</v>
      </c>
      <c r="P71" s="26"/>
      <c r="Q71" s="26"/>
      <c r="R71" s="26"/>
      <c r="S71" s="26"/>
      <c r="T71" s="26"/>
      <c r="U71" s="26"/>
      <c r="V71" s="26"/>
      <c r="W71" s="26"/>
      <c r="X71" s="26"/>
      <c r="Y71" s="26"/>
    </row>
    <row r="72" spans="1:30" ht="15.75" thickBot="1" x14ac:dyDescent="0.3">
      <c r="O72" s="26"/>
      <c r="P72" s="26"/>
      <c r="Q72" s="26"/>
      <c r="R72" s="26"/>
      <c r="S72" s="26"/>
      <c r="T72" s="26"/>
      <c r="U72" s="26"/>
      <c r="V72" s="26"/>
      <c r="W72" s="26"/>
      <c r="X72" s="26"/>
      <c r="Y72" s="26"/>
    </row>
    <row r="73" spans="1:30" ht="15.75" thickBot="1" x14ac:dyDescent="0.3">
      <c r="A73" s="183"/>
      <c r="B73" s="184">
        <v>2010</v>
      </c>
      <c r="C73" s="184">
        <v>2015</v>
      </c>
      <c r="D73" s="184">
        <v>2020</v>
      </c>
      <c r="E73" s="184">
        <v>2025</v>
      </c>
      <c r="F73" s="184">
        <v>2030</v>
      </c>
      <c r="G73" s="185">
        <v>2035</v>
      </c>
      <c r="O73" s="183"/>
      <c r="P73" s="184">
        <v>2010</v>
      </c>
      <c r="Q73" s="184">
        <v>2015</v>
      </c>
      <c r="R73" s="184">
        <v>2020</v>
      </c>
      <c r="S73" s="184">
        <v>2025</v>
      </c>
      <c r="T73" s="184">
        <v>2030</v>
      </c>
      <c r="U73" s="185">
        <v>2035</v>
      </c>
    </row>
    <row r="74" spans="1:30" ht="15.75" thickBot="1" x14ac:dyDescent="0.3">
      <c r="A74" s="186" t="s">
        <v>132</v>
      </c>
      <c r="B74" s="187">
        <v>6.2</v>
      </c>
      <c r="C74" s="187">
        <v>5.8</v>
      </c>
      <c r="D74" s="187">
        <v>5.5</v>
      </c>
      <c r="E74" s="187">
        <v>5.3</v>
      </c>
      <c r="F74" s="187">
        <v>5.3</v>
      </c>
      <c r="G74" s="188">
        <v>5.3</v>
      </c>
      <c r="O74" s="186" t="s">
        <v>132</v>
      </c>
      <c r="P74" s="187">
        <v>6.2</v>
      </c>
      <c r="Q74" s="187">
        <v>5.8</v>
      </c>
      <c r="R74" s="155">
        <f>Q74*'Détail Transport'!E41</f>
        <v>5.0538527688502546</v>
      </c>
      <c r="S74" s="155">
        <f>R74*'Détail Transport'!F41</f>
        <v>4.9970741018464082</v>
      </c>
      <c r="T74" s="155">
        <f>S74*'Détail Transport'!G41</f>
        <v>4.9597825040714349</v>
      </c>
      <c r="U74" s="156">
        <f>T74*'Détail Transport'!H41</f>
        <v>4.894522207965232</v>
      </c>
      <c r="V74" s="26"/>
      <c r="W74" s="26"/>
      <c r="X74" s="26"/>
      <c r="Y74" s="26"/>
    </row>
    <row r="75" spans="1:30" ht="15.75" thickBot="1" x14ac:dyDescent="0.3">
      <c r="A75" s="186" t="s">
        <v>133</v>
      </c>
      <c r="B75" s="187">
        <v>5.4</v>
      </c>
      <c r="C75" s="187">
        <v>5.0999999999999996</v>
      </c>
      <c r="D75" s="187">
        <v>4.8</v>
      </c>
      <c r="E75" s="187">
        <v>4.5999999999999996</v>
      </c>
      <c r="F75" s="187">
        <v>4.5999999999999996</v>
      </c>
      <c r="G75" s="188">
        <v>4.5999999999999996</v>
      </c>
      <c r="O75" s="186" t="s">
        <v>133</v>
      </c>
      <c r="P75" s="187">
        <v>5.4</v>
      </c>
      <c r="Q75" s="187">
        <v>5.0999999999999996</v>
      </c>
      <c r="R75" s="155">
        <f>Q75*'Détail Transport'!E38</f>
        <v>4.6247593110562644</v>
      </c>
      <c r="S75" s="155">
        <f>R75*'Détail Transport'!F38</f>
        <v>4.4966962158908421</v>
      </c>
      <c r="T75" s="155">
        <f>S75*'Détail Transport'!G38</f>
        <v>4.4109541270285169</v>
      </c>
      <c r="U75" s="156">
        <f>T75*'Détail Transport'!H38</f>
        <v>4.3061582406412304</v>
      </c>
      <c r="V75" s="26"/>
      <c r="W75" s="26"/>
      <c r="X75" s="26"/>
      <c r="Y75" s="26"/>
    </row>
    <row r="76" spans="1:30" ht="15.75" thickBot="1" x14ac:dyDescent="0.3">
      <c r="A76" s="186" t="s">
        <v>134</v>
      </c>
      <c r="B76" s="187">
        <v>17.8</v>
      </c>
      <c r="C76" s="187">
        <v>17.8</v>
      </c>
      <c r="D76" s="187">
        <v>17.600000000000001</v>
      </c>
      <c r="E76" s="187">
        <v>17.3</v>
      </c>
      <c r="F76" s="187">
        <v>17</v>
      </c>
      <c r="G76" s="188">
        <v>16.899999999999999</v>
      </c>
      <c r="O76" s="186" t="s">
        <v>134</v>
      </c>
      <c r="P76" s="187">
        <v>17.8</v>
      </c>
      <c r="Q76" s="187">
        <v>17.8</v>
      </c>
      <c r="R76" s="155">
        <f>Q76*0.995^5</f>
        <v>17.359427805569378</v>
      </c>
      <c r="S76" s="155">
        <f>R76*0.995^5</f>
        <v>16.929760322290743</v>
      </c>
      <c r="T76" s="155">
        <f>S76*0.995^5</f>
        <v>16.510727644966241</v>
      </c>
      <c r="U76" s="156">
        <f>T76*0.995^5</f>
        <v>16.1020665488882</v>
      </c>
      <c r="V76" s="26"/>
      <c r="W76" s="26"/>
      <c r="X76" s="26"/>
      <c r="Y76" s="26"/>
    </row>
    <row r="77" spans="1:30" x14ac:dyDescent="0.25">
      <c r="A77" s="443" t="s">
        <v>135</v>
      </c>
      <c r="B77" s="168"/>
      <c r="C77" s="168"/>
      <c r="D77" s="168"/>
      <c r="E77" s="168"/>
      <c r="F77" s="168"/>
      <c r="G77" s="168"/>
      <c r="O77" s="26" t="s">
        <v>406</v>
      </c>
      <c r="P77" s="475"/>
      <c r="Q77" s="475"/>
      <c r="R77" s="475"/>
      <c r="S77" s="475"/>
      <c r="T77" s="475"/>
      <c r="U77" s="475"/>
      <c r="V77" s="26"/>
      <c r="W77" s="26"/>
      <c r="X77" s="26"/>
      <c r="Y77" s="26"/>
    </row>
    <row r="78" spans="1:30" x14ac:dyDescent="0.25">
      <c r="A78" s="137" t="s">
        <v>136</v>
      </c>
      <c r="O78" s="26"/>
      <c r="P78" s="26"/>
      <c r="Q78" s="26"/>
      <c r="R78" s="26"/>
      <c r="S78" s="26"/>
      <c r="T78" s="26"/>
      <c r="U78" s="26"/>
      <c r="V78" s="26"/>
      <c r="W78" s="26"/>
      <c r="X78" s="26"/>
      <c r="Y78" s="26"/>
    </row>
    <row r="79" spans="1:30" x14ac:dyDescent="0.25">
      <c r="O79" s="26"/>
      <c r="P79" s="26"/>
      <c r="Q79" s="26"/>
      <c r="R79" s="26"/>
      <c r="S79" s="26"/>
      <c r="T79" s="26"/>
      <c r="U79" s="26"/>
      <c r="V79" s="26"/>
      <c r="W79" s="26"/>
      <c r="X79" s="26"/>
      <c r="Y79" s="26"/>
    </row>
    <row r="80" spans="1:30" x14ac:dyDescent="0.25">
      <c r="O80" s="26"/>
      <c r="P80" s="26"/>
      <c r="Q80" s="26"/>
      <c r="R80" s="26"/>
      <c r="S80" s="26"/>
      <c r="T80" s="26"/>
      <c r="U80" s="26"/>
      <c r="V80" s="26"/>
      <c r="W80" s="26"/>
      <c r="X80" s="26"/>
      <c r="Y80" s="26"/>
      <c r="Z80" s="494"/>
      <c r="AA80" s="494"/>
      <c r="AB80" s="494"/>
      <c r="AC80" s="494"/>
      <c r="AD80" s="494"/>
    </row>
    <row r="81" spans="1:25" x14ac:dyDescent="0.25">
      <c r="A81" s="141" t="s">
        <v>138</v>
      </c>
      <c r="B81" s="142"/>
      <c r="C81" s="142"/>
      <c r="D81" s="142"/>
      <c r="E81" s="142"/>
      <c r="F81" s="142"/>
      <c r="O81" s="28" t="s">
        <v>138</v>
      </c>
      <c r="P81" s="26"/>
      <c r="Q81" s="26"/>
      <c r="R81" s="26"/>
      <c r="S81" s="26"/>
      <c r="T81" s="26"/>
      <c r="U81" s="26"/>
      <c r="V81" s="26"/>
      <c r="W81" s="234"/>
      <c r="X81" s="26"/>
      <c r="Y81" s="26"/>
    </row>
    <row r="82" spans="1:25" ht="15.75" thickBot="1" x14ac:dyDescent="0.3">
      <c r="O82" s="26"/>
      <c r="P82" s="26"/>
      <c r="Q82" s="26"/>
      <c r="R82" s="26"/>
      <c r="S82" s="26"/>
      <c r="T82" s="26"/>
      <c r="U82" s="26"/>
      <c r="V82" s="26"/>
      <c r="W82" s="26"/>
      <c r="X82" s="26"/>
      <c r="Y82" s="26"/>
    </row>
    <row r="83" spans="1:25" ht="15.75" thickBot="1" x14ac:dyDescent="0.3">
      <c r="A83" s="167" t="s">
        <v>139</v>
      </c>
      <c r="B83" s="144">
        <v>2010</v>
      </c>
      <c r="C83" s="144">
        <v>2015</v>
      </c>
      <c r="D83" s="144">
        <v>2020</v>
      </c>
      <c r="E83" s="144">
        <v>2025</v>
      </c>
      <c r="F83" s="144">
        <v>2030</v>
      </c>
      <c r="G83" s="145">
        <v>2035</v>
      </c>
      <c r="O83" s="167" t="s">
        <v>139</v>
      </c>
      <c r="P83" s="144">
        <v>2010</v>
      </c>
      <c r="Q83" s="144">
        <v>2015</v>
      </c>
      <c r="R83" s="144">
        <v>2020</v>
      </c>
      <c r="S83" s="144">
        <v>2025</v>
      </c>
      <c r="T83" s="144">
        <v>2030</v>
      </c>
      <c r="U83" s="228">
        <v>2035</v>
      </c>
    </row>
    <row r="84" spans="1:25" ht="15.75" thickBot="1" x14ac:dyDescent="0.3">
      <c r="A84" s="163" t="s">
        <v>137</v>
      </c>
      <c r="B84" s="165">
        <v>7.3</v>
      </c>
      <c r="C84" s="165">
        <v>6.2</v>
      </c>
      <c r="D84" s="165">
        <v>5.0999999999999996</v>
      </c>
      <c r="E84" s="165">
        <v>5.0999999999999996</v>
      </c>
      <c r="F84" s="165">
        <v>5.0999999999999996</v>
      </c>
      <c r="G84" s="166">
        <v>5.0999999999999996</v>
      </c>
      <c r="O84" s="163" t="s">
        <v>137</v>
      </c>
      <c r="P84" s="165">
        <v>7.3</v>
      </c>
      <c r="Q84" s="165">
        <v>6.2</v>
      </c>
      <c r="R84" s="165">
        <v>5.0999999999999996</v>
      </c>
      <c r="S84" s="165">
        <v>5.0999999999999996</v>
      </c>
      <c r="T84" s="165">
        <v>5.0999999999999996</v>
      </c>
      <c r="U84" s="166">
        <v>5.0999999999999996</v>
      </c>
      <c r="V84" s="26"/>
      <c r="W84" s="26"/>
      <c r="X84" s="26"/>
      <c r="Y84" s="26"/>
    </row>
    <row r="85" spans="1:25" x14ac:dyDescent="0.25">
      <c r="A85" s="137" t="s">
        <v>140</v>
      </c>
      <c r="O85" s="230" t="s">
        <v>529</v>
      </c>
      <c r="P85" s="137"/>
      <c r="Q85" s="137"/>
      <c r="R85" s="137"/>
      <c r="S85" s="137"/>
      <c r="T85" s="137"/>
      <c r="U85" s="137"/>
      <c r="V85" s="26"/>
      <c r="W85" s="26"/>
      <c r="X85" s="26"/>
      <c r="Y85" s="26"/>
    </row>
    <row r="86" spans="1:25" x14ac:dyDescent="0.25">
      <c r="O86" s="26"/>
      <c r="P86" s="26"/>
      <c r="Q86" s="26"/>
      <c r="R86" s="26"/>
      <c r="S86" s="26"/>
      <c r="T86" s="26"/>
      <c r="U86" s="26"/>
      <c r="V86" s="26"/>
      <c r="W86" s="26"/>
      <c r="X86" s="26"/>
      <c r="Y86" s="26"/>
    </row>
    <row r="87" spans="1:25" x14ac:dyDescent="0.25">
      <c r="O87" s="26"/>
      <c r="P87" s="26"/>
      <c r="Q87" s="26"/>
      <c r="R87" s="26"/>
      <c r="S87" s="26"/>
      <c r="T87" s="26"/>
      <c r="U87" s="26"/>
      <c r="V87" s="26"/>
      <c r="W87" s="26"/>
      <c r="X87" s="26"/>
      <c r="Y87" s="26"/>
    </row>
    <row r="88" spans="1:25" x14ac:dyDescent="0.25">
      <c r="A88" s="141" t="s">
        <v>141</v>
      </c>
      <c r="B88" s="142"/>
      <c r="C88" s="142"/>
      <c r="D88" s="142"/>
      <c r="E88" s="142"/>
      <c r="F88" s="142"/>
      <c r="O88" s="28" t="s">
        <v>141</v>
      </c>
      <c r="P88" s="26"/>
      <c r="Q88" s="26"/>
      <c r="R88" s="26"/>
      <c r="S88" s="26"/>
      <c r="T88" s="26"/>
      <c r="U88" s="26"/>
      <c r="V88" s="26"/>
      <c r="W88" s="234"/>
      <c r="X88" s="26"/>
      <c r="Y88" s="26"/>
    </row>
    <row r="89" spans="1:25" ht="15.75" thickBot="1" x14ac:dyDescent="0.3">
      <c r="O89" s="26"/>
      <c r="P89" s="26"/>
      <c r="Q89" s="26"/>
      <c r="R89" s="26"/>
      <c r="S89" s="26"/>
      <c r="T89" s="26"/>
      <c r="U89" s="26"/>
      <c r="V89" s="26"/>
      <c r="W89" s="26"/>
      <c r="X89" s="26"/>
      <c r="Y89" s="26"/>
    </row>
    <row r="90" spans="1:25" ht="15.75" thickBot="1" x14ac:dyDescent="0.3">
      <c r="A90" s="167" t="s">
        <v>139</v>
      </c>
      <c r="B90" s="144">
        <v>2010</v>
      </c>
      <c r="C90" s="144">
        <v>2015</v>
      </c>
      <c r="D90" s="144">
        <v>2020</v>
      </c>
      <c r="E90" s="144">
        <v>2025</v>
      </c>
      <c r="F90" s="144">
        <v>2030</v>
      </c>
      <c r="G90" s="145">
        <v>2035</v>
      </c>
      <c r="O90" s="167" t="s">
        <v>139</v>
      </c>
      <c r="P90" s="144">
        <v>2010</v>
      </c>
      <c r="Q90" s="144">
        <v>2015</v>
      </c>
      <c r="R90" s="144">
        <v>2020</v>
      </c>
      <c r="S90" s="144">
        <v>2025</v>
      </c>
      <c r="T90" s="144">
        <v>2030</v>
      </c>
      <c r="U90" s="228">
        <v>2035</v>
      </c>
    </row>
    <row r="91" spans="1:25" ht="15.75" thickBot="1" x14ac:dyDescent="0.3">
      <c r="A91" s="189" t="s">
        <v>142</v>
      </c>
      <c r="B91" s="190">
        <v>33</v>
      </c>
      <c r="C91" s="190">
        <v>33</v>
      </c>
      <c r="D91" s="190">
        <v>29.7</v>
      </c>
      <c r="E91" s="190">
        <v>29.7</v>
      </c>
      <c r="F91" s="190">
        <v>29.7</v>
      </c>
      <c r="G91" s="191">
        <v>29.7</v>
      </c>
      <c r="O91" s="189" t="s">
        <v>142</v>
      </c>
      <c r="P91" s="190">
        <v>33</v>
      </c>
      <c r="Q91" s="190">
        <v>33</v>
      </c>
      <c r="R91" s="190">
        <v>29.7</v>
      </c>
      <c r="S91" s="190">
        <v>29.7</v>
      </c>
      <c r="T91" s="190">
        <v>29.7</v>
      </c>
      <c r="U91" s="191">
        <v>29.7</v>
      </c>
      <c r="V91" s="26"/>
      <c r="W91" s="26"/>
      <c r="X91" s="26"/>
      <c r="Y91" s="26"/>
    </row>
    <row r="92" spans="1:25" ht="15.75" thickBot="1" x14ac:dyDescent="0.3">
      <c r="A92" s="189" t="s">
        <v>143</v>
      </c>
      <c r="B92" s="190">
        <v>35</v>
      </c>
      <c r="C92" s="190">
        <v>31.5</v>
      </c>
      <c r="D92" s="190">
        <v>31.5</v>
      </c>
      <c r="E92" s="190">
        <v>31.5</v>
      </c>
      <c r="F92" s="190">
        <v>31.5</v>
      </c>
      <c r="G92" s="191">
        <v>31.5</v>
      </c>
      <c r="O92" s="189" t="s">
        <v>143</v>
      </c>
      <c r="P92" s="190">
        <v>35</v>
      </c>
      <c r="Q92" s="190">
        <v>31.5</v>
      </c>
      <c r="R92" s="190">
        <v>31.5</v>
      </c>
      <c r="S92" s="190">
        <v>31.5</v>
      </c>
      <c r="T92" s="190">
        <v>31.5</v>
      </c>
      <c r="U92" s="191">
        <v>31.5</v>
      </c>
      <c r="V92" s="26"/>
      <c r="W92" s="26"/>
      <c r="X92" s="26"/>
      <c r="Y92" s="26"/>
    </row>
    <row r="93" spans="1:25" x14ac:dyDescent="0.25">
      <c r="A93" s="137" t="s">
        <v>140</v>
      </c>
      <c r="O93" s="230" t="s">
        <v>529</v>
      </c>
      <c r="P93" s="26"/>
      <c r="Q93" s="26"/>
      <c r="R93" s="26"/>
      <c r="S93" s="26"/>
      <c r="T93" s="26"/>
      <c r="U93" s="26"/>
      <c r="V93" s="26"/>
      <c r="W93" s="26"/>
      <c r="X93" s="26"/>
      <c r="Y93" s="26"/>
    </row>
    <row r="94" spans="1:25" x14ac:dyDescent="0.25">
      <c r="O94" s="26"/>
      <c r="P94" s="26"/>
      <c r="Q94" s="26"/>
      <c r="R94" s="26"/>
      <c r="S94" s="26"/>
      <c r="T94" s="26"/>
      <c r="U94" s="26"/>
      <c r="V94" s="26"/>
      <c r="W94" s="26"/>
      <c r="X94" s="26"/>
      <c r="Y94" s="26"/>
    </row>
    <row r="95" spans="1:25" x14ac:dyDescent="0.25">
      <c r="O95" s="26"/>
      <c r="P95" s="26"/>
      <c r="Q95" s="26"/>
      <c r="R95" s="26"/>
      <c r="S95" s="26"/>
      <c r="T95" s="26"/>
      <c r="U95" s="26"/>
      <c r="V95" s="26"/>
      <c r="W95" s="26"/>
      <c r="X95" s="26"/>
      <c r="Y95" s="26"/>
    </row>
    <row r="96" spans="1:25" x14ac:dyDescent="0.25">
      <c r="O96" s="26"/>
      <c r="P96" s="26"/>
      <c r="Q96" s="26"/>
      <c r="R96" s="26"/>
      <c r="S96" s="26"/>
      <c r="T96" s="26"/>
      <c r="U96" s="26"/>
      <c r="V96" s="26"/>
      <c r="W96" s="26"/>
      <c r="X96" s="26"/>
      <c r="Y96" s="26"/>
    </row>
    <row r="97" spans="1:29" x14ac:dyDescent="0.25">
      <c r="A97" s="141" t="s">
        <v>144</v>
      </c>
      <c r="B97" s="142"/>
      <c r="C97" s="142"/>
      <c r="O97" s="28" t="s">
        <v>144</v>
      </c>
      <c r="P97" s="26"/>
      <c r="Q97" s="26"/>
      <c r="R97" s="26"/>
      <c r="S97" s="26"/>
      <c r="T97" s="26"/>
      <c r="U97" s="26"/>
      <c r="V97" s="26"/>
      <c r="W97" s="26"/>
      <c r="X97" s="26"/>
      <c r="Y97" s="26"/>
    </row>
    <row r="98" spans="1:29" ht="15.75" thickBot="1" x14ac:dyDescent="0.3">
      <c r="O98" s="26"/>
      <c r="P98" s="26"/>
      <c r="Q98" s="26"/>
      <c r="R98" s="26"/>
      <c r="S98" s="26"/>
      <c r="T98" s="26"/>
      <c r="U98" s="26"/>
      <c r="V98" s="26"/>
      <c r="W98" s="26"/>
      <c r="X98" s="26"/>
      <c r="Y98" s="26"/>
    </row>
    <row r="99" spans="1:29" ht="15.75" thickBot="1" x14ac:dyDescent="0.3">
      <c r="A99" s="143"/>
      <c r="B99" s="144">
        <v>2010</v>
      </c>
      <c r="C99" s="144">
        <v>2015</v>
      </c>
      <c r="D99" s="144">
        <v>2020</v>
      </c>
      <c r="E99" s="144">
        <v>2025</v>
      </c>
      <c r="F99" s="144">
        <v>2030</v>
      </c>
      <c r="G99" s="145">
        <v>2035</v>
      </c>
      <c r="O99" s="417"/>
      <c r="P99" s="418">
        <v>2010</v>
      </c>
      <c r="Q99" s="418">
        <v>2015</v>
      </c>
      <c r="R99" s="418">
        <v>2020</v>
      </c>
      <c r="S99" s="418">
        <v>2025</v>
      </c>
      <c r="T99" s="418">
        <v>2030</v>
      </c>
      <c r="U99" s="419">
        <v>2035</v>
      </c>
    </row>
    <row r="100" spans="1:29" ht="15" customHeight="1" thickBot="1" x14ac:dyDescent="0.3">
      <c r="A100" s="163" t="s">
        <v>145</v>
      </c>
      <c r="B100" s="151"/>
      <c r="C100" s="151"/>
      <c r="D100" s="151"/>
      <c r="E100" s="151"/>
      <c r="F100" s="151"/>
      <c r="G100" s="152"/>
      <c r="O100" s="54" t="s">
        <v>145</v>
      </c>
      <c r="P100" s="481"/>
      <c r="Q100" s="481"/>
      <c r="R100" s="481"/>
      <c r="S100" s="481"/>
      <c r="T100" s="481"/>
      <c r="U100" s="482"/>
      <c r="V100" s="480"/>
      <c r="W100" s="476"/>
      <c r="X100" s="476"/>
      <c r="Y100" s="26"/>
    </row>
    <row r="101" spans="1:29" ht="15.75" thickBot="1" x14ac:dyDescent="0.3">
      <c r="A101" s="169" t="s">
        <v>143</v>
      </c>
      <c r="B101" s="151">
        <v>258</v>
      </c>
      <c r="C101" s="151">
        <v>264</v>
      </c>
      <c r="D101" s="151">
        <v>290</v>
      </c>
      <c r="E101" s="151">
        <v>324</v>
      </c>
      <c r="F101" s="151">
        <v>357</v>
      </c>
      <c r="G101" s="152">
        <v>387</v>
      </c>
      <c r="O101" s="483" t="s">
        <v>143</v>
      </c>
      <c r="P101" s="425">
        <f>'Détail Transport'!D167</f>
        <v>257.64562525256531</v>
      </c>
      <c r="Q101" s="425"/>
      <c r="R101" s="425">
        <f>'Détail Transport'!F167</f>
        <v>287.4188713326339</v>
      </c>
      <c r="S101" s="425">
        <f>'Détail Transport'!G167</f>
        <v>307.3087909123297</v>
      </c>
      <c r="T101" s="425">
        <f>'Détail Transport'!H167</f>
        <v>330.75521362755495</v>
      </c>
      <c r="U101" s="426">
        <f>'Détail Transport'!I167</f>
        <v>360.62211347993451</v>
      </c>
      <c r="V101" s="480"/>
      <c r="W101" s="476"/>
      <c r="X101" s="476"/>
      <c r="Y101" s="26"/>
    </row>
    <row r="102" spans="1:29" ht="15.75" thickBot="1" x14ac:dyDescent="0.3">
      <c r="A102" s="169" t="s">
        <v>146</v>
      </c>
      <c r="B102" s="151">
        <v>30</v>
      </c>
      <c r="C102" s="151">
        <v>37</v>
      </c>
      <c r="D102" s="151">
        <v>45</v>
      </c>
      <c r="E102" s="151">
        <v>57</v>
      </c>
      <c r="F102" s="151">
        <v>68</v>
      </c>
      <c r="G102" s="152">
        <v>83</v>
      </c>
      <c r="O102" s="483" t="s">
        <v>146</v>
      </c>
      <c r="P102" s="425">
        <f>'Détail Transport'!D168</f>
        <v>29.953617671292598</v>
      </c>
      <c r="Q102" s="425"/>
      <c r="R102" s="425">
        <f>'Détail Transport'!F168</f>
        <v>38.141648044672863</v>
      </c>
      <c r="S102" s="425">
        <f>'Détail Transport'!G168</f>
        <v>39.793482085832963</v>
      </c>
      <c r="T102" s="425">
        <f>'Détail Transport'!H168</f>
        <v>41.881533444647133</v>
      </c>
      <c r="U102" s="426">
        <f>'Détail Transport'!I168</f>
        <v>44.21801357146488</v>
      </c>
      <c r="V102" s="480"/>
      <c r="W102" s="476"/>
      <c r="X102" s="476"/>
      <c r="Y102" s="26"/>
    </row>
    <row r="103" spans="1:29" ht="15.75" thickBot="1" x14ac:dyDescent="0.3">
      <c r="A103" s="169" t="s">
        <v>98</v>
      </c>
      <c r="B103" s="151">
        <v>8</v>
      </c>
      <c r="C103" s="151">
        <v>9</v>
      </c>
      <c r="D103" s="151">
        <v>10</v>
      </c>
      <c r="E103" s="151">
        <v>12</v>
      </c>
      <c r="F103" s="151">
        <v>14</v>
      </c>
      <c r="G103" s="152">
        <v>16</v>
      </c>
      <c r="O103" s="483" t="s">
        <v>98</v>
      </c>
      <c r="P103" s="425">
        <f>'Détail Transport'!D169</f>
        <v>8.060456067811975</v>
      </c>
      <c r="Q103" s="425"/>
      <c r="R103" s="425">
        <f>'Détail Transport'!F169</f>
        <v>8.2372305055115067</v>
      </c>
      <c r="S103" s="425">
        <f>'Détail Transport'!G169</f>
        <v>8.4652513104867317</v>
      </c>
      <c r="T103" s="425">
        <f>'Détail Transport'!H169</f>
        <v>8.7041945853824263</v>
      </c>
      <c r="U103" s="426">
        <f>'Détail Transport'!I169</f>
        <v>9.2070593108196608</v>
      </c>
      <c r="V103" s="480"/>
      <c r="W103" s="476"/>
      <c r="X103" s="476"/>
      <c r="Y103" s="26"/>
    </row>
    <row r="104" spans="1:29" ht="15.75" thickBot="1" x14ac:dyDescent="0.3">
      <c r="A104" s="163" t="s">
        <v>147</v>
      </c>
      <c r="B104" s="170"/>
      <c r="C104" s="170"/>
      <c r="D104" s="170"/>
      <c r="E104" s="170"/>
      <c r="F104" s="170"/>
      <c r="G104" s="171"/>
      <c r="O104" s="54" t="s">
        <v>147</v>
      </c>
      <c r="P104" s="484"/>
      <c r="Q104" s="484"/>
      <c r="R104" s="484"/>
      <c r="S104" s="484"/>
      <c r="T104" s="484"/>
      <c r="U104" s="485"/>
      <c r="V104" s="480"/>
      <c r="W104" s="476"/>
      <c r="X104" s="476"/>
      <c r="Y104" s="26"/>
    </row>
    <row r="105" spans="1:29" ht="15.75" thickBot="1" x14ac:dyDescent="0.3">
      <c r="A105" s="169" t="s">
        <v>97</v>
      </c>
      <c r="B105" s="151">
        <v>906</v>
      </c>
      <c r="C105" s="151">
        <v>926</v>
      </c>
      <c r="D105" s="151">
        <v>941</v>
      </c>
      <c r="E105" s="151">
        <v>964</v>
      </c>
      <c r="F105" s="151">
        <v>986</v>
      </c>
      <c r="G105" s="152">
        <v>999</v>
      </c>
      <c r="O105" s="483" t="s">
        <v>97</v>
      </c>
      <c r="P105" s="425">
        <f>'Détail Transport'!D171</f>
        <v>817.90622099999996</v>
      </c>
      <c r="Q105" s="425"/>
      <c r="R105" s="425">
        <f>'Détail Transport'!F171</f>
        <v>848.97454774264793</v>
      </c>
      <c r="S105" s="425">
        <f>'Détail Transport'!G171</f>
        <v>867.13674236390659</v>
      </c>
      <c r="T105" s="425">
        <f>'Détail Transport'!H171</f>
        <v>893.01732621000122</v>
      </c>
      <c r="U105" s="426">
        <f>'Détail Transport'!I171</f>
        <v>936.46099471407138</v>
      </c>
      <c r="V105" s="480"/>
      <c r="W105" s="476"/>
      <c r="X105" s="476"/>
      <c r="Y105" s="26"/>
    </row>
    <row r="106" spans="1:29" ht="15.75" thickBot="1" x14ac:dyDescent="0.3">
      <c r="A106" s="169" t="s">
        <v>148</v>
      </c>
      <c r="B106" s="151">
        <v>50</v>
      </c>
      <c r="C106" s="151">
        <v>54</v>
      </c>
      <c r="D106" s="151">
        <v>58</v>
      </c>
      <c r="E106" s="151">
        <v>63</v>
      </c>
      <c r="F106" s="151">
        <v>68</v>
      </c>
      <c r="G106" s="152">
        <v>73</v>
      </c>
      <c r="O106" s="483" t="s">
        <v>148</v>
      </c>
      <c r="P106" s="425">
        <f>'Détail Transport'!D172</f>
        <v>50.008637814020872</v>
      </c>
      <c r="Q106" s="425"/>
      <c r="R106" s="425">
        <f>'Détail Transport'!F172</f>
        <v>63.109666815446573</v>
      </c>
      <c r="S106" s="425">
        <f>'Détail Transport'!G172</f>
        <v>65.974562106117816</v>
      </c>
      <c r="T106" s="425">
        <f>'Détail Transport'!H172</f>
        <v>69.354020185691581</v>
      </c>
      <c r="U106" s="426">
        <f>'Détail Transport'!I172</f>
        <v>73.618185837094671</v>
      </c>
      <c r="V106" s="480"/>
      <c r="W106" s="476"/>
      <c r="X106" s="476"/>
      <c r="Y106" s="26"/>
    </row>
    <row r="107" spans="1:29" ht="15.75" thickBot="1" x14ac:dyDescent="0.3">
      <c r="A107" s="169" t="s">
        <v>146</v>
      </c>
      <c r="B107" s="151">
        <v>100</v>
      </c>
      <c r="C107" s="151">
        <v>107</v>
      </c>
      <c r="D107" s="151">
        <v>113</v>
      </c>
      <c r="E107" s="151">
        <v>120</v>
      </c>
      <c r="F107" s="151">
        <v>128</v>
      </c>
      <c r="G107" s="152">
        <v>135</v>
      </c>
      <c r="O107" s="483" t="s">
        <v>146</v>
      </c>
      <c r="P107" s="425">
        <f>'Détail Transport'!D173</f>
        <v>100.30362801659594</v>
      </c>
      <c r="Q107" s="425"/>
      <c r="R107" s="425">
        <f>'Détail Transport'!F173</f>
        <v>113.57655548846716</v>
      </c>
      <c r="S107" s="425">
        <f>'Détail Transport'!G173</f>
        <v>120.0430635429164</v>
      </c>
      <c r="T107" s="425">
        <f>'Détail Transport'!H173</f>
        <v>127.37319232386353</v>
      </c>
      <c r="U107" s="426">
        <f>'Détail Transport'!I173</f>
        <v>133.65206666533962</v>
      </c>
      <c r="V107" s="480"/>
      <c r="W107" s="476"/>
      <c r="X107" s="476"/>
      <c r="Y107" s="26"/>
    </row>
    <row r="108" spans="1:29" ht="15.75" thickBot="1" x14ac:dyDescent="0.3">
      <c r="A108" s="169" t="s">
        <v>149</v>
      </c>
      <c r="B108" s="151">
        <v>13</v>
      </c>
      <c r="C108" s="151">
        <v>15</v>
      </c>
      <c r="D108" s="151">
        <v>18</v>
      </c>
      <c r="E108" s="151">
        <v>21</v>
      </c>
      <c r="F108" s="151">
        <v>24</v>
      </c>
      <c r="G108" s="152">
        <v>27</v>
      </c>
      <c r="O108" s="483" t="s">
        <v>524</v>
      </c>
      <c r="P108" s="425">
        <f>'Détail Transport'!D174</f>
        <v>12.7</v>
      </c>
      <c r="Q108" s="425"/>
      <c r="R108" s="425">
        <f>'Détail Transport'!F174</f>
        <v>14.306430325504659</v>
      </c>
      <c r="S108" s="425">
        <f>'Détail Transport'!G174</f>
        <v>15.449818700946581</v>
      </c>
      <c r="T108" s="425">
        <f>'Détail Transport'!H174</f>
        <v>16.876084326253309</v>
      </c>
      <c r="U108" s="426">
        <f>'Détail Transport'!I174</f>
        <v>18.844506928274853</v>
      </c>
      <c r="V108" s="480"/>
      <c r="W108" s="476"/>
      <c r="X108" s="476"/>
      <c r="Y108" s="26"/>
    </row>
    <row r="109" spans="1:29" x14ac:dyDescent="0.25">
      <c r="A109" s="137" t="s">
        <v>150</v>
      </c>
      <c r="O109" s="137" t="s">
        <v>532</v>
      </c>
      <c r="P109" s="26"/>
      <c r="Q109" s="26"/>
      <c r="R109" s="26"/>
      <c r="S109" s="26"/>
      <c r="T109" s="26"/>
      <c r="U109" s="26"/>
      <c r="V109" s="26"/>
      <c r="W109" s="26"/>
      <c r="X109" s="26"/>
      <c r="Y109" s="26"/>
    </row>
    <row r="110" spans="1:29" x14ac:dyDescent="0.25">
      <c r="O110" s="26"/>
      <c r="P110" s="26"/>
      <c r="Q110" s="26"/>
      <c r="R110" s="26"/>
      <c r="S110" s="26"/>
      <c r="T110" s="26"/>
      <c r="U110" s="26"/>
      <c r="V110" s="26"/>
      <c r="W110" s="26"/>
      <c r="X110" s="26"/>
      <c r="Y110" s="26"/>
    </row>
    <row r="111" spans="1:29" x14ac:dyDescent="0.25">
      <c r="A111" s="141" t="s">
        <v>151</v>
      </c>
      <c r="B111" s="142"/>
      <c r="C111" s="142"/>
      <c r="D111" s="142"/>
      <c r="O111" s="28" t="s">
        <v>151</v>
      </c>
      <c r="P111" s="26"/>
      <c r="Q111" s="26"/>
      <c r="R111" s="26"/>
      <c r="S111" s="26"/>
      <c r="T111" s="26"/>
      <c r="U111" s="820"/>
      <c r="V111" s="26"/>
      <c r="W111" s="26"/>
      <c r="X111" s="26"/>
      <c r="Y111" s="26"/>
      <c r="Z111" s="26"/>
      <c r="AA111" s="26"/>
      <c r="AB111" s="26"/>
      <c r="AC111" s="26"/>
    </row>
    <row r="112" spans="1:29" ht="15.75" thickBot="1" x14ac:dyDescent="0.3">
      <c r="O112" s="26"/>
      <c r="P112" s="26"/>
      <c r="Q112" s="26"/>
      <c r="R112" s="30"/>
      <c r="S112" s="30"/>
      <c r="T112" s="30"/>
      <c r="U112" s="30"/>
      <c r="V112" s="26"/>
      <c r="W112" s="26"/>
      <c r="X112" s="26"/>
      <c r="Y112" s="26"/>
    </row>
    <row r="113" spans="1:24" ht="15.75" thickBot="1" x14ac:dyDescent="0.3">
      <c r="A113" s="183" t="s">
        <v>152</v>
      </c>
      <c r="B113" s="144">
        <v>2010</v>
      </c>
      <c r="C113" s="144">
        <v>2015</v>
      </c>
      <c r="D113" s="144">
        <v>2020</v>
      </c>
      <c r="E113" s="144">
        <v>2025</v>
      </c>
      <c r="F113" s="144">
        <v>2030</v>
      </c>
      <c r="G113" s="228">
        <v>2035</v>
      </c>
      <c r="O113" s="183" t="s">
        <v>152</v>
      </c>
      <c r="P113" s="144">
        <v>2010</v>
      </c>
      <c r="Q113" s="144">
        <v>2015</v>
      </c>
      <c r="R113" s="144">
        <v>2020</v>
      </c>
      <c r="S113" s="144">
        <v>2025</v>
      </c>
      <c r="T113" s="144">
        <v>2030</v>
      </c>
      <c r="U113" s="228">
        <v>2035</v>
      </c>
    </row>
    <row r="114" spans="1:24" ht="15.75" thickBot="1" x14ac:dyDescent="0.3">
      <c r="A114" s="186" t="s">
        <v>97</v>
      </c>
      <c r="B114" s="255">
        <v>13758</v>
      </c>
      <c r="C114" s="255">
        <v>13744</v>
      </c>
      <c r="D114" s="255">
        <v>13730</v>
      </c>
      <c r="E114" s="255">
        <v>13741</v>
      </c>
      <c r="F114" s="255">
        <v>13752</v>
      </c>
      <c r="G114" s="256">
        <v>13742</v>
      </c>
      <c r="O114" s="186" t="s">
        <v>97</v>
      </c>
      <c r="P114" s="255">
        <v>13758</v>
      </c>
      <c r="Q114" s="255">
        <v>13744</v>
      </c>
      <c r="R114" s="486">
        <f>Q114*'Détail Transport'!E48</f>
        <v>13620.914068429865</v>
      </c>
      <c r="S114" s="486">
        <f>R114*'Détail Transport'!F48</f>
        <v>13556.308706231815</v>
      </c>
      <c r="T114" s="486">
        <f>S114*'Détail Transport'!G48</f>
        <v>13579.792295708328</v>
      </c>
      <c r="U114" s="487">
        <f>T114*'Détail Transport'!H48</f>
        <v>13950.59651472429</v>
      </c>
      <c r="V114" s="230"/>
      <c r="W114" s="230"/>
      <c r="X114" s="230"/>
    </row>
    <row r="115" spans="1:24" ht="15.75" thickBot="1" x14ac:dyDescent="0.3">
      <c r="A115" s="186" t="s">
        <v>153</v>
      </c>
      <c r="B115" s="255">
        <v>26325</v>
      </c>
      <c r="C115" s="255">
        <v>26325</v>
      </c>
      <c r="D115" s="255">
        <v>26325</v>
      </c>
      <c r="E115" s="255">
        <v>26325</v>
      </c>
      <c r="F115" s="255">
        <v>26325</v>
      </c>
      <c r="G115" s="256">
        <v>26325</v>
      </c>
      <c r="O115" s="186" t="s">
        <v>153</v>
      </c>
      <c r="P115" s="255">
        <v>26325</v>
      </c>
      <c r="Q115" s="255"/>
      <c r="R115" s="255">
        <v>26325.371485471507</v>
      </c>
      <c r="S115" s="255">
        <v>26325.371485471507</v>
      </c>
      <c r="T115" s="255">
        <v>26325.371485471507</v>
      </c>
      <c r="U115" s="256">
        <v>26325.371485471511</v>
      </c>
      <c r="V115" s="230"/>
      <c r="W115" s="230"/>
      <c r="X115" s="230"/>
    </row>
    <row r="116" spans="1:24" ht="15.75" thickBot="1" x14ac:dyDescent="0.3">
      <c r="A116" s="186" t="s">
        <v>143</v>
      </c>
      <c r="B116" s="255">
        <v>37694</v>
      </c>
      <c r="C116" s="255">
        <v>39331</v>
      </c>
      <c r="D116" s="255">
        <v>41026</v>
      </c>
      <c r="E116" s="255">
        <v>42603</v>
      </c>
      <c r="F116" s="255">
        <v>44639</v>
      </c>
      <c r="G116" s="256">
        <v>46376</v>
      </c>
      <c r="O116" s="186" t="s">
        <v>143</v>
      </c>
      <c r="P116" s="255">
        <v>37694</v>
      </c>
      <c r="Q116" s="255"/>
      <c r="R116" s="255">
        <v>40977.793475742423</v>
      </c>
      <c r="S116" s="255">
        <v>42495.750281162902</v>
      </c>
      <c r="T116" s="255">
        <v>44050.684261949442</v>
      </c>
      <c r="U116" s="256">
        <v>45963.655446055753</v>
      </c>
      <c r="V116" s="230"/>
      <c r="W116" s="230"/>
      <c r="X116" s="230"/>
    </row>
    <row r="117" spans="1:24" ht="15.75" thickBot="1" x14ac:dyDescent="0.3">
      <c r="A117" s="186" t="s">
        <v>148</v>
      </c>
      <c r="B117" s="255">
        <v>34438</v>
      </c>
      <c r="C117" s="255">
        <v>34438</v>
      </c>
      <c r="D117" s="255">
        <v>34438</v>
      </c>
      <c r="E117" s="255">
        <v>34438</v>
      </c>
      <c r="F117" s="255">
        <v>34438</v>
      </c>
      <c r="G117" s="256">
        <v>34438</v>
      </c>
      <c r="O117" s="186" t="s">
        <v>148</v>
      </c>
      <c r="P117" s="255">
        <v>34438</v>
      </c>
      <c r="Q117" s="255"/>
      <c r="R117" s="255">
        <v>34438</v>
      </c>
      <c r="S117" s="255">
        <v>34438</v>
      </c>
      <c r="T117" s="255">
        <v>34438</v>
      </c>
      <c r="U117" s="256">
        <v>34438</v>
      </c>
      <c r="V117" s="230"/>
      <c r="W117" s="230"/>
      <c r="X117" s="230"/>
    </row>
    <row r="118" spans="1:24" x14ac:dyDescent="0.25">
      <c r="O118" s="432" t="s">
        <v>531</v>
      </c>
      <c r="P118" s="432"/>
      <c r="Q118" s="432"/>
      <c r="R118" s="432"/>
      <c r="S118" s="432"/>
      <c r="T118" s="432"/>
      <c r="U118" s="432"/>
      <c r="V118" s="230"/>
      <c r="W118" s="230"/>
      <c r="X118" s="230"/>
    </row>
    <row r="119" spans="1:24" x14ac:dyDescent="0.25">
      <c r="O119" s="230"/>
      <c r="P119" s="230"/>
      <c r="Q119" s="230"/>
      <c r="R119" s="230"/>
      <c r="S119" s="230"/>
      <c r="T119" s="230"/>
      <c r="U119" s="230"/>
      <c r="V119" s="230"/>
      <c r="W119" s="230"/>
      <c r="X119" s="230"/>
    </row>
    <row r="120" spans="1:24" x14ac:dyDescent="0.25">
      <c r="O120" s="230"/>
      <c r="P120" s="230"/>
      <c r="Q120" s="230"/>
      <c r="R120" s="230"/>
      <c r="S120" s="230"/>
      <c r="T120" s="230"/>
      <c r="U120" s="230"/>
      <c r="V120" s="230"/>
      <c r="W120" s="230"/>
      <c r="X120" s="230"/>
    </row>
    <row r="121" spans="1:24" x14ac:dyDescent="0.25">
      <c r="A121" s="254" t="s">
        <v>307</v>
      </c>
      <c r="O121" s="254" t="s">
        <v>307</v>
      </c>
      <c r="P121" s="230"/>
      <c r="Q121" s="230"/>
      <c r="R121" s="230"/>
      <c r="S121" s="230"/>
      <c r="T121" s="230"/>
      <c r="U121" s="230"/>
      <c r="V121" s="230"/>
      <c r="W121" s="230"/>
      <c r="X121" s="230"/>
    </row>
    <row r="122" spans="1:24" ht="15.75" thickBot="1" x14ac:dyDescent="0.3">
      <c r="O122" s="230"/>
      <c r="P122" s="230"/>
      <c r="Q122" s="230"/>
      <c r="R122" s="230"/>
      <c r="S122" s="230"/>
      <c r="T122" s="230"/>
      <c r="U122" s="230"/>
      <c r="V122" s="230"/>
      <c r="W122" s="230"/>
      <c r="X122" s="230"/>
    </row>
    <row r="123" spans="1:24" ht="15.75" thickBot="1" x14ac:dyDescent="0.3">
      <c r="A123" s="183" t="s">
        <v>533</v>
      </c>
      <c r="B123" s="144">
        <v>2010</v>
      </c>
      <c r="C123" s="144">
        <v>2015</v>
      </c>
      <c r="D123" s="144">
        <v>2020</v>
      </c>
      <c r="E123" s="144">
        <v>2025</v>
      </c>
      <c r="F123" s="144">
        <v>2030</v>
      </c>
      <c r="G123" s="228">
        <v>2035</v>
      </c>
      <c r="O123" s="183" t="s">
        <v>533</v>
      </c>
      <c r="P123" s="144">
        <v>2010</v>
      </c>
      <c r="Q123" s="144"/>
      <c r="R123" s="144">
        <v>2020</v>
      </c>
      <c r="S123" s="144">
        <v>2025</v>
      </c>
      <c r="T123" s="144">
        <v>2030</v>
      </c>
      <c r="U123" s="228">
        <v>2035</v>
      </c>
    </row>
    <row r="124" spans="1:24" ht="15.75" thickBot="1" x14ac:dyDescent="0.3">
      <c r="A124" s="433" t="s">
        <v>412</v>
      </c>
      <c r="B124" s="434">
        <v>7.0643594162748791</v>
      </c>
      <c r="C124" s="434">
        <v>7.158877814629963</v>
      </c>
      <c r="D124" s="434">
        <v>7.23161467074104</v>
      </c>
      <c r="E124" s="434">
        <f>AVERAGE(D124,F124)</f>
        <v>7.3026130931593105</v>
      </c>
      <c r="F124" s="434">
        <v>7.3736115155775801</v>
      </c>
      <c r="G124" s="435">
        <v>7.4912818030327735</v>
      </c>
      <c r="O124" s="433" t="s">
        <v>412</v>
      </c>
      <c r="P124" s="434">
        <v>7.0643594162748791</v>
      </c>
      <c r="Q124" s="434"/>
      <c r="R124" s="434">
        <v>7.3150000000000031</v>
      </c>
      <c r="S124" s="434">
        <v>7.4725000000000001</v>
      </c>
      <c r="T124" s="434">
        <v>7.6300000000000026</v>
      </c>
      <c r="U124" s="435">
        <v>7.8050000000000024</v>
      </c>
    </row>
    <row r="125" spans="1:24" x14ac:dyDescent="0.25">
      <c r="O125" s="5" t="s">
        <v>413</v>
      </c>
    </row>
    <row r="129" spans="1:27" x14ac:dyDescent="0.25">
      <c r="A129" s="164" t="s">
        <v>155</v>
      </c>
      <c r="O129" s="474" t="s">
        <v>155</v>
      </c>
    </row>
    <row r="130" spans="1:27" ht="15.75" thickBot="1" x14ac:dyDescent="0.3"/>
    <row r="131" spans="1:27" ht="15.75" thickBot="1" x14ac:dyDescent="0.3">
      <c r="A131" s="192" t="s">
        <v>2</v>
      </c>
      <c r="B131" s="841">
        <v>2010</v>
      </c>
      <c r="C131" s="841"/>
      <c r="D131" s="225">
        <v>2011</v>
      </c>
      <c r="E131" s="225">
        <v>2012</v>
      </c>
      <c r="F131" s="225">
        <v>2013</v>
      </c>
      <c r="G131" s="225">
        <v>2015</v>
      </c>
      <c r="H131" s="225">
        <v>2020</v>
      </c>
      <c r="I131" s="225">
        <v>2025</v>
      </c>
      <c r="J131" s="225">
        <v>2030</v>
      </c>
      <c r="K131" s="193">
        <v>2035</v>
      </c>
      <c r="O131" s="192" t="s">
        <v>2</v>
      </c>
      <c r="P131" s="841">
        <v>2010</v>
      </c>
      <c r="Q131" s="841"/>
      <c r="R131" s="225">
        <v>2011</v>
      </c>
      <c r="S131" s="225">
        <v>2012</v>
      </c>
      <c r="T131" s="225">
        <v>2013</v>
      </c>
      <c r="U131" s="225">
        <v>2015</v>
      </c>
      <c r="V131" s="225">
        <v>2020</v>
      </c>
      <c r="W131" s="225">
        <v>2025</v>
      </c>
      <c r="X131" s="225">
        <v>2030</v>
      </c>
      <c r="Y131" s="193">
        <v>2035</v>
      </c>
    </row>
    <row r="132" spans="1:27" x14ac:dyDescent="0.25">
      <c r="A132" s="436" t="s">
        <v>156</v>
      </c>
      <c r="B132" s="224" t="s">
        <v>157</v>
      </c>
      <c r="C132" s="839" t="s">
        <v>157</v>
      </c>
      <c r="D132" s="839"/>
      <c r="E132" s="224" t="s">
        <v>157</v>
      </c>
      <c r="F132" s="224" t="s">
        <v>158</v>
      </c>
      <c r="G132" s="224" t="s">
        <v>158</v>
      </c>
      <c r="H132" s="224" t="s">
        <v>159</v>
      </c>
      <c r="I132" s="224" t="s">
        <v>160</v>
      </c>
      <c r="J132" s="196" t="s">
        <v>161</v>
      </c>
      <c r="K132" s="437" t="s">
        <v>162</v>
      </c>
      <c r="O132" s="436" t="s">
        <v>156</v>
      </c>
      <c r="P132" s="224" t="s">
        <v>157</v>
      </c>
      <c r="Q132" s="839" t="s">
        <v>157</v>
      </c>
      <c r="R132" s="839"/>
      <c r="S132" s="224" t="s">
        <v>157</v>
      </c>
      <c r="T132" s="224" t="s">
        <v>158</v>
      </c>
      <c r="U132" s="224" t="s">
        <v>158</v>
      </c>
      <c r="V132" s="224"/>
      <c r="W132" s="224"/>
      <c r="X132" s="224"/>
      <c r="Y132" s="437"/>
      <c r="AA132" s="495"/>
    </row>
    <row r="133" spans="1:27" x14ac:dyDescent="0.25">
      <c r="A133" s="438" t="s">
        <v>163</v>
      </c>
      <c r="B133" s="226"/>
      <c r="C133" s="838"/>
      <c r="D133" s="838"/>
      <c r="E133" s="226"/>
      <c r="F133" s="226" t="s">
        <v>164</v>
      </c>
      <c r="G133" s="199" t="s">
        <v>165</v>
      </c>
      <c r="H133" s="199" t="s">
        <v>166</v>
      </c>
      <c r="I133" s="199" t="s">
        <v>167</v>
      </c>
      <c r="J133" s="439" t="s">
        <v>168</v>
      </c>
      <c r="K133" s="440" t="s">
        <v>169</v>
      </c>
      <c r="O133" s="438" t="s">
        <v>163</v>
      </c>
      <c r="P133" s="226"/>
      <c r="Q133" s="838"/>
      <c r="R133" s="838"/>
      <c r="S133" s="226"/>
      <c r="T133" s="226" t="s">
        <v>164</v>
      </c>
      <c r="U133" s="199" t="s">
        <v>165</v>
      </c>
      <c r="V133" s="199"/>
      <c r="W133" s="199"/>
      <c r="X133" s="199"/>
      <c r="Y133" s="440"/>
    </row>
    <row r="134" spans="1:27" x14ac:dyDescent="0.25">
      <c r="A134" s="438" t="s">
        <v>170</v>
      </c>
      <c r="B134" s="226"/>
      <c r="C134" s="838"/>
      <c r="D134" s="838"/>
      <c r="E134" s="226"/>
      <c r="F134" s="226" t="s">
        <v>171</v>
      </c>
      <c r="G134" s="226"/>
      <c r="H134" s="199" t="s">
        <v>167</v>
      </c>
      <c r="I134" s="199" t="s">
        <v>172</v>
      </c>
      <c r="J134" s="439" t="s">
        <v>173</v>
      </c>
      <c r="K134" s="440" t="s">
        <v>174</v>
      </c>
      <c r="O134" s="438" t="s">
        <v>170</v>
      </c>
      <c r="P134" s="226"/>
      <c r="Q134" s="838"/>
      <c r="R134" s="838"/>
      <c r="S134" s="226"/>
      <c r="T134" s="226" t="s">
        <v>171</v>
      </c>
      <c r="U134" s="226"/>
      <c r="V134" s="199"/>
      <c r="W134" s="199"/>
      <c r="X134" s="199"/>
      <c r="Y134" s="440"/>
    </row>
    <row r="135" spans="1:27" x14ac:dyDescent="0.25">
      <c r="A135" s="438" t="s">
        <v>175</v>
      </c>
      <c r="B135" s="226"/>
      <c r="C135" s="838"/>
      <c r="D135" s="838"/>
      <c r="E135" s="226"/>
      <c r="F135" s="226" t="s">
        <v>176</v>
      </c>
      <c r="G135" s="199" t="s">
        <v>177</v>
      </c>
      <c r="H135" s="199" t="s">
        <v>178</v>
      </c>
      <c r="I135" s="199" t="s">
        <v>179</v>
      </c>
      <c r="J135" s="439" t="s">
        <v>179</v>
      </c>
      <c r="K135" s="440" t="s">
        <v>179</v>
      </c>
      <c r="O135" s="438" t="s">
        <v>175</v>
      </c>
      <c r="P135" s="226"/>
      <c r="Q135" s="838"/>
      <c r="R135" s="838"/>
      <c r="S135" s="226"/>
      <c r="T135" s="226" t="s">
        <v>176</v>
      </c>
      <c r="U135" s="199" t="s">
        <v>177</v>
      </c>
      <c r="V135" s="199"/>
      <c r="W135" s="199"/>
      <c r="X135" s="199"/>
      <c r="Y135" s="440"/>
    </row>
    <row r="136" spans="1:27" ht="15.75" thickBot="1" x14ac:dyDescent="0.3">
      <c r="A136" s="441" t="s">
        <v>180</v>
      </c>
      <c r="B136" s="227" t="s">
        <v>181</v>
      </c>
      <c r="C136" s="842" t="s">
        <v>182</v>
      </c>
      <c r="D136" s="842"/>
      <c r="E136" s="227" t="s">
        <v>183</v>
      </c>
      <c r="F136" s="227" t="s">
        <v>184</v>
      </c>
      <c r="G136" s="200" t="s">
        <v>184</v>
      </c>
      <c r="H136" s="200" t="s">
        <v>185</v>
      </c>
      <c r="I136" s="200" t="s">
        <v>186</v>
      </c>
      <c r="J136" s="201" t="s">
        <v>187</v>
      </c>
      <c r="K136" s="442" t="s">
        <v>188</v>
      </c>
      <c r="O136" s="441" t="s">
        <v>180</v>
      </c>
      <c r="P136" s="227" t="s">
        <v>181</v>
      </c>
      <c r="Q136" s="842" t="s">
        <v>182</v>
      </c>
      <c r="R136" s="842"/>
      <c r="S136" s="227" t="s">
        <v>183</v>
      </c>
      <c r="T136" s="227" t="s">
        <v>184</v>
      </c>
      <c r="U136" s="200" t="s">
        <v>184</v>
      </c>
      <c r="V136" s="200"/>
      <c r="W136" s="200"/>
      <c r="X136" s="200"/>
      <c r="Y136" s="442"/>
    </row>
    <row r="137" spans="1:27" x14ac:dyDescent="0.25">
      <c r="A137" s="137" t="s">
        <v>189</v>
      </c>
    </row>
    <row r="140" spans="1:27" x14ac:dyDescent="0.25">
      <c r="A140" s="164" t="s">
        <v>404</v>
      </c>
      <c r="O140" s="474" t="s">
        <v>190</v>
      </c>
    </row>
    <row r="141" spans="1:27" ht="15.75" thickBot="1" x14ac:dyDescent="0.3"/>
    <row r="142" spans="1:27" ht="21.75" customHeight="1" thickBot="1" x14ac:dyDescent="0.3">
      <c r="A142" s="843" t="s">
        <v>191</v>
      </c>
      <c r="B142" s="144" t="s">
        <v>192</v>
      </c>
      <c r="C142" s="845" t="s">
        <v>193</v>
      </c>
      <c r="D142" s="845"/>
      <c r="E142" s="845"/>
      <c r="F142" s="845"/>
      <c r="G142" s="846"/>
      <c r="O142" s="843" t="s">
        <v>191</v>
      </c>
      <c r="P142" s="144"/>
      <c r="Q142" s="845" t="s">
        <v>193</v>
      </c>
      <c r="R142" s="845"/>
      <c r="S142" s="845"/>
      <c r="T142" s="845"/>
      <c r="U142" s="846"/>
    </row>
    <row r="143" spans="1:27" ht="26.25" thickBot="1" x14ac:dyDescent="0.3">
      <c r="A143" s="844"/>
      <c r="B143" s="203" t="s">
        <v>194</v>
      </c>
      <c r="C143" s="204">
        <v>2015</v>
      </c>
      <c r="D143" s="204">
        <v>2020</v>
      </c>
      <c r="E143" s="204">
        <v>2025</v>
      </c>
      <c r="F143" s="204">
        <v>2030</v>
      </c>
      <c r="G143" s="205">
        <v>2035</v>
      </c>
      <c r="O143" s="844"/>
      <c r="P143" s="203"/>
      <c r="Q143" s="204">
        <v>2015</v>
      </c>
      <c r="R143" s="204">
        <v>2020</v>
      </c>
      <c r="S143" s="204">
        <v>2025</v>
      </c>
      <c r="T143" s="204">
        <v>2030</v>
      </c>
      <c r="U143" s="205">
        <v>2035</v>
      </c>
    </row>
    <row r="144" spans="1:27" ht="15.75" thickBot="1" x14ac:dyDescent="0.3">
      <c r="A144" s="206" t="s">
        <v>195</v>
      </c>
      <c r="B144" s="176">
        <v>1.8</v>
      </c>
      <c r="C144" s="207">
        <v>861</v>
      </c>
      <c r="D144" s="207">
        <v>930</v>
      </c>
      <c r="E144" s="208">
        <v>1013</v>
      </c>
      <c r="F144" s="208">
        <v>1097</v>
      </c>
      <c r="G144" s="209">
        <v>1226</v>
      </c>
      <c r="O144" s="206" t="s">
        <v>195</v>
      </c>
      <c r="P144" s="176"/>
      <c r="Q144" s="272">
        <f>'Détail Transport'!E70*1000</f>
        <v>996.44853085058344</v>
      </c>
      <c r="R144" s="272">
        <f>'Détail Transport'!F70*1000</f>
        <v>997.60789791321974</v>
      </c>
      <c r="S144" s="272">
        <f>'Détail Transport'!G70*1000</f>
        <v>1021.7107340489205</v>
      </c>
      <c r="T144" s="272">
        <f>'Détail Transport'!H70*1000</f>
        <v>1050.0221436603003</v>
      </c>
      <c r="U144" s="273">
        <f>'Détail Transport'!I70*1000</f>
        <v>1085.9816828258322</v>
      </c>
    </row>
    <row r="145" spans="1:21" ht="15.75" thickBot="1" x14ac:dyDescent="0.3">
      <c r="A145" s="206" t="s">
        <v>196</v>
      </c>
      <c r="B145" s="176">
        <v>0</v>
      </c>
      <c r="C145" s="207">
        <v>517</v>
      </c>
      <c r="D145" s="207">
        <v>517</v>
      </c>
      <c r="E145" s="207">
        <v>517</v>
      </c>
      <c r="F145" s="207">
        <v>517</v>
      </c>
      <c r="G145" s="210">
        <v>517</v>
      </c>
      <c r="O145" s="206" t="s">
        <v>196</v>
      </c>
      <c r="P145" s="176"/>
      <c r="Q145" s="272">
        <f>'Détail Transport'!E71*1000</f>
        <v>483.85714285714283</v>
      </c>
      <c r="R145" s="272">
        <f>'Détail Transport'!F71*1000</f>
        <v>483.85714285714283</v>
      </c>
      <c r="S145" s="272">
        <f>'Détail Transport'!G71*1000</f>
        <v>483.85714285714283</v>
      </c>
      <c r="T145" s="272">
        <f>'Détail Transport'!H71*1000</f>
        <v>483.85714285714283</v>
      </c>
      <c r="U145" s="273">
        <f>'Détail Transport'!I71*1000</f>
        <v>483.85714285714283</v>
      </c>
    </row>
    <row r="146" spans="1:21" x14ac:dyDescent="0.25">
      <c r="A146" s="211" t="s">
        <v>197</v>
      </c>
      <c r="B146" s="194">
        <v>2.5</v>
      </c>
      <c r="C146" s="212">
        <v>5860</v>
      </c>
      <c r="D146" s="212">
        <v>6786</v>
      </c>
      <c r="E146" s="212">
        <v>7604</v>
      </c>
      <c r="F146" s="212">
        <v>8545</v>
      </c>
      <c r="G146" s="213">
        <v>9625</v>
      </c>
      <c r="O146" s="211" t="s">
        <v>197</v>
      </c>
      <c r="P146" s="195"/>
      <c r="Q146" s="212">
        <v>5860</v>
      </c>
      <c r="R146" s="212">
        <f>D146</f>
        <v>6786</v>
      </c>
      <c r="S146" s="212">
        <f t="shared" ref="S146:U149" si="0">E146</f>
        <v>7604</v>
      </c>
      <c r="T146" s="212">
        <f t="shared" si="0"/>
        <v>8545</v>
      </c>
      <c r="U146" s="213">
        <f t="shared" si="0"/>
        <v>9625</v>
      </c>
    </row>
    <row r="147" spans="1:21" x14ac:dyDescent="0.25">
      <c r="A147" s="214" t="s">
        <v>198</v>
      </c>
      <c r="B147" s="197">
        <v>0.9</v>
      </c>
      <c r="C147" s="215">
        <v>2026</v>
      </c>
      <c r="D147" s="215">
        <v>2176</v>
      </c>
      <c r="E147" s="215">
        <v>2256</v>
      </c>
      <c r="F147" s="215">
        <v>2339</v>
      </c>
      <c r="G147" s="216">
        <v>2424</v>
      </c>
      <c r="O147" s="214" t="s">
        <v>198</v>
      </c>
      <c r="P147" s="198"/>
      <c r="Q147" s="215">
        <v>2026</v>
      </c>
      <c r="R147" s="215">
        <f t="shared" ref="R147:R149" si="1">D147</f>
        <v>2176</v>
      </c>
      <c r="S147" s="215">
        <f t="shared" si="0"/>
        <v>2256</v>
      </c>
      <c r="T147" s="215">
        <f t="shared" si="0"/>
        <v>2339</v>
      </c>
      <c r="U147" s="216">
        <f t="shared" si="0"/>
        <v>2424</v>
      </c>
    </row>
    <row r="148" spans="1:21" ht="15.75" thickBot="1" x14ac:dyDescent="0.3">
      <c r="A148" s="217" t="s">
        <v>199</v>
      </c>
      <c r="B148" s="218">
        <v>3.2</v>
      </c>
      <c r="C148" s="219">
        <v>3834</v>
      </c>
      <c r="D148" s="219">
        <v>4609</v>
      </c>
      <c r="E148" s="219">
        <v>5348</v>
      </c>
      <c r="F148" s="219">
        <v>6206</v>
      </c>
      <c r="G148" s="220">
        <v>7201</v>
      </c>
      <c r="O148" s="217" t="s">
        <v>199</v>
      </c>
      <c r="P148" s="218"/>
      <c r="Q148" s="219">
        <v>3834</v>
      </c>
      <c r="R148" s="219">
        <f t="shared" si="1"/>
        <v>4609</v>
      </c>
      <c r="S148" s="219">
        <f t="shared" si="0"/>
        <v>5348</v>
      </c>
      <c r="T148" s="219">
        <f t="shared" si="0"/>
        <v>6206</v>
      </c>
      <c r="U148" s="220">
        <f t="shared" si="0"/>
        <v>7201</v>
      </c>
    </row>
    <row r="149" spans="1:21" ht="15.75" thickBot="1" x14ac:dyDescent="0.3">
      <c r="A149" s="206" t="s">
        <v>200</v>
      </c>
      <c r="B149" s="221">
        <v>2.2999999999999998</v>
      </c>
      <c r="C149" s="222">
        <v>7238</v>
      </c>
      <c r="D149" s="222">
        <v>8232</v>
      </c>
      <c r="E149" s="222">
        <v>9134</v>
      </c>
      <c r="F149" s="222">
        <v>10158</v>
      </c>
      <c r="G149" s="223">
        <v>11368</v>
      </c>
      <c r="O149" s="206" t="s">
        <v>200</v>
      </c>
      <c r="P149" s="221"/>
      <c r="Q149" s="222">
        <v>7238</v>
      </c>
      <c r="R149" s="222">
        <f t="shared" si="1"/>
        <v>8232</v>
      </c>
      <c r="S149" s="222">
        <f t="shared" si="0"/>
        <v>9134</v>
      </c>
      <c r="T149" s="222">
        <f t="shared" si="0"/>
        <v>10158</v>
      </c>
      <c r="U149" s="223">
        <f t="shared" si="0"/>
        <v>11368</v>
      </c>
    </row>
    <row r="150" spans="1:21" x14ac:dyDescent="0.25">
      <c r="A150" s="137" t="s">
        <v>189</v>
      </c>
    </row>
  </sheetData>
  <mergeCells count="20">
    <mergeCell ref="C135:D135"/>
    <mergeCell ref="Q135:R135"/>
    <mergeCell ref="C136:D136"/>
    <mergeCell ref="Q136:R136"/>
    <mergeCell ref="A142:A143"/>
    <mergeCell ref="C142:G142"/>
    <mergeCell ref="O142:O143"/>
    <mergeCell ref="Q142:U142"/>
    <mergeCell ref="X4:Y4"/>
    <mergeCell ref="C133:D133"/>
    <mergeCell ref="Q133:R133"/>
    <mergeCell ref="C134:D134"/>
    <mergeCell ref="Q134:R134"/>
    <mergeCell ref="C132:D132"/>
    <mergeCell ref="Q132:R132"/>
    <mergeCell ref="A4:I4"/>
    <mergeCell ref="J15:M21"/>
    <mergeCell ref="B131:C131"/>
    <mergeCell ref="P131:Q131"/>
    <mergeCell ref="O4:W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V179"/>
  <sheetViews>
    <sheetView zoomScale="70" zoomScaleNormal="70" workbookViewId="0">
      <selection activeCell="B3" sqref="B3"/>
    </sheetView>
  </sheetViews>
  <sheetFormatPr baseColWidth="10" defaultColWidth="11.5703125" defaultRowHeight="15" x14ac:dyDescent="0.25"/>
  <cols>
    <col min="1" max="1" width="11.5703125" style="26"/>
    <col min="2" max="2" width="24.85546875" style="26" bestFit="1" customWidth="1"/>
    <col min="3" max="3" width="19.140625" style="26" customWidth="1"/>
    <col min="4" max="8" width="10.42578125" style="26" customWidth="1"/>
    <col min="9" max="16384" width="11.5703125" style="26"/>
  </cols>
  <sheetData>
    <row r="1" spans="1:18" ht="15.75" thickBot="1" x14ac:dyDescent="0.3"/>
    <row r="2" spans="1:18" ht="16.5" thickBot="1" x14ac:dyDescent="0.3">
      <c r="A2" s="229" t="s">
        <v>407</v>
      </c>
      <c r="B2" s="229"/>
      <c r="C2" s="229"/>
      <c r="D2" s="229"/>
      <c r="E2" s="229"/>
      <c r="F2" s="229"/>
      <c r="G2" s="229"/>
      <c r="H2" s="229"/>
      <c r="I2" s="229"/>
      <c r="J2" s="229"/>
      <c r="K2" s="229"/>
      <c r="L2" s="229"/>
      <c r="M2" s="229"/>
      <c r="N2" s="229"/>
      <c r="O2" s="229"/>
      <c r="P2" s="229"/>
      <c r="Q2" s="229"/>
      <c r="R2" s="252"/>
    </row>
    <row r="4" spans="1:18" x14ac:dyDescent="0.25">
      <c r="A4" s="29" t="s">
        <v>406</v>
      </c>
    </row>
    <row r="5" spans="1:18" ht="15.75" thickBot="1" x14ac:dyDescent="0.3"/>
    <row r="6" spans="1:18" ht="15.75" thickBot="1" x14ac:dyDescent="0.3">
      <c r="C6" s="230"/>
      <c r="D6" s="143">
        <v>2015</v>
      </c>
      <c r="E6" s="143">
        <v>2020</v>
      </c>
      <c r="F6" s="143">
        <v>2025</v>
      </c>
      <c r="G6" s="143">
        <v>2030</v>
      </c>
      <c r="H6" s="251">
        <v>2035</v>
      </c>
    </row>
    <row r="7" spans="1:18" ht="15.75" thickBot="1" x14ac:dyDescent="0.3">
      <c r="C7" s="230"/>
      <c r="D7" s="84"/>
    </row>
    <row r="8" spans="1:18" ht="15.75" thickBot="1" x14ac:dyDescent="0.3">
      <c r="B8" s="189" t="s">
        <v>101</v>
      </c>
      <c r="C8" s="190" t="s">
        <v>102</v>
      </c>
      <c r="D8" s="190">
        <v>32.9</v>
      </c>
      <c r="E8" s="190">
        <v>33.700000000000003</v>
      </c>
      <c r="F8" s="190">
        <v>34.4</v>
      </c>
      <c r="G8" s="190">
        <v>35.200000000000003</v>
      </c>
      <c r="H8" s="191">
        <v>35.9</v>
      </c>
    </row>
    <row r="9" spans="1:18" ht="15.75" thickBot="1" x14ac:dyDescent="0.3">
      <c r="B9" s="235"/>
      <c r="C9" s="236" t="s">
        <v>104</v>
      </c>
      <c r="D9" s="237"/>
      <c r="E9" s="238">
        <f>E8/D8</f>
        <v>1.0243161094224926</v>
      </c>
      <c r="F9" s="238">
        <f>F8/E8</f>
        <v>1.0207715133531157</v>
      </c>
      <c r="G9" s="238">
        <f>G8/F8</f>
        <v>1.0232558139534884</v>
      </c>
      <c r="H9" s="239">
        <f>H8/G8</f>
        <v>1.0198863636363635</v>
      </c>
      <c r="K9" s="231"/>
    </row>
    <row r="10" spans="1:18" ht="15.75" thickBot="1" x14ac:dyDescent="0.3">
      <c r="C10" s="230"/>
      <c r="D10" s="84"/>
    </row>
    <row r="11" spans="1:18" ht="15.75" thickBot="1" x14ac:dyDescent="0.3">
      <c r="B11" s="240" t="s">
        <v>105</v>
      </c>
      <c r="C11" s="236" t="s">
        <v>102</v>
      </c>
      <c r="D11" s="237">
        <v>2.35</v>
      </c>
      <c r="E11" s="237">
        <v>2.38</v>
      </c>
      <c r="F11" s="237">
        <v>2.1800000000000002</v>
      </c>
      <c r="G11" s="237">
        <v>2.06</v>
      </c>
      <c r="H11" s="241">
        <v>1.95</v>
      </c>
    </row>
    <row r="12" spans="1:18" ht="15.75" thickBot="1" x14ac:dyDescent="0.3">
      <c r="B12" s="235"/>
      <c r="C12" s="236" t="s">
        <v>104</v>
      </c>
      <c r="D12" s="237"/>
      <c r="E12" s="238">
        <f>E11/D11</f>
        <v>1.0127659574468084</v>
      </c>
      <c r="F12" s="238">
        <f>F11/E11</f>
        <v>0.91596638655462193</v>
      </c>
      <c r="G12" s="238">
        <f>G11/F11</f>
        <v>0.94495412844036697</v>
      </c>
      <c r="H12" s="239">
        <f>H11/G11</f>
        <v>0.94660194174757273</v>
      </c>
    </row>
    <row r="13" spans="1:18" x14ac:dyDescent="0.25">
      <c r="D13" s="230"/>
      <c r="E13" s="84"/>
    </row>
    <row r="18" spans="2:14" x14ac:dyDescent="0.25">
      <c r="B18" s="444" t="s">
        <v>408</v>
      </c>
      <c r="C18" s="444" t="s">
        <v>527</v>
      </c>
    </row>
    <row r="20" spans="2:14" x14ac:dyDescent="0.25">
      <c r="B20" s="254" t="s">
        <v>414</v>
      </c>
      <c r="C20" s="84"/>
    </row>
    <row r="21" spans="2:14" ht="15.75" thickBot="1" x14ac:dyDescent="0.3">
      <c r="D21" s="84"/>
      <c r="J21" s="84" t="s">
        <v>109</v>
      </c>
    </row>
    <row r="22" spans="2:14" ht="15.75" thickBot="1" x14ac:dyDescent="0.3">
      <c r="B22" s="230" t="s">
        <v>108</v>
      </c>
      <c r="D22" s="143">
        <v>2015</v>
      </c>
      <c r="E22" s="143">
        <v>2020</v>
      </c>
      <c r="F22" s="143">
        <v>2025</v>
      </c>
      <c r="G22" s="143">
        <v>2030</v>
      </c>
      <c r="H22" s="251">
        <v>2035</v>
      </c>
      <c r="J22" s="143">
        <v>2015</v>
      </c>
      <c r="K22" s="143">
        <v>2020</v>
      </c>
      <c r="L22" s="143">
        <v>2025</v>
      </c>
      <c r="M22" s="143">
        <v>2030</v>
      </c>
      <c r="N22" s="251">
        <v>2035</v>
      </c>
    </row>
    <row r="23" spans="2:14" ht="15.75" thickBot="1" x14ac:dyDescent="0.3">
      <c r="B23" s="189" t="s">
        <v>111</v>
      </c>
      <c r="C23" s="190"/>
      <c r="D23" s="253">
        <v>0.60497366203843861</v>
      </c>
      <c r="E23" s="242">
        <v>0.39617798455796904</v>
      </c>
      <c r="F23" s="242">
        <v>0.41115681091828227</v>
      </c>
      <c r="G23" s="242">
        <v>0.42627520294566046</v>
      </c>
      <c r="H23" s="243">
        <v>0.42597204200168165</v>
      </c>
      <c r="J23" s="245">
        <f>D23*(1-Transport!Q$27)</f>
        <v>0.60358222261575023</v>
      </c>
      <c r="K23" s="246">
        <f>E23*(1-Transport!R$27)</f>
        <v>0.39498945060429513</v>
      </c>
      <c r="L23" s="246">
        <f>F23*(1-Transport!S$27)</f>
        <v>0.40992334048552742</v>
      </c>
      <c r="M23" s="246">
        <f>G23*(1-Transport!T$27)</f>
        <v>0.42499637733682349</v>
      </c>
      <c r="N23" s="247">
        <f>H23*(1-Transport!U$27)</f>
        <v>0.42469412587567662</v>
      </c>
    </row>
    <row r="24" spans="2:14" ht="15.75" thickBot="1" x14ac:dyDescent="0.3">
      <c r="B24" s="244" t="s">
        <v>110</v>
      </c>
      <c r="C24" s="242"/>
      <c r="D24" s="242">
        <v>0.38075068920636501</v>
      </c>
      <c r="E24" s="242">
        <v>0.56077894903501746</v>
      </c>
      <c r="F24" s="242">
        <v>0.49585531633082669</v>
      </c>
      <c r="G24" s="242">
        <v>0.41180723863282648</v>
      </c>
      <c r="H24" s="243">
        <v>0.32430623978598805</v>
      </c>
      <c r="J24" s="245">
        <f>D24*(1-Transport!Q$27)</f>
        <v>0.37987496262119036</v>
      </c>
      <c r="K24" s="246">
        <f>E24*(1-Transport!R$27)</f>
        <v>0.5590966121879124</v>
      </c>
      <c r="L24" s="246">
        <f>F24*(1-Transport!S$27)</f>
        <v>0.49436775038183423</v>
      </c>
      <c r="M24" s="246">
        <f>G24*(1-Transport!T$27)</f>
        <v>0.41057181691692801</v>
      </c>
      <c r="N24" s="247">
        <f>H24*(1-Transport!U$27)</f>
        <v>0.3233333210666301</v>
      </c>
    </row>
    <row r="25" spans="2:14" ht="15.75" thickBot="1" x14ac:dyDescent="0.3">
      <c r="B25" s="244" t="s">
        <v>113</v>
      </c>
      <c r="C25" s="242"/>
      <c r="D25" s="242">
        <v>1.0706736566397246E-2</v>
      </c>
      <c r="E25" s="242">
        <v>3.2282299805260123E-2</v>
      </c>
      <c r="F25" s="242">
        <v>6.9740904563168254E-2</v>
      </c>
      <c r="G25" s="242">
        <v>0.1214381688161348</v>
      </c>
      <c r="H25" s="243">
        <v>0.18687291241805329</v>
      </c>
      <c r="J25" s="245">
        <f>D25*(1-Transport!Q$27)</f>
        <v>1.0682111072294533E-2</v>
      </c>
      <c r="K25" s="246">
        <f>E25*(1-Transport!R$27)</f>
        <v>3.218545290584434E-2</v>
      </c>
      <c r="L25" s="246">
        <f>F25*(1-Transport!S$27)</f>
        <v>6.9531681849478749E-2</v>
      </c>
      <c r="M25" s="246">
        <f>G25*(1-Transport!T$27)</f>
        <v>0.1210738543096864</v>
      </c>
      <c r="N25" s="247">
        <f>H25*(1-Transport!U$27)</f>
        <v>0.18631229368079913</v>
      </c>
    </row>
    <row r="26" spans="2:14" ht="15.75" thickBot="1" x14ac:dyDescent="0.3">
      <c r="B26" s="244" t="s">
        <v>115</v>
      </c>
      <c r="C26" s="242"/>
      <c r="D26" s="242">
        <v>3.5689121887990819E-3</v>
      </c>
      <c r="E26" s="242">
        <v>1.0760766601753374E-2</v>
      </c>
      <c r="F26" s="242">
        <v>2.3246968187722754E-2</v>
      </c>
      <c r="G26" s="242">
        <v>4.0479389605378266E-2</v>
      </c>
      <c r="H26" s="243">
        <v>6.2290970806017761E-2</v>
      </c>
      <c r="J26" s="245">
        <f>D26*(1-Transport!Q$27)</f>
        <v>3.5607036907648439E-3</v>
      </c>
      <c r="K26" s="246">
        <f>E26*(1-Transport!R$27)</f>
        <v>1.0728484301948114E-2</v>
      </c>
      <c r="L26" s="246">
        <f>F26*(1-Transport!S$27)</f>
        <v>2.3177227283159584E-2</v>
      </c>
      <c r="M26" s="246">
        <f>G26*(1-Transport!T$27)</f>
        <v>4.035795143656213E-2</v>
      </c>
      <c r="N26" s="247">
        <f>H26*(1-Transport!U$27)</f>
        <v>6.2104097893599705E-2</v>
      </c>
    </row>
    <row r="27" spans="2:14" x14ac:dyDescent="0.25">
      <c r="B27" s="230"/>
      <c r="D27" s="232">
        <f>SUM(D23:D26)</f>
        <v>0.99999999999999989</v>
      </c>
      <c r="E27" s="232">
        <f>SUM(E23:E26)</f>
        <v>1</v>
      </c>
      <c r="F27" s="232">
        <f>SUM(F23:F26)</f>
        <v>1</v>
      </c>
      <c r="G27" s="232">
        <f>SUM(G23:G26)</f>
        <v>0.99999999999999989</v>
      </c>
      <c r="H27" s="232">
        <f>SUM(H23:H26)</f>
        <v>0.99944216501174066</v>
      </c>
      <c r="J27" s="232">
        <f>SUM(J23:J26)</f>
        <v>0.99770000000000003</v>
      </c>
      <c r="K27" s="232">
        <f>SUM(K23:K26)</f>
        <v>0.99699999999999989</v>
      </c>
      <c r="L27" s="232">
        <f>SUM(L23:L26)</f>
        <v>0.997</v>
      </c>
      <c r="M27" s="232">
        <f>SUM(M23:M26)</f>
        <v>0.99700000000000011</v>
      </c>
      <c r="N27" s="232">
        <f>SUM(N23:N26)</f>
        <v>0.99644383851670559</v>
      </c>
    </row>
    <row r="28" spans="2:14" x14ac:dyDescent="0.25">
      <c r="B28" s="230"/>
      <c r="C28" s="84"/>
    </row>
    <row r="29" spans="2:14" x14ac:dyDescent="0.25">
      <c r="B29" s="444" t="s">
        <v>408</v>
      </c>
      <c r="C29" s="444"/>
      <c r="D29" s="444" t="s">
        <v>375</v>
      </c>
    </row>
    <row r="30" spans="2:14" x14ac:dyDescent="0.25">
      <c r="B30" s="445"/>
      <c r="C30" s="444"/>
      <c r="D30" s="444" t="s">
        <v>528</v>
      </c>
    </row>
    <row r="31" spans="2:14" x14ac:dyDescent="0.25">
      <c r="B31" s="444"/>
      <c r="C31" s="444"/>
      <c r="D31" s="444" t="s">
        <v>376</v>
      </c>
    </row>
    <row r="34" spans="2:10" x14ac:dyDescent="0.25">
      <c r="B34" s="29" t="s">
        <v>415</v>
      </c>
    </row>
    <row r="35" spans="2:10" ht="15.75" thickBot="1" x14ac:dyDescent="0.3">
      <c r="C35" s="84"/>
    </row>
    <row r="36" spans="2:10" ht="15.75" thickBot="1" x14ac:dyDescent="0.3">
      <c r="B36" s="230" t="s">
        <v>131</v>
      </c>
      <c r="D36" s="143">
        <v>2015</v>
      </c>
      <c r="E36" s="143">
        <v>2020</v>
      </c>
      <c r="F36" s="143">
        <v>2025</v>
      </c>
      <c r="G36" s="143">
        <v>2030</v>
      </c>
      <c r="H36" s="251">
        <v>2035</v>
      </c>
      <c r="J36" s="444" t="s">
        <v>408</v>
      </c>
    </row>
    <row r="37" spans="2:10" ht="15.75" thickBot="1" x14ac:dyDescent="0.3">
      <c r="B37" s="189" t="s">
        <v>133</v>
      </c>
      <c r="C37" s="190"/>
      <c r="D37" s="248">
        <v>5.3532635615748578</v>
      </c>
      <c r="E37" s="249">
        <v>4.8544226472414795</v>
      </c>
      <c r="F37" s="249">
        <v>4.72</v>
      </c>
      <c r="G37" s="249">
        <v>4.63</v>
      </c>
      <c r="H37" s="250">
        <v>4.5199999999999996</v>
      </c>
      <c r="J37" s="444" t="s">
        <v>377</v>
      </c>
    </row>
    <row r="38" spans="2:10" ht="15.75" thickBot="1" x14ac:dyDescent="0.3">
      <c r="B38" s="189" t="s">
        <v>104</v>
      </c>
      <c r="C38" s="190"/>
      <c r="D38" s="190"/>
      <c r="E38" s="242">
        <f>E37/D37</f>
        <v>0.9068155511875029</v>
      </c>
      <c r="F38" s="242">
        <f>F37/E37</f>
        <v>0.97230924107568895</v>
      </c>
      <c r="G38" s="242">
        <f>G37/F37</f>
        <v>0.98093220338983056</v>
      </c>
      <c r="H38" s="243">
        <f>H37/G37</f>
        <v>0.97624190064794814</v>
      </c>
      <c r="J38" s="444" t="s">
        <v>378</v>
      </c>
    </row>
    <row r="39" spans="2:10" ht="15.75" thickBot="1" x14ac:dyDescent="0.3">
      <c r="B39" s="230"/>
      <c r="D39" s="233"/>
      <c r="E39" s="233"/>
      <c r="J39" s="444" t="s">
        <v>379</v>
      </c>
    </row>
    <row r="40" spans="2:10" ht="15.75" thickBot="1" x14ac:dyDescent="0.3">
      <c r="B40" s="189" t="s">
        <v>132</v>
      </c>
      <c r="C40" s="190"/>
      <c r="D40" s="248">
        <v>6.221240543243705</v>
      </c>
      <c r="E40" s="249">
        <v>5.4209023698544243</v>
      </c>
      <c r="F40" s="249">
        <v>5.36</v>
      </c>
      <c r="G40" s="249">
        <v>5.32</v>
      </c>
      <c r="H40" s="250">
        <v>5.25</v>
      </c>
      <c r="J40" s="444" t="s">
        <v>380</v>
      </c>
    </row>
    <row r="41" spans="2:10" ht="15.75" thickBot="1" x14ac:dyDescent="0.3">
      <c r="B41" s="189" t="s">
        <v>104</v>
      </c>
      <c r="C41" s="190"/>
      <c r="D41" s="190"/>
      <c r="E41" s="242">
        <f>E40/D40</f>
        <v>0.87135392566383696</v>
      </c>
      <c r="F41" s="242">
        <f>F40/E40</f>
        <v>0.98876527085359411</v>
      </c>
      <c r="G41" s="242">
        <f>G40/F40</f>
        <v>0.9925373134328358</v>
      </c>
      <c r="H41" s="243">
        <f>H40/G40</f>
        <v>0.98684210526315785</v>
      </c>
      <c r="J41" s="444"/>
    </row>
    <row r="42" spans="2:10" x14ac:dyDescent="0.25">
      <c r="B42" s="230"/>
      <c r="C42" s="84"/>
      <c r="J42" s="444" t="s">
        <v>381</v>
      </c>
    </row>
    <row r="43" spans="2:10" x14ac:dyDescent="0.25">
      <c r="B43" s="230"/>
      <c r="C43" s="84"/>
    </row>
    <row r="44" spans="2:10" x14ac:dyDescent="0.25">
      <c r="B44" s="29" t="s">
        <v>416</v>
      </c>
    </row>
    <row r="45" spans="2:10" ht="15.75" thickBot="1" x14ac:dyDescent="0.3"/>
    <row r="46" spans="2:10" ht="15.75" thickBot="1" x14ac:dyDescent="0.3">
      <c r="B46" s="230" t="s">
        <v>102</v>
      </c>
      <c r="D46" s="143">
        <v>2015</v>
      </c>
      <c r="E46" s="143">
        <v>2020</v>
      </c>
      <c r="F46" s="143">
        <v>2025</v>
      </c>
      <c r="G46" s="143">
        <v>2030</v>
      </c>
      <c r="H46" s="251">
        <v>2035</v>
      </c>
    </row>
    <row r="47" spans="2:10" ht="15.75" thickBot="1" x14ac:dyDescent="0.3">
      <c r="B47" s="189" t="s">
        <v>417</v>
      </c>
      <c r="C47" s="190"/>
      <c r="D47" s="255">
        <f>(E98+E102+E107)*1000/(Transport!R14+Transport!R15)</f>
        <v>14610.665810132608</v>
      </c>
      <c r="E47" s="255">
        <f>(F98+F102+F107)*1000/(Transport!S14+Transport!S15)</f>
        <v>14479.818355817992</v>
      </c>
      <c r="F47" s="255">
        <f>(G98+G102+G107)*1000/(Transport!T14+Transport!T15)</f>
        <v>14411.139124399317</v>
      </c>
      <c r="G47" s="255">
        <f>(H98+H102+H107)*1000/(Transport!U14+Transport!U15)</f>
        <v>14436.103536350982</v>
      </c>
      <c r="H47" s="255">
        <f>(I98+I102+I107)*1000/(Transport!V14+Transport!V15)</f>
        <v>14830.289837648235</v>
      </c>
    </row>
    <row r="48" spans="2:10" ht="15.75" thickBot="1" x14ac:dyDescent="0.3">
      <c r="B48" s="189" t="s">
        <v>104</v>
      </c>
      <c r="C48" s="190"/>
      <c r="D48" s="255"/>
      <c r="E48" s="253">
        <f>E47/D47</f>
        <v>0.99104438798238248</v>
      </c>
      <c r="F48" s="253">
        <f>F47/E47</f>
        <v>0.99525689965640485</v>
      </c>
      <c r="G48" s="253">
        <f>G47/F47</f>
        <v>1.001732299697905</v>
      </c>
      <c r="H48" s="257">
        <f>H47/G47</f>
        <v>1.0273055884023461</v>
      </c>
    </row>
    <row r="49" spans="1:18" x14ac:dyDescent="0.25">
      <c r="B49" s="84"/>
    </row>
    <row r="50" spans="1:18" x14ac:dyDescent="0.25">
      <c r="B50" s="234" t="s">
        <v>154</v>
      </c>
    </row>
    <row r="51" spans="1:18" x14ac:dyDescent="0.25">
      <c r="B51" s="84"/>
    </row>
    <row r="53" spans="1:18" ht="15.75" thickBot="1" x14ac:dyDescent="0.3"/>
    <row r="54" spans="1:18" ht="16.5" thickBot="1" x14ac:dyDescent="0.3">
      <c r="A54" s="229" t="s">
        <v>149</v>
      </c>
      <c r="B54" s="229"/>
      <c r="C54" s="229"/>
      <c r="D54" s="229"/>
      <c r="E54" s="229"/>
      <c r="F54" s="229"/>
      <c r="G54" s="229"/>
      <c r="H54" s="229"/>
      <c r="I54" s="229"/>
      <c r="J54" s="229"/>
      <c r="K54" s="229"/>
      <c r="L54" s="229"/>
      <c r="M54" s="229"/>
      <c r="N54" s="229"/>
      <c r="O54" s="229"/>
      <c r="P54" s="229"/>
      <c r="Q54" s="229"/>
      <c r="R54" s="252"/>
    </row>
    <row r="56" spans="1:18" x14ac:dyDescent="0.25">
      <c r="B56" s="259" t="s">
        <v>91</v>
      </c>
    </row>
    <row r="58" spans="1:18" x14ac:dyDescent="0.25">
      <c r="B58" s="26" t="s">
        <v>92</v>
      </c>
    </row>
    <row r="60" spans="1:18" ht="15.75" thickBot="1" x14ac:dyDescent="0.3">
      <c r="B60" s="26" t="s">
        <v>93</v>
      </c>
    </row>
    <row r="61" spans="1:18" ht="15.75" thickTop="1" x14ac:dyDescent="0.25">
      <c r="B61" s="260" t="s">
        <v>94</v>
      </c>
      <c r="C61" s="261">
        <v>2002</v>
      </c>
      <c r="D61" s="261">
        <v>2003</v>
      </c>
      <c r="E61" s="261">
        <v>2004</v>
      </c>
      <c r="F61" s="261">
        <v>2005</v>
      </c>
      <c r="G61" s="261">
        <v>2006</v>
      </c>
      <c r="H61" s="261">
        <v>2007</v>
      </c>
      <c r="I61" s="261">
        <v>2008</v>
      </c>
      <c r="J61" s="261">
        <v>2009</v>
      </c>
      <c r="K61" s="261">
        <v>2010</v>
      </c>
      <c r="L61" s="261">
        <v>2011</v>
      </c>
      <c r="M61" s="261">
        <v>2012</v>
      </c>
      <c r="N61" s="261">
        <v>2013</v>
      </c>
      <c r="O61" s="261">
        <v>2014</v>
      </c>
      <c r="P61" s="262">
        <v>2015</v>
      </c>
    </row>
    <row r="62" spans="1:18" ht="15.75" thickBot="1" x14ac:dyDescent="0.3">
      <c r="B62" s="263" t="s">
        <v>95</v>
      </c>
      <c r="C62" s="264">
        <v>488</v>
      </c>
      <c r="D62" s="264">
        <v>546</v>
      </c>
      <c r="E62" s="264">
        <v>536</v>
      </c>
      <c r="F62" s="264">
        <v>490</v>
      </c>
      <c r="G62" s="264">
        <v>496</v>
      </c>
      <c r="H62" s="264">
        <v>479</v>
      </c>
      <c r="I62" s="264">
        <v>492</v>
      </c>
      <c r="J62" s="264">
        <v>462</v>
      </c>
      <c r="K62" s="264">
        <v>456</v>
      </c>
      <c r="L62" s="264">
        <v>548</v>
      </c>
      <c r="M62" s="264">
        <v>460</v>
      </c>
      <c r="N62" s="264">
        <v>463</v>
      </c>
      <c r="O62" s="264">
        <v>442</v>
      </c>
      <c r="P62" s="265">
        <v>416</v>
      </c>
      <c r="R62" s="26">
        <f>AVERAGE(C62:P62)</f>
        <v>483.85714285714283</v>
      </c>
    </row>
    <row r="63" spans="1:18" ht="15.75" thickTop="1" x14ac:dyDescent="0.25"/>
    <row r="64" spans="1:18" x14ac:dyDescent="0.25">
      <c r="B64" s="26" t="s">
        <v>96</v>
      </c>
    </row>
    <row r="66" spans="2:13" ht="15.75" thickBot="1" x14ac:dyDescent="0.3"/>
    <row r="67" spans="2:13" ht="15.75" thickBot="1" x14ac:dyDescent="0.3">
      <c r="B67" s="29" t="s">
        <v>428</v>
      </c>
      <c r="D67" s="143">
        <v>2010</v>
      </c>
      <c r="E67" s="143">
        <v>2015</v>
      </c>
      <c r="F67" s="143">
        <v>2020</v>
      </c>
      <c r="G67" s="143">
        <v>2025</v>
      </c>
      <c r="H67" s="143">
        <v>2030</v>
      </c>
      <c r="I67" s="251">
        <v>2035</v>
      </c>
    </row>
    <row r="68" spans="2:13" ht="15.75" thickBot="1" x14ac:dyDescent="0.3"/>
    <row r="69" spans="2:13" ht="15.75" thickBot="1" x14ac:dyDescent="0.3">
      <c r="B69" s="189" t="s">
        <v>421</v>
      </c>
      <c r="C69" s="266"/>
      <c r="D69" s="267">
        <v>1.4273</v>
      </c>
      <c r="E69" s="267">
        <f>E70+E71</f>
        <v>1.4803056737077263</v>
      </c>
      <c r="F69" s="267">
        <f t="shared" ref="F69:I69" si="0">F70+F71</f>
        <v>1.4814650407703627</v>
      </c>
      <c r="G69" s="267">
        <f t="shared" si="0"/>
        <v>1.5055678769060632</v>
      </c>
      <c r="H69" s="267">
        <f t="shared" si="0"/>
        <v>1.5338792865174431</v>
      </c>
      <c r="I69" s="268">
        <f t="shared" si="0"/>
        <v>1.5698388256829749</v>
      </c>
    </row>
    <row r="70" spans="2:13" ht="15.75" thickBot="1" x14ac:dyDescent="0.3">
      <c r="B70" s="270" t="s">
        <v>418</v>
      </c>
      <c r="C70" s="266"/>
      <c r="D70" s="267">
        <f>D69-D71</f>
        <v>0.97130000000000005</v>
      </c>
      <c r="E70" s="267">
        <f>E75*E81</f>
        <v>0.99644853085058349</v>
      </c>
      <c r="F70" s="267">
        <f>F75*F81</f>
        <v>0.9976078979132198</v>
      </c>
      <c r="G70" s="267">
        <f>G75*G81</f>
        <v>1.0217107340489204</v>
      </c>
      <c r="H70" s="267">
        <f>H75*H81</f>
        <v>1.0500221436603003</v>
      </c>
      <c r="I70" s="268">
        <f>I75*I81</f>
        <v>1.0859816828258322</v>
      </c>
    </row>
    <row r="71" spans="2:13" ht="15.75" thickBot="1" x14ac:dyDescent="0.3">
      <c r="B71" s="270" t="s">
        <v>419</v>
      </c>
      <c r="C71" s="266"/>
      <c r="D71" s="269">
        <f>K62/1000</f>
        <v>0.45600000000000002</v>
      </c>
      <c r="E71" s="269">
        <f>R62/1000</f>
        <v>0.48385714285714282</v>
      </c>
      <c r="F71" s="269">
        <f t="shared" ref="F71:I71" si="1">E71</f>
        <v>0.48385714285714282</v>
      </c>
      <c r="G71" s="269">
        <f t="shared" si="1"/>
        <v>0.48385714285714282</v>
      </c>
      <c r="H71" s="269">
        <f t="shared" si="1"/>
        <v>0.48385714285714282</v>
      </c>
      <c r="I71" s="271">
        <f t="shared" si="1"/>
        <v>0.48385714285714282</v>
      </c>
    </row>
    <row r="72" spans="2:13" ht="15.75" thickBot="1" x14ac:dyDescent="0.3"/>
    <row r="73" spans="2:13" ht="15.75" thickBot="1" x14ac:dyDescent="0.3">
      <c r="B73" s="29" t="s">
        <v>427</v>
      </c>
      <c r="D73" s="143">
        <v>2010</v>
      </c>
      <c r="E73" s="143">
        <v>2015</v>
      </c>
      <c r="F73" s="143">
        <v>2020</v>
      </c>
      <c r="G73" s="143">
        <v>2025</v>
      </c>
      <c r="H73" s="143">
        <v>2030</v>
      </c>
      <c r="I73" s="251">
        <v>2035</v>
      </c>
      <c r="K73" s="26" t="s">
        <v>24</v>
      </c>
      <c r="L73" s="26" t="s">
        <v>24</v>
      </c>
    </row>
    <row r="74" spans="2:13" ht="15.75" thickBot="1" x14ac:dyDescent="0.3">
      <c r="K74" s="26" t="s">
        <v>420</v>
      </c>
      <c r="L74" s="26" t="s">
        <v>25</v>
      </c>
    </row>
    <row r="75" spans="2:13" ht="15.75" thickBot="1" x14ac:dyDescent="0.3">
      <c r="B75" s="189" t="s">
        <v>421</v>
      </c>
      <c r="C75" s="267">
        <f>C76+C77</f>
        <v>44.849106437499998</v>
      </c>
      <c r="D75" s="267">
        <f>D76+D77</f>
        <v>40.356255208333337</v>
      </c>
      <c r="E75" s="267">
        <f t="shared" ref="E75:I75" si="2">E76+E77</f>
        <v>44.650999999999996</v>
      </c>
      <c r="F75" s="267">
        <f t="shared" si="2"/>
        <v>48.211988557651409</v>
      </c>
      <c r="G75" s="267">
        <f t="shared" si="2"/>
        <v>53.25274139195264</v>
      </c>
      <c r="H75" s="267">
        <f t="shared" si="2"/>
        <v>59.024364386932291</v>
      </c>
      <c r="I75" s="268">
        <f t="shared" si="2"/>
        <v>65.837633004637269</v>
      </c>
      <c r="K75" s="30">
        <f>(H75/E75)^(1/15)-1</f>
        <v>1.8779057017916934E-2</v>
      </c>
      <c r="L75" s="30">
        <f>(I75/E75)^(1/20)-1</f>
        <v>1.9605456461019299E-2</v>
      </c>
    </row>
    <row r="76" spans="2:13" ht="15.75" thickBot="1" x14ac:dyDescent="0.3">
      <c r="B76" s="189" t="s">
        <v>422</v>
      </c>
      <c r="C76" s="267">
        <v>15.128083</v>
      </c>
      <c r="D76" s="267">
        <v>12.718</v>
      </c>
      <c r="E76" s="267">
        <v>14.241</v>
      </c>
      <c r="F76" s="267">
        <v>14.306430325504659</v>
      </c>
      <c r="G76" s="267">
        <v>15.449818700946581</v>
      </c>
      <c r="H76" s="267">
        <v>16.876084326253309</v>
      </c>
      <c r="I76" s="268">
        <v>18.844506928274853</v>
      </c>
      <c r="K76" s="30">
        <f>(H76/E76)^(1/15)-1</f>
        <v>1.1382450195934979E-2</v>
      </c>
      <c r="L76" s="30">
        <f>(I76/E76)^(1/20)-1</f>
        <v>1.4103343535389667E-2</v>
      </c>
    </row>
    <row r="77" spans="2:13" ht="15.75" thickBot="1" x14ac:dyDescent="0.3">
      <c r="B77" s="189" t="s">
        <v>423</v>
      </c>
      <c r="C77" s="267">
        <f>D77*C78/D78</f>
        <v>29.721023437500001</v>
      </c>
      <c r="D77" s="267">
        <f>E77*D78/E78</f>
        <v>27.638255208333337</v>
      </c>
      <c r="E77" s="267">
        <v>30.41</v>
      </c>
      <c r="F77" s="267">
        <f>E77*(1+$L$77)^5</f>
        <v>33.905558232146753</v>
      </c>
      <c r="G77" s="267">
        <f>F77*(1+$L$77)^5</f>
        <v>37.80292269100606</v>
      </c>
      <c r="H77" s="267">
        <f>G77*(1+$L$77)^5</f>
        <v>42.148280060678978</v>
      </c>
      <c r="I77" s="268">
        <f>H77*(1+$L$77)^5</f>
        <v>46.993126076362408</v>
      </c>
      <c r="L77" s="258">
        <v>2.1999999999999999E-2</v>
      </c>
      <c r="M77" s="26" t="s">
        <v>426</v>
      </c>
    </row>
    <row r="78" spans="2:13" ht="26.25" thickBot="1" x14ac:dyDescent="0.3">
      <c r="B78" s="189" t="s">
        <v>424</v>
      </c>
      <c r="C78" s="267">
        <v>3.7530000000000001</v>
      </c>
      <c r="D78" s="267">
        <v>3.49</v>
      </c>
      <c r="E78" s="267">
        <v>3.84</v>
      </c>
      <c r="F78" s="267"/>
      <c r="G78" s="267"/>
      <c r="H78" s="267"/>
      <c r="I78" s="268"/>
    </row>
    <row r="80" spans="2:13" ht="15.75" thickBot="1" x14ac:dyDescent="0.3">
      <c r="B80" s="29" t="s">
        <v>425</v>
      </c>
    </row>
    <row r="81" spans="1:20" ht="15.75" thickBot="1" x14ac:dyDescent="0.3">
      <c r="B81" s="189" t="s">
        <v>429</v>
      </c>
      <c r="C81" s="267"/>
      <c r="D81" s="269">
        <f>D70/D75</f>
        <v>2.406813999430334E-2</v>
      </c>
      <c r="E81" s="269">
        <f>D81*(1+$K$81)^5</f>
        <v>2.2316376583964157E-2</v>
      </c>
      <c r="F81" s="269">
        <f>E81*(1+$K$81)^5</f>
        <v>2.0692112641657382E-2</v>
      </c>
      <c r="G81" s="269">
        <f>F81*(1+$K$81)^5</f>
        <v>1.9186068310153091E-2</v>
      </c>
      <c r="H81" s="269">
        <f>G81*(1+$K$81)^5</f>
        <v>1.7789639152688108E-2</v>
      </c>
      <c r="I81" s="271">
        <f>H81*(1+$K$81)^5</f>
        <v>1.6494846993502048E-2</v>
      </c>
      <c r="K81" s="258">
        <v>-1.4999999999999999E-2</v>
      </c>
      <c r="L81" s="26" t="s">
        <v>426</v>
      </c>
    </row>
    <row r="84" spans="1:20" ht="15.75" thickBot="1" x14ac:dyDescent="0.3"/>
    <row r="85" spans="1:20" ht="16.5" thickBot="1" x14ac:dyDescent="0.3">
      <c r="A85" s="229" t="s">
        <v>449</v>
      </c>
      <c r="B85" s="229"/>
      <c r="C85" s="229"/>
      <c r="D85" s="229"/>
      <c r="E85" s="229"/>
      <c r="F85" s="229"/>
      <c r="G85" s="229"/>
      <c r="H85" s="229"/>
      <c r="I85" s="229"/>
      <c r="J85" s="229"/>
      <c r="K85" s="229"/>
      <c r="L85" s="229"/>
      <c r="M85" s="229"/>
      <c r="N85" s="229"/>
      <c r="O85" s="229"/>
      <c r="P85" s="229"/>
      <c r="Q85" s="229"/>
      <c r="R85" s="252"/>
    </row>
    <row r="88" spans="1:20" x14ac:dyDescent="0.25">
      <c r="B88" s="300" t="s">
        <v>450</v>
      </c>
    </row>
    <row r="90" spans="1:20" x14ac:dyDescent="0.25">
      <c r="E90" s="301">
        <v>2015</v>
      </c>
      <c r="F90" s="302">
        <v>2020</v>
      </c>
      <c r="G90" s="303">
        <v>2025</v>
      </c>
      <c r="H90" s="302">
        <v>2030</v>
      </c>
      <c r="I90" s="304">
        <v>2035</v>
      </c>
    </row>
    <row r="91" spans="1:20" x14ac:dyDescent="0.25">
      <c r="B91" s="847" t="s">
        <v>451</v>
      </c>
      <c r="C91" s="305" t="s">
        <v>452</v>
      </c>
      <c r="D91" s="306" t="s">
        <v>453</v>
      </c>
      <c r="E91" s="307">
        <v>249.98473524425199</v>
      </c>
      <c r="F91" s="308">
        <v>254.57907333399723</v>
      </c>
      <c r="G91" s="308">
        <v>263.61315298153045</v>
      </c>
      <c r="H91" s="308">
        <v>274.74449662337406</v>
      </c>
      <c r="I91" s="309">
        <v>295.32304916854304</v>
      </c>
      <c r="J91" s="310" t="s">
        <v>454</v>
      </c>
    </row>
    <row r="92" spans="1:20" x14ac:dyDescent="0.25">
      <c r="B92" s="847"/>
      <c r="C92" s="311" t="s">
        <v>455</v>
      </c>
      <c r="D92" s="312" t="s">
        <v>453</v>
      </c>
      <c r="E92" s="313">
        <v>3.5</v>
      </c>
      <c r="F92" s="314">
        <v>5.1323104587708439</v>
      </c>
      <c r="G92" s="314">
        <v>5.3502172991080839</v>
      </c>
      <c r="H92" s="314">
        <v>5.6126025485794697</v>
      </c>
      <c r="I92" s="315">
        <v>6.0220291039775127</v>
      </c>
      <c r="J92" s="310" t="s">
        <v>456</v>
      </c>
      <c r="T92" s="310"/>
    </row>
    <row r="93" spans="1:20" ht="15" customHeight="1" x14ac:dyDescent="0.25">
      <c r="B93" s="847"/>
      <c r="C93" s="311" t="s">
        <v>457</v>
      </c>
      <c r="D93" s="312" t="s">
        <v>453</v>
      </c>
      <c r="E93" s="313">
        <v>0</v>
      </c>
      <c r="F93" s="314">
        <v>6.1524591367810624</v>
      </c>
      <c r="G93" s="314">
        <v>6.4136792912455718</v>
      </c>
      <c r="H93" s="314">
        <v>6.7282188224050739</v>
      </c>
      <c r="I93" s="315">
        <v>7.2190270406208503</v>
      </c>
      <c r="T93" s="310"/>
    </row>
    <row r="94" spans="1:20" x14ac:dyDescent="0.25">
      <c r="B94" s="847"/>
      <c r="C94" s="311" t="s">
        <v>458</v>
      </c>
      <c r="D94" s="312" t="s">
        <v>453</v>
      </c>
      <c r="E94" s="313">
        <v>54.022199999999998</v>
      </c>
      <c r="F94" s="314">
        <v>63.850775473772551</v>
      </c>
      <c r="G94" s="314">
        <v>67.658527301036713</v>
      </c>
      <c r="H94" s="314">
        <v>71.95715579743414</v>
      </c>
      <c r="I94" s="315">
        <v>76.032546505832343</v>
      </c>
    </row>
    <row r="95" spans="1:20" x14ac:dyDescent="0.25">
      <c r="B95" s="847"/>
      <c r="C95" s="311" t="s">
        <v>459</v>
      </c>
      <c r="D95" s="312" t="s">
        <v>453</v>
      </c>
      <c r="E95" s="313">
        <v>7.056</v>
      </c>
      <c r="F95" s="314">
        <v>2.2041774375964782</v>
      </c>
      <c r="G95" s="314">
        <v>2.3442511971426967</v>
      </c>
      <c r="H95" s="314">
        <v>2.4919081862990673</v>
      </c>
      <c r="I95" s="315">
        <v>2.6330446025575158</v>
      </c>
    </row>
    <row r="96" spans="1:20" x14ac:dyDescent="0.25">
      <c r="B96" s="847"/>
      <c r="C96" s="311" t="s">
        <v>460</v>
      </c>
      <c r="D96" s="312" t="s">
        <v>453</v>
      </c>
      <c r="E96" s="313">
        <v>3.7982130115314501</v>
      </c>
      <c r="F96" s="314">
        <v>4.341060021845383</v>
      </c>
      <c r="G96" s="314">
        <v>4.6209283482786319</v>
      </c>
      <c r="H96" s="314">
        <v>4.9625285899536795</v>
      </c>
      <c r="I96" s="315">
        <v>5.2649771729283676</v>
      </c>
    </row>
    <row r="97" spans="2:22" x14ac:dyDescent="0.25">
      <c r="B97" s="847"/>
      <c r="C97" s="311" t="s">
        <v>461</v>
      </c>
      <c r="D97" s="312" t="s">
        <v>453</v>
      </c>
      <c r="E97" s="313">
        <v>14.241</v>
      </c>
      <c r="F97" s="314">
        <v>14.306430325504659</v>
      </c>
      <c r="G97" s="314">
        <v>15.449818700946581</v>
      </c>
      <c r="H97" s="314">
        <v>16.876084326253309</v>
      </c>
      <c r="I97" s="315">
        <v>18.844506928274853</v>
      </c>
    </row>
    <row r="98" spans="2:22" x14ac:dyDescent="0.25">
      <c r="B98" s="847"/>
      <c r="C98" s="316" t="s">
        <v>462</v>
      </c>
      <c r="D98" s="312" t="s">
        <v>463</v>
      </c>
      <c r="E98" s="317">
        <v>113.576451020063</v>
      </c>
      <c r="F98" s="318">
        <v>115.85635928740484</v>
      </c>
      <c r="G98" s="318">
        <v>120.22949361590996</v>
      </c>
      <c r="H98" s="318">
        <v>126.05157623795021</v>
      </c>
      <c r="I98" s="319">
        <v>136.45313423740359</v>
      </c>
      <c r="J98" s="310"/>
    </row>
    <row r="99" spans="2:22" x14ac:dyDescent="0.25">
      <c r="B99" s="847" t="s">
        <v>464</v>
      </c>
      <c r="C99" s="320" t="s">
        <v>97</v>
      </c>
      <c r="D99" s="306" t="s">
        <v>453</v>
      </c>
      <c r="E99" s="307">
        <v>477.935586020909</v>
      </c>
      <c r="F99" s="308">
        <v>483.6981134032539</v>
      </c>
      <c r="G99" s="308">
        <v>491.11765586276067</v>
      </c>
      <c r="H99" s="308">
        <v>502.49950888583402</v>
      </c>
      <c r="I99" s="309">
        <v>522.00477458281409</v>
      </c>
      <c r="T99" s="310"/>
    </row>
    <row r="100" spans="2:22" x14ac:dyDescent="0.25">
      <c r="B100" s="847"/>
      <c r="C100" s="321" t="s">
        <v>465</v>
      </c>
      <c r="D100" s="312" t="s">
        <v>453</v>
      </c>
      <c r="E100" s="313">
        <v>56.7499869884685</v>
      </c>
      <c r="F100" s="314">
        <v>62.924595000525109</v>
      </c>
      <c r="G100" s="314">
        <v>66.187093912773562</v>
      </c>
      <c r="H100" s="314">
        <v>69.891762846551515</v>
      </c>
      <c r="I100" s="315">
        <v>72.456364915526379</v>
      </c>
    </row>
    <row r="101" spans="2:22" ht="14.45" customHeight="1" x14ac:dyDescent="0.25">
      <c r="B101" s="847"/>
      <c r="C101" s="321" t="s">
        <v>466</v>
      </c>
      <c r="D101" s="312" t="s">
        <v>453</v>
      </c>
      <c r="E101" s="313">
        <v>20.192400037950399</v>
      </c>
      <c r="F101" s="314">
        <v>20.9199432902317</v>
      </c>
      <c r="G101" s="314">
        <v>21.5591382675251</v>
      </c>
      <c r="H101" s="314">
        <v>22.329450618004699</v>
      </c>
      <c r="I101" s="315">
        <v>23.342829445868599</v>
      </c>
    </row>
    <row r="102" spans="2:22" x14ac:dyDescent="0.25">
      <c r="B102" s="847"/>
      <c r="C102" s="322" t="s">
        <v>462</v>
      </c>
      <c r="D102" s="323" t="s">
        <v>463</v>
      </c>
      <c r="E102" s="317">
        <v>329.610748979937</v>
      </c>
      <c r="F102" s="318">
        <v>333.58490579534777</v>
      </c>
      <c r="G102" s="318">
        <v>338.70183162949047</v>
      </c>
      <c r="H102" s="318">
        <v>346.5513854385062</v>
      </c>
      <c r="I102" s="319">
        <v>360.00329281573357</v>
      </c>
      <c r="J102" s="310"/>
    </row>
    <row r="103" spans="2:22" x14ac:dyDescent="0.25">
      <c r="B103" s="848" t="s">
        <v>467</v>
      </c>
      <c r="C103" s="305" t="s">
        <v>468</v>
      </c>
      <c r="D103" s="312" t="s">
        <v>469</v>
      </c>
      <c r="E103" s="307">
        <v>258.86250000000001</v>
      </c>
      <c r="F103" s="308">
        <v>287.4188713326339</v>
      </c>
      <c r="G103" s="308">
        <v>307.3087909123297</v>
      </c>
      <c r="H103" s="308">
        <v>330.75521362755495</v>
      </c>
      <c r="I103" s="309">
        <v>360.62211347993451</v>
      </c>
      <c r="T103" s="310"/>
    </row>
    <row r="104" spans="2:22" x14ac:dyDescent="0.25">
      <c r="B104" s="848"/>
      <c r="C104" s="311" t="s">
        <v>470</v>
      </c>
      <c r="D104" s="312" t="s">
        <v>469</v>
      </c>
      <c r="E104" s="313">
        <v>33.842199999999998</v>
      </c>
      <c r="F104" s="314">
        <v>38.141648044672863</v>
      </c>
      <c r="G104" s="314">
        <v>39.793482085832963</v>
      </c>
      <c r="H104" s="314">
        <v>41.881533444647133</v>
      </c>
      <c r="I104" s="315">
        <v>44.21801357146488</v>
      </c>
    </row>
    <row r="105" spans="2:22" x14ac:dyDescent="0.25">
      <c r="B105" s="848"/>
      <c r="C105" s="311" t="s">
        <v>98</v>
      </c>
      <c r="D105" s="312" t="s">
        <v>469</v>
      </c>
      <c r="E105" s="313">
        <v>7.4632500000000004</v>
      </c>
      <c r="F105" s="314">
        <v>8.2372305055115067</v>
      </c>
      <c r="G105" s="314">
        <v>8.4652513104867317</v>
      </c>
      <c r="H105" s="314">
        <v>8.7041945853824263</v>
      </c>
      <c r="I105" s="315">
        <v>9.2070593108196608</v>
      </c>
    </row>
    <row r="106" spans="2:22" x14ac:dyDescent="0.25">
      <c r="B106" s="848"/>
      <c r="C106" s="316" t="s">
        <v>471</v>
      </c>
      <c r="D106" s="323" t="s">
        <v>463</v>
      </c>
      <c r="E106" s="317">
        <v>26.486266583859901</v>
      </c>
      <c r="F106" s="318">
        <v>28.501928628605704</v>
      </c>
      <c r="G106" s="318">
        <v>29.675643478682623</v>
      </c>
      <c r="H106" s="318">
        <v>31.101294188926399</v>
      </c>
      <c r="I106" s="319">
        <v>32.873849417049527</v>
      </c>
      <c r="J106" s="310"/>
    </row>
    <row r="107" spans="2:22" x14ac:dyDescent="0.25">
      <c r="B107" s="848" t="s">
        <v>99</v>
      </c>
      <c r="C107" s="305" t="s">
        <v>472</v>
      </c>
      <c r="D107" s="324" t="s">
        <v>463</v>
      </c>
      <c r="E107" s="325">
        <v>95.3034990982474</v>
      </c>
      <c r="F107" s="325">
        <v>98.17943554426958</v>
      </c>
      <c r="G107" s="325">
        <v>100.43839775664796</v>
      </c>
      <c r="H107" s="325">
        <v>103.49397100288206</v>
      </c>
      <c r="I107" s="326">
        <v>107.79169685786856</v>
      </c>
      <c r="J107" s="310"/>
      <c r="T107" s="310"/>
    </row>
    <row r="108" spans="2:22" x14ac:dyDescent="0.25">
      <c r="B108" s="848"/>
      <c r="C108" s="328" t="s">
        <v>473</v>
      </c>
      <c r="D108" s="327" t="s">
        <v>463</v>
      </c>
      <c r="E108" s="325">
        <v>1.0626007301015501</v>
      </c>
      <c r="F108" s="325">
        <v>1.119992740895249</v>
      </c>
      <c r="G108" s="325">
        <v>1.1675452187372792</v>
      </c>
      <c r="H108" s="325">
        <v>1.2248039479366659</v>
      </c>
      <c r="I108" s="325">
        <v>1.3141506025592264</v>
      </c>
      <c r="T108" s="310"/>
    </row>
    <row r="109" spans="2:22" x14ac:dyDescent="0.25">
      <c r="B109" s="26" t="s">
        <v>525</v>
      </c>
    </row>
    <row r="111" spans="2:22" x14ac:dyDescent="0.25">
      <c r="R111" s="397" t="s">
        <v>367</v>
      </c>
      <c r="S111" s="398"/>
      <c r="T111" s="398"/>
      <c r="U111" s="398"/>
      <c r="V111" s="398"/>
    </row>
    <row r="112" spans="2:22" x14ac:dyDescent="0.25">
      <c r="B112" s="331" t="s">
        <v>474</v>
      </c>
      <c r="C112" s="329"/>
      <c r="D112" s="329"/>
      <c r="E112" s="329"/>
      <c r="F112" s="329"/>
      <c r="G112" s="329"/>
      <c r="H112" s="329"/>
      <c r="I112" s="329"/>
      <c r="J112" s="329"/>
      <c r="K112" s="329"/>
      <c r="L112" s="329"/>
      <c r="M112" s="329"/>
      <c r="N112" s="329"/>
      <c r="O112" s="329"/>
      <c r="P112" s="329"/>
      <c r="Q112" s="330"/>
      <c r="R112" s="399" t="s">
        <v>475</v>
      </c>
      <c r="S112" s="399"/>
      <c r="T112" s="399"/>
      <c r="U112" s="399"/>
      <c r="V112" s="399"/>
    </row>
    <row r="113" spans="2:22" x14ac:dyDescent="0.25">
      <c r="B113" s="332"/>
      <c r="C113" s="332"/>
      <c r="D113" s="332"/>
      <c r="E113" s="332"/>
      <c r="F113" s="332"/>
      <c r="G113" s="332"/>
      <c r="H113" s="332"/>
      <c r="I113" s="332"/>
      <c r="J113" s="332"/>
      <c r="K113" s="332"/>
      <c r="L113" s="332"/>
      <c r="M113" s="332"/>
      <c r="N113" s="332"/>
      <c r="O113" s="332"/>
      <c r="P113" s="333"/>
      <c r="Q113" s="334" t="s">
        <v>476</v>
      </c>
      <c r="R113" s="390"/>
      <c r="S113" s="390"/>
      <c r="T113" s="390"/>
      <c r="U113" s="390"/>
      <c r="V113" s="390"/>
    </row>
    <row r="114" spans="2:22" ht="15.75" thickBot="1" x14ac:dyDescent="0.3">
      <c r="B114" s="335"/>
      <c r="C114" s="336">
        <v>2000</v>
      </c>
      <c r="D114" s="337">
        <v>2001</v>
      </c>
      <c r="E114" s="337">
        <v>2002</v>
      </c>
      <c r="F114" s="337">
        <v>2003</v>
      </c>
      <c r="G114" s="337">
        <v>2004</v>
      </c>
      <c r="H114" s="337">
        <v>2005</v>
      </c>
      <c r="I114" s="337">
        <v>2006</v>
      </c>
      <c r="J114" s="337">
        <v>2007</v>
      </c>
      <c r="K114" s="337">
        <v>2008</v>
      </c>
      <c r="L114" s="337">
        <v>2009</v>
      </c>
      <c r="M114" s="337">
        <v>2010</v>
      </c>
      <c r="N114" s="337">
        <v>2011</v>
      </c>
      <c r="O114" s="337">
        <v>2012</v>
      </c>
      <c r="P114" s="337">
        <v>2013</v>
      </c>
      <c r="Q114" s="338">
        <v>2014</v>
      </c>
      <c r="R114" s="400">
        <v>2015</v>
      </c>
      <c r="S114" s="400">
        <v>2020</v>
      </c>
      <c r="T114" s="400">
        <v>2025</v>
      </c>
      <c r="U114" s="400">
        <v>2030</v>
      </c>
      <c r="V114" s="400">
        <v>2035</v>
      </c>
    </row>
    <row r="115" spans="2:22" ht="15.75" thickTop="1" x14ac:dyDescent="0.25">
      <c r="B115" s="339" t="s">
        <v>477</v>
      </c>
      <c r="C115" s="340">
        <v>754.35990578819792</v>
      </c>
      <c r="D115" s="341">
        <v>786.78742767084805</v>
      </c>
      <c r="E115" s="341">
        <v>798.10232355850871</v>
      </c>
      <c r="F115" s="341">
        <v>804.85049611962734</v>
      </c>
      <c r="G115" s="341">
        <v>806.96150056104364</v>
      </c>
      <c r="H115" s="341">
        <v>800.75465740897641</v>
      </c>
      <c r="I115" s="341">
        <v>801.66290642330364</v>
      </c>
      <c r="J115" s="341">
        <v>811.97633817088911</v>
      </c>
      <c r="K115" s="341">
        <v>799.98808737467482</v>
      </c>
      <c r="L115" s="341">
        <v>802.8870307981914</v>
      </c>
      <c r="M115" s="341">
        <v>810.79327141095564</v>
      </c>
      <c r="N115" s="341">
        <v>812.65631351778654</v>
      </c>
      <c r="O115" s="341">
        <v>814.99444834669748</v>
      </c>
      <c r="P115" s="341">
        <v>819.44183148843206</v>
      </c>
      <c r="Q115" s="342">
        <v>829.63609688875056</v>
      </c>
      <c r="R115" s="389"/>
      <c r="S115" s="389"/>
      <c r="T115" s="389"/>
      <c r="U115" s="389"/>
      <c r="V115" s="389"/>
    </row>
    <row r="116" spans="2:22" x14ac:dyDescent="0.25">
      <c r="B116" s="343" t="s">
        <v>478</v>
      </c>
      <c r="C116" s="344">
        <v>686.94170452360686</v>
      </c>
      <c r="D116" s="345">
        <v>715.65622429256689</v>
      </c>
      <c r="E116" s="345">
        <v>722.52249838834712</v>
      </c>
      <c r="F116" s="345">
        <v>728.91412456222952</v>
      </c>
      <c r="G116" s="345">
        <v>728.60920571105351</v>
      </c>
      <c r="H116" s="345">
        <v>719.79737538281859</v>
      </c>
      <c r="I116" s="345">
        <v>717.98469498719066</v>
      </c>
      <c r="J116" s="345">
        <v>723.86012203973803</v>
      </c>
      <c r="K116" s="345">
        <v>716.87233293870986</v>
      </c>
      <c r="L116" s="345">
        <v>721.43866353537669</v>
      </c>
      <c r="M116" s="345">
        <v>727.30476558561736</v>
      </c>
      <c r="N116" s="345">
        <v>728.73646677562112</v>
      </c>
      <c r="O116" s="345">
        <v>730.72316935364574</v>
      </c>
      <c r="P116" s="345">
        <v>733.76376574849098</v>
      </c>
      <c r="Q116" s="346">
        <v>739.24213422819787</v>
      </c>
      <c r="R116" s="390"/>
      <c r="S116" s="390"/>
      <c r="T116" s="390"/>
      <c r="U116" s="390"/>
      <c r="V116" s="390"/>
    </row>
    <row r="117" spans="2:22" x14ac:dyDescent="0.25">
      <c r="B117" s="343" t="s">
        <v>479</v>
      </c>
      <c r="C117" s="344">
        <v>57.600459002858194</v>
      </c>
      <c r="D117" s="345">
        <v>60.452187067260255</v>
      </c>
      <c r="E117" s="345">
        <v>63.801538675763467</v>
      </c>
      <c r="F117" s="345">
        <v>64.123844397799672</v>
      </c>
      <c r="G117" s="345">
        <v>65.919630372081301</v>
      </c>
      <c r="H117" s="345">
        <v>68.338349596990327</v>
      </c>
      <c r="I117" s="345">
        <v>71.110629699736904</v>
      </c>
      <c r="J117" s="345">
        <v>75.370773251151036</v>
      </c>
      <c r="K117" s="345">
        <v>69.733039411964938</v>
      </c>
      <c r="L117" s="345">
        <v>67.530343637854699</v>
      </c>
      <c r="M117" s="345">
        <v>69.570482200378223</v>
      </c>
      <c r="N117" s="345">
        <v>69.987905093580494</v>
      </c>
      <c r="O117" s="345">
        <v>70.339337344466799</v>
      </c>
      <c r="P117" s="345">
        <v>71.746124091356137</v>
      </c>
      <c r="Q117" s="346">
        <v>76.462021011967735</v>
      </c>
      <c r="R117" s="390"/>
      <c r="S117" s="390"/>
      <c r="T117" s="390"/>
      <c r="U117" s="390"/>
      <c r="V117" s="390"/>
    </row>
    <row r="118" spans="2:22" ht="15.75" thickBot="1" x14ac:dyDescent="0.3">
      <c r="B118" s="347" t="s">
        <v>480</v>
      </c>
      <c r="C118" s="348">
        <v>9.8177422617328229</v>
      </c>
      <c r="D118" s="349">
        <v>10.679016311020824</v>
      </c>
      <c r="E118" s="349">
        <v>11.778286494398083</v>
      </c>
      <c r="F118" s="349">
        <v>11.812527159598147</v>
      </c>
      <c r="G118" s="349">
        <v>12.432664477908812</v>
      </c>
      <c r="H118" s="349">
        <v>12.618932429167581</v>
      </c>
      <c r="I118" s="349">
        <v>12.567581736376006</v>
      </c>
      <c r="J118" s="349">
        <v>12.745442879999999</v>
      </c>
      <c r="K118" s="349">
        <v>13.382715023999999</v>
      </c>
      <c r="L118" s="349">
        <v>13.91802362496</v>
      </c>
      <c r="M118" s="349">
        <v>13.91802362496</v>
      </c>
      <c r="N118" s="349">
        <v>13.931941648584958</v>
      </c>
      <c r="O118" s="349">
        <v>13.931941648584958</v>
      </c>
      <c r="P118" s="349">
        <v>13.93194164858496</v>
      </c>
      <c r="Q118" s="350">
        <v>13.931941648584958</v>
      </c>
      <c r="R118" s="390"/>
      <c r="S118" s="390"/>
      <c r="T118" s="390"/>
      <c r="U118" s="390"/>
      <c r="V118" s="390"/>
    </row>
    <row r="119" spans="2:22" ht="15.75" thickTop="1" x14ac:dyDescent="0.25">
      <c r="B119" s="351" t="s">
        <v>481</v>
      </c>
      <c r="C119" s="352">
        <v>138.17857025456692</v>
      </c>
      <c r="D119" s="352">
        <v>138.63114744857509</v>
      </c>
      <c r="E119" s="352">
        <v>140.19133192132719</v>
      </c>
      <c r="F119" s="352">
        <v>137.58506668617613</v>
      </c>
      <c r="G119" s="352">
        <v>142.8383003130769</v>
      </c>
      <c r="H119" s="352">
        <v>146.40233913650883</v>
      </c>
      <c r="I119" s="352">
        <v>150.42084977531067</v>
      </c>
      <c r="J119" s="352">
        <v>155.07939647928129</v>
      </c>
      <c r="K119" s="352">
        <v>164.51989478985635</v>
      </c>
      <c r="L119" s="352">
        <v>162.40067215742431</v>
      </c>
      <c r="M119" s="352">
        <v>163.64352640204785</v>
      </c>
      <c r="N119" s="352">
        <v>169.15636897279211</v>
      </c>
      <c r="O119" s="352">
        <v>169.46757803950655</v>
      </c>
      <c r="P119" s="352">
        <v>170.16622510790489</v>
      </c>
      <c r="Q119" s="353">
        <v>170.52201487959763</v>
      </c>
      <c r="R119" s="389"/>
      <c r="S119" s="389"/>
      <c r="T119" s="389"/>
      <c r="U119" s="389"/>
      <c r="V119" s="389"/>
    </row>
    <row r="120" spans="2:22" x14ac:dyDescent="0.25">
      <c r="B120" s="354" t="s">
        <v>482</v>
      </c>
      <c r="C120" s="355">
        <v>93.463191138999974</v>
      </c>
      <c r="D120" s="356">
        <v>93.154089285182906</v>
      </c>
      <c r="E120" s="356">
        <v>94.380305131298925</v>
      </c>
      <c r="F120" s="356">
        <v>92.763387041661559</v>
      </c>
      <c r="G120" s="356">
        <v>94.886718105384659</v>
      </c>
      <c r="H120" s="356">
        <v>97.49754370767306</v>
      </c>
      <c r="I120" s="356">
        <v>100.24043398209912</v>
      </c>
      <c r="J120" s="356">
        <v>102.92109691488605</v>
      </c>
      <c r="K120" s="356">
        <v>108.42810026275102</v>
      </c>
      <c r="L120" s="356">
        <v>107.49043143509971</v>
      </c>
      <c r="M120" s="356">
        <v>108.12142444031697</v>
      </c>
      <c r="N120" s="356">
        <v>111.60807235461186</v>
      </c>
      <c r="O120" s="356">
        <v>110.57426618799109</v>
      </c>
      <c r="P120" s="356">
        <v>110.71102089374448</v>
      </c>
      <c r="Q120" s="357">
        <v>110.39023550828082</v>
      </c>
      <c r="R120" s="389"/>
      <c r="S120" s="389"/>
      <c r="T120" s="389"/>
      <c r="U120" s="389"/>
      <c r="V120" s="389"/>
    </row>
    <row r="121" spans="2:22" x14ac:dyDescent="0.25">
      <c r="B121" s="358" t="s">
        <v>483</v>
      </c>
      <c r="C121" s="359">
        <v>15.128083</v>
      </c>
      <c r="D121" s="360">
        <v>13.966175</v>
      </c>
      <c r="E121" s="360">
        <v>13.669027</v>
      </c>
      <c r="F121" s="360">
        <v>13.003507000000001</v>
      </c>
      <c r="G121" s="360">
        <v>12.722783</v>
      </c>
      <c r="H121" s="360">
        <v>12.897304</v>
      </c>
      <c r="I121" s="360">
        <v>13.181044688</v>
      </c>
      <c r="J121" s="360">
        <v>13.216065</v>
      </c>
      <c r="K121" s="360">
        <v>13.090384</v>
      </c>
      <c r="L121" s="361">
        <v>12.850999999999999</v>
      </c>
      <c r="M121" s="361">
        <v>12.718</v>
      </c>
      <c r="N121" s="361">
        <v>13.471902386</v>
      </c>
      <c r="O121" s="361">
        <v>14.022887107000001</v>
      </c>
      <c r="P121" s="361">
        <v>14.47</v>
      </c>
      <c r="Q121" s="362">
        <v>14.14</v>
      </c>
      <c r="R121" s="401">
        <f>E97</f>
        <v>14.241</v>
      </c>
      <c r="S121" s="401">
        <f>F97</f>
        <v>14.306430325504659</v>
      </c>
      <c r="T121" s="401">
        <f>G97</f>
        <v>15.449818700946581</v>
      </c>
      <c r="U121" s="401">
        <f>H97</f>
        <v>16.876084326253309</v>
      </c>
      <c r="V121" s="401">
        <f>I97</f>
        <v>18.844506928274853</v>
      </c>
    </row>
    <row r="122" spans="2:22" x14ac:dyDescent="0.25">
      <c r="B122" s="363" t="s">
        <v>484</v>
      </c>
      <c r="C122" s="359">
        <v>51.461108138999975</v>
      </c>
      <c r="D122" s="360">
        <v>52.641126999999976</v>
      </c>
      <c r="E122" s="360">
        <v>53.891396091999972</v>
      </c>
      <c r="F122" s="360">
        <v>52.717589187999941</v>
      </c>
      <c r="G122" s="360">
        <v>54.575943228999996</v>
      </c>
      <c r="H122" s="360">
        <v>55.76935183399997</v>
      </c>
      <c r="I122" s="360">
        <v>57.763064135999983</v>
      </c>
      <c r="J122" s="360">
        <v>58.930112373999989</v>
      </c>
      <c r="K122" s="360">
        <v>62.475092224999983</v>
      </c>
      <c r="L122" s="360">
        <v>61.608843647999961</v>
      </c>
      <c r="M122" s="360">
        <v>61.490824216999997</v>
      </c>
      <c r="N122" s="360">
        <v>63.680759792000003</v>
      </c>
      <c r="O122" s="360">
        <v>61.981821712880006</v>
      </c>
      <c r="P122" s="360">
        <v>61.252690716170008</v>
      </c>
      <c r="Q122" s="364">
        <v>60.94400139039</v>
      </c>
      <c r="R122" s="401">
        <f>E94+E95+E96</f>
        <v>64.87641301153144</v>
      </c>
      <c r="S122" s="401">
        <f>F94+F95+F96</f>
        <v>70.396012933214408</v>
      </c>
      <c r="T122" s="401">
        <f>G94+G95+G96</f>
        <v>74.623706846458049</v>
      </c>
      <c r="U122" s="401">
        <f>H94+H95+H96</f>
        <v>79.411592573686889</v>
      </c>
      <c r="V122" s="401">
        <f>I94+I95+I96</f>
        <v>83.93056828131823</v>
      </c>
    </row>
    <row r="123" spans="2:22" x14ac:dyDescent="0.25">
      <c r="B123" s="365" t="s">
        <v>485</v>
      </c>
      <c r="C123" s="366">
        <v>34.457108138999978</v>
      </c>
      <c r="D123" s="361">
        <v>37.200126999999974</v>
      </c>
      <c r="E123" s="361">
        <v>39.561396091999974</v>
      </c>
      <c r="F123" s="361">
        <v>39.25458918799994</v>
      </c>
      <c r="G123" s="361">
        <v>41.250943228999994</v>
      </c>
      <c r="H123" s="361">
        <v>42.517884823999971</v>
      </c>
      <c r="I123" s="361">
        <v>44.817928112999986</v>
      </c>
      <c r="J123" s="361">
        <v>47.963846629999992</v>
      </c>
      <c r="K123" s="361">
        <v>52.224750877999988</v>
      </c>
      <c r="L123" s="361">
        <v>51.864031580999963</v>
      </c>
      <c r="M123" s="361">
        <v>52.782524363999997</v>
      </c>
      <c r="N123" s="361">
        <v>54.037759792000003</v>
      </c>
      <c r="O123" s="361">
        <v>54.035119899000001</v>
      </c>
      <c r="P123" s="361">
        <v>53.76416591200001</v>
      </c>
      <c r="Q123" s="362">
        <v>53.728779961000001</v>
      </c>
      <c r="R123" s="391"/>
      <c r="S123" s="391"/>
      <c r="T123" s="391"/>
      <c r="U123" s="391"/>
      <c r="V123" s="391"/>
    </row>
    <row r="124" spans="2:22" x14ac:dyDescent="0.25">
      <c r="B124" s="365" t="s">
        <v>486</v>
      </c>
      <c r="C124" s="366">
        <v>17.004000000000001</v>
      </c>
      <c r="D124" s="361">
        <v>15.441000000000003</v>
      </c>
      <c r="E124" s="361">
        <v>14.33</v>
      </c>
      <c r="F124" s="361">
        <v>13.463000000000001</v>
      </c>
      <c r="G124" s="361">
        <v>13.324999999999999</v>
      </c>
      <c r="H124" s="361">
        <v>13.251467010000001</v>
      </c>
      <c r="I124" s="361">
        <v>12.945136023</v>
      </c>
      <c r="J124" s="361">
        <v>10.966265744000001</v>
      </c>
      <c r="K124" s="361">
        <v>10.250341346999999</v>
      </c>
      <c r="L124" s="361">
        <v>9.7448120670000016</v>
      </c>
      <c r="M124" s="361">
        <v>8.708299852999998</v>
      </c>
      <c r="N124" s="361">
        <v>9.6430000000000025</v>
      </c>
      <c r="O124" s="361">
        <v>7.9467018138800007</v>
      </c>
      <c r="P124" s="361">
        <v>7.4885248041700017</v>
      </c>
      <c r="Q124" s="362">
        <v>7.2152214293899988</v>
      </c>
      <c r="R124" s="391"/>
      <c r="S124" s="391"/>
      <c r="T124" s="391"/>
      <c r="U124" s="391"/>
      <c r="V124" s="391"/>
    </row>
    <row r="125" spans="2:22" x14ac:dyDescent="0.25">
      <c r="B125" s="367" t="s">
        <v>487</v>
      </c>
      <c r="C125" s="366">
        <v>26.873999999999999</v>
      </c>
      <c r="D125" s="361">
        <v>26.546787285182926</v>
      </c>
      <c r="E125" s="361">
        <v>26.819882039298946</v>
      </c>
      <c r="F125" s="361">
        <v>27.042290853661605</v>
      </c>
      <c r="G125" s="361">
        <v>27.587991876384656</v>
      </c>
      <c r="H125" s="361">
        <v>28.830887873673099</v>
      </c>
      <c r="I125" s="361">
        <v>29.29632515809913</v>
      </c>
      <c r="J125" s="361">
        <v>30.77491954088606</v>
      </c>
      <c r="K125" s="361">
        <v>32.862624037751033</v>
      </c>
      <c r="L125" s="361">
        <v>33.030587787099755</v>
      </c>
      <c r="M125" s="361">
        <v>33.912600223316971</v>
      </c>
      <c r="N125" s="361">
        <v>34.455410176611856</v>
      </c>
      <c r="O125" s="361">
        <v>34.569557368111077</v>
      </c>
      <c r="P125" s="361">
        <v>34.988330177574468</v>
      </c>
      <c r="Q125" s="362">
        <v>35.306234117890824</v>
      </c>
      <c r="R125" s="402">
        <f>Q125</f>
        <v>35.306234117890824</v>
      </c>
      <c r="S125" s="402">
        <f>$R125*F108/$E108+F93</f>
        <v>43.365614370174228</v>
      </c>
      <c r="T125" s="402">
        <f t="shared" ref="T125:V125" si="3">$R125*G108/$E108+G93</f>
        <v>45.206824889802597</v>
      </c>
      <c r="U125" s="402">
        <f t="shared" si="3"/>
        <v>47.423857089316719</v>
      </c>
      <c r="V125" s="402">
        <f t="shared" si="3"/>
        <v>50.88331930558968</v>
      </c>
    </row>
    <row r="126" spans="2:22" x14ac:dyDescent="0.25">
      <c r="B126" s="368" t="s">
        <v>488</v>
      </c>
      <c r="C126" s="369">
        <v>8.5305</v>
      </c>
      <c r="D126" s="370">
        <v>8.4266342537862968</v>
      </c>
      <c r="E126" s="370">
        <v>8.5133215649415668</v>
      </c>
      <c r="F126" s="370">
        <v>8.5839198529121195</v>
      </c>
      <c r="G126" s="370">
        <v>8.7571394173364343</v>
      </c>
      <c r="H126" s="370">
        <v>9.1516666296929507</v>
      </c>
      <c r="I126" s="370">
        <v>9.2994084156122891</v>
      </c>
      <c r="J126" s="370">
        <v>9.7687523682194151</v>
      </c>
      <c r="K126" s="370">
        <v>10.431443564561851</v>
      </c>
      <c r="L126" s="370">
        <v>10.484759586137324</v>
      </c>
      <c r="M126" s="370">
        <v>10.764733058160505</v>
      </c>
      <c r="N126" s="370">
        <v>10.937034922660841</v>
      </c>
      <c r="O126" s="370">
        <v>10.973268182208511</v>
      </c>
      <c r="P126" s="370">
        <v>11.106197461479459</v>
      </c>
      <c r="Q126" s="371">
        <v>11.207108362829043</v>
      </c>
      <c r="R126" s="391"/>
      <c r="S126" s="391"/>
      <c r="T126" s="391"/>
      <c r="U126" s="391"/>
      <c r="V126" s="391"/>
    </row>
    <row r="127" spans="2:22" x14ac:dyDescent="0.25">
      <c r="B127" s="368" t="s">
        <v>489</v>
      </c>
      <c r="C127" s="369">
        <v>18.343499999999999</v>
      </c>
      <c r="D127" s="370">
        <v>18.120153031396629</v>
      </c>
      <c r="E127" s="370">
        <v>18.306560474357379</v>
      </c>
      <c r="F127" s="370">
        <v>18.458371000749484</v>
      </c>
      <c r="G127" s="370">
        <v>18.830852459048224</v>
      </c>
      <c r="H127" s="370">
        <v>19.679221243980148</v>
      </c>
      <c r="I127" s="370">
        <v>19.996916742486842</v>
      </c>
      <c r="J127" s="370">
        <v>21.006167172666647</v>
      </c>
      <c r="K127" s="370">
        <v>22.43118047318918</v>
      </c>
      <c r="L127" s="370">
        <v>22.545828200962429</v>
      </c>
      <c r="M127" s="370">
        <v>23.147867165156466</v>
      </c>
      <c r="N127" s="370">
        <v>23.518375253951014</v>
      </c>
      <c r="O127" s="370">
        <v>23.596289185902563</v>
      </c>
      <c r="P127" s="370">
        <v>23.882132716095008</v>
      </c>
      <c r="Q127" s="371">
        <v>24.099125755061785</v>
      </c>
      <c r="R127" s="391"/>
      <c r="S127" s="391"/>
      <c r="T127" s="391"/>
      <c r="U127" s="391"/>
      <c r="V127" s="391"/>
    </row>
    <row r="128" spans="2:22" x14ac:dyDescent="0.25">
      <c r="B128" s="372" t="s">
        <v>490</v>
      </c>
      <c r="C128" s="355">
        <v>44.715379115566932</v>
      </c>
      <c r="D128" s="356">
        <v>45.477058163392179</v>
      </c>
      <c r="E128" s="356">
        <v>45.811026790028272</v>
      </c>
      <c r="F128" s="356">
        <v>44.821679644514582</v>
      </c>
      <c r="G128" s="356">
        <v>47.95158220769224</v>
      </c>
      <c r="H128" s="356">
        <v>48.904795428835754</v>
      </c>
      <c r="I128" s="356">
        <v>50.180415793211537</v>
      </c>
      <c r="J128" s="356">
        <v>52.158299564395236</v>
      </c>
      <c r="K128" s="356">
        <v>56.091794527105336</v>
      </c>
      <c r="L128" s="356">
        <v>54.910240722324616</v>
      </c>
      <c r="M128" s="356">
        <v>55.522101961730876</v>
      </c>
      <c r="N128" s="356">
        <v>57.548296618180231</v>
      </c>
      <c r="O128" s="356">
        <v>58.893311851515463</v>
      </c>
      <c r="P128" s="356">
        <v>59.455204214160425</v>
      </c>
      <c r="Q128" s="357">
        <v>60.13177937131681</v>
      </c>
      <c r="R128" s="403">
        <f>E100</f>
        <v>56.7499869884685</v>
      </c>
      <c r="S128" s="403">
        <f>F100</f>
        <v>62.924595000525109</v>
      </c>
      <c r="T128" s="403">
        <f>G100</f>
        <v>66.187093912773562</v>
      </c>
      <c r="U128" s="403">
        <f>H100</f>
        <v>69.891762846551515</v>
      </c>
      <c r="V128" s="403">
        <f>I100</f>
        <v>72.456364915526379</v>
      </c>
    </row>
    <row r="129" spans="2:22" x14ac:dyDescent="0.25">
      <c r="B129" s="343" t="s">
        <v>491</v>
      </c>
      <c r="C129" s="359">
        <v>29.463785254006513</v>
      </c>
      <c r="D129" s="360">
        <v>30.127565193126301</v>
      </c>
      <c r="E129" s="360">
        <v>30.810455827302206</v>
      </c>
      <c r="F129" s="360">
        <v>30.002742848431488</v>
      </c>
      <c r="G129" s="360">
        <v>32.486609596515095</v>
      </c>
      <c r="H129" s="360">
        <v>33.660883546217725</v>
      </c>
      <c r="I129" s="360">
        <v>35.202406129128462</v>
      </c>
      <c r="J129" s="360">
        <v>36.049465938198637</v>
      </c>
      <c r="K129" s="360">
        <v>38.403135931643675</v>
      </c>
      <c r="L129" s="360">
        <v>38.37833031569199</v>
      </c>
      <c r="M129" s="360">
        <v>38.80908853675087</v>
      </c>
      <c r="N129" s="360">
        <v>40.003522646664685</v>
      </c>
      <c r="O129" s="360">
        <v>41.261944010831854</v>
      </c>
      <c r="P129" s="360">
        <v>41.278134379343221</v>
      </c>
      <c r="Q129" s="364">
        <v>41.264037663564579</v>
      </c>
      <c r="R129" s="404">
        <f>Q129/Q128*R128</f>
        <v>38.943361147499715</v>
      </c>
      <c r="S129" s="404">
        <f>R129/R128*S128</f>
        <v>43.180542555252764</v>
      </c>
      <c r="T129" s="404">
        <f>S129/S128*T128</f>
        <v>45.419356696458351</v>
      </c>
      <c r="U129" s="404">
        <f>T129/T128*U128</f>
        <v>47.961599750176646</v>
      </c>
      <c r="V129" s="404">
        <f>U129/U128*V128</f>
        <v>49.721498384021395</v>
      </c>
    </row>
    <row r="130" spans="2:22" x14ac:dyDescent="0.25">
      <c r="B130" s="373" t="s">
        <v>492</v>
      </c>
      <c r="C130" s="369">
        <v>13.538600000000002</v>
      </c>
      <c r="D130" s="370">
        <v>13.864267999999999</v>
      </c>
      <c r="E130" s="370">
        <v>14.043394000000001</v>
      </c>
      <c r="F130" s="370">
        <v>13.340337059142001</v>
      </c>
      <c r="G130" s="370">
        <v>14.492594127</v>
      </c>
      <c r="H130" s="370">
        <v>14.879</v>
      </c>
      <c r="I130" s="370">
        <v>15.285088966250001</v>
      </c>
      <c r="J130" s="370">
        <v>15.6046</v>
      </c>
      <c r="K130" s="370">
        <v>16.176599999999997</v>
      </c>
      <c r="L130" s="370">
        <v>15.945391914917</v>
      </c>
      <c r="M130" s="370">
        <v>16.11309653384</v>
      </c>
      <c r="N130" s="370">
        <v>16.605381588379998</v>
      </c>
      <c r="O130" s="370">
        <v>16.945536959264899</v>
      </c>
      <c r="P130" s="370">
        <v>17.146949899279999</v>
      </c>
      <c r="Q130" s="371">
        <v>17.341705616898238</v>
      </c>
      <c r="R130" s="392"/>
      <c r="S130" s="392"/>
      <c r="T130" s="392"/>
      <c r="U130" s="392"/>
      <c r="V130" s="392"/>
    </row>
    <row r="131" spans="2:22" x14ac:dyDescent="0.25">
      <c r="B131" s="374" t="s">
        <v>493</v>
      </c>
      <c r="C131" s="366">
        <v>8.5350000000000001</v>
      </c>
      <c r="D131" s="361">
        <v>8.8432107699999989</v>
      </c>
      <c r="E131" s="361">
        <v>9.1449926230000003</v>
      </c>
      <c r="F131" s="361">
        <v>9.1224405409999996</v>
      </c>
      <c r="G131" s="361">
        <v>9.6445024230000005</v>
      </c>
      <c r="H131" s="361">
        <v>10.204453087999999</v>
      </c>
      <c r="I131" s="361">
        <v>11.113234479999999</v>
      </c>
      <c r="J131" s="361">
        <v>11.586344624999999</v>
      </c>
      <c r="K131" s="361">
        <v>12.707723218999998</v>
      </c>
      <c r="L131" s="361">
        <v>12.864482775999999</v>
      </c>
      <c r="M131" s="361">
        <v>12.889646995000001</v>
      </c>
      <c r="N131" s="361">
        <v>13.467842713000001</v>
      </c>
      <c r="O131" s="361">
        <v>14.206048077999998</v>
      </c>
      <c r="P131" s="361">
        <v>14.041726354000001</v>
      </c>
      <c r="Q131" s="362">
        <v>13.631183258</v>
      </c>
      <c r="R131" s="392"/>
      <c r="S131" s="393"/>
      <c r="T131" s="393"/>
      <c r="U131" s="393"/>
      <c r="V131" s="393"/>
    </row>
    <row r="132" spans="2:22" x14ac:dyDescent="0.25">
      <c r="B132" s="373" t="s">
        <v>494</v>
      </c>
      <c r="C132" s="369">
        <v>6.0110000000000001</v>
      </c>
      <c r="D132" s="370">
        <v>6.0810000000000004</v>
      </c>
      <c r="E132" s="370">
        <v>6.1855000000000002</v>
      </c>
      <c r="F132" s="370">
        <v>6.0149999999999997</v>
      </c>
      <c r="G132" s="370">
        <v>6.6783000000000001</v>
      </c>
      <c r="H132" s="370">
        <v>6.8635999999999999</v>
      </c>
      <c r="I132" s="370">
        <v>6.9911911958399999</v>
      </c>
      <c r="J132" s="370">
        <v>6.8860000000000001</v>
      </c>
      <c r="K132" s="370">
        <v>7.3183999999999996</v>
      </c>
      <c r="L132" s="370">
        <v>7.3532999999999999</v>
      </c>
      <c r="M132" s="370">
        <v>7.4857633855200003</v>
      </c>
      <c r="N132" s="370">
        <v>7.5750000000000002</v>
      </c>
      <c r="O132" s="370">
        <v>7.6749999999999998</v>
      </c>
      <c r="P132" s="370">
        <v>7.6045969898400001</v>
      </c>
      <c r="Q132" s="371">
        <v>7.7218023738115296</v>
      </c>
      <c r="R132" s="392"/>
      <c r="S132" s="392"/>
      <c r="T132" s="392"/>
      <c r="U132" s="392"/>
      <c r="V132" s="392"/>
    </row>
    <row r="133" spans="2:22" x14ac:dyDescent="0.25">
      <c r="B133" s="373" t="s">
        <v>495</v>
      </c>
      <c r="C133" s="369">
        <v>1.3791852540065122</v>
      </c>
      <c r="D133" s="370">
        <v>1.3390864231263031</v>
      </c>
      <c r="E133" s="370">
        <v>1.4365692043022062</v>
      </c>
      <c r="F133" s="370">
        <v>1.5249652482894878</v>
      </c>
      <c r="G133" s="370">
        <v>1.6712130465150914</v>
      </c>
      <c r="H133" s="370">
        <v>1.7138304582177317</v>
      </c>
      <c r="I133" s="370">
        <v>1.81289148703846</v>
      </c>
      <c r="J133" s="370">
        <v>1.9725213131986326</v>
      </c>
      <c r="K133" s="370">
        <v>2.2004127126436863</v>
      </c>
      <c r="L133" s="370">
        <v>2.2151556247749906</v>
      </c>
      <c r="M133" s="370">
        <v>2.3205816223908693</v>
      </c>
      <c r="N133" s="370">
        <v>2.3552983452846821</v>
      </c>
      <c r="O133" s="370">
        <v>2.4353589735669572</v>
      </c>
      <c r="P133" s="370">
        <v>2.4848611362232229</v>
      </c>
      <c r="Q133" s="371">
        <v>2.5693464148548126</v>
      </c>
      <c r="R133" s="392"/>
      <c r="S133" s="392"/>
      <c r="T133" s="392"/>
      <c r="U133" s="392"/>
      <c r="V133" s="392"/>
    </row>
    <row r="134" spans="2:22" x14ac:dyDescent="0.25">
      <c r="B134" s="343" t="s">
        <v>496</v>
      </c>
      <c r="C134" s="369">
        <v>15.251593861560423</v>
      </c>
      <c r="D134" s="370">
        <v>15.349492970265876</v>
      </c>
      <c r="E134" s="370">
        <v>15.000570962726067</v>
      </c>
      <c r="F134" s="370">
        <v>14.818936796083094</v>
      </c>
      <c r="G134" s="370">
        <v>15.464972611177142</v>
      </c>
      <c r="H134" s="370">
        <v>15.243911882618031</v>
      </c>
      <c r="I134" s="370">
        <v>14.978009664083075</v>
      </c>
      <c r="J134" s="370">
        <v>16.108833626196599</v>
      </c>
      <c r="K134" s="370">
        <v>17.688658595461657</v>
      </c>
      <c r="L134" s="370">
        <v>16.531910406632626</v>
      </c>
      <c r="M134" s="370">
        <v>16.713013424980005</v>
      </c>
      <c r="N134" s="370">
        <v>17.54477397151555</v>
      </c>
      <c r="O134" s="370">
        <v>17.631367840683605</v>
      </c>
      <c r="P134" s="370">
        <v>18.177069834817203</v>
      </c>
      <c r="Q134" s="371">
        <v>18.867741707752227</v>
      </c>
      <c r="R134" s="405">
        <f>R128-R129</f>
        <v>17.806625840968785</v>
      </c>
      <c r="S134" s="405">
        <f>S128-S129</f>
        <v>19.744052445272345</v>
      </c>
      <c r="T134" s="405">
        <f>T128-T129</f>
        <v>20.767737216315211</v>
      </c>
      <c r="U134" s="405">
        <f>U128-U129</f>
        <v>21.930163096374869</v>
      </c>
      <c r="V134" s="405">
        <f>V128-V129</f>
        <v>22.734866531504984</v>
      </c>
    </row>
    <row r="135" spans="2:22" x14ac:dyDescent="0.25">
      <c r="B135" s="374" t="s">
        <v>497</v>
      </c>
      <c r="C135" s="366">
        <v>0.12470000000000001</v>
      </c>
      <c r="D135" s="361">
        <v>0.129</v>
      </c>
      <c r="E135" s="361">
        <v>0.1414</v>
      </c>
      <c r="F135" s="361">
        <v>0.13819999999999999</v>
      </c>
      <c r="G135" s="361">
        <v>0.15540000000000001</v>
      </c>
      <c r="H135" s="361">
        <v>0.1716</v>
      </c>
      <c r="I135" s="361">
        <v>0.17955378</v>
      </c>
      <c r="J135" s="361">
        <v>0.256604412</v>
      </c>
      <c r="K135" s="361">
        <v>0.283913892</v>
      </c>
      <c r="L135" s="361">
        <v>0.28215914299999995</v>
      </c>
      <c r="M135" s="361">
        <v>0.33385789499999996</v>
      </c>
      <c r="N135" s="361">
        <v>0.349501589</v>
      </c>
      <c r="O135" s="361">
        <v>0.35522008499999996</v>
      </c>
      <c r="P135" s="361">
        <v>0.61549211000000004</v>
      </c>
      <c r="Q135" s="362">
        <v>0.74439545099999993</v>
      </c>
      <c r="R135" s="394"/>
      <c r="S135" s="394"/>
      <c r="T135" s="394"/>
      <c r="U135" s="394"/>
      <c r="V135" s="394"/>
    </row>
    <row r="136" spans="2:22" x14ac:dyDescent="0.25">
      <c r="B136" s="374" t="s">
        <v>498</v>
      </c>
      <c r="C136" s="366">
        <v>5.411143861560423</v>
      </c>
      <c r="D136" s="361">
        <v>5.3716429702658752</v>
      </c>
      <c r="E136" s="361">
        <v>5.3490459627260663</v>
      </c>
      <c r="F136" s="361">
        <v>5.6460117960830942</v>
      </c>
      <c r="G136" s="361">
        <v>5.7159926111771426</v>
      </c>
      <c r="H136" s="361">
        <v>5.7506718826180308</v>
      </c>
      <c r="I136" s="361">
        <v>5.9490820947614429</v>
      </c>
      <c r="J136" s="361">
        <v>6.2451388431168926</v>
      </c>
      <c r="K136" s="361">
        <v>6.4866412373299376</v>
      </c>
      <c r="L136" s="361">
        <v>6.5557552214969252</v>
      </c>
      <c r="M136" s="361">
        <v>6.6479361684960709</v>
      </c>
      <c r="N136" s="361">
        <v>6.9819872091790973</v>
      </c>
      <c r="O136" s="361">
        <v>7.22400146315508</v>
      </c>
      <c r="P136" s="361">
        <v>7.4261772383294318</v>
      </c>
      <c r="Q136" s="362">
        <v>7.6984893411817374</v>
      </c>
      <c r="R136" s="395"/>
      <c r="S136" s="395"/>
      <c r="T136" s="395"/>
      <c r="U136" s="395"/>
      <c r="V136" s="395"/>
    </row>
    <row r="137" spans="2:22" x14ac:dyDescent="0.25">
      <c r="B137" s="374" t="s">
        <v>499</v>
      </c>
      <c r="C137" s="366">
        <v>3.7021000000000002</v>
      </c>
      <c r="D137" s="361">
        <v>3.7919</v>
      </c>
      <c r="E137" s="361">
        <v>3.9146999999999998</v>
      </c>
      <c r="F137" s="361">
        <v>3.9063999999999997</v>
      </c>
      <c r="G137" s="361">
        <v>4.0442</v>
      </c>
      <c r="H137" s="361">
        <v>4.0221999999999998</v>
      </c>
      <c r="I137" s="361">
        <v>4.0821725249999998</v>
      </c>
      <c r="J137" s="361">
        <v>4.0784621410000002</v>
      </c>
      <c r="K137" s="361">
        <v>4.27432108</v>
      </c>
      <c r="L137" s="361">
        <v>4.3025921246190402</v>
      </c>
      <c r="M137" s="361">
        <v>4.3138690740779513</v>
      </c>
      <c r="N137" s="361">
        <v>4.5023362389999999</v>
      </c>
      <c r="O137" s="361">
        <v>4.6188091619999998</v>
      </c>
      <c r="P137" s="361">
        <v>4.6752182730000005</v>
      </c>
      <c r="Q137" s="362">
        <v>4.9324868190000002</v>
      </c>
      <c r="R137" s="394"/>
      <c r="S137" s="394"/>
      <c r="T137" s="394"/>
      <c r="U137" s="394"/>
      <c r="V137" s="394"/>
    </row>
    <row r="138" spans="2:22" x14ac:dyDescent="0.25">
      <c r="B138" s="375" t="s">
        <v>500</v>
      </c>
      <c r="C138" s="376">
        <v>0.84570000000000001</v>
      </c>
      <c r="D138" s="377">
        <v>0.83179999999999998</v>
      </c>
      <c r="E138" s="377">
        <v>0.84329999999999994</v>
      </c>
      <c r="F138" s="377">
        <v>0.81589999999999996</v>
      </c>
      <c r="G138" s="377">
        <v>0.82720000000000005</v>
      </c>
      <c r="H138" s="377">
        <v>0.78500000000000003</v>
      </c>
      <c r="I138" s="377">
        <v>0.76842456999999997</v>
      </c>
      <c r="J138" s="377">
        <v>0.763035609</v>
      </c>
      <c r="K138" s="377">
        <v>0.80061403399999997</v>
      </c>
      <c r="L138" s="377">
        <v>0.78214213099999996</v>
      </c>
      <c r="M138" s="377">
        <v>0.771160187</v>
      </c>
      <c r="N138" s="377">
        <v>0.81880755699999996</v>
      </c>
      <c r="O138" s="377">
        <v>0.85699718299999994</v>
      </c>
      <c r="P138" s="377">
        <v>0.83347378499999991</v>
      </c>
      <c r="Q138" s="378">
        <v>0.88169800300000001</v>
      </c>
      <c r="R138" s="396"/>
      <c r="S138" s="396"/>
      <c r="T138" s="396"/>
      <c r="U138" s="396"/>
      <c r="V138" s="396"/>
    </row>
    <row r="139" spans="2:22" x14ac:dyDescent="0.25">
      <c r="B139" s="375" t="s">
        <v>501</v>
      </c>
      <c r="C139" s="376">
        <v>1.6274</v>
      </c>
      <c r="D139" s="377">
        <v>1.6620999999999999</v>
      </c>
      <c r="E139" s="377">
        <v>1.6903999999999999</v>
      </c>
      <c r="F139" s="377">
        <v>1.6975</v>
      </c>
      <c r="G139" s="377">
        <v>1.7869999999999999</v>
      </c>
      <c r="H139" s="377">
        <v>1.8072000000000001</v>
      </c>
      <c r="I139" s="377">
        <v>1.8327479550000001</v>
      </c>
      <c r="J139" s="377">
        <v>1.796081313</v>
      </c>
      <c r="K139" s="377">
        <v>1.8934658259999999</v>
      </c>
      <c r="L139" s="377">
        <v>1.8674096610000002</v>
      </c>
      <c r="M139" s="377">
        <v>1.828804911</v>
      </c>
      <c r="N139" s="377">
        <v>1.8484357629999999</v>
      </c>
      <c r="O139" s="377">
        <v>1.8552717870000002</v>
      </c>
      <c r="P139" s="377">
        <v>1.8734118620000002</v>
      </c>
      <c r="Q139" s="378">
        <v>2.0171963559999999</v>
      </c>
      <c r="R139" s="396"/>
      <c r="S139" s="396"/>
      <c r="T139" s="396"/>
      <c r="U139" s="396"/>
      <c r="V139" s="396"/>
    </row>
    <row r="140" spans="2:22" x14ac:dyDescent="0.25">
      <c r="B140" s="375" t="s">
        <v>502</v>
      </c>
      <c r="C140" s="376">
        <v>1.2290000000000001</v>
      </c>
      <c r="D140" s="377">
        <v>1.298</v>
      </c>
      <c r="E140" s="377">
        <v>1.381</v>
      </c>
      <c r="F140" s="377">
        <v>1.393</v>
      </c>
      <c r="G140" s="377">
        <v>1.43</v>
      </c>
      <c r="H140" s="377">
        <v>1.43</v>
      </c>
      <c r="I140" s="377">
        <v>1.4810000000000001</v>
      </c>
      <c r="J140" s="377">
        <v>1.518</v>
      </c>
      <c r="K140" s="377">
        <v>1.56</v>
      </c>
      <c r="L140" s="377">
        <v>1.6122824966190403</v>
      </c>
      <c r="M140" s="377">
        <v>1.6706508610779516</v>
      </c>
      <c r="N140" s="377">
        <v>1.79</v>
      </c>
      <c r="O140" s="377">
        <v>1.859</v>
      </c>
      <c r="P140" s="377">
        <v>1.919</v>
      </c>
      <c r="Q140" s="378">
        <v>1.9790000000000001</v>
      </c>
      <c r="R140" s="396"/>
      <c r="S140" s="396"/>
      <c r="T140" s="396"/>
      <c r="U140" s="396"/>
      <c r="V140" s="396"/>
    </row>
    <row r="141" spans="2:22" x14ac:dyDescent="0.25">
      <c r="B141" s="375" t="s">
        <v>503</v>
      </c>
      <c r="C141" s="379" t="s">
        <v>504</v>
      </c>
      <c r="D141" s="380" t="s">
        <v>504</v>
      </c>
      <c r="E141" s="380" t="s">
        <v>504</v>
      </c>
      <c r="F141" s="380" t="s">
        <v>504</v>
      </c>
      <c r="G141" s="380" t="s">
        <v>504</v>
      </c>
      <c r="H141" s="380" t="s">
        <v>504</v>
      </c>
      <c r="I141" s="380" t="s">
        <v>504</v>
      </c>
      <c r="J141" s="380">
        <v>1.3452189999999999E-3</v>
      </c>
      <c r="K141" s="380">
        <v>2.0241219999999997E-2</v>
      </c>
      <c r="L141" s="380">
        <v>4.0757835999999999E-2</v>
      </c>
      <c r="M141" s="380">
        <v>4.3253115000000002E-2</v>
      </c>
      <c r="N141" s="380">
        <v>4.5092919000000002E-2</v>
      </c>
      <c r="O141" s="380">
        <v>4.7540191999999995E-2</v>
      </c>
      <c r="P141" s="380">
        <v>4.9332625999999997E-2</v>
      </c>
      <c r="Q141" s="381">
        <v>5.4592460000000002E-2</v>
      </c>
      <c r="R141" s="396"/>
      <c r="S141" s="396"/>
      <c r="T141" s="396"/>
      <c r="U141" s="396"/>
      <c r="V141" s="396"/>
    </row>
    <row r="142" spans="2:22" x14ac:dyDescent="0.25">
      <c r="B142" s="373" t="s">
        <v>505</v>
      </c>
      <c r="C142" s="369">
        <v>4.2364499999999996</v>
      </c>
      <c r="D142" s="370">
        <v>4.2089499999999997</v>
      </c>
      <c r="E142" s="370">
        <v>4.0334000000000003</v>
      </c>
      <c r="F142" s="370">
        <v>3.7428499999999998</v>
      </c>
      <c r="G142" s="370">
        <v>4.2573100000000004</v>
      </c>
      <c r="H142" s="370">
        <v>4.222575</v>
      </c>
      <c r="I142" s="370">
        <v>4.2058744328918118</v>
      </c>
      <c r="J142" s="370">
        <v>4.1899552665454722</v>
      </c>
      <c r="K142" s="370">
        <v>4.1783883734295566</v>
      </c>
      <c r="L142" s="370">
        <v>4.1768224337501909</v>
      </c>
      <c r="M142" s="370">
        <v>4.1903077860324096</v>
      </c>
      <c r="N142" s="370">
        <v>4.2282463446637424</v>
      </c>
      <c r="O142" s="370">
        <v>4.2333371305285237</v>
      </c>
      <c r="P142" s="370">
        <v>4.2601822134877727</v>
      </c>
      <c r="Q142" s="371">
        <v>4.2923700965704894</v>
      </c>
      <c r="R142" s="392"/>
      <c r="S142" s="392"/>
      <c r="T142" s="392"/>
      <c r="U142" s="392"/>
      <c r="V142" s="392"/>
    </row>
    <row r="143" spans="2:22" ht="15.75" thickBot="1" x14ac:dyDescent="0.3">
      <c r="B143" s="382" t="s">
        <v>506</v>
      </c>
      <c r="C143" s="383">
        <v>1.7771999999999999</v>
      </c>
      <c r="D143" s="384">
        <v>1.8480000000000001</v>
      </c>
      <c r="E143" s="384">
        <v>1.5620249999999998</v>
      </c>
      <c r="F143" s="384">
        <v>1.385475</v>
      </c>
      <c r="G143" s="384">
        <v>1.2920699999999998</v>
      </c>
      <c r="H143" s="384">
        <v>1.076865</v>
      </c>
      <c r="I143" s="384">
        <v>0.56132683142982032</v>
      </c>
      <c r="J143" s="384">
        <v>1.3386729635342363</v>
      </c>
      <c r="K143" s="384">
        <v>2.4653940127021627</v>
      </c>
      <c r="L143" s="384">
        <v>1.2145814837664695</v>
      </c>
      <c r="M143" s="384">
        <v>1.2270425013735746</v>
      </c>
      <c r="N143" s="384">
        <v>1.4827025896727122</v>
      </c>
      <c r="O143" s="384">
        <v>1.2</v>
      </c>
      <c r="P143" s="384">
        <v>1.2</v>
      </c>
      <c r="Q143" s="385">
        <v>1.2</v>
      </c>
      <c r="R143" s="392"/>
      <c r="S143" s="392"/>
      <c r="T143" s="392"/>
      <c r="U143" s="392"/>
      <c r="V143" s="392"/>
    </row>
    <row r="144" spans="2:22" ht="15.75" thickTop="1" x14ac:dyDescent="0.25">
      <c r="B144" s="386" t="s">
        <v>507</v>
      </c>
      <c r="C144" s="387">
        <v>892.53847604276484</v>
      </c>
      <c r="D144" s="387">
        <v>925.41857511942317</v>
      </c>
      <c r="E144" s="387">
        <v>938.29365547983593</v>
      </c>
      <c r="F144" s="387">
        <v>942.43556280580344</v>
      </c>
      <c r="G144" s="387">
        <v>949.79980087412059</v>
      </c>
      <c r="H144" s="387">
        <v>947.1569965454853</v>
      </c>
      <c r="I144" s="387">
        <v>952.08375619861431</v>
      </c>
      <c r="J144" s="387">
        <v>967.05573465017039</v>
      </c>
      <c r="K144" s="387">
        <v>964.5079821645312</v>
      </c>
      <c r="L144" s="387">
        <v>965.28770295561571</v>
      </c>
      <c r="M144" s="387">
        <v>974.43679781300352</v>
      </c>
      <c r="N144" s="387">
        <v>981.81268249057871</v>
      </c>
      <c r="O144" s="387">
        <v>984.462026386204</v>
      </c>
      <c r="P144" s="387">
        <v>989.60805659633695</v>
      </c>
      <c r="Q144" s="388">
        <v>1000.14811176835</v>
      </c>
      <c r="R144" s="389"/>
      <c r="S144" s="389"/>
      <c r="T144" s="389"/>
      <c r="U144" s="389"/>
      <c r="V144" s="389"/>
    </row>
    <row r="145" spans="2:22" s="406" customFormat="1" ht="15.75" x14ac:dyDescent="0.25">
      <c r="B145" s="849" t="s">
        <v>508</v>
      </c>
      <c r="C145" s="849"/>
      <c r="D145" s="849"/>
      <c r="E145" s="849"/>
      <c r="F145" s="849"/>
      <c r="G145" s="849"/>
      <c r="H145" s="849"/>
      <c r="I145" s="849"/>
      <c r="J145" s="849"/>
      <c r="K145" s="849"/>
      <c r="L145" s="849"/>
      <c r="M145" s="849"/>
      <c r="N145" s="849"/>
      <c r="O145" s="849"/>
      <c r="P145" s="849"/>
      <c r="Q145" s="411"/>
      <c r="R145" s="407"/>
      <c r="S145" s="407"/>
      <c r="T145" s="407"/>
      <c r="U145" s="407"/>
      <c r="V145" s="408"/>
    </row>
    <row r="146" spans="2:22" s="406" customFormat="1" ht="15.75" x14ac:dyDescent="0.25">
      <c r="B146" s="850" t="s">
        <v>509</v>
      </c>
      <c r="C146" s="850"/>
      <c r="D146" s="850"/>
      <c r="E146" s="850"/>
      <c r="F146" s="850"/>
      <c r="G146" s="850"/>
      <c r="H146" s="850"/>
      <c r="I146" s="850"/>
      <c r="J146" s="850"/>
      <c r="K146" s="850"/>
      <c r="L146" s="850"/>
      <c r="M146" s="850"/>
      <c r="N146" s="850"/>
      <c r="O146" s="850"/>
      <c r="P146" s="850"/>
      <c r="Q146" s="412"/>
      <c r="R146" s="409"/>
      <c r="S146" s="409"/>
      <c r="T146" s="409"/>
      <c r="U146" s="409"/>
      <c r="V146" s="408"/>
    </row>
    <row r="147" spans="2:22" s="406" customFormat="1" ht="14.45" customHeight="1" x14ac:dyDescent="0.25">
      <c r="B147" s="850" t="s">
        <v>510</v>
      </c>
      <c r="C147" s="850"/>
      <c r="D147" s="850"/>
      <c r="E147" s="850"/>
      <c r="F147" s="850"/>
      <c r="G147" s="850"/>
      <c r="H147" s="850"/>
      <c r="I147" s="850"/>
      <c r="J147" s="850"/>
      <c r="K147" s="850"/>
      <c r="L147" s="850"/>
      <c r="M147" s="850"/>
      <c r="N147" s="850"/>
      <c r="O147" s="850"/>
      <c r="P147" s="850"/>
      <c r="Q147" s="412"/>
      <c r="R147" s="409"/>
      <c r="S147" s="409"/>
      <c r="T147" s="409"/>
      <c r="U147" s="409"/>
      <c r="V147" s="408"/>
    </row>
    <row r="148" spans="2:22" s="406" customFormat="1" ht="14.45" customHeight="1" x14ac:dyDescent="0.25">
      <c r="B148" s="850" t="s">
        <v>511</v>
      </c>
      <c r="C148" s="850"/>
      <c r="D148" s="850"/>
      <c r="E148" s="850"/>
      <c r="F148" s="850"/>
      <c r="G148" s="850"/>
      <c r="H148" s="850"/>
      <c r="I148" s="850"/>
      <c r="J148" s="850"/>
      <c r="K148" s="850"/>
      <c r="L148" s="850"/>
      <c r="M148" s="850"/>
      <c r="N148" s="850"/>
      <c r="O148" s="850"/>
      <c r="P148" s="850"/>
      <c r="Q148" s="850"/>
      <c r="R148" s="409"/>
      <c r="S148" s="409"/>
      <c r="T148" s="409"/>
      <c r="U148" s="409"/>
      <c r="V148" s="408"/>
    </row>
    <row r="149" spans="2:22" s="406" customFormat="1" ht="14.45" customHeight="1" x14ac:dyDescent="0.25">
      <c r="B149" s="850" t="s">
        <v>512</v>
      </c>
      <c r="C149" s="850"/>
      <c r="D149" s="850"/>
      <c r="E149" s="850"/>
      <c r="F149" s="850"/>
      <c r="G149" s="850"/>
      <c r="H149" s="850"/>
      <c r="I149" s="850"/>
      <c r="J149" s="850"/>
      <c r="K149" s="850"/>
      <c r="L149" s="850"/>
      <c r="M149" s="850"/>
      <c r="N149" s="850"/>
      <c r="O149" s="850"/>
      <c r="P149" s="850"/>
      <c r="Q149" s="412"/>
      <c r="R149" s="409"/>
      <c r="S149" s="409"/>
      <c r="T149" s="409"/>
      <c r="U149" s="409"/>
      <c r="V149" s="408"/>
    </row>
    <row r="150" spans="2:22" s="406" customFormat="1" ht="14.45" customHeight="1" x14ac:dyDescent="0.25">
      <c r="B150" s="850" t="s">
        <v>513</v>
      </c>
      <c r="C150" s="850"/>
      <c r="D150" s="850"/>
      <c r="E150" s="850"/>
      <c r="F150" s="850"/>
      <c r="G150" s="850"/>
      <c r="H150" s="850"/>
      <c r="I150" s="850"/>
      <c r="J150" s="850"/>
      <c r="K150" s="850"/>
      <c r="L150" s="850"/>
      <c r="M150" s="850"/>
      <c r="N150" s="850"/>
      <c r="O150" s="850"/>
      <c r="P150" s="850"/>
      <c r="Q150" s="412"/>
      <c r="R150" s="409"/>
      <c r="S150" s="409"/>
      <c r="T150" s="409"/>
      <c r="U150" s="409"/>
      <c r="V150" s="408"/>
    </row>
    <row r="151" spans="2:22" s="406" customFormat="1" ht="14.45" customHeight="1" x14ac:dyDescent="0.25">
      <c r="B151" s="850" t="s">
        <v>514</v>
      </c>
      <c r="C151" s="850"/>
      <c r="D151" s="850"/>
      <c r="E151" s="850"/>
      <c r="F151" s="850"/>
      <c r="G151" s="850"/>
      <c r="H151" s="850"/>
      <c r="I151" s="850"/>
      <c r="J151" s="850"/>
      <c r="K151" s="850"/>
      <c r="L151" s="850"/>
      <c r="M151" s="850"/>
      <c r="N151" s="850"/>
      <c r="O151" s="850"/>
      <c r="P151" s="850"/>
      <c r="Q151" s="412"/>
      <c r="R151" s="409"/>
      <c r="S151" s="409"/>
      <c r="T151" s="409"/>
      <c r="U151" s="409"/>
      <c r="V151" s="408"/>
    </row>
    <row r="152" spans="2:22" s="406" customFormat="1" ht="14.45" customHeight="1" x14ac:dyDescent="0.25">
      <c r="B152" s="850" t="s">
        <v>515</v>
      </c>
      <c r="C152" s="850"/>
      <c r="D152" s="850"/>
      <c r="E152" s="850"/>
      <c r="F152" s="850"/>
      <c r="G152" s="850"/>
      <c r="H152" s="850"/>
      <c r="I152" s="850"/>
      <c r="J152" s="850"/>
      <c r="K152" s="850"/>
      <c r="L152" s="850"/>
      <c r="M152" s="850"/>
      <c r="N152" s="850"/>
      <c r="O152" s="850"/>
      <c r="P152" s="850"/>
      <c r="Q152" s="412"/>
      <c r="R152" s="409"/>
      <c r="S152" s="409"/>
      <c r="T152" s="409"/>
      <c r="U152" s="409"/>
      <c r="V152" s="408"/>
    </row>
    <row r="153" spans="2:22" s="406" customFormat="1" ht="14.45" customHeight="1" x14ac:dyDescent="0.25">
      <c r="B153" s="850" t="s">
        <v>516</v>
      </c>
      <c r="C153" s="850"/>
      <c r="D153" s="850"/>
      <c r="E153" s="850"/>
      <c r="F153" s="850"/>
      <c r="G153" s="850"/>
      <c r="H153" s="850"/>
      <c r="I153" s="850"/>
      <c r="J153" s="850"/>
      <c r="K153" s="850"/>
      <c r="L153" s="850"/>
      <c r="M153" s="850"/>
      <c r="N153" s="850"/>
      <c r="O153" s="850"/>
      <c r="P153" s="850"/>
      <c r="Q153" s="412"/>
      <c r="R153" s="409"/>
      <c r="S153" s="409"/>
      <c r="T153" s="409"/>
      <c r="U153" s="409"/>
      <c r="V153" s="408"/>
    </row>
    <row r="154" spans="2:22" s="406" customFormat="1" ht="15.75" x14ac:dyDescent="0.25">
      <c r="B154" s="850" t="s">
        <v>517</v>
      </c>
      <c r="C154" s="850"/>
      <c r="D154" s="850"/>
      <c r="E154" s="850"/>
      <c r="F154" s="850"/>
      <c r="G154" s="850"/>
      <c r="H154" s="850"/>
      <c r="I154" s="850"/>
      <c r="J154" s="850"/>
      <c r="K154" s="850"/>
      <c r="L154" s="850"/>
      <c r="M154" s="850"/>
      <c r="N154" s="850"/>
      <c r="O154" s="850"/>
      <c r="P154" s="850"/>
      <c r="Q154" s="412"/>
      <c r="R154" s="409"/>
      <c r="S154" s="409"/>
      <c r="T154" s="409"/>
      <c r="U154" s="409"/>
      <c r="V154" s="408"/>
    </row>
    <row r="155" spans="2:22" s="406" customFormat="1" ht="14.45" customHeight="1" x14ac:dyDescent="0.25">
      <c r="B155" s="850" t="s">
        <v>518</v>
      </c>
      <c r="C155" s="850"/>
      <c r="D155" s="850"/>
      <c r="E155" s="850"/>
      <c r="F155" s="850"/>
      <c r="G155" s="850"/>
      <c r="H155" s="850"/>
      <c r="I155" s="850"/>
      <c r="J155" s="850"/>
      <c r="K155" s="850"/>
      <c r="L155" s="850"/>
      <c r="M155" s="850"/>
      <c r="N155" s="850"/>
      <c r="O155" s="850"/>
      <c r="P155" s="850"/>
      <c r="Q155" s="412"/>
      <c r="R155" s="409"/>
      <c r="S155" s="409"/>
      <c r="T155" s="409"/>
      <c r="U155" s="409"/>
      <c r="V155" s="408"/>
    </row>
    <row r="156" spans="2:22" s="406" customFormat="1" ht="14.45" customHeight="1" x14ac:dyDescent="0.25">
      <c r="B156" s="850" t="s">
        <v>519</v>
      </c>
      <c r="C156" s="850"/>
      <c r="D156" s="850"/>
      <c r="E156" s="850"/>
      <c r="F156" s="850"/>
      <c r="G156" s="850"/>
      <c r="H156" s="850"/>
      <c r="I156" s="850"/>
      <c r="J156" s="850"/>
      <c r="K156" s="850"/>
      <c r="L156" s="850"/>
      <c r="M156" s="850"/>
      <c r="N156" s="850"/>
      <c r="O156" s="850"/>
      <c r="P156" s="850"/>
      <c r="Q156" s="412"/>
      <c r="R156" s="409"/>
      <c r="S156" s="409"/>
      <c r="T156" s="409"/>
      <c r="U156" s="409"/>
      <c r="V156" s="408"/>
    </row>
    <row r="157" spans="2:22" s="406" customFormat="1" ht="14.45" customHeight="1" x14ac:dyDescent="0.25">
      <c r="B157" s="850" t="s">
        <v>520</v>
      </c>
      <c r="C157" s="850"/>
      <c r="D157" s="850"/>
      <c r="E157" s="850"/>
      <c r="F157" s="850"/>
      <c r="G157" s="850"/>
      <c r="H157" s="850"/>
      <c r="I157" s="850"/>
      <c r="J157" s="850"/>
      <c r="K157" s="850"/>
      <c r="L157" s="850"/>
      <c r="M157" s="850"/>
      <c r="N157" s="850"/>
      <c r="O157" s="850"/>
      <c r="P157" s="850"/>
      <c r="Q157" s="850"/>
      <c r="R157" s="409"/>
      <c r="S157" s="409"/>
      <c r="T157" s="409"/>
      <c r="U157" s="409"/>
      <c r="V157" s="408"/>
    </row>
    <row r="158" spans="2:22" s="406" customFormat="1" ht="14.45" customHeight="1" x14ac:dyDescent="0.25">
      <c r="B158" s="850" t="s">
        <v>521</v>
      </c>
      <c r="C158" s="850"/>
      <c r="D158" s="850"/>
      <c r="E158" s="850"/>
      <c r="F158" s="850"/>
      <c r="G158" s="850"/>
      <c r="H158" s="850"/>
      <c r="I158" s="850"/>
      <c r="J158" s="850"/>
      <c r="K158" s="850"/>
      <c r="L158" s="850"/>
      <c r="M158" s="850"/>
      <c r="N158" s="850"/>
      <c r="O158" s="850"/>
      <c r="P158" s="850"/>
      <c r="Q158" s="413"/>
      <c r="R158" s="408"/>
      <c r="S158" s="408"/>
      <c r="T158" s="408"/>
      <c r="U158" s="408"/>
      <c r="V158" s="408"/>
    </row>
    <row r="159" spans="2:22" s="406" customFormat="1" ht="14.45" customHeight="1" x14ac:dyDescent="0.25">
      <c r="B159" s="411" t="s">
        <v>522</v>
      </c>
      <c r="C159" s="412"/>
      <c r="D159" s="412"/>
      <c r="E159" s="412"/>
      <c r="F159" s="412"/>
      <c r="G159" s="412"/>
      <c r="H159" s="412"/>
      <c r="I159" s="412"/>
      <c r="J159" s="412"/>
      <c r="K159" s="412"/>
      <c r="L159" s="412"/>
      <c r="M159" s="412"/>
      <c r="N159" s="412"/>
      <c r="O159" s="412"/>
      <c r="P159" s="412"/>
      <c r="Q159" s="413"/>
      <c r="R159" s="408"/>
      <c r="S159" s="408"/>
      <c r="T159" s="408"/>
      <c r="U159" s="408"/>
      <c r="V159" s="408"/>
    </row>
    <row r="160" spans="2:22" s="406" customFormat="1" ht="15.75" x14ac:dyDescent="0.25">
      <c r="B160" s="414" t="s">
        <v>523</v>
      </c>
      <c r="C160" s="413"/>
      <c r="D160" s="413"/>
      <c r="E160" s="413"/>
      <c r="F160" s="413"/>
      <c r="G160" s="413"/>
      <c r="H160" s="413"/>
      <c r="I160" s="413"/>
      <c r="J160" s="413"/>
      <c r="K160" s="413"/>
      <c r="L160" s="415"/>
      <c r="M160" s="415"/>
      <c r="N160" s="415"/>
      <c r="O160" s="415"/>
      <c r="P160" s="415"/>
      <c r="Q160" s="413"/>
      <c r="R160" s="408"/>
      <c r="S160" s="408"/>
      <c r="T160" s="408"/>
      <c r="U160" s="408"/>
      <c r="V160" s="408"/>
    </row>
    <row r="161" spans="2:22" s="406" customFormat="1" ht="15.75" x14ac:dyDescent="0.25">
      <c r="B161" s="408"/>
      <c r="C161" s="408"/>
      <c r="D161" s="408"/>
      <c r="E161" s="408"/>
      <c r="F161" s="408"/>
      <c r="G161" s="408"/>
      <c r="H161" s="408"/>
      <c r="I161" s="408"/>
      <c r="J161" s="408"/>
      <c r="K161" s="408"/>
      <c r="L161" s="410"/>
      <c r="M161" s="410"/>
      <c r="N161" s="410"/>
      <c r="O161" s="410"/>
      <c r="P161" s="410"/>
      <c r="Q161" s="408"/>
      <c r="R161" s="408"/>
      <c r="S161" s="408"/>
      <c r="T161" s="408"/>
      <c r="U161" s="408"/>
      <c r="V161" s="408"/>
    </row>
    <row r="162" spans="2:22" s="406" customFormat="1" ht="15.75" x14ac:dyDescent="0.25"/>
    <row r="163" spans="2:22" s="406" customFormat="1" ht="15.75" x14ac:dyDescent="0.25">
      <c r="B163" s="416" t="s">
        <v>526</v>
      </c>
    </row>
    <row r="164" spans="2:22" s="406" customFormat="1" ht="16.5" thickBot="1" x14ac:dyDescent="0.3"/>
    <row r="165" spans="2:22" ht="15.75" thickBot="1" x14ac:dyDescent="0.3">
      <c r="C165" s="417"/>
      <c r="D165" s="418">
        <v>2010</v>
      </c>
      <c r="E165" s="418">
        <v>2015</v>
      </c>
      <c r="F165" s="418">
        <v>2020</v>
      </c>
      <c r="G165" s="418">
        <v>2025</v>
      </c>
      <c r="H165" s="418">
        <v>2030</v>
      </c>
      <c r="I165" s="419">
        <v>2035</v>
      </c>
    </row>
    <row r="166" spans="2:22" ht="15.75" thickBot="1" x14ac:dyDescent="0.3">
      <c r="C166" s="420" t="s">
        <v>145</v>
      </c>
      <c r="D166" s="421"/>
      <c r="E166" s="421"/>
      <c r="F166" s="421"/>
      <c r="G166" s="421"/>
      <c r="H166" s="421"/>
      <c r="I166" s="422"/>
    </row>
    <row r="167" spans="2:22" ht="15.75" thickBot="1" x14ac:dyDescent="0.3">
      <c r="C167" s="423" t="s">
        <v>143</v>
      </c>
      <c r="D167" s="424">
        <v>257.64562525256531</v>
      </c>
      <c r="E167" s="421"/>
      <c r="F167" s="425">
        <f t="shared" ref="F167:I169" si="4">F103</f>
        <v>287.4188713326339</v>
      </c>
      <c r="G167" s="425">
        <f t="shared" si="4"/>
        <v>307.3087909123297</v>
      </c>
      <c r="H167" s="425">
        <f t="shared" si="4"/>
        <v>330.75521362755495</v>
      </c>
      <c r="I167" s="426">
        <f t="shared" si="4"/>
        <v>360.62211347993451</v>
      </c>
    </row>
    <row r="168" spans="2:22" ht="15.75" thickBot="1" x14ac:dyDescent="0.3">
      <c r="C168" s="423" t="s">
        <v>146</v>
      </c>
      <c r="D168" s="424">
        <v>29.953617671292598</v>
      </c>
      <c r="E168" s="421"/>
      <c r="F168" s="425">
        <f t="shared" si="4"/>
        <v>38.141648044672863</v>
      </c>
      <c r="G168" s="425">
        <f t="shared" si="4"/>
        <v>39.793482085832963</v>
      </c>
      <c r="H168" s="425">
        <f t="shared" si="4"/>
        <v>41.881533444647133</v>
      </c>
      <c r="I168" s="426">
        <f t="shared" si="4"/>
        <v>44.21801357146488</v>
      </c>
    </row>
    <row r="169" spans="2:22" ht="15.75" thickBot="1" x14ac:dyDescent="0.3">
      <c r="C169" s="423" t="s">
        <v>98</v>
      </c>
      <c r="D169" s="424">
        <v>8.060456067811975</v>
      </c>
      <c r="E169" s="421"/>
      <c r="F169" s="425">
        <f t="shared" si="4"/>
        <v>8.2372305055115067</v>
      </c>
      <c r="G169" s="425">
        <f t="shared" si="4"/>
        <v>8.4652513104867317</v>
      </c>
      <c r="H169" s="425">
        <f t="shared" si="4"/>
        <v>8.7041945853824263</v>
      </c>
      <c r="I169" s="426">
        <f t="shared" si="4"/>
        <v>9.2070593108196608</v>
      </c>
    </row>
    <row r="170" spans="2:22" ht="15.75" thickBot="1" x14ac:dyDescent="0.3">
      <c r="C170" s="420" t="s">
        <v>147</v>
      </c>
      <c r="D170" s="427"/>
      <c r="E170" s="428"/>
      <c r="F170" s="428"/>
      <c r="G170" s="428"/>
      <c r="H170" s="428"/>
      <c r="I170" s="429"/>
    </row>
    <row r="171" spans="2:22" ht="15.75" thickBot="1" x14ac:dyDescent="0.3">
      <c r="C171" s="423" t="s">
        <v>97</v>
      </c>
      <c r="D171" s="424">
        <f>Transport!P41*Transport!P114*'Détail Transport'!D178/1000</f>
        <v>817.90622099999996</v>
      </c>
      <c r="E171" s="424"/>
      <c r="F171" s="424">
        <f>Transport!R41*Transport!R114*'Détail Transport'!F178/1000</f>
        <v>848.97454774264793</v>
      </c>
      <c r="G171" s="424">
        <f>Transport!S41*Transport!S114*'Détail Transport'!G178/1000</f>
        <v>867.13674236390659</v>
      </c>
      <c r="H171" s="424">
        <f>Transport!T41*Transport!T114*'Détail Transport'!H178/1000</f>
        <v>893.01732621000122</v>
      </c>
      <c r="I171" s="430">
        <f>Transport!U41*Transport!U114*'Détail Transport'!I178/1000</f>
        <v>936.46099471407138</v>
      </c>
    </row>
    <row r="172" spans="2:22" ht="15.75" thickBot="1" x14ac:dyDescent="0.3">
      <c r="C172" s="423" t="s">
        <v>148</v>
      </c>
      <c r="D172" s="424">
        <v>50.008637814020872</v>
      </c>
      <c r="E172" s="421"/>
      <c r="F172" s="424">
        <f>S125+S134</f>
        <v>63.109666815446573</v>
      </c>
      <c r="G172" s="424">
        <f>T125+T134</f>
        <v>65.974562106117816</v>
      </c>
      <c r="H172" s="424">
        <f>U125+U134</f>
        <v>69.354020185691581</v>
      </c>
      <c r="I172" s="430">
        <f>V125+V134</f>
        <v>73.618185837094671</v>
      </c>
    </row>
    <row r="173" spans="2:22" ht="15.75" thickBot="1" x14ac:dyDescent="0.3">
      <c r="C173" s="423" t="s">
        <v>146</v>
      </c>
      <c r="D173" s="424">
        <v>100.30362801659594</v>
      </c>
      <c r="E173" s="421"/>
      <c r="F173" s="424">
        <f>S122+S129</f>
        <v>113.57655548846716</v>
      </c>
      <c r="G173" s="424">
        <f>T122+T129</f>
        <v>120.0430635429164</v>
      </c>
      <c r="H173" s="424">
        <f>U122+U129</f>
        <v>127.37319232386353</v>
      </c>
      <c r="I173" s="430">
        <f>V122+V129</f>
        <v>133.65206666533962</v>
      </c>
    </row>
    <row r="174" spans="2:22" ht="26.25" thickBot="1" x14ac:dyDescent="0.3">
      <c r="C174" s="423" t="s">
        <v>524</v>
      </c>
      <c r="D174" s="424">
        <v>12.7</v>
      </c>
      <c r="E174" s="421"/>
      <c r="F174" s="424">
        <f>S121</f>
        <v>14.306430325504659</v>
      </c>
      <c r="G174" s="424">
        <f>T121</f>
        <v>15.449818700946581</v>
      </c>
      <c r="H174" s="424">
        <f>U121</f>
        <v>16.876084326253309</v>
      </c>
      <c r="I174" s="430">
        <f>V121</f>
        <v>18.844506928274853</v>
      </c>
    </row>
    <row r="175" spans="2:22" x14ac:dyDescent="0.25">
      <c r="C175" s="26" t="s">
        <v>367</v>
      </c>
    </row>
    <row r="177" spans="3:9" ht="15.75" thickBot="1" x14ac:dyDescent="0.3"/>
    <row r="178" spans="3:9" ht="15.75" thickBot="1" x14ac:dyDescent="0.3">
      <c r="C178" s="235" t="s">
        <v>307</v>
      </c>
      <c r="D178" s="266">
        <v>1.65</v>
      </c>
      <c r="E178" s="266">
        <v>1.65</v>
      </c>
      <c r="F178" s="266">
        <v>1.65</v>
      </c>
      <c r="G178" s="266">
        <v>1.65</v>
      </c>
      <c r="H178" s="266">
        <v>1.65</v>
      </c>
      <c r="I178" s="431">
        <v>1.65</v>
      </c>
    </row>
    <row r="179" spans="3:9" x14ac:dyDescent="0.25">
      <c r="C179" s="26" t="s">
        <v>525</v>
      </c>
    </row>
  </sheetData>
  <mergeCells count="18">
    <mergeCell ref="B146:P146"/>
    <mergeCell ref="B147:P147"/>
    <mergeCell ref="B148:Q148"/>
    <mergeCell ref="B149:P149"/>
    <mergeCell ref="B157:Q157"/>
    <mergeCell ref="B158:P158"/>
    <mergeCell ref="B154:P154"/>
    <mergeCell ref="B155:P155"/>
    <mergeCell ref="B156:P156"/>
    <mergeCell ref="B150:P150"/>
    <mergeCell ref="B151:P151"/>
    <mergeCell ref="B152:P152"/>
    <mergeCell ref="B153:P153"/>
    <mergeCell ref="B91:B98"/>
    <mergeCell ref="B99:B102"/>
    <mergeCell ref="B103:B106"/>
    <mergeCell ref="B107:B108"/>
    <mergeCell ref="B145:P14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2:AU117"/>
  <sheetViews>
    <sheetView zoomScale="60" zoomScaleNormal="60" workbookViewId="0">
      <selection activeCell="B4" sqref="B4"/>
    </sheetView>
  </sheetViews>
  <sheetFormatPr baseColWidth="10" defaultColWidth="11.5703125" defaultRowHeight="15" x14ac:dyDescent="0.25"/>
  <cols>
    <col min="1" max="1" width="11.5703125" style="26"/>
    <col min="2" max="2" width="47.85546875" style="26" customWidth="1"/>
    <col min="3" max="8" width="15.7109375" style="26" customWidth="1"/>
    <col min="9" max="9" width="11.5703125" style="26"/>
    <col min="10" max="10" width="11.5703125" style="537"/>
    <col min="11" max="12" width="11.5703125" style="33"/>
    <col min="13" max="13" width="11.5703125" style="547"/>
    <col min="14" max="15" width="11.5703125" style="26"/>
    <col min="16" max="16" width="47.7109375" style="26" customWidth="1"/>
    <col min="17" max="23" width="15.7109375" style="26" customWidth="1"/>
    <col min="24" max="24" width="11.5703125" style="26"/>
    <col min="25" max="25" width="52.140625" style="26" customWidth="1"/>
    <col min="26" max="16384" width="11.5703125" style="26"/>
  </cols>
  <sheetData>
    <row r="2" spans="1:47" ht="15.75" thickBot="1" x14ac:dyDescent="0.3">
      <c r="A2" s="496"/>
      <c r="B2" s="496"/>
      <c r="C2" s="496"/>
      <c r="D2" s="496"/>
      <c r="E2" s="496"/>
      <c r="F2" s="496"/>
      <c r="G2" s="496"/>
      <c r="H2" s="496"/>
      <c r="I2" s="496"/>
      <c r="J2" s="528"/>
      <c r="K2" s="529"/>
      <c r="L2" s="530"/>
      <c r="M2" s="531"/>
      <c r="N2" s="496"/>
      <c r="O2" s="496"/>
      <c r="P2" s="496"/>
      <c r="Q2" s="496"/>
      <c r="R2" s="496"/>
      <c r="S2" s="496"/>
      <c r="T2" s="496"/>
      <c r="U2" s="496"/>
      <c r="V2" s="496"/>
      <c r="W2" s="496"/>
      <c r="X2" s="496"/>
      <c r="Y2" s="496"/>
      <c r="Z2" s="496"/>
      <c r="AA2" s="496"/>
      <c r="AB2" s="496"/>
      <c r="AC2" s="496"/>
      <c r="AD2" s="496"/>
      <c r="AE2" s="496"/>
      <c r="AF2" s="496"/>
      <c r="AG2" s="496"/>
      <c r="AH2" s="496"/>
      <c r="AI2" s="496"/>
      <c r="AJ2" s="496"/>
      <c r="AK2" s="496"/>
      <c r="AL2" s="496"/>
      <c r="AM2" s="496"/>
      <c r="AN2" s="496"/>
      <c r="AO2" s="496"/>
      <c r="AP2" s="496"/>
      <c r="AQ2" s="496"/>
      <c r="AR2" s="496"/>
      <c r="AS2" s="496"/>
      <c r="AT2" s="496"/>
      <c r="AU2" s="496"/>
    </row>
    <row r="3" spans="1:47" ht="24" thickTop="1" x14ac:dyDescent="0.35">
      <c r="A3" s="851" t="s">
        <v>0</v>
      </c>
      <c r="B3" s="851"/>
      <c r="C3" s="851"/>
      <c r="D3" s="851"/>
      <c r="E3" s="851"/>
      <c r="F3" s="851"/>
      <c r="G3" s="851"/>
      <c r="H3" s="496"/>
      <c r="I3" s="496"/>
      <c r="J3" s="539"/>
      <c r="K3" s="540"/>
      <c r="L3" s="540"/>
      <c r="M3" s="532"/>
      <c r="N3" s="533"/>
      <c r="O3" s="851" t="s">
        <v>1</v>
      </c>
      <c r="P3" s="851"/>
      <c r="Q3" s="851"/>
      <c r="R3" s="851"/>
      <c r="S3" s="851"/>
      <c r="T3" s="851"/>
      <c r="U3" s="851"/>
      <c r="V3" s="496"/>
      <c r="W3" s="496"/>
      <c r="X3" s="851" t="s">
        <v>544</v>
      </c>
      <c r="Y3" s="851"/>
      <c r="Z3" s="851"/>
      <c r="AA3" s="851"/>
      <c r="AB3" s="851"/>
      <c r="AC3" s="851"/>
      <c r="AD3" s="851"/>
      <c r="AE3" s="851"/>
      <c r="AF3" s="496"/>
      <c r="AG3" s="496"/>
      <c r="AH3" s="496"/>
      <c r="AI3" s="496"/>
      <c r="AJ3" s="496"/>
      <c r="AK3" s="496"/>
      <c r="AL3" s="496"/>
      <c r="AM3" s="496"/>
      <c r="AN3" s="496"/>
      <c r="AO3" s="496"/>
      <c r="AP3" s="496"/>
      <c r="AQ3" s="496"/>
      <c r="AR3" s="496"/>
      <c r="AS3" s="496"/>
      <c r="AT3" s="496"/>
      <c r="AU3" s="496"/>
    </row>
    <row r="4" spans="1:47" ht="14.45" customHeight="1" x14ac:dyDescent="0.25">
      <c r="A4" s="496"/>
      <c r="B4" s="496"/>
      <c r="C4" s="496"/>
      <c r="D4" s="496"/>
      <c r="E4" s="496"/>
      <c r="F4" s="496"/>
      <c r="G4" s="496"/>
      <c r="H4" s="534"/>
      <c r="I4" s="533"/>
      <c r="J4" s="852" t="s">
        <v>202</v>
      </c>
      <c r="K4" s="852"/>
      <c r="L4" s="852"/>
      <c r="M4" s="852"/>
      <c r="N4" s="496"/>
      <c r="O4" s="496"/>
      <c r="P4" s="496"/>
      <c r="Q4" s="496"/>
      <c r="R4" s="496"/>
      <c r="S4" s="496"/>
      <c r="T4" s="496"/>
      <c r="U4" s="496"/>
      <c r="V4" s="496"/>
      <c r="W4" s="496"/>
      <c r="X4" s="496"/>
      <c r="Y4" s="496"/>
      <c r="Z4" s="496"/>
      <c r="AA4" s="496"/>
      <c r="AB4" s="496"/>
      <c r="AC4" s="496"/>
      <c r="AD4" s="496"/>
      <c r="AE4" s="496"/>
      <c r="AF4" s="496"/>
      <c r="AG4" s="496"/>
      <c r="AH4" s="496"/>
      <c r="AI4" s="496"/>
      <c r="AJ4" s="496"/>
      <c r="AK4" s="496"/>
      <c r="AL4" s="496"/>
      <c r="AM4" s="496"/>
      <c r="AN4" s="496"/>
      <c r="AO4" s="496"/>
      <c r="AP4" s="496"/>
      <c r="AQ4" s="496"/>
      <c r="AR4" s="496"/>
      <c r="AS4" s="496"/>
      <c r="AT4" s="496"/>
      <c r="AU4" s="496"/>
    </row>
    <row r="5" spans="1:47" ht="14.45" customHeight="1" x14ac:dyDescent="0.4">
      <c r="A5" s="497"/>
      <c r="B5" s="498"/>
      <c r="C5" s="498"/>
      <c r="D5" s="498"/>
      <c r="E5" s="498"/>
      <c r="F5" s="498"/>
      <c r="G5" s="498"/>
      <c r="H5" s="496"/>
      <c r="I5" s="496"/>
      <c r="J5" s="852"/>
      <c r="K5" s="852"/>
      <c r="L5" s="852"/>
      <c r="M5" s="852"/>
      <c r="N5" s="496"/>
      <c r="O5" s="497"/>
      <c r="P5" s="498"/>
      <c r="Q5" s="498"/>
      <c r="R5" s="498"/>
      <c r="S5" s="498"/>
      <c r="T5" s="498"/>
      <c r="U5" s="498"/>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row>
    <row r="6" spans="1:47" ht="14.45" customHeight="1" x14ac:dyDescent="0.4">
      <c r="A6" s="497"/>
      <c r="B6" s="498"/>
      <c r="C6" s="498"/>
      <c r="D6" s="498"/>
      <c r="E6" s="498"/>
      <c r="F6" s="498"/>
      <c r="G6" s="498"/>
      <c r="H6" s="496"/>
      <c r="I6" s="496"/>
      <c r="J6" s="852"/>
      <c r="K6" s="852"/>
      <c r="L6" s="852"/>
      <c r="M6" s="852"/>
      <c r="N6" s="496"/>
      <c r="O6" s="497"/>
      <c r="P6" s="498"/>
      <c r="Q6" s="498"/>
      <c r="R6" s="498"/>
      <c r="S6" s="498"/>
      <c r="T6" s="498"/>
      <c r="U6" s="498"/>
      <c r="V6" s="496"/>
      <c r="W6" s="496"/>
      <c r="X6" s="496"/>
      <c r="Y6" s="496"/>
      <c r="Z6" s="496"/>
      <c r="AA6" s="496"/>
      <c r="AB6" s="496"/>
      <c r="AC6" s="496"/>
      <c r="AD6" s="496"/>
      <c r="AE6" s="496"/>
      <c r="AF6" s="496"/>
      <c r="AG6" s="496"/>
      <c r="AH6" s="496"/>
      <c r="AI6" s="496"/>
      <c r="AJ6" s="496"/>
      <c r="AK6" s="496"/>
      <c r="AL6" s="496"/>
      <c r="AM6" s="496"/>
      <c r="AN6" s="496"/>
      <c r="AO6" s="496"/>
      <c r="AP6" s="496"/>
      <c r="AQ6" s="496"/>
      <c r="AR6" s="496"/>
      <c r="AS6" s="496"/>
      <c r="AT6" s="496"/>
      <c r="AU6" s="496"/>
    </row>
    <row r="7" spans="1:47" ht="14.45" customHeight="1" x14ac:dyDescent="0.4">
      <c r="A7" s="497"/>
      <c r="B7" s="498"/>
      <c r="C7" s="498"/>
      <c r="D7" s="498"/>
      <c r="E7" s="498"/>
      <c r="F7" s="498"/>
      <c r="G7" s="498"/>
      <c r="H7" s="496"/>
      <c r="I7" s="496"/>
      <c r="J7" s="852"/>
      <c r="K7" s="852"/>
      <c r="L7" s="852"/>
      <c r="M7" s="852"/>
      <c r="N7" s="496"/>
      <c r="O7" s="497"/>
      <c r="P7" s="498"/>
      <c r="Q7" s="498"/>
      <c r="R7" s="498"/>
      <c r="S7" s="498"/>
      <c r="T7" s="498"/>
      <c r="U7" s="498"/>
      <c r="V7" s="496"/>
      <c r="W7" s="496"/>
      <c r="X7" s="496"/>
      <c r="Y7" s="496"/>
      <c r="Z7" s="496"/>
      <c r="AA7" s="496"/>
      <c r="AB7" s="496"/>
      <c r="AC7" s="496"/>
      <c r="AD7" s="496"/>
      <c r="AE7" s="496"/>
      <c r="AF7" s="496"/>
      <c r="AG7" s="496"/>
      <c r="AH7" s="496"/>
      <c r="AI7" s="496"/>
      <c r="AJ7" s="496"/>
      <c r="AK7" s="496"/>
      <c r="AL7" s="496"/>
      <c r="AM7" s="496"/>
      <c r="AN7" s="496"/>
      <c r="AO7" s="496"/>
      <c r="AP7" s="496"/>
      <c r="AQ7" s="496"/>
      <c r="AR7" s="496"/>
      <c r="AS7" s="496"/>
      <c r="AT7" s="496"/>
      <c r="AU7" s="496"/>
    </row>
    <row r="8" spans="1:47" ht="14.45" customHeight="1" x14ac:dyDescent="0.25">
      <c r="A8" s="496"/>
      <c r="B8" s="496"/>
      <c r="C8" s="496"/>
      <c r="D8" s="496"/>
      <c r="E8" s="496"/>
      <c r="F8" s="496"/>
      <c r="G8" s="496"/>
      <c r="H8" s="496"/>
      <c r="I8" s="496"/>
      <c r="J8" s="852"/>
      <c r="K8" s="852"/>
      <c r="L8" s="852"/>
      <c r="M8" s="852"/>
      <c r="N8" s="496"/>
      <c r="O8" s="496"/>
      <c r="P8" s="496"/>
      <c r="Q8" s="496"/>
      <c r="R8" s="496"/>
      <c r="S8" s="496"/>
      <c r="T8" s="496"/>
      <c r="U8" s="496"/>
      <c r="V8" s="496"/>
      <c r="W8" s="496"/>
      <c r="X8" s="496"/>
      <c r="Y8" s="496"/>
      <c r="Z8" s="496"/>
      <c r="AA8" s="496"/>
      <c r="AB8" s="496"/>
      <c r="AC8" s="496"/>
      <c r="AD8" s="496"/>
      <c r="AE8" s="496"/>
      <c r="AF8" s="496"/>
      <c r="AG8" s="496"/>
      <c r="AH8" s="496"/>
      <c r="AI8" s="496"/>
      <c r="AJ8" s="496"/>
      <c r="AK8" s="496"/>
      <c r="AL8" s="496"/>
      <c r="AM8" s="496"/>
      <c r="AN8" s="496"/>
      <c r="AO8" s="496"/>
      <c r="AP8" s="496"/>
      <c r="AQ8" s="496"/>
      <c r="AR8" s="496"/>
      <c r="AS8" s="496"/>
      <c r="AT8" s="496"/>
      <c r="AU8" s="496"/>
    </row>
    <row r="9" spans="1:47" ht="21" x14ac:dyDescent="0.35">
      <c r="A9" s="499" t="s">
        <v>203</v>
      </c>
      <c r="B9" s="500"/>
      <c r="C9" s="500"/>
      <c r="D9" s="500"/>
      <c r="E9" s="500"/>
      <c r="F9" s="500"/>
      <c r="G9" s="500"/>
      <c r="H9" s="496"/>
      <c r="I9" s="496"/>
      <c r="J9" s="539"/>
      <c r="K9" s="540"/>
      <c r="L9" s="540"/>
      <c r="M9" s="541"/>
      <c r="N9" s="496"/>
      <c r="O9" s="499" t="s">
        <v>203</v>
      </c>
      <c r="P9" s="500"/>
      <c r="Q9" s="500"/>
      <c r="R9" s="500"/>
      <c r="S9" s="500"/>
      <c r="T9" s="500"/>
      <c r="U9" s="500"/>
      <c r="V9" s="496"/>
      <c r="W9" s="496"/>
      <c r="X9" s="496"/>
      <c r="Y9" s="496"/>
      <c r="Z9" s="496"/>
      <c r="AA9" s="496"/>
      <c r="AB9" s="496"/>
      <c r="AC9" s="496"/>
      <c r="AD9" s="496"/>
      <c r="AE9" s="496"/>
      <c r="AF9" s="496"/>
      <c r="AG9" s="496"/>
      <c r="AH9" s="496"/>
      <c r="AI9" s="496"/>
      <c r="AJ9" s="496"/>
      <c r="AK9" s="496"/>
      <c r="AL9" s="496"/>
      <c r="AM9" s="496"/>
      <c r="AN9" s="496"/>
      <c r="AO9" s="496"/>
      <c r="AP9" s="496"/>
      <c r="AQ9" s="496"/>
      <c r="AR9" s="496"/>
      <c r="AS9" s="496"/>
      <c r="AT9" s="496"/>
      <c r="AU9" s="496"/>
    </row>
    <row r="10" spans="1:47" ht="14.45" customHeight="1" x14ac:dyDescent="0.25">
      <c r="A10" s="496"/>
      <c r="B10" s="496"/>
      <c r="C10" s="496"/>
      <c r="D10" s="496"/>
      <c r="E10" s="496"/>
      <c r="F10" s="496"/>
      <c r="G10" s="496"/>
      <c r="H10" s="496"/>
      <c r="I10" s="496"/>
      <c r="J10" s="539"/>
      <c r="K10" s="540"/>
      <c r="L10" s="540"/>
      <c r="M10" s="541"/>
      <c r="N10" s="496"/>
      <c r="O10" s="496"/>
      <c r="P10" s="496"/>
      <c r="Q10" s="496"/>
      <c r="R10" s="496"/>
      <c r="S10" s="496"/>
      <c r="T10" s="496"/>
      <c r="U10" s="496"/>
      <c r="V10" s="496"/>
      <c r="W10" s="496"/>
      <c r="X10" s="496"/>
      <c r="Y10" s="496"/>
      <c r="Z10" s="496"/>
      <c r="AA10" s="496"/>
      <c r="AB10" s="496"/>
      <c r="AC10" s="496"/>
      <c r="AD10" s="496"/>
      <c r="AE10" s="496"/>
      <c r="AF10" s="496"/>
      <c r="AG10" s="496"/>
      <c r="AH10" s="496"/>
      <c r="AI10" s="496"/>
      <c r="AJ10" s="496"/>
      <c r="AK10" s="496"/>
      <c r="AL10" s="496"/>
      <c r="AM10" s="496"/>
      <c r="AN10" s="496"/>
      <c r="AO10" s="496"/>
      <c r="AP10" s="496"/>
      <c r="AQ10" s="496"/>
      <c r="AR10" s="496"/>
      <c r="AS10" s="496"/>
      <c r="AT10" s="496"/>
      <c r="AU10" s="496"/>
    </row>
    <row r="11" spans="1:47" ht="21.75" thickBot="1" x14ac:dyDescent="0.4">
      <c r="A11" s="501" t="s">
        <v>204</v>
      </c>
      <c r="B11" s="501"/>
      <c r="C11" s="496"/>
      <c r="D11" s="496"/>
      <c r="E11" s="496"/>
      <c r="F11" s="496"/>
      <c r="G11" s="496"/>
      <c r="H11" s="496"/>
      <c r="I11" s="496"/>
      <c r="J11" s="539"/>
      <c r="K11" s="540"/>
      <c r="L11" s="540"/>
      <c r="M11" s="541"/>
      <c r="N11" s="496"/>
      <c r="O11" s="501" t="s">
        <v>204</v>
      </c>
      <c r="P11" s="501"/>
      <c r="Q11" s="496"/>
      <c r="R11" s="496"/>
      <c r="S11" s="496"/>
      <c r="T11" s="496"/>
      <c r="U11" s="496"/>
      <c r="V11" s="496"/>
      <c r="W11" s="496"/>
      <c r="X11" s="496"/>
      <c r="Y11" s="496"/>
      <c r="Z11" s="496"/>
      <c r="AA11" s="496"/>
      <c r="AB11" s="496"/>
      <c r="AC11" s="496"/>
      <c r="AD11" s="496"/>
      <c r="AE11" s="496"/>
      <c r="AF11" s="496"/>
      <c r="AG11" s="496"/>
      <c r="AH11" s="496"/>
      <c r="AI11" s="496"/>
      <c r="AJ11" s="496"/>
      <c r="AK11" s="496"/>
      <c r="AL11" s="496"/>
      <c r="AM11" s="496"/>
      <c r="AN11" s="496"/>
      <c r="AO11" s="496"/>
      <c r="AP11" s="496"/>
      <c r="AQ11" s="496"/>
      <c r="AR11" s="496"/>
      <c r="AS11" s="496"/>
      <c r="AT11" s="496"/>
      <c r="AU11" s="496"/>
    </row>
    <row r="12" spans="1:47" ht="14.45" customHeight="1" thickBot="1" x14ac:dyDescent="0.3">
      <c r="A12" s="496"/>
      <c r="B12" s="517"/>
      <c r="C12" s="518" t="s">
        <v>76</v>
      </c>
      <c r="D12" s="518" t="s">
        <v>77</v>
      </c>
      <c r="E12" s="518" t="s">
        <v>78</v>
      </c>
      <c r="F12" s="519" t="s">
        <v>79</v>
      </c>
      <c r="G12" s="496"/>
      <c r="H12" s="496"/>
      <c r="I12" s="496"/>
      <c r="J12" s="539"/>
      <c r="K12" s="540"/>
      <c r="L12" s="540"/>
      <c r="M12" s="541"/>
      <c r="N12" s="496"/>
      <c r="O12" s="496"/>
      <c r="P12" s="517"/>
      <c r="Q12" s="518" t="s">
        <v>76</v>
      </c>
      <c r="R12" s="518" t="s">
        <v>77</v>
      </c>
      <c r="S12" s="518" t="s">
        <v>78</v>
      </c>
      <c r="T12" s="519" t="s">
        <v>79</v>
      </c>
      <c r="U12" s="496"/>
      <c r="V12" s="496"/>
      <c r="W12" s="496"/>
      <c r="X12" s="496"/>
      <c r="Y12" s="496"/>
      <c r="Z12" s="496"/>
      <c r="AA12" s="496"/>
      <c r="AB12" s="496"/>
      <c r="AC12" s="496"/>
      <c r="AD12" s="496"/>
      <c r="AE12" s="496"/>
      <c r="AF12" s="496"/>
      <c r="AG12" s="496"/>
      <c r="AH12" s="496"/>
      <c r="AI12" s="496"/>
      <c r="AJ12" s="496"/>
      <c r="AK12" s="496"/>
      <c r="AL12" s="496"/>
      <c r="AM12" s="496"/>
      <c r="AN12" s="496"/>
      <c r="AO12" s="496"/>
      <c r="AP12" s="496"/>
      <c r="AQ12" s="496"/>
      <c r="AR12" s="496"/>
      <c r="AS12" s="496"/>
      <c r="AT12" s="496"/>
      <c r="AU12" s="496"/>
    </row>
    <row r="13" spans="1:47" ht="14.45" customHeight="1" thickBot="1" x14ac:dyDescent="0.3">
      <c r="A13" s="496"/>
      <c r="B13" s="503" t="s">
        <v>205</v>
      </c>
      <c r="C13" s="504">
        <v>0.34</v>
      </c>
      <c r="D13" s="504">
        <v>0.32</v>
      </c>
      <c r="E13" s="504">
        <v>0.33</v>
      </c>
      <c r="F13" s="527">
        <v>0.317</v>
      </c>
      <c r="G13" s="496"/>
      <c r="H13" s="496"/>
      <c r="I13" s="496"/>
      <c r="J13" s="535" t="s">
        <v>206</v>
      </c>
      <c r="K13" s="540"/>
      <c r="L13" s="540"/>
      <c r="M13" s="541"/>
      <c r="N13" s="496"/>
      <c r="O13" s="496"/>
      <c r="P13" s="503" t="s">
        <v>205</v>
      </c>
      <c r="Q13" s="504">
        <v>0.34</v>
      </c>
      <c r="R13" s="504">
        <v>0.32</v>
      </c>
      <c r="S13" s="504">
        <v>0.33</v>
      </c>
      <c r="T13" s="527">
        <v>0.317</v>
      </c>
      <c r="U13" s="496"/>
      <c r="V13" s="496"/>
      <c r="W13" s="496"/>
      <c r="X13" s="496"/>
      <c r="Y13" s="496"/>
      <c r="Z13" s="496"/>
      <c r="AA13" s="496"/>
      <c r="AB13" s="496"/>
      <c r="AC13" s="496"/>
      <c r="AD13" s="496"/>
      <c r="AE13" s="496"/>
      <c r="AF13" s="496"/>
      <c r="AG13" s="496"/>
      <c r="AH13" s="496"/>
      <c r="AI13" s="496"/>
      <c r="AJ13" s="496"/>
      <c r="AK13" s="496"/>
      <c r="AL13" s="496"/>
      <c r="AM13" s="496"/>
      <c r="AN13" s="496"/>
      <c r="AO13" s="496"/>
      <c r="AP13" s="496"/>
      <c r="AQ13" s="496"/>
      <c r="AR13" s="496"/>
      <c r="AS13" s="496"/>
      <c r="AT13" s="496"/>
      <c r="AU13" s="496"/>
    </row>
    <row r="14" spans="1:47" ht="14.45" customHeight="1" thickBot="1" x14ac:dyDescent="0.3">
      <c r="A14" s="496"/>
      <c r="B14" s="503" t="s">
        <v>207</v>
      </c>
      <c r="C14" s="525">
        <v>0.51</v>
      </c>
      <c r="D14" s="525">
        <v>0.51</v>
      </c>
      <c r="E14" s="525">
        <v>0.51</v>
      </c>
      <c r="F14" s="526">
        <v>0.51</v>
      </c>
      <c r="G14" s="496"/>
      <c r="H14" s="496"/>
      <c r="I14" s="496"/>
      <c r="J14" s="539"/>
      <c r="K14" s="540"/>
      <c r="L14" s="540"/>
      <c r="M14" s="541"/>
      <c r="N14" s="496"/>
      <c r="O14" s="496"/>
      <c r="P14" s="503" t="s">
        <v>207</v>
      </c>
      <c r="Q14" s="525">
        <v>0.51</v>
      </c>
      <c r="R14" s="525">
        <v>0.51</v>
      </c>
      <c r="S14" s="525">
        <v>0.51</v>
      </c>
      <c r="T14" s="526">
        <v>0.51</v>
      </c>
      <c r="U14" s="496"/>
      <c r="V14" s="496"/>
      <c r="W14" s="496"/>
      <c r="X14" s="496"/>
      <c r="Y14" s="496"/>
      <c r="Z14" s="496"/>
      <c r="AA14" s="496"/>
      <c r="AB14" s="496"/>
      <c r="AC14" s="496"/>
      <c r="AD14" s="496"/>
      <c r="AE14" s="496"/>
      <c r="AF14" s="496"/>
      <c r="AG14" s="496"/>
      <c r="AH14" s="496"/>
      <c r="AI14" s="496"/>
      <c r="AJ14" s="496"/>
      <c r="AK14" s="496"/>
      <c r="AL14" s="496"/>
      <c r="AM14" s="496"/>
      <c r="AN14" s="496"/>
      <c r="AO14" s="496"/>
      <c r="AP14" s="496"/>
      <c r="AQ14" s="496"/>
      <c r="AR14" s="496"/>
      <c r="AS14" s="496"/>
      <c r="AT14" s="496"/>
      <c r="AU14" s="496"/>
    </row>
    <row r="15" spans="1:47" ht="14.45" customHeight="1" x14ac:dyDescent="0.25">
      <c r="A15" s="496"/>
      <c r="B15" s="496"/>
      <c r="C15" s="496"/>
      <c r="D15" s="496"/>
      <c r="E15" s="496"/>
      <c r="F15" s="496"/>
      <c r="G15" s="496"/>
      <c r="H15" s="496"/>
      <c r="I15" s="496"/>
      <c r="J15" s="539"/>
      <c r="K15" s="540"/>
      <c r="L15" s="540"/>
      <c r="M15" s="541"/>
      <c r="N15" s="496"/>
      <c r="O15" s="496"/>
      <c r="P15" s="496" t="s">
        <v>529</v>
      </c>
      <c r="Q15" s="496"/>
      <c r="R15" s="496"/>
      <c r="S15" s="496"/>
      <c r="T15" s="496"/>
      <c r="U15" s="496"/>
      <c r="V15" s="496"/>
      <c r="W15" s="496"/>
      <c r="X15" s="496"/>
      <c r="Y15" s="496"/>
      <c r="Z15" s="496"/>
      <c r="AA15" s="496"/>
      <c r="AB15" s="496"/>
      <c r="AC15" s="496"/>
      <c r="AD15" s="496"/>
      <c r="AE15" s="496"/>
      <c r="AF15" s="496"/>
      <c r="AG15" s="496"/>
      <c r="AH15" s="496"/>
      <c r="AI15" s="496"/>
      <c r="AJ15" s="496"/>
      <c r="AK15" s="496"/>
      <c r="AL15" s="496"/>
      <c r="AM15" s="496"/>
      <c r="AN15" s="496"/>
      <c r="AO15" s="496"/>
      <c r="AP15" s="496"/>
      <c r="AQ15" s="496"/>
      <c r="AR15" s="496"/>
      <c r="AS15" s="496"/>
      <c r="AT15" s="496"/>
      <c r="AU15" s="496"/>
    </row>
    <row r="16" spans="1:47" ht="14.45" customHeight="1" x14ac:dyDescent="0.25">
      <c r="X16" s="496"/>
      <c r="Y16" s="496"/>
      <c r="Z16" s="496"/>
      <c r="AA16" s="496"/>
      <c r="AB16" s="496"/>
      <c r="AC16" s="496"/>
      <c r="AD16" s="496"/>
      <c r="AE16" s="496"/>
    </row>
    <row r="17" spans="1:47" ht="21.75" thickBot="1" x14ac:dyDescent="0.4">
      <c r="A17" s="501" t="s">
        <v>208</v>
      </c>
      <c r="B17" s="501"/>
      <c r="C17" s="496"/>
      <c r="D17" s="496"/>
      <c r="E17" s="496"/>
      <c r="F17" s="496"/>
      <c r="G17" s="496"/>
      <c r="H17" s="496"/>
      <c r="I17" s="496"/>
      <c r="J17" s="539"/>
      <c r="K17" s="540"/>
      <c r="L17" s="540"/>
      <c r="M17" s="541"/>
      <c r="N17" s="496"/>
      <c r="O17" s="501" t="s">
        <v>208</v>
      </c>
      <c r="P17" s="501"/>
      <c r="Q17" s="496"/>
      <c r="R17" s="496"/>
      <c r="S17" s="496"/>
      <c r="T17" s="496"/>
      <c r="U17" s="496"/>
      <c r="V17" s="496"/>
      <c r="W17" s="496"/>
      <c r="X17" s="496"/>
      <c r="Y17" s="496"/>
      <c r="Z17" s="496"/>
      <c r="AA17" s="496"/>
      <c r="AB17" s="496"/>
      <c r="AC17" s="496"/>
      <c r="AD17" s="496"/>
      <c r="AE17" s="496"/>
      <c r="AF17" s="496"/>
      <c r="AG17" s="496"/>
      <c r="AH17" s="496"/>
      <c r="AI17" s="496"/>
      <c r="AJ17" s="496"/>
      <c r="AK17" s="496"/>
      <c r="AL17" s="496"/>
      <c r="AM17" s="496"/>
      <c r="AN17" s="496"/>
      <c r="AO17" s="496"/>
      <c r="AP17" s="496"/>
      <c r="AQ17" s="496"/>
      <c r="AR17" s="496"/>
      <c r="AS17" s="496"/>
      <c r="AT17" s="496"/>
      <c r="AU17" s="496"/>
    </row>
    <row r="18" spans="1:47" ht="15" customHeight="1" thickBot="1" x14ac:dyDescent="0.3">
      <c r="A18" s="496"/>
      <c r="B18" s="513"/>
      <c r="C18" s="853" t="s">
        <v>209</v>
      </c>
      <c r="D18" s="853"/>
      <c r="E18" s="853" t="s">
        <v>210</v>
      </c>
      <c r="F18" s="853"/>
      <c r="G18" s="496"/>
      <c r="H18" s="496"/>
      <c r="I18" s="496"/>
      <c r="J18" s="539"/>
      <c r="K18" s="540"/>
      <c r="L18" s="540"/>
      <c r="M18" s="541"/>
      <c r="N18" s="496"/>
      <c r="O18" s="496"/>
      <c r="P18" s="513"/>
      <c r="Q18" s="853" t="s">
        <v>209</v>
      </c>
      <c r="R18" s="853"/>
      <c r="S18" s="853" t="s">
        <v>210</v>
      </c>
      <c r="T18" s="853"/>
      <c r="U18" s="496"/>
      <c r="V18" s="496"/>
      <c r="W18" s="496"/>
      <c r="X18" s="496"/>
      <c r="Y18" s="496"/>
      <c r="Z18" s="496"/>
      <c r="AA18" s="496"/>
      <c r="AB18" s="496"/>
      <c r="AC18" s="496"/>
      <c r="AD18" s="496"/>
      <c r="AE18" s="496"/>
      <c r="AF18" s="496"/>
      <c r="AG18" s="496"/>
      <c r="AH18" s="496"/>
      <c r="AI18" s="496"/>
      <c r="AJ18" s="496"/>
      <c r="AK18" s="496"/>
      <c r="AL18" s="496"/>
      <c r="AM18" s="496"/>
      <c r="AN18" s="496"/>
      <c r="AO18" s="496"/>
      <c r="AP18" s="496"/>
      <c r="AQ18" s="496"/>
      <c r="AR18" s="496"/>
      <c r="AS18" s="496"/>
      <c r="AT18" s="496"/>
      <c r="AU18" s="496"/>
    </row>
    <row r="19" spans="1:47" ht="63" customHeight="1" thickBot="1" x14ac:dyDescent="0.3">
      <c r="A19" s="496"/>
      <c r="B19" s="514"/>
      <c r="C19" s="515" t="s">
        <v>211</v>
      </c>
      <c r="D19" s="516" t="s">
        <v>214</v>
      </c>
      <c r="E19" s="515" t="s">
        <v>211</v>
      </c>
      <c r="F19" s="515" t="s">
        <v>212</v>
      </c>
      <c r="G19" s="496"/>
      <c r="H19" s="496"/>
      <c r="I19" s="496"/>
      <c r="J19" s="535" t="s">
        <v>213</v>
      </c>
      <c r="K19" s="540"/>
      <c r="L19" s="540"/>
      <c r="M19" s="541"/>
      <c r="N19" s="496"/>
      <c r="O19" s="496"/>
      <c r="P19" s="514"/>
      <c r="Q19" s="515" t="s">
        <v>211</v>
      </c>
      <c r="R19" s="516"/>
      <c r="S19" s="515" t="s">
        <v>211</v>
      </c>
      <c r="T19" s="515" t="s">
        <v>212</v>
      </c>
      <c r="U19" s="496"/>
      <c r="V19" s="496"/>
      <c r="W19" s="496"/>
      <c r="X19" s="496"/>
      <c r="Y19" s="496"/>
      <c r="Z19" s="496"/>
      <c r="AA19" s="496"/>
      <c r="AB19" s="496"/>
      <c r="AC19" s="496"/>
      <c r="AD19" s="496"/>
      <c r="AE19" s="496"/>
      <c r="AF19" s="496"/>
      <c r="AG19" s="496"/>
      <c r="AH19" s="496"/>
      <c r="AI19" s="496"/>
      <c r="AJ19" s="496"/>
      <c r="AK19" s="496"/>
      <c r="AL19" s="496"/>
      <c r="AM19" s="496"/>
      <c r="AN19" s="496"/>
      <c r="AO19" s="496"/>
      <c r="AP19" s="496"/>
      <c r="AQ19" s="496"/>
      <c r="AR19" s="496"/>
      <c r="AS19" s="496"/>
      <c r="AT19" s="496"/>
      <c r="AU19" s="496"/>
    </row>
    <row r="20" spans="1:47" ht="15" customHeight="1" thickBot="1" x14ac:dyDescent="0.3">
      <c r="A20" s="496"/>
      <c r="B20" s="505" t="s">
        <v>88</v>
      </c>
      <c r="C20" s="506">
        <v>0.35</v>
      </c>
      <c r="D20" s="506">
        <v>0.8</v>
      </c>
      <c r="E20" s="506">
        <v>0.45</v>
      </c>
      <c r="F20" s="507">
        <v>0.8</v>
      </c>
      <c r="G20" s="496"/>
      <c r="H20" s="496"/>
      <c r="I20" s="496"/>
      <c r="J20" s="535" t="s">
        <v>215</v>
      </c>
      <c r="K20" s="540"/>
      <c r="L20" s="540"/>
      <c r="M20" s="541"/>
      <c r="N20" s="496"/>
      <c r="O20" s="496"/>
      <c r="P20" s="505" t="s">
        <v>88</v>
      </c>
      <c r="Q20" s="506">
        <v>0.34</v>
      </c>
      <c r="R20" s="506">
        <v>0.76</v>
      </c>
      <c r="S20" s="506"/>
      <c r="T20" s="507"/>
      <c r="U20" s="496"/>
      <c r="V20" s="496"/>
      <c r="W20" s="496"/>
      <c r="X20" s="496"/>
      <c r="Y20" s="496"/>
      <c r="Z20" s="496"/>
      <c r="AA20" s="496"/>
      <c r="AB20" s="496"/>
      <c r="AC20" s="496"/>
      <c r="AD20" s="496"/>
      <c r="AE20" s="496"/>
      <c r="AF20" s="496"/>
      <c r="AG20" s="496"/>
      <c r="AH20" s="496"/>
      <c r="AI20" s="496"/>
      <c r="AJ20" s="496"/>
      <c r="AK20" s="496"/>
      <c r="AL20" s="496"/>
      <c r="AM20" s="496"/>
      <c r="AN20" s="496"/>
      <c r="AO20" s="496"/>
      <c r="AP20" s="496"/>
      <c r="AQ20" s="496"/>
      <c r="AR20" s="496"/>
      <c r="AS20" s="496"/>
      <c r="AT20" s="496"/>
      <c r="AU20" s="496"/>
    </row>
    <row r="21" spans="1:47" ht="15" customHeight="1" thickBot="1" x14ac:dyDescent="0.3">
      <c r="A21" s="496"/>
      <c r="B21" s="508" t="s">
        <v>216</v>
      </c>
      <c r="C21" s="509">
        <v>0.06</v>
      </c>
      <c r="D21" s="509">
        <v>0.1</v>
      </c>
      <c r="E21" s="509">
        <v>0</v>
      </c>
      <c r="F21" s="510">
        <v>0</v>
      </c>
      <c r="G21" s="496"/>
      <c r="H21" s="496"/>
      <c r="I21" s="496"/>
      <c r="J21" s="539"/>
      <c r="K21" s="540"/>
      <c r="L21" s="540"/>
      <c r="M21" s="541"/>
      <c r="N21" s="496"/>
      <c r="O21" s="496"/>
      <c r="P21" s="508" t="s">
        <v>216</v>
      </c>
      <c r="Q21" s="509">
        <v>0.04</v>
      </c>
      <c r="R21" s="509">
        <v>0.1</v>
      </c>
      <c r="S21" s="509"/>
      <c r="T21" s="510"/>
      <c r="U21" s="496"/>
      <c r="V21" s="496"/>
      <c r="W21" s="496"/>
      <c r="X21" s="496"/>
      <c r="Y21" s="496"/>
      <c r="Z21" s="496"/>
      <c r="AA21" s="496"/>
      <c r="AB21" s="496"/>
      <c r="AC21" s="496"/>
      <c r="AD21" s="496"/>
      <c r="AE21" s="496"/>
      <c r="AF21" s="496"/>
      <c r="AG21" s="496"/>
      <c r="AH21" s="496"/>
      <c r="AI21" s="496"/>
      <c r="AJ21" s="496"/>
      <c r="AK21" s="496"/>
      <c r="AL21" s="496"/>
      <c r="AM21" s="496"/>
      <c r="AN21" s="496"/>
      <c r="AO21" s="496"/>
      <c r="AP21" s="496"/>
      <c r="AQ21" s="496"/>
      <c r="AR21" s="496"/>
      <c r="AS21" s="496"/>
      <c r="AT21" s="496"/>
      <c r="AU21" s="496"/>
    </row>
    <row r="22" spans="1:47" ht="15" customHeight="1" thickBot="1" x14ac:dyDescent="0.3">
      <c r="A22" s="496"/>
      <c r="B22" s="505" t="s">
        <v>217</v>
      </c>
      <c r="C22" s="506">
        <v>0.45</v>
      </c>
      <c r="D22" s="506">
        <v>0</v>
      </c>
      <c r="E22" s="506">
        <v>0.4</v>
      </c>
      <c r="F22" s="507">
        <v>0</v>
      </c>
      <c r="G22" s="496"/>
      <c r="H22" s="496"/>
      <c r="I22" s="496"/>
      <c r="J22" s="539"/>
      <c r="K22" s="540"/>
      <c r="L22" s="540"/>
      <c r="M22" s="541"/>
      <c r="N22" s="496"/>
      <c r="O22" s="496"/>
      <c r="P22" s="505" t="s">
        <v>217</v>
      </c>
      <c r="Q22" s="506">
        <v>0.5</v>
      </c>
      <c r="R22" s="506">
        <v>0.04</v>
      </c>
      <c r="S22" s="506"/>
      <c r="T22" s="507"/>
      <c r="U22" s="496"/>
      <c r="V22" s="496"/>
      <c r="W22" s="496"/>
      <c r="X22" s="496"/>
      <c r="Y22" s="496"/>
      <c r="Z22" s="496"/>
      <c r="AA22" s="496"/>
      <c r="AB22" s="496"/>
      <c r="AC22" s="496"/>
      <c r="AD22" s="496"/>
      <c r="AE22" s="496"/>
      <c r="AF22" s="496"/>
      <c r="AG22" s="496"/>
      <c r="AH22" s="496"/>
      <c r="AI22" s="496"/>
      <c r="AJ22" s="496"/>
      <c r="AK22" s="496"/>
      <c r="AL22" s="496"/>
      <c r="AM22" s="496"/>
      <c r="AN22" s="496"/>
      <c r="AO22" s="496"/>
      <c r="AP22" s="496"/>
      <c r="AQ22" s="496"/>
      <c r="AR22" s="496"/>
      <c r="AS22" s="496"/>
      <c r="AT22" s="496"/>
      <c r="AU22" s="496"/>
    </row>
    <row r="23" spans="1:47" ht="15" customHeight="1" thickBot="1" x14ac:dyDescent="0.3">
      <c r="A23" s="496"/>
      <c r="B23" s="508" t="s">
        <v>89</v>
      </c>
      <c r="C23" s="509">
        <v>0.02</v>
      </c>
      <c r="D23" s="509">
        <v>0</v>
      </c>
      <c r="E23" s="509">
        <v>0</v>
      </c>
      <c r="F23" s="510">
        <v>0</v>
      </c>
      <c r="G23" s="496"/>
      <c r="H23" s="496"/>
      <c r="I23" s="496"/>
      <c r="J23" s="539"/>
      <c r="K23" s="540"/>
      <c r="L23" s="540"/>
      <c r="M23" s="541"/>
      <c r="N23" s="496"/>
      <c r="O23" s="496"/>
      <c r="P23" s="508" t="s">
        <v>89</v>
      </c>
      <c r="Q23" s="509">
        <v>0.01</v>
      </c>
      <c r="R23" s="509">
        <v>0</v>
      </c>
      <c r="S23" s="509"/>
      <c r="T23" s="510"/>
      <c r="U23" s="496"/>
      <c r="V23" s="496"/>
      <c r="W23" s="496"/>
      <c r="X23" s="496"/>
      <c r="Y23" s="496"/>
      <c r="Z23" s="496"/>
      <c r="AA23" s="496"/>
      <c r="AB23" s="496"/>
      <c r="AC23" s="496"/>
      <c r="AD23" s="496"/>
      <c r="AE23" s="496"/>
      <c r="AF23" s="496"/>
      <c r="AG23" s="496"/>
      <c r="AH23" s="496"/>
      <c r="AI23" s="496"/>
      <c r="AJ23" s="496"/>
      <c r="AK23" s="496"/>
      <c r="AL23" s="496"/>
      <c r="AM23" s="496"/>
      <c r="AN23" s="496"/>
      <c r="AO23" s="496"/>
      <c r="AP23" s="496"/>
      <c r="AQ23" s="496"/>
      <c r="AR23" s="496"/>
      <c r="AS23" s="496"/>
      <c r="AT23" s="496"/>
      <c r="AU23" s="496"/>
    </row>
    <row r="24" spans="1:47" ht="15.75" thickBot="1" x14ac:dyDescent="0.3">
      <c r="A24" s="496"/>
      <c r="B24" s="505" t="s">
        <v>218</v>
      </c>
      <c r="C24" s="506">
        <v>0.1</v>
      </c>
      <c r="D24" s="506">
        <v>0.01</v>
      </c>
      <c r="E24" s="506">
        <v>0.1</v>
      </c>
      <c r="F24" s="507">
        <v>0.05</v>
      </c>
      <c r="G24" s="496"/>
      <c r="H24" s="496"/>
      <c r="I24" s="496"/>
      <c r="J24" s="539"/>
      <c r="K24" s="540"/>
      <c r="L24" s="540"/>
      <c r="M24" s="541"/>
      <c r="N24" s="496"/>
      <c r="O24" s="496"/>
      <c r="P24" s="505" t="s">
        <v>218</v>
      </c>
      <c r="Q24" s="506">
        <v>0.1</v>
      </c>
      <c r="R24" s="506">
        <v>0.02</v>
      </c>
      <c r="S24" s="506"/>
      <c r="T24" s="507"/>
      <c r="U24" s="496"/>
      <c r="V24" s="496"/>
      <c r="W24" s="496"/>
      <c r="X24" s="496"/>
      <c r="Y24" s="496"/>
      <c r="Z24" s="496"/>
      <c r="AA24" s="496"/>
      <c r="AB24" s="496"/>
      <c r="AC24" s="496"/>
      <c r="AD24" s="496"/>
      <c r="AE24" s="496"/>
      <c r="AF24" s="496"/>
      <c r="AG24" s="496"/>
      <c r="AH24" s="496"/>
      <c r="AI24" s="496"/>
      <c r="AJ24" s="496"/>
      <c r="AK24" s="496"/>
      <c r="AL24" s="496"/>
      <c r="AM24" s="496"/>
      <c r="AN24" s="496"/>
      <c r="AO24" s="496"/>
      <c r="AP24" s="496"/>
      <c r="AQ24" s="496"/>
      <c r="AR24" s="496"/>
      <c r="AS24" s="496"/>
      <c r="AT24" s="496"/>
      <c r="AU24" s="496"/>
    </row>
    <row r="25" spans="1:47" ht="15.75" thickBot="1" x14ac:dyDescent="0.3">
      <c r="A25" s="496"/>
      <c r="B25" s="508" t="s">
        <v>219</v>
      </c>
      <c r="C25" s="509">
        <v>0</v>
      </c>
      <c r="D25" s="509">
        <v>0.09</v>
      </c>
      <c r="E25" s="509">
        <v>0</v>
      </c>
      <c r="F25" s="510">
        <v>0.1</v>
      </c>
      <c r="G25" s="496"/>
      <c r="H25" s="496"/>
      <c r="I25" s="496"/>
      <c r="J25" s="539"/>
      <c r="K25" s="540"/>
      <c r="L25" s="540"/>
      <c r="M25" s="541"/>
      <c r="N25" s="496"/>
      <c r="O25" s="496"/>
      <c r="P25" s="508" t="s">
        <v>219</v>
      </c>
      <c r="Q25" s="509">
        <v>0</v>
      </c>
      <c r="R25" s="509">
        <v>0.08</v>
      </c>
      <c r="S25" s="509"/>
      <c r="T25" s="510"/>
      <c r="U25" s="496"/>
      <c r="V25" s="496"/>
      <c r="W25" s="496"/>
      <c r="X25" s="496"/>
      <c r="Y25" s="496"/>
      <c r="Z25" s="496"/>
      <c r="AA25" s="496"/>
      <c r="AB25" s="496"/>
      <c r="AC25" s="496"/>
      <c r="AD25" s="496"/>
      <c r="AE25" s="496"/>
      <c r="AF25" s="496"/>
      <c r="AG25" s="496"/>
      <c r="AH25" s="496"/>
      <c r="AI25" s="496"/>
      <c r="AJ25" s="496"/>
      <c r="AK25" s="496"/>
      <c r="AL25" s="496"/>
      <c r="AM25" s="496"/>
      <c r="AN25" s="496"/>
      <c r="AO25" s="496"/>
      <c r="AP25" s="496"/>
      <c r="AQ25" s="496"/>
      <c r="AR25" s="496"/>
      <c r="AS25" s="496"/>
      <c r="AT25" s="496"/>
      <c r="AU25" s="496"/>
    </row>
    <row r="26" spans="1:47" ht="15.75" thickBot="1" x14ac:dyDescent="0.3">
      <c r="A26" s="496"/>
      <c r="B26" s="505" t="s">
        <v>220</v>
      </c>
      <c r="C26" s="506">
        <v>0.01</v>
      </c>
      <c r="D26" s="506">
        <v>0</v>
      </c>
      <c r="E26" s="506">
        <v>0.05</v>
      </c>
      <c r="F26" s="507">
        <v>0.05</v>
      </c>
      <c r="G26" s="496"/>
      <c r="H26" s="496"/>
      <c r="I26" s="496"/>
      <c r="J26" s="539"/>
      <c r="K26" s="540"/>
      <c r="L26" s="540"/>
      <c r="M26" s="541"/>
      <c r="N26" s="496"/>
      <c r="O26" s="496"/>
      <c r="P26" s="505" t="s">
        <v>220</v>
      </c>
      <c r="Q26" s="506">
        <v>0.01</v>
      </c>
      <c r="R26" s="506">
        <v>0</v>
      </c>
      <c r="S26" s="506"/>
      <c r="T26" s="507"/>
      <c r="U26" s="496"/>
      <c r="V26" s="496"/>
      <c r="W26" s="496"/>
      <c r="X26" s="496"/>
      <c r="Y26" s="496"/>
      <c r="Z26" s="496"/>
      <c r="AA26" s="496"/>
      <c r="AB26" s="496"/>
      <c r="AC26" s="496"/>
      <c r="AD26" s="496"/>
      <c r="AE26" s="496"/>
      <c r="AF26" s="496"/>
      <c r="AG26" s="496"/>
      <c r="AH26" s="496"/>
      <c r="AI26" s="496"/>
      <c r="AJ26" s="496"/>
      <c r="AK26" s="496"/>
      <c r="AL26" s="496"/>
      <c r="AM26" s="496"/>
      <c r="AN26" s="496"/>
      <c r="AO26" s="496"/>
      <c r="AP26" s="496"/>
      <c r="AQ26" s="496"/>
      <c r="AR26" s="496"/>
      <c r="AS26" s="496"/>
      <c r="AT26" s="496"/>
      <c r="AU26" s="496"/>
    </row>
    <row r="27" spans="1:47" ht="15.75" thickBot="1" x14ac:dyDescent="0.3">
      <c r="A27" s="496"/>
      <c r="B27" s="505" t="s">
        <v>200</v>
      </c>
      <c r="C27" s="511">
        <v>1</v>
      </c>
      <c r="D27" s="511">
        <v>1</v>
      </c>
      <c r="E27" s="511">
        <v>1</v>
      </c>
      <c r="F27" s="512">
        <v>1</v>
      </c>
      <c r="G27" s="496"/>
      <c r="H27" s="496"/>
      <c r="I27" s="496"/>
      <c r="J27" s="539"/>
      <c r="K27" s="540"/>
      <c r="L27" s="540"/>
      <c r="M27" s="541"/>
      <c r="N27" s="496"/>
      <c r="O27" s="496"/>
      <c r="P27" s="505" t="s">
        <v>200</v>
      </c>
      <c r="Q27" s="511">
        <v>1</v>
      </c>
      <c r="R27" s="511">
        <v>1</v>
      </c>
      <c r="S27" s="511"/>
      <c r="T27" s="512"/>
      <c r="U27" s="496"/>
      <c r="V27" s="496"/>
      <c r="W27" s="496"/>
      <c r="X27" s="496"/>
      <c r="Y27" s="496"/>
      <c r="Z27" s="496"/>
      <c r="AA27" s="496"/>
      <c r="AB27" s="496"/>
      <c r="AC27" s="496"/>
      <c r="AD27" s="496"/>
      <c r="AE27" s="496"/>
      <c r="AF27" s="496"/>
      <c r="AG27" s="496"/>
      <c r="AH27" s="496"/>
      <c r="AI27" s="496"/>
      <c r="AJ27" s="496"/>
      <c r="AK27" s="496"/>
      <c r="AL27" s="496"/>
      <c r="AM27" s="496"/>
      <c r="AN27" s="496"/>
      <c r="AO27" s="496"/>
      <c r="AP27" s="496"/>
      <c r="AQ27" s="496"/>
      <c r="AR27" s="496"/>
      <c r="AS27" s="496"/>
      <c r="AT27" s="496"/>
      <c r="AU27" s="496"/>
    </row>
    <row r="28" spans="1:47" x14ac:dyDescent="0.25">
      <c r="A28" s="496"/>
      <c r="B28" s="496"/>
      <c r="C28" s="496"/>
      <c r="D28" s="496"/>
      <c r="E28" s="496"/>
      <c r="F28" s="496"/>
      <c r="G28" s="496"/>
      <c r="H28" s="496"/>
      <c r="I28" s="496"/>
      <c r="J28" s="539"/>
      <c r="K28" s="540"/>
      <c r="L28" s="540"/>
      <c r="M28" s="541"/>
      <c r="N28" s="496"/>
      <c r="O28" s="496"/>
      <c r="P28" s="496" t="s">
        <v>534</v>
      </c>
      <c r="Q28" s="496"/>
      <c r="R28" s="496"/>
      <c r="S28" s="496"/>
      <c r="T28" s="496"/>
      <c r="U28" s="496"/>
      <c r="V28" s="496"/>
      <c r="W28" s="496"/>
      <c r="X28" s="496"/>
      <c r="Y28" s="496"/>
      <c r="Z28" s="496"/>
      <c r="AA28" s="496"/>
      <c r="AB28" s="496"/>
      <c r="AC28" s="496"/>
      <c r="AD28" s="496"/>
      <c r="AE28" s="496"/>
      <c r="AF28" s="496"/>
      <c r="AG28" s="496"/>
      <c r="AH28" s="496"/>
      <c r="AI28" s="496"/>
      <c r="AJ28" s="496"/>
      <c r="AK28" s="496"/>
      <c r="AL28" s="496"/>
      <c r="AM28" s="496"/>
      <c r="AN28" s="496"/>
      <c r="AO28" s="496"/>
      <c r="AP28" s="496"/>
      <c r="AQ28" s="496"/>
      <c r="AR28" s="496"/>
      <c r="AS28" s="496"/>
      <c r="AT28" s="496"/>
      <c r="AU28" s="496"/>
    </row>
    <row r="29" spans="1:47" x14ac:dyDescent="0.25">
      <c r="A29" s="496"/>
      <c r="B29" s="496"/>
      <c r="C29" s="496"/>
      <c r="D29" s="496"/>
      <c r="E29" s="496"/>
      <c r="F29" s="496"/>
      <c r="G29" s="496"/>
      <c r="H29" s="496"/>
      <c r="I29" s="496"/>
      <c r="J29" s="539"/>
      <c r="K29" s="540"/>
      <c r="L29" s="540"/>
      <c r="M29" s="541"/>
      <c r="N29" s="496"/>
      <c r="O29" s="496"/>
      <c r="P29" s="496"/>
      <c r="Q29" s="496"/>
      <c r="R29" s="496"/>
      <c r="S29" s="496"/>
      <c r="T29" s="496"/>
      <c r="U29" s="496"/>
      <c r="V29" s="496"/>
      <c r="W29" s="496"/>
      <c r="X29" s="496"/>
      <c r="Y29" s="496"/>
      <c r="Z29" s="496"/>
      <c r="AA29" s="496"/>
      <c r="AB29" s="496"/>
      <c r="AC29" s="496"/>
      <c r="AD29" s="496"/>
      <c r="AE29" s="496"/>
      <c r="AF29" s="496"/>
      <c r="AG29" s="496"/>
      <c r="AH29" s="496"/>
      <c r="AI29" s="496"/>
      <c r="AJ29" s="496"/>
      <c r="AK29" s="496"/>
      <c r="AL29" s="496"/>
      <c r="AM29" s="496"/>
      <c r="AN29" s="496"/>
      <c r="AO29" s="496"/>
      <c r="AP29" s="496"/>
      <c r="AQ29" s="496"/>
      <c r="AR29" s="496"/>
      <c r="AS29" s="496"/>
      <c r="AT29" s="496"/>
      <c r="AU29" s="496"/>
    </row>
    <row r="30" spans="1:47" ht="21.75" thickBot="1" x14ac:dyDescent="0.4">
      <c r="A30" s="501" t="s">
        <v>221</v>
      </c>
      <c r="B30" s="501"/>
      <c r="C30" s="496"/>
      <c r="D30" s="496"/>
      <c r="E30" s="496"/>
      <c r="F30" s="496"/>
      <c r="G30" s="496"/>
      <c r="H30" s="496"/>
      <c r="I30" s="496"/>
      <c r="J30" s="539"/>
      <c r="K30" s="540"/>
      <c r="L30" s="540"/>
      <c r="M30" s="541"/>
      <c r="N30" s="496"/>
      <c r="O30" s="501" t="s">
        <v>221</v>
      </c>
      <c r="P30" s="501"/>
      <c r="Q30" s="496"/>
      <c r="R30" s="496"/>
      <c r="S30" s="496"/>
      <c r="T30" s="496"/>
      <c r="U30" s="496"/>
      <c r="V30" s="496"/>
      <c r="W30" s="496"/>
      <c r="X30" s="496"/>
      <c r="Y30" s="496"/>
      <c r="Z30" s="496"/>
      <c r="AA30" s="496"/>
      <c r="AB30" s="496"/>
      <c r="AC30" s="496"/>
      <c r="AD30" s="496"/>
      <c r="AE30" s="496"/>
      <c r="AF30" s="496"/>
      <c r="AG30" s="496"/>
      <c r="AH30" s="496"/>
      <c r="AI30" s="496"/>
      <c r="AJ30" s="496"/>
      <c r="AK30" s="496"/>
      <c r="AL30" s="496"/>
      <c r="AM30" s="496"/>
      <c r="AN30" s="496"/>
      <c r="AO30" s="496"/>
      <c r="AP30" s="496"/>
      <c r="AQ30" s="496"/>
      <c r="AR30" s="496"/>
      <c r="AS30" s="496"/>
      <c r="AT30" s="496"/>
      <c r="AU30" s="496"/>
    </row>
    <row r="31" spans="1:47" ht="15.75" thickBot="1" x14ac:dyDescent="0.3">
      <c r="A31" s="496"/>
      <c r="B31" s="520"/>
      <c r="C31" s="521" t="s">
        <v>222</v>
      </c>
      <c r="D31" s="521" t="s">
        <v>77</v>
      </c>
      <c r="E31" s="521" t="s">
        <v>78</v>
      </c>
      <c r="F31" s="522" t="s">
        <v>79</v>
      </c>
      <c r="G31" s="496"/>
      <c r="H31" s="496"/>
      <c r="I31" s="496"/>
      <c r="J31" s="535" t="s">
        <v>223</v>
      </c>
      <c r="K31" s="540"/>
      <c r="L31" s="540"/>
      <c r="M31" s="541"/>
      <c r="N31" s="496"/>
      <c r="O31" s="496"/>
      <c r="P31" s="520"/>
      <c r="Q31" s="521" t="s">
        <v>222</v>
      </c>
      <c r="R31" s="521" t="s">
        <v>76</v>
      </c>
      <c r="S31" s="521" t="s">
        <v>77</v>
      </c>
      <c r="T31" s="521" t="s">
        <v>78</v>
      </c>
      <c r="U31" s="722" t="s">
        <v>79</v>
      </c>
      <c r="V31" s="496"/>
      <c r="W31" s="496"/>
      <c r="X31" s="496"/>
      <c r="Y31" s="496"/>
      <c r="Z31" s="496"/>
      <c r="AA31" s="496"/>
      <c r="AB31" s="496"/>
      <c r="AC31" s="496"/>
      <c r="AD31" s="496"/>
      <c r="AE31" s="496"/>
      <c r="AF31" s="496"/>
      <c r="AG31" s="496"/>
      <c r="AH31" s="496"/>
      <c r="AI31" s="496"/>
      <c r="AJ31" s="496"/>
      <c r="AK31" s="496"/>
      <c r="AL31" s="496"/>
      <c r="AM31" s="496"/>
      <c r="AN31" s="496"/>
      <c r="AO31" s="496"/>
      <c r="AP31" s="496"/>
      <c r="AQ31" s="496"/>
      <c r="AR31" s="496"/>
      <c r="AS31" s="496"/>
      <c r="AT31" s="496"/>
      <c r="AU31" s="496"/>
    </row>
    <row r="32" spans="1:47" ht="15.75" thickBot="1" x14ac:dyDescent="0.3">
      <c r="A32" s="496"/>
      <c r="B32" s="503" t="s">
        <v>224</v>
      </c>
      <c r="C32" s="523">
        <v>0.6</v>
      </c>
      <c r="D32" s="523">
        <v>0</v>
      </c>
      <c r="E32" s="523">
        <v>0</v>
      </c>
      <c r="F32" s="524">
        <v>0</v>
      </c>
      <c r="G32" s="496"/>
      <c r="H32" s="496"/>
      <c r="I32" s="496"/>
      <c r="J32" s="535" t="s">
        <v>225</v>
      </c>
      <c r="K32" s="540"/>
      <c r="L32" s="540"/>
      <c r="M32" s="541"/>
      <c r="N32" s="496"/>
      <c r="O32" s="496"/>
      <c r="P32" s="503" t="s">
        <v>224</v>
      </c>
      <c r="Q32" s="523">
        <v>0.6</v>
      </c>
      <c r="R32" s="523">
        <v>0</v>
      </c>
      <c r="S32" s="523">
        <v>0</v>
      </c>
      <c r="T32" s="523">
        <v>0</v>
      </c>
      <c r="U32" s="704">
        <v>0</v>
      </c>
      <c r="V32" s="496"/>
      <c r="W32" s="496"/>
      <c r="X32" s="496"/>
      <c r="Y32" s="496"/>
      <c r="Z32" s="496"/>
      <c r="AA32" s="496"/>
      <c r="AB32" s="496"/>
      <c r="AC32" s="496"/>
      <c r="AD32" s="496"/>
      <c r="AE32" s="496"/>
      <c r="AF32" s="496"/>
      <c r="AG32" s="496"/>
      <c r="AH32" s="496"/>
      <c r="AI32" s="496"/>
      <c r="AJ32" s="496"/>
      <c r="AK32" s="496"/>
      <c r="AL32" s="496"/>
      <c r="AM32" s="496"/>
      <c r="AN32" s="496"/>
      <c r="AO32" s="496"/>
      <c r="AP32" s="496"/>
      <c r="AQ32" s="496"/>
      <c r="AR32" s="496"/>
      <c r="AS32" s="496"/>
      <c r="AT32" s="496"/>
      <c r="AU32" s="496"/>
    </row>
    <row r="33" spans="1:47" ht="15.75" thickBot="1" x14ac:dyDescent="0.3">
      <c r="A33" s="496"/>
      <c r="B33" s="503" t="s">
        <v>226</v>
      </c>
      <c r="C33" s="523">
        <v>0.4</v>
      </c>
      <c r="D33" s="523">
        <v>1</v>
      </c>
      <c r="E33" s="523">
        <v>1</v>
      </c>
      <c r="F33" s="524">
        <v>1</v>
      </c>
      <c r="G33" s="496"/>
      <c r="H33" s="496"/>
      <c r="I33" s="496"/>
      <c r="J33" s="535" t="s">
        <v>227</v>
      </c>
      <c r="K33" s="540"/>
      <c r="L33" s="540"/>
      <c r="M33" s="541"/>
      <c r="N33" s="496"/>
      <c r="O33" s="496"/>
      <c r="P33" s="503" t="s">
        <v>226</v>
      </c>
      <c r="Q33" s="523">
        <v>0.4</v>
      </c>
      <c r="R33" s="523">
        <v>1</v>
      </c>
      <c r="S33" s="523">
        <v>1</v>
      </c>
      <c r="T33" s="523">
        <v>1</v>
      </c>
      <c r="U33" s="704">
        <v>1</v>
      </c>
      <c r="V33" s="496"/>
      <c r="W33" s="496"/>
      <c r="X33" s="496"/>
      <c r="Y33" s="496"/>
      <c r="Z33" s="496"/>
      <c r="AA33" s="496"/>
      <c r="AB33" s="496"/>
      <c r="AC33" s="496"/>
      <c r="AD33" s="496"/>
      <c r="AE33" s="496"/>
      <c r="AF33" s="496"/>
      <c r="AG33" s="496"/>
      <c r="AH33" s="496"/>
      <c r="AI33" s="496"/>
      <c r="AJ33" s="496"/>
      <c r="AK33" s="496"/>
      <c r="AL33" s="496"/>
      <c r="AM33" s="496"/>
      <c r="AN33" s="496"/>
      <c r="AO33" s="496"/>
      <c r="AP33" s="496"/>
      <c r="AQ33" s="496"/>
      <c r="AR33" s="496"/>
      <c r="AS33" s="496"/>
      <c r="AT33" s="496"/>
      <c r="AU33" s="496"/>
    </row>
    <row r="34" spans="1:47" ht="15.75" thickBot="1" x14ac:dyDescent="0.3">
      <c r="A34" s="496"/>
      <c r="B34" s="503" t="s">
        <v>228</v>
      </c>
      <c r="C34" s="523">
        <v>0</v>
      </c>
      <c r="D34" s="523">
        <v>0</v>
      </c>
      <c r="E34" s="523">
        <v>0</v>
      </c>
      <c r="F34" s="524">
        <v>0</v>
      </c>
      <c r="G34" s="496"/>
      <c r="H34" s="496"/>
      <c r="I34" s="496"/>
      <c r="J34" s="535" t="s">
        <v>229</v>
      </c>
      <c r="K34" s="540"/>
      <c r="L34" s="540"/>
      <c r="M34" s="541"/>
      <c r="N34" s="496"/>
      <c r="O34" s="496"/>
      <c r="P34" s="503" t="s">
        <v>228</v>
      </c>
      <c r="Q34" s="523">
        <v>0</v>
      </c>
      <c r="R34" s="523">
        <v>0</v>
      </c>
      <c r="S34" s="523">
        <v>0</v>
      </c>
      <c r="T34" s="523">
        <v>0</v>
      </c>
      <c r="U34" s="704">
        <v>0</v>
      </c>
      <c r="V34" s="496"/>
      <c r="W34" s="496"/>
      <c r="X34" s="496"/>
      <c r="Y34" s="496"/>
      <c r="Z34" s="496"/>
      <c r="AA34" s="496"/>
      <c r="AB34" s="496"/>
      <c r="AC34" s="496"/>
      <c r="AD34" s="496"/>
      <c r="AE34" s="496"/>
      <c r="AF34" s="496"/>
      <c r="AG34" s="496"/>
      <c r="AH34" s="496"/>
      <c r="AI34" s="496"/>
      <c r="AJ34" s="496"/>
      <c r="AK34" s="496"/>
      <c r="AL34" s="496"/>
      <c r="AM34" s="496"/>
      <c r="AN34" s="496"/>
      <c r="AO34" s="496"/>
      <c r="AP34" s="496"/>
      <c r="AQ34" s="496"/>
      <c r="AR34" s="496"/>
      <c r="AS34" s="496"/>
      <c r="AT34" s="496"/>
      <c r="AU34" s="496"/>
    </row>
    <row r="35" spans="1:47" x14ac:dyDescent="0.25">
      <c r="A35" s="496"/>
      <c r="B35" s="496"/>
      <c r="C35" s="496"/>
      <c r="D35" s="496"/>
      <c r="E35" s="496"/>
      <c r="F35" s="496"/>
      <c r="G35" s="496"/>
      <c r="H35" s="496"/>
      <c r="I35" s="496"/>
      <c r="J35" s="535" t="s">
        <v>230</v>
      </c>
      <c r="K35" s="540"/>
      <c r="L35" s="540"/>
      <c r="M35" s="541"/>
      <c r="N35" s="496"/>
      <c r="O35" s="496"/>
      <c r="P35" s="496" t="s">
        <v>529</v>
      </c>
      <c r="Q35" s="496"/>
      <c r="R35" s="496"/>
      <c r="S35" s="496"/>
      <c r="T35" s="496"/>
      <c r="U35" s="496"/>
      <c r="V35" s="496"/>
      <c r="W35" s="496"/>
      <c r="X35" s="496"/>
      <c r="Y35" s="496"/>
      <c r="Z35" s="496"/>
      <c r="AA35" s="496"/>
      <c r="AB35" s="496"/>
      <c r="AC35" s="496"/>
      <c r="AD35" s="496"/>
      <c r="AE35" s="496"/>
      <c r="AF35" s="496"/>
      <c r="AG35" s="496"/>
      <c r="AH35" s="496"/>
      <c r="AI35" s="496"/>
      <c r="AJ35" s="496"/>
      <c r="AK35" s="496"/>
      <c r="AL35" s="496"/>
      <c r="AM35" s="496"/>
      <c r="AN35" s="496"/>
      <c r="AO35" s="496"/>
      <c r="AP35" s="496"/>
      <c r="AQ35" s="496"/>
      <c r="AR35" s="496"/>
      <c r="AS35" s="496"/>
      <c r="AT35" s="496"/>
      <c r="AU35" s="496"/>
    </row>
    <row r="36" spans="1:47" x14ac:dyDescent="0.25">
      <c r="A36" s="496"/>
      <c r="B36" s="496"/>
      <c r="C36" s="496"/>
      <c r="D36" s="496"/>
      <c r="E36" s="496"/>
      <c r="F36" s="496"/>
      <c r="G36" s="496"/>
      <c r="H36" s="496"/>
      <c r="I36" s="496"/>
      <c r="J36" s="535"/>
      <c r="K36" s="540"/>
      <c r="L36" s="540"/>
      <c r="M36" s="541"/>
      <c r="N36" s="496"/>
      <c r="O36" s="496"/>
      <c r="P36" s="496"/>
      <c r="Q36" s="496"/>
      <c r="R36" s="496"/>
      <c r="S36" s="496"/>
      <c r="T36" s="496"/>
      <c r="U36" s="496"/>
      <c r="V36" s="496"/>
      <c r="W36" s="496"/>
      <c r="X36" s="496"/>
      <c r="Y36" s="496"/>
      <c r="Z36" s="496"/>
      <c r="AA36" s="496"/>
      <c r="AB36" s="496"/>
      <c r="AC36" s="496"/>
      <c r="AD36" s="496"/>
      <c r="AE36" s="496"/>
      <c r="AF36" s="496"/>
      <c r="AG36" s="496"/>
      <c r="AH36" s="496"/>
      <c r="AI36" s="496"/>
      <c r="AJ36" s="496"/>
      <c r="AK36" s="496"/>
      <c r="AL36" s="496"/>
      <c r="AM36" s="496"/>
      <c r="AN36" s="496"/>
      <c r="AO36" s="496"/>
      <c r="AP36" s="496"/>
      <c r="AQ36" s="496"/>
      <c r="AR36" s="496"/>
      <c r="AS36" s="496"/>
      <c r="AT36" s="496"/>
      <c r="AU36" s="496"/>
    </row>
    <row r="37" spans="1:47" ht="21" x14ac:dyDescent="0.35">
      <c r="A37" s="499" t="s">
        <v>231</v>
      </c>
      <c r="B37" s="500"/>
      <c r="C37" s="500"/>
      <c r="D37" s="500"/>
      <c r="E37" s="500"/>
      <c r="F37" s="500"/>
      <c r="G37" s="500"/>
      <c r="H37" s="496"/>
      <c r="I37" s="496"/>
      <c r="J37" s="535" t="s">
        <v>232</v>
      </c>
      <c r="K37" s="540"/>
      <c r="L37" s="540"/>
      <c r="M37" s="541"/>
      <c r="N37" s="496"/>
      <c r="O37" s="499" t="s">
        <v>231</v>
      </c>
      <c r="P37" s="500"/>
      <c r="Q37" s="500"/>
      <c r="R37" s="500"/>
      <c r="S37" s="500"/>
      <c r="T37" s="500"/>
      <c r="U37" s="500"/>
      <c r="V37" s="496"/>
      <c r="W37" s="496"/>
      <c r="X37" s="499" t="s">
        <v>231</v>
      </c>
      <c r="Y37" s="500"/>
      <c r="Z37" s="500"/>
      <c r="AA37" s="500"/>
      <c r="AB37" s="500"/>
      <c r="AC37" s="500"/>
      <c r="AD37" s="500"/>
      <c r="AE37" s="496"/>
      <c r="AF37" s="496"/>
      <c r="AG37" s="496"/>
      <c r="AH37" s="496"/>
      <c r="AI37" s="496"/>
      <c r="AJ37" s="496"/>
      <c r="AK37" s="496"/>
      <c r="AL37" s="496"/>
      <c r="AM37" s="496"/>
      <c r="AN37" s="496"/>
      <c r="AO37" s="496"/>
      <c r="AP37" s="496"/>
      <c r="AQ37" s="496"/>
      <c r="AR37" s="496"/>
      <c r="AS37" s="496"/>
      <c r="AT37" s="496"/>
      <c r="AU37" s="496"/>
    </row>
    <row r="38" spans="1:47" x14ac:dyDescent="0.25">
      <c r="A38" s="496"/>
      <c r="B38" s="496"/>
      <c r="C38" s="496"/>
      <c r="D38" s="496"/>
      <c r="E38" s="496"/>
      <c r="F38" s="496"/>
      <c r="G38" s="496"/>
      <c r="H38" s="496"/>
      <c r="I38" s="496"/>
      <c r="J38" s="535" t="s">
        <v>233</v>
      </c>
      <c r="K38" s="540"/>
      <c r="L38" s="540"/>
      <c r="M38" s="541"/>
      <c r="N38" s="496"/>
      <c r="O38" s="496"/>
      <c r="P38" s="496"/>
      <c r="Q38" s="496"/>
      <c r="R38" s="496"/>
      <c r="S38" s="496"/>
      <c r="T38" s="496"/>
      <c r="U38" s="496"/>
      <c r="V38" s="496"/>
      <c r="W38" s="496"/>
      <c r="X38" s="496"/>
      <c r="Y38" s="496"/>
      <c r="Z38" s="496"/>
      <c r="AA38" s="496"/>
      <c r="AB38" s="496"/>
      <c r="AC38" s="496"/>
      <c r="AD38" s="496"/>
      <c r="AE38" s="496"/>
      <c r="AF38" s="496"/>
      <c r="AG38" s="496"/>
      <c r="AH38" s="496"/>
      <c r="AI38" s="496"/>
      <c r="AJ38" s="496"/>
      <c r="AK38" s="496"/>
      <c r="AL38" s="496"/>
      <c r="AM38" s="496"/>
      <c r="AN38" s="496"/>
      <c r="AO38" s="496"/>
      <c r="AP38" s="496"/>
      <c r="AQ38" s="496"/>
      <c r="AR38" s="496"/>
      <c r="AS38" s="496"/>
      <c r="AT38" s="496"/>
      <c r="AU38" s="496"/>
    </row>
    <row r="39" spans="1:47" ht="21" x14ac:dyDescent="0.35">
      <c r="A39" s="501" t="s">
        <v>234</v>
      </c>
      <c r="B39" s="500"/>
      <c r="C39" s="500"/>
      <c r="D39" s="500"/>
      <c r="E39" s="500"/>
      <c r="F39" s="500"/>
      <c r="G39" s="500"/>
      <c r="H39" s="496"/>
      <c r="I39" s="496"/>
      <c r="J39" s="535" t="s">
        <v>235</v>
      </c>
      <c r="K39" s="540"/>
      <c r="L39" s="540"/>
      <c r="M39" s="541"/>
      <c r="N39" s="496"/>
      <c r="O39" s="501" t="s">
        <v>234</v>
      </c>
      <c r="P39" s="500"/>
      <c r="Q39" s="500"/>
      <c r="R39" s="500"/>
      <c r="S39" s="500"/>
      <c r="T39" s="500"/>
      <c r="U39" s="500"/>
      <c r="V39" s="496"/>
      <c r="W39" s="496"/>
      <c r="X39" s="501" t="s">
        <v>234</v>
      </c>
      <c r="Y39" s="500"/>
      <c r="Z39" s="500"/>
      <c r="AA39" s="500"/>
      <c r="AB39" s="500"/>
      <c r="AC39" s="500"/>
      <c r="AD39" s="500"/>
      <c r="AE39" s="496"/>
      <c r="AF39" s="496"/>
      <c r="AG39" s="496"/>
      <c r="AH39" s="496"/>
      <c r="AI39" s="496"/>
      <c r="AJ39" s="496"/>
      <c r="AK39" s="496"/>
      <c r="AL39" s="496"/>
      <c r="AM39" s="496"/>
      <c r="AN39" s="496"/>
      <c r="AO39" s="496"/>
      <c r="AP39" s="496"/>
      <c r="AQ39" s="496"/>
      <c r="AR39" s="496"/>
      <c r="AS39" s="496"/>
      <c r="AT39" s="496"/>
      <c r="AU39" s="496"/>
    </row>
    <row r="40" spans="1:47" x14ac:dyDescent="0.25">
      <c r="A40" s="496"/>
      <c r="B40" s="496"/>
      <c r="C40" s="496"/>
      <c r="D40" s="496"/>
      <c r="E40" s="496"/>
      <c r="F40" s="496"/>
      <c r="G40" s="496"/>
      <c r="H40" s="496"/>
      <c r="I40" s="496"/>
      <c r="J40" s="535" t="s">
        <v>236</v>
      </c>
      <c r="K40" s="540"/>
      <c r="L40" s="540"/>
      <c r="M40" s="541"/>
      <c r="N40" s="496"/>
      <c r="O40" s="496"/>
      <c r="P40" s="496"/>
      <c r="Q40" s="496"/>
      <c r="R40" s="496"/>
      <c r="S40" s="496"/>
      <c r="T40" s="496"/>
      <c r="U40" s="496"/>
      <c r="V40" s="496"/>
      <c r="W40" s="496"/>
      <c r="X40" s="496"/>
      <c r="Y40" s="496"/>
      <c r="Z40" s="496"/>
      <c r="AA40" s="496"/>
      <c r="AB40" s="496"/>
      <c r="AC40" s="496"/>
      <c r="AD40" s="496"/>
      <c r="AE40" s="496"/>
      <c r="AF40" s="496"/>
      <c r="AG40" s="496"/>
      <c r="AH40" s="496"/>
      <c r="AI40" s="496"/>
      <c r="AJ40" s="496"/>
      <c r="AK40" s="496"/>
      <c r="AL40" s="496"/>
      <c r="AM40" s="496"/>
      <c r="AN40" s="496"/>
      <c r="AO40" s="496"/>
      <c r="AP40" s="496"/>
      <c r="AQ40" s="496"/>
      <c r="AR40" s="496"/>
      <c r="AS40" s="496"/>
      <c r="AT40" s="496"/>
      <c r="AU40" s="496"/>
    </row>
    <row r="41" spans="1:47" ht="21" x14ac:dyDescent="0.35">
      <c r="A41" s="496"/>
      <c r="B41" s="501" t="s">
        <v>237</v>
      </c>
      <c r="C41" s="501"/>
      <c r="D41" s="501"/>
      <c r="E41" s="501"/>
      <c r="F41" s="501"/>
      <c r="G41" s="501"/>
      <c r="H41" s="496"/>
      <c r="I41" s="496"/>
      <c r="J41" s="535" t="s">
        <v>238</v>
      </c>
      <c r="K41" s="540"/>
      <c r="L41" s="540"/>
      <c r="M41" s="541"/>
      <c r="N41" s="496"/>
      <c r="O41" s="496"/>
      <c r="P41" s="501" t="s">
        <v>237</v>
      </c>
      <c r="Q41" s="501"/>
      <c r="R41" s="501"/>
      <c r="S41" s="501"/>
      <c r="T41" s="501"/>
      <c r="U41" s="501"/>
      <c r="V41" s="496"/>
      <c r="W41" s="496"/>
      <c r="X41" s="496"/>
      <c r="Y41" s="501" t="s">
        <v>237</v>
      </c>
      <c r="Z41" s="501"/>
      <c r="AA41" s="501"/>
      <c r="AB41" s="501"/>
      <c r="AC41" s="501"/>
      <c r="AD41" s="501"/>
      <c r="AE41" s="496"/>
      <c r="AF41" s="496"/>
      <c r="AG41" s="496"/>
      <c r="AH41" s="496"/>
      <c r="AI41" s="496"/>
      <c r="AJ41" s="496"/>
      <c r="AK41" s="496"/>
      <c r="AL41" s="496"/>
      <c r="AM41" s="496"/>
      <c r="AN41" s="496"/>
      <c r="AO41" s="496"/>
      <c r="AP41" s="496"/>
      <c r="AQ41" s="496"/>
      <c r="AR41" s="496"/>
      <c r="AS41" s="496"/>
      <c r="AT41" s="496"/>
      <c r="AU41" s="496"/>
    </row>
    <row r="42" spans="1:47" x14ac:dyDescent="0.25">
      <c r="A42" s="536" t="s">
        <v>239</v>
      </c>
      <c r="B42" s="496"/>
      <c r="C42" s="496"/>
      <c r="D42" s="496"/>
      <c r="E42" s="496"/>
      <c r="F42" s="496"/>
      <c r="G42" s="496"/>
      <c r="H42" s="496"/>
      <c r="I42" s="496"/>
      <c r="J42" s="535" t="s">
        <v>240</v>
      </c>
      <c r="K42" s="540"/>
      <c r="L42" s="540"/>
      <c r="M42" s="541"/>
      <c r="N42" s="496"/>
      <c r="O42" s="496"/>
      <c r="P42" s="496"/>
      <c r="Q42" s="496"/>
      <c r="R42" s="496"/>
      <c r="S42" s="496"/>
      <c r="T42" s="496"/>
      <c r="U42" s="496"/>
      <c r="V42" s="496"/>
      <c r="W42" s="496"/>
      <c r="X42" s="496"/>
      <c r="Y42" s="496"/>
      <c r="Z42" s="496"/>
      <c r="AA42" s="496"/>
      <c r="AB42" s="496"/>
      <c r="AC42" s="496"/>
      <c r="AD42" s="496"/>
      <c r="AE42" s="496"/>
      <c r="AF42" s="496"/>
      <c r="AG42" s="496"/>
      <c r="AH42" s="496"/>
      <c r="AI42" s="496"/>
      <c r="AJ42" s="496"/>
      <c r="AK42" s="496"/>
      <c r="AL42" s="496"/>
      <c r="AM42" s="496"/>
      <c r="AN42" s="496"/>
      <c r="AO42" s="496"/>
      <c r="AP42" s="496"/>
      <c r="AQ42" s="496"/>
      <c r="AR42" s="496"/>
      <c r="AS42" s="496"/>
      <c r="AT42" s="496"/>
      <c r="AU42" s="496"/>
    </row>
    <row r="43" spans="1:47" x14ac:dyDescent="0.25">
      <c r="A43" s="496"/>
      <c r="B43" s="496"/>
      <c r="C43" s="571">
        <v>2010</v>
      </c>
      <c r="D43" s="572">
        <v>2015</v>
      </c>
      <c r="E43" s="572">
        <v>2020</v>
      </c>
      <c r="F43" s="572">
        <v>2025</v>
      </c>
      <c r="G43" s="572">
        <v>2030</v>
      </c>
      <c r="H43" s="573">
        <v>2035</v>
      </c>
      <c r="I43" s="565"/>
      <c r="J43" s="539"/>
      <c r="K43" s="540"/>
      <c r="L43" s="540"/>
      <c r="M43" s="541"/>
      <c r="N43" s="496"/>
      <c r="O43" s="496"/>
      <c r="P43" s="496"/>
      <c r="Q43" s="571">
        <v>2010</v>
      </c>
      <c r="R43" s="572">
        <v>2015</v>
      </c>
      <c r="S43" s="572">
        <v>2020</v>
      </c>
      <c r="T43" s="572">
        <v>2025</v>
      </c>
      <c r="U43" s="572">
        <v>2030</v>
      </c>
      <c r="V43" s="573">
        <v>2035</v>
      </c>
      <c r="W43" s="496"/>
      <c r="X43" s="496"/>
      <c r="Y43" s="496"/>
      <c r="Z43" s="571">
        <v>2010</v>
      </c>
      <c r="AA43" s="572">
        <v>2015</v>
      </c>
      <c r="AB43" s="572">
        <v>2020</v>
      </c>
      <c r="AC43" s="572">
        <v>2025</v>
      </c>
      <c r="AD43" s="572">
        <v>2030</v>
      </c>
      <c r="AE43" s="573">
        <v>2035</v>
      </c>
      <c r="AF43" s="496"/>
      <c r="AG43" s="496"/>
      <c r="AH43" s="496"/>
      <c r="AI43" s="496"/>
      <c r="AJ43" s="496"/>
      <c r="AK43" s="496"/>
      <c r="AL43" s="496"/>
      <c r="AM43" s="496"/>
      <c r="AN43" s="496"/>
      <c r="AO43" s="496"/>
      <c r="AP43" s="496"/>
      <c r="AQ43" s="496"/>
      <c r="AR43" s="496"/>
      <c r="AS43" s="496"/>
      <c r="AT43" s="496"/>
      <c r="AU43" s="496"/>
    </row>
    <row r="44" spans="1:47" ht="30" x14ac:dyDescent="0.25">
      <c r="A44" s="596" t="s">
        <v>241</v>
      </c>
      <c r="B44" s="597" t="s">
        <v>242</v>
      </c>
      <c r="C44" s="574">
        <v>1</v>
      </c>
      <c r="D44" s="582">
        <v>0.88620433824489542</v>
      </c>
      <c r="E44" s="582">
        <v>0.81313900080590107</v>
      </c>
      <c r="F44" s="582"/>
      <c r="G44" s="582">
        <v>0.66322825252305118</v>
      </c>
      <c r="H44" s="582">
        <v>0.57165106738809179</v>
      </c>
      <c r="I44" s="537"/>
      <c r="O44" s="596" t="s">
        <v>241</v>
      </c>
      <c r="P44" s="597" t="s">
        <v>242</v>
      </c>
      <c r="Q44" s="574">
        <v>1</v>
      </c>
      <c r="R44" s="575">
        <f>D44*(1+AA44)</f>
        <v>0.89098051337721174</v>
      </c>
      <c r="S44" s="575">
        <f t="shared" ref="S44:V49" si="0">E44*(1+AB44)</f>
        <v>0.79828839003694474</v>
      </c>
      <c r="T44" s="575"/>
      <c r="U44" s="575">
        <f t="shared" si="0"/>
        <v>0.64022563529114895</v>
      </c>
      <c r="V44" s="575">
        <f t="shared" si="0"/>
        <v>0.54462419552621266</v>
      </c>
      <c r="X44" s="596" t="s">
        <v>241</v>
      </c>
      <c r="Y44" s="597" t="s">
        <v>242</v>
      </c>
      <c r="Z44" s="586">
        <v>0</v>
      </c>
      <c r="AA44" s="586">
        <v>5.3894738788746732E-3</v>
      </c>
      <c r="AB44" s="586">
        <v>-1.8263311382479386E-2</v>
      </c>
      <c r="AC44" s="586">
        <v>-2.2750479931956002E-2</v>
      </c>
      <c r="AD44" s="586">
        <v>-3.4682806627123863E-2</v>
      </c>
      <c r="AE44" s="586">
        <v>-4.7278616981100918E-2</v>
      </c>
      <c r="AF44" s="496"/>
      <c r="AG44" s="496"/>
      <c r="AH44" s="496"/>
      <c r="AI44" s="496"/>
      <c r="AJ44" s="496"/>
      <c r="AK44" s="496"/>
      <c r="AL44" s="496"/>
      <c r="AM44" s="496"/>
      <c r="AN44" s="496"/>
      <c r="AO44" s="496"/>
      <c r="AP44" s="496"/>
      <c r="AQ44" s="496"/>
      <c r="AR44" s="496"/>
      <c r="AS44" s="496"/>
      <c r="AT44" s="496"/>
      <c r="AU44" s="496"/>
    </row>
    <row r="45" spans="1:47" ht="30" x14ac:dyDescent="0.25">
      <c r="A45" s="596" t="s">
        <v>243</v>
      </c>
      <c r="B45" s="597" t="s">
        <v>242</v>
      </c>
      <c r="C45" s="574">
        <v>1</v>
      </c>
      <c r="D45" s="582">
        <v>0.98668583944450849</v>
      </c>
      <c r="E45" s="582">
        <v>0.92049429837119656</v>
      </c>
      <c r="F45" s="582"/>
      <c r="G45" s="582">
        <v>0.83834458156090019</v>
      </c>
      <c r="H45" s="582">
        <v>0.80245279988868135</v>
      </c>
      <c r="I45" s="537"/>
      <c r="O45" s="596" t="s">
        <v>243</v>
      </c>
      <c r="P45" s="597" t="s">
        <v>242</v>
      </c>
      <c r="Q45" s="574">
        <v>1</v>
      </c>
      <c r="R45" s="575">
        <f t="shared" ref="R45:R49" si="1">D45*(1+AA45)</f>
        <v>0.98805884399139399</v>
      </c>
      <c r="S45" s="575">
        <f t="shared" si="0"/>
        <v>0.90320850275385989</v>
      </c>
      <c r="T45" s="575"/>
      <c r="U45" s="575">
        <f t="shared" si="0"/>
        <v>0.81208246142772034</v>
      </c>
      <c r="V45" s="575">
        <f t="shared" si="0"/>
        <v>0.76986440447095239</v>
      </c>
      <c r="X45" s="596" t="s">
        <v>243</v>
      </c>
      <c r="Y45" s="597" t="s">
        <v>242</v>
      </c>
      <c r="Z45" s="586">
        <v>0</v>
      </c>
      <c r="AA45" s="586">
        <v>1.3915316223231944E-3</v>
      </c>
      <c r="AB45" s="586">
        <v>-1.8778818780218032E-2</v>
      </c>
      <c r="AC45" s="586">
        <v>-2.2707742010895204E-2</v>
      </c>
      <c r="AD45" s="586">
        <v>-3.1326164337202256E-2</v>
      </c>
      <c r="AE45" s="586">
        <v>-4.0610981010035352E-2</v>
      </c>
      <c r="AF45" s="496"/>
      <c r="AG45" s="496"/>
      <c r="AH45" s="496"/>
      <c r="AI45" s="496"/>
      <c r="AJ45" s="496"/>
      <c r="AK45" s="496"/>
      <c r="AL45" s="496"/>
      <c r="AM45" s="496"/>
      <c r="AN45" s="496"/>
      <c r="AO45" s="496"/>
      <c r="AP45" s="496"/>
      <c r="AQ45" s="496"/>
      <c r="AR45" s="496"/>
      <c r="AS45" s="496"/>
      <c r="AT45" s="496"/>
      <c r="AU45" s="496"/>
    </row>
    <row r="46" spans="1:47" ht="30" x14ac:dyDescent="0.25">
      <c r="A46" s="596" t="s">
        <v>244</v>
      </c>
      <c r="B46" s="597" t="s">
        <v>242</v>
      </c>
      <c r="C46" s="574">
        <v>1</v>
      </c>
      <c r="D46" s="582">
        <v>0.9881960678995515</v>
      </c>
      <c r="E46" s="582">
        <v>0.92860614049029411</v>
      </c>
      <c r="F46" s="582"/>
      <c r="G46" s="582">
        <v>0.81427343237891414</v>
      </c>
      <c r="H46" s="582">
        <v>0.77045158886102993</v>
      </c>
      <c r="I46" s="537"/>
      <c r="O46" s="596" t="s">
        <v>244</v>
      </c>
      <c r="P46" s="597" t="s">
        <v>242</v>
      </c>
      <c r="Q46" s="574">
        <v>1</v>
      </c>
      <c r="R46" s="575">
        <f t="shared" si="1"/>
        <v>0.99058117611488372</v>
      </c>
      <c r="S46" s="575">
        <f t="shared" si="0"/>
        <v>0.82422794895833951</v>
      </c>
      <c r="T46" s="575"/>
      <c r="U46" s="575">
        <f t="shared" si="0"/>
        <v>0.67309904320705016</v>
      </c>
      <c r="V46" s="575">
        <f t="shared" si="0"/>
        <v>0.60491764185584096</v>
      </c>
      <c r="X46" s="596" t="s">
        <v>244</v>
      </c>
      <c r="Y46" s="597" t="s">
        <v>242</v>
      </c>
      <c r="Z46" s="586">
        <v>0</v>
      </c>
      <c r="AA46" s="586">
        <v>2.4135981641799642E-3</v>
      </c>
      <c r="AB46" s="586">
        <v>-0.11240308132880106</v>
      </c>
      <c r="AC46" s="586">
        <v>-0.13742744715765587</v>
      </c>
      <c r="AD46" s="586">
        <v>-0.1733746718954351</v>
      </c>
      <c r="AE46" s="586">
        <v>-0.21485314508845432</v>
      </c>
      <c r="AF46" s="496"/>
      <c r="AG46" s="496"/>
      <c r="AH46" s="496"/>
      <c r="AI46" s="496"/>
      <c r="AJ46" s="496"/>
      <c r="AK46" s="496"/>
      <c r="AL46" s="496"/>
      <c r="AM46" s="496"/>
      <c r="AN46" s="496"/>
      <c r="AO46" s="496"/>
      <c r="AP46" s="496"/>
      <c r="AQ46" s="496"/>
      <c r="AR46" s="496"/>
      <c r="AS46" s="496"/>
      <c r="AT46" s="496"/>
      <c r="AU46" s="496"/>
    </row>
    <row r="47" spans="1:47" ht="30" x14ac:dyDescent="0.25">
      <c r="A47" s="596" t="s">
        <v>245</v>
      </c>
      <c r="B47" s="597" t="s">
        <v>242</v>
      </c>
      <c r="C47" s="574">
        <v>1</v>
      </c>
      <c r="D47" s="582">
        <v>0.98960802184469776</v>
      </c>
      <c r="E47" s="582">
        <v>0.93732344555618841</v>
      </c>
      <c r="F47" s="582"/>
      <c r="G47" s="582">
        <v>0.8348601851837113</v>
      </c>
      <c r="H47" s="582">
        <v>0.79284051728163518</v>
      </c>
      <c r="I47" s="537"/>
      <c r="O47" s="596" t="s">
        <v>245</v>
      </c>
      <c r="P47" s="597" t="s">
        <v>242</v>
      </c>
      <c r="Q47" s="574">
        <v>1</v>
      </c>
      <c r="R47" s="575">
        <f t="shared" si="1"/>
        <v>0.9899797237651905</v>
      </c>
      <c r="S47" s="575">
        <f t="shared" si="0"/>
        <v>0.78149837109556253</v>
      </c>
      <c r="T47" s="575"/>
      <c r="U47" s="575">
        <f t="shared" si="0"/>
        <v>0.65108754232754396</v>
      </c>
      <c r="V47" s="575">
        <f t="shared" si="0"/>
        <v>0.5954091587601662</v>
      </c>
      <c r="X47" s="596" t="s">
        <v>245</v>
      </c>
      <c r="Y47" s="597" t="s">
        <v>242</v>
      </c>
      <c r="Z47" s="586">
        <v>0</v>
      </c>
      <c r="AA47" s="586">
        <v>3.7560520154222843E-4</v>
      </c>
      <c r="AB47" s="586">
        <v>-0.16624472075182384</v>
      </c>
      <c r="AC47" s="586">
        <v>-0.1920776256785004</v>
      </c>
      <c r="AD47" s="586">
        <v>-0.22012385560790404</v>
      </c>
      <c r="AE47" s="586">
        <v>-0.24901774596281989</v>
      </c>
      <c r="AF47" s="496"/>
      <c r="AG47" s="496"/>
      <c r="AH47" s="496"/>
      <c r="AI47" s="496"/>
      <c r="AJ47" s="496"/>
      <c r="AK47" s="496"/>
      <c r="AL47" s="496"/>
      <c r="AM47" s="496"/>
      <c r="AN47" s="496"/>
      <c r="AO47" s="496"/>
      <c r="AP47" s="496"/>
      <c r="AQ47" s="496"/>
      <c r="AR47" s="496"/>
      <c r="AS47" s="496"/>
      <c r="AT47" s="496"/>
      <c r="AU47" s="496"/>
    </row>
    <row r="48" spans="1:47" ht="30" x14ac:dyDescent="0.25">
      <c r="A48" s="596" t="s">
        <v>246</v>
      </c>
      <c r="B48" s="597" t="s">
        <v>242</v>
      </c>
      <c r="C48" s="574">
        <v>1</v>
      </c>
      <c r="D48" s="582">
        <v>0.99307250387511792</v>
      </c>
      <c r="E48" s="582">
        <v>0.95344030475520469</v>
      </c>
      <c r="F48" s="582"/>
      <c r="G48" s="582">
        <v>0.90095158854284674</v>
      </c>
      <c r="H48" s="582">
        <v>0.89867886294466526</v>
      </c>
      <c r="I48" s="537"/>
      <c r="O48" s="596" t="s">
        <v>246</v>
      </c>
      <c r="P48" s="597" t="s">
        <v>242</v>
      </c>
      <c r="Q48" s="574">
        <v>1</v>
      </c>
      <c r="R48" s="575">
        <f t="shared" si="1"/>
        <v>0.99277259726519762</v>
      </c>
      <c r="S48" s="575">
        <f t="shared" si="0"/>
        <v>0.83328436040769538</v>
      </c>
      <c r="T48" s="575"/>
      <c r="U48" s="575">
        <f t="shared" si="0"/>
        <v>0.72594633052310598</v>
      </c>
      <c r="V48" s="575">
        <f t="shared" si="0"/>
        <v>0.68694814637385859</v>
      </c>
      <c r="X48" s="596" t="s">
        <v>246</v>
      </c>
      <c r="Y48" s="597" t="s">
        <v>242</v>
      </c>
      <c r="Z48" s="586">
        <v>0</v>
      </c>
      <c r="AA48" s="586">
        <v>-3.0199870477731761E-4</v>
      </c>
      <c r="AB48" s="586">
        <v>-0.12602356303613504</v>
      </c>
      <c r="AC48" s="586">
        <v>-0.15554141402773247</v>
      </c>
      <c r="AD48" s="586">
        <v>-0.19424490754579316</v>
      </c>
      <c r="AE48" s="586">
        <v>-0.23560219929623916</v>
      </c>
      <c r="AF48" s="496"/>
      <c r="AG48" s="496"/>
      <c r="AH48" s="496"/>
      <c r="AI48" s="496"/>
      <c r="AJ48" s="496"/>
      <c r="AK48" s="496"/>
      <c r="AL48" s="496"/>
      <c r="AM48" s="496"/>
      <c r="AN48" s="496"/>
      <c r="AO48" s="496"/>
      <c r="AP48" s="496"/>
      <c r="AQ48" s="496"/>
      <c r="AR48" s="496"/>
      <c r="AS48" s="496"/>
      <c r="AT48" s="496"/>
      <c r="AU48" s="496"/>
    </row>
    <row r="49" spans="1:47" ht="30" x14ac:dyDescent="0.25">
      <c r="A49" s="596" t="s">
        <v>247</v>
      </c>
      <c r="B49" s="597" t="s">
        <v>242</v>
      </c>
      <c r="C49" s="574">
        <v>1</v>
      </c>
      <c r="D49" s="582">
        <v>0.99756393592388271</v>
      </c>
      <c r="E49" s="582">
        <v>0.9818363643447412</v>
      </c>
      <c r="F49" s="582"/>
      <c r="G49" s="582">
        <v>0.96260427953329097</v>
      </c>
      <c r="H49" s="582">
        <v>0.96260427953329097</v>
      </c>
      <c r="I49" s="537"/>
      <c r="O49" s="596" t="s">
        <v>247</v>
      </c>
      <c r="P49" s="597" t="s">
        <v>242</v>
      </c>
      <c r="Q49" s="574">
        <v>1</v>
      </c>
      <c r="R49" s="575">
        <f t="shared" si="1"/>
        <v>0.99675829053926901</v>
      </c>
      <c r="S49" s="575">
        <f t="shared" si="0"/>
        <v>0.80542618498431062</v>
      </c>
      <c r="T49" s="575"/>
      <c r="U49" s="575">
        <f t="shared" si="0"/>
        <v>0.73878473082435936</v>
      </c>
      <c r="V49" s="575">
        <f t="shared" si="0"/>
        <v>0.71166235713898185</v>
      </c>
      <c r="X49" s="596" t="s">
        <v>247</v>
      </c>
      <c r="Y49" s="597" t="s">
        <v>242</v>
      </c>
      <c r="Z49" s="586">
        <v>0</v>
      </c>
      <c r="AA49" s="586">
        <v>-8.0761278109708901E-4</v>
      </c>
      <c r="AB49" s="586">
        <v>-0.17967370711326558</v>
      </c>
      <c r="AC49" s="586">
        <v>-0.20485558092256562</v>
      </c>
      <c r="AD49" s="586">
        <v>-0.23251459968310995</v>
      </c>
      <c r="AE49" s="586">
        <v>-0.26069063656768265</v>
      </c>
      <c r="AF49" s="496"/>
      <c r="AG49" s="496"/>
      <c r="AH49" s="496"/>
      <c r="AI49" s="496"/>
      <c r="AJ49" s="496"/>
      <c r="AK49" s="496"/>
      <c r="AL49" s="496"/>
      <c r="AM49" s="496"/>
      <c r="AN49" s="496"/>
      <c r="AO49" s="496"/>
      <c r="AP49" s="496"/>
      <c r="AQ49" s="496"/>
      <c r="AR49" s="496"/>
      <c r="AS49" s="496"/>
      <c r="AT49" s="496"/>
      <c r="AU49" s="496"/>
    </row>
    <row r="50" spans="1:47" x14ac:dyDescent="0.25">
      <c r="A50" s="496"/>
      <c r="B50" s="496"/>
      <c r="C50" s="583"/>
      <c r="D50" s="583"/>
      <c r="E50" s="583"/>
      <c r="F50" s="583"/>
      <c r="G50" s="583"/>
      <c r="H50" s="583"/>
      <c r="I50" s="496"/>
      <c r="J50" s="539"/>
      <c r="K50" s="540"/>
      <c r="L50" s="540"/>
      <c r="M50" s="541"/>
      <c r="N50" s="496"/>
      <c r="O50" s="496"/>
      <c r="P50" s="496" t="s">
        <v>402</v>
      </c>
      <c r="Q50" s="583"/>
      <c r="R50" s="583"/>
      <c r="S50" s="583"/>
      <c r="T50" s="583"/>
      <c r="U50" s="583"/>
      <c r="V50" s="583"/>
      <c r="W50" s="496"/>
      <c r="X50" s="496"/>
      <c r="Y50" s="496" t="s">
        <v>402</v>
      </c>
      <c r="Z50" s="496"/>
      <c r="AA50" s="496"/>
      <c r="AB50" s="496"/>
      <c r="AC50" s="496"/>
      <c r="AD50" s="496"/>
      <c r="AE50" s="496"/>
      <c r="AF50" s="496"/>
      <c r="AG50" s="496"/>
      <c r="AH50" s="496"/>
      <c r="AI50" s="496"/>
      <c r="AJ50" s="496"/>
      <c r="AK50" s="496"/>
      <c r="AL50" s="496"/>
      <c r="AM50" s="496"/>
      <c r="AN50" s="496"/>
      <c r="AO50" s="496"/>
      <c r="AP50" s="496"/>
      <c r="AQ50" s="496"/>
      <c r="AR50" s="496"/>
      <c r="AS50" s="496"/>
      <c r="AT50" s="496"/>
      <c r="AU50" s="496"/>
    </row>
    <row r="51" spans="1:47" x14ac:dyDescent="0.25">
      <c r="A51" s="496"/>
      <c r="B51" s="496"/>
      <c r="C51" s="583"/>
      <c r="D51" s="583"/>
      <c r="E51" s="583"/>
      <c r="F51" s="583"/>
      <c r="G51" s="583"/>
      <c r="H51" s="583"/>
      <c r="I51" s="496"/>
      <c r="J51" s="539"/>
      <c r="K51" s="540"/>
      <c r="L51" s="540"/>
      <c r="M51" s="541"/>
      <c r="N51" s="496"/>
      <c r="O51" s="496"/>
      <c r="P51" s="496"/>
      <c r="Q51" s="583"/>
      <c r="R51" s="583"/>
      <c r="S51" s="583"/>
      <c r="T51" s="583"/>
      <c r="U51" s="583"/>
      <c r="V51" s="583"/>
      <c r="W51" s="496"/>
      <c r="X51" s="496"/>
      <c r="Y51" s="496"/>
      <c r="Z51" s="496"/>
      <c r="AA51" s="496"/>
      <c r="AB51" s="496"/>
      <c r="AC51" s="496"/>
      <c r="AD51" s="496"/>
      <c r="AE51" s="496"/>
      <c r="AF51" s="496"/>
      <c r="AG51" s="496"/>
      <c r="AH51" s="496"/>
      <c r="AI51" s="496"/>
      <c r="AJ51" s="496"/>
      <c r="AK51" s="496"/>
      <c r="AL51" s="496"/>
      <c r="AM51" s="496"/>
      <c r="AN51" s="496"/>
      <c r="AO51" s="496"/>
      <c r="AP51" s="496"/>
      <c r="AQ51" s="496"/>
      <c r="AR51" s="496"/>
      <c r="AS51" s="496"/>
      <c r="AT51" s="496"/>
      <c r="AU51" s="496"/>
    </row>
    <row r="52" spans="1:47" ht="21" x14ac:dyDescent="0.35">
      <c r="A52" s="496"/>
      <c r="B52" s="501" t="s">
        <v>248</v>
      </c>
      <c r="C52" s="584"/>
      <c r="D52" s="584"/>
      <c r="E52" s="584"/>
      <c r="F52" s="584"/>
      <c r="G52" s="584"/>
      <c r="H52" s="583"/>
      <c r="I52" s="496"/>
      <c r="J52" s="539"/>
      <c r="K52" s="540"/>
      <c r="L52" s="540"/>
      <c r="M52" s="541"/>
      <c r="N52" s="496"/>
      <c r="O52" s="496"/>
      <c r="P52" s="501" t="s">
        <v>248</v>
      </c>
      <c r="Q52" s="584"/>
      <c r="R52" s="584"/>
      <c r="S52" s="584"/>
      <c r="T52" s="584"/>
      <c r="U52" s="584"/>
      <c r="V52" s="583"/>
      <c r="W52" s="496"/>
      <c r="X52" s="496"/>
      <c r="Y52" s="501" t="s">
        <v>248</v>
      </c>
      <c r="Z52" s="538"/>
      <c r="AA52" s="538"/>
      <c r="AB52" s="538"/>
      <c r="AC52" s="538"/>
      <c r="AD52" s="538"/>
      <c r="AE52" s="496"/>
      <c r="AF52" s="496"/>
      <c r="AG52" s="496"/>
      <c r="AH52" s="496"/>
      <c r="AI52" s="496"/>
      <c r="AJ52" s="496"/>
      <c r="AK52" s="496"/>
      <c r="AL52" s="496"/>
      <c r="AM52" s="496"/>
      <c r="AN52" s="496"/>
      <c r="AO52" s="496"/>
      <c r="AP52" s="496"/>
      <c r="AQ52" s="496"/>
      <c r="AR52" s="496"/>
      <c r="AS52" s="496"/>
      <c r="AT52" s="496"/>
      <c r="AU52" s="496"/>
    </row>
    <row r="53" spans="1:47" ht="21" x14ac:dyDescent="0.35">
      <c r="A53" s="496"/>
      <c r="B53" s="538"/>
      <c r="C53" s="585"/>
      <c r="D53" s="585"/>
      <c r="E53" s="585"/>
      <c r="F53" s="585"/>
      <c r="G53" s="585"/>
      <c r="H53" s="583"/>
      <c r="I53" s="496"/>
      <c r="J53" s="539"/>
      <c r="K53" s="540"/>
      <c r="L53" s="540"/>
      <c r="M53" s="541"/>
      <c r="N53" s="496"/>
      <c r="O53" s="496"/>
      <c r="P53" s="538"/>
      <c r="Q53" s="585"/>
      <c r="R53" s="585"/>
      <c r="S53" s="585"/>
      <c r="T53" s="585"/>
      <c r="U53" s="585"/>
      <c r="V53" s="583"/>
      <c r="W53" s="496"/>
      <c r="X53" s="496"/>
      <c r="Y53" s="538"/>
      <c r="Z53" s="538"/>
      <c r="AA53" s="538"/>
      <c r="AB53" s="538"/>
      <c r="AC53" s="538"/>
      <c r="AD53" s="538"/>
      <c r="AE53" s="496"/>
      <c r="AF53" s="496"/>
      <c r="AG53" s="568"/>
      <c r="AH53" s="568"/>
      <c r="AI53" s="568"/>
      <c r="AJ53" s="568"/>
      <c r="AK53" s="568"/>
      <c r="AL53" s="568"/>
      <c r="AM53" s="568"/>
      <c r="AN53" s="568"/>
      <c r="AO53" s="568"/>
      <c r="AP53" s="568"/>
      <c r="AQ53" s="568"/>
      <c r="AR53" s="568"/>
      <c r="AS53" s="568"/>
      <c r="AT53" s="568"/>
      <c r="AU53" s="568"/>
    </row>
    <row r="54" spans="1:47" ht="21" x14ac:dyDescent="0.35">
      <c r="A54" s="536" t="s">
        <v>239</v>
      </c>
      <c r="B54" s="538"/>
      <c r="C54" s="585"/>
      <c r="D54" s="585"/>
      <c r="E54" s="585"/>
      <c r="F54" s="585"/>
      <c r="G54" s="585"/>
      <c r="H54" s="583"/>
      <c r="I54" s="496"/>
      <c r="J54" s="539"/>
      <c r="K54" s="540"/>
      <c r="L54" s="540"/>
      <c r="M54" s="541"/>
      <c r="N54" s="496"/>
      <c r="O54" s="496"/>
      <c r="P54" s="538"/>
      <c r="Q54" s="585"/>
      <c r="R54" s="585"/>
      <c r="S54" s="585"/>
      <c r="T54" s="585"/>
      <c r="U54" s="585"/>
      <c r="V54" s="583"/>
      <c r="W54" s="496"/>
      <c r="X54" s="496"/>
      <c r="Y54" s="538"/>
      <c r="Z54" s="538"/>
      <c r="AA54" s="538"/>
      <c r="AB54" s="538"/>
      <c r="AC54" s="538"/>
      <c r="AD54" s="538"/>
      <c r="AE54" s="496"/>
      <c r="AF54" s="496"/>
      <c r="AG54" s="496"/>
      <c r="AH54" s="496"/>
      <c r="AI54" s="496"/>
      <c r="AJ54" s="496"/>
      <c r="AK54" s="496"/>
      <c r="AL54" s="496"/>
      <c r="AM54" s="496"/>
      <c r="AN54" s="496"/>
      <c r="AO54" s="496"/>
      <c r="AP54" s="496"/>
      <c r="AQ54" s="496"/>
      <c r="AR54" s="496"/>
      <c r="AS54" s="496"/>
      <c r="AT54" s="496"/>
      <c r="AU54" s="496"/>
    </row>
    <row r="55" spans="1:47" x14ac:dyDescent="0.25">
      <c r="A55" s="496"/>
      <c r="B55" s="496"/>
      <c r="C55" s="571">
        <v>2010</v>
      </c>
      <c r="D55" s="572">
        <v>2015</v>
      </c>
      <c r="E55" s="572">
        <v>2020</v>
      </c>
      <c r="F55" s="572">
        <v>2025</v>
      </c>
      <c r="G55" s="572">
        <v>2030</v>
      </c>
      <c r="H55" s="573">
        <v>2035</v>
      </c>
      <c r="I55" s="565"/>
      <c r="J55" s="539"/>
      <c r="K55" s="540"/>
      <c r="L55" s="540"/>
      <c r="M55" s="541"/>
      <c r="N55" s="496"/>
      <c r="O55" s="496"/>
      <c r="P55" s="496"/>
      <c r="Q55" s="571">
        <v>2010</v>
      </c>
      <c r="R55" s="572">
        <v>2015</v>
      </c>
      <c r="S55" s="572">
        <v>2020</v>
      </c>
      <c r="T55" s="572">
        <v>2025</v>
      </c>
      <c r="U55" s="572">
        <v>2030</v>
      </c>
      <c r="V55" s="573">
        <v>2035</v>
      </c>
      <c r="W55" s="496"/>
      <c r="X55" s="496"/>
      <c r="Y55" s="496"/>
      <c r="Z55" s="571">
        <v>2010</v>
      </c>
      <c r="AA55" s="572">
        <v>2015</v>
      </c>
      <c r="AB55" s="572">
        <v>2020</v>
      </c>
      <c r="AC55" s="572">
        <v>2025</v>
      </c>
      <c r="AD55" s="572">
        <v>2030</v>
      </c>
      <c r="AE55" s="573">
        <v>2035</v>
      </c>
      <c r="AF55" s="496"/>
      <c r="AG55" s="496"/>
      <c r="AH55" s="496"/>
      <c r="AI55" s="496"/>
      <c r="AJ55" s="496"/>
      <c r="AK55" s="496"/>
      <c r="AL55" s="496"/>
      <c r="AM55" s="496"/>
      <c r="AN55" s="496"/>
      <c r="AO55" s="496"/>
      <c r="AP55" s="496"/>
      <c r="AQ55" s="496"/>
      <c r="AR55" s="496"/>
      <c r="AS55" s="496"/>
      <c r="AT55" s="496"/>
      <c r="AU55" s="496"/>
    </row>
    <row r="56" spans="1:47" ht="37.15" customHeight="1" x14ac:dyDescent="0.25">
      <c r="A56" s="594" t="s">
        <v>249</v>
      </c>
      <c r="B56" s="595" t="s">
        <v>250</v>
      </c>
      <c r="C56" s="576">
        <v>1</v>
      </c>
      <c r="D56" s="577">
        <v>1.03</v>
      </c>
      <c r="E56" s="577">
        <v>1.05</v>
      </c>
      <c r="F56" s="577"/>
      <c r="G56" s="577">
        <v>1.08</v>
      </c>
      <c r="H56" s="577">
        <v>1.0900000000000001</v>
      </c>
      <c r="I56" s="539"/>
      <c r="J56" s="539"/>
      <c r="K56" s="540"/>
      <c r="L56" s="540"/>
      <c r="M56" s="541"/>
      <c r="N56" s="496"/>
      <c r="O56" s="594" t="s">
        <v>249</v>
      </c>
      <c r="P56" s="595" t="s">
        <v>250</v>
      </c>
      <c r="Q56" s="576">
        <v>1</v>
      </c>
      <c r="R56" s="575">
        <f>D56*(1+AA56)</f>
        <v>1.0285454751916085</v>
      </c>
      <c r="S56" s="575">
        <f t="shared" ref="S56:S60" si="2">E56*(1+AB56)</f>
        <v>1.0477239767712765</v>
      </c>
      <c r="T56" s="575"/>
      <c r="U56" s="575">
        <f t="shared" ref="U56:U60" si="3">G56*(1+AD56)</f>
        <v>1.0937156067079787</v>
      </c>
      <c r="V56" s="575">
        <f t="shared" ref="V56:V59" si="4">H56*(1+AE56)</f>
        <v>1.1124402120237369</v>
      </c>
      <c r="W56" s="496"/>
      <c r="X56" s="594" t="s">
        <v>249</v>
      </c>
      <c r="Y56" s="595" t="s">
        <v>250</v>
      </c>
      <c r="Z56" s="587">
        <v>0</v>
      </c>
      <c r="AA56" s="587">
        <v>-1.4121600081470342E-3</v>
      </c>
      <c r="AB56" s="587">
        <v>-2.1676411702129528E-3</v>
      </c>
      <c r="AC56" s="587">
        <v>1.0247781424053137E-3</v>
      </c>
      <c r="AD56" s="587">
        <v>1.269963584072098E-2</v>
      </c>
      <c r="AE56" s="587">
        <v>2.0587350480492539E-2</v>
      </c>
      <c r="AF56" s="496"/>
      <c r="AG56" s="496"/>
      <c r="AH56" s="496"/>
      <c r="AI56" s="496"/>
      <c r="AJ56" s="496"/>
      <c r="AK56" s="496"/>
      <c r="AL56" s="496"/>
      <c r="AM56" s="496"/>
      <c r="AN56" s="496"/>
      <c r="AO56" s="496"/>
      <c r="AP56" s="496"/>
      <c r="AQ56" s="496"/>
      <c r="AR56" s="496"/>
      <c r="AS56" s="496"/>
      <c r="AT56" s="496"/>
      <c r="AU56" s="496"/>
    </row>
    <row r="57" spans="1:47" ht="37.15" customHeight="1" x14ac:dyDescent="0.25">
      <c r="A57" s="594" t="s">
        <v>251</v>
      </c>
      <c r="B57" s="595" t="s">
        <v>250</v>
      </c>
      <c r="C57" s="576">
        <v>1</v>
      </c>
      <c r="D57" s="577">
        <v>1.03</v>
      </c>
      <c r="E57" s="577">
        <v>1.05</v>
      </c>
      <c r="F57" s="577"/>
      <c r="G57" s="577">
        <v>1.08</v>
      </c>
      <c r="H57" s="577">
        <v>1.0900000000000001</v>
      </c>
      <c r="I57" s="539"/>
      <c r="J57" s="539"/>
      <c r="K57" s="540"/>
      <c r="L57" s="540"/>
      <c r="M57" s="541"/>
      <c r="N57" s="496"/>
      <c r="O57" s="594" t="s">
        <v>251</v>
      </c>
      <c r="P57" s="595" t="s">
        <v>250</v>
      </c>
      <c r="Q57" s="576">
        <v>1</v>
      </c>
      <c r="R57" s="575">
        <f t="shared" ref="R57:R60" si="5">D57*(1+AA57)</f>
        <v>1.0289260751485718</v>
      </c>
      <c r="S57" s="575">
        <f t="shared" si="2"/>
        <v>1.0480640950467353</v>
      </c>
      <c r="T57" s="575"/>
      <c r="U57" s="575">
        <f t="shared" si="3"/>
        <v>1.080032554308259</v>
      </c>
      <c r="V57" s="575">
        <f t="shared" si="4"/>
        <v>1.0926283821602507</v>
      </c>
      <c r="W57" s="496"/>
      <c r="X57" s="594" t="s">
        <v>251</v>
      </c>
      <c r="Y57" s="595" t="s">
        <v>250</v>
      </c>
      <c r="Z57" s="587">
        <v>0</v>
      </c>
      <c r="AA57" s="587">
        <v>-1.0426454868235346E-3</v>
      </c>
      <c r="AB57" s="587">
        <v>-1.843719003109423E-3</v>
      </c>
      <c r="AC57" s="587">
        <v>-3.1302949775600108E-3</v>
      </c>
      <c r="AD57" s="587">
        <v>3.0142878017391794E-5</v>
      </c>
      <c r="AE57" s="587">
        <v>2.4113597800463626E-3</v>
      </c>
      <c r="AF57" s="496"/>
      <c r="AG57" s="496"/>
      <c r="AH57" s="496"/>
      <c r="AI57" s="496"/>
      <c r="AJ57" s="496"/>
      <c r="AK57" s="496"/>
      <c r="AL57" s="496"/>
      <c r="AM57" s="496"/>
      <c r="AN57" s="496"/>
      <c r="AO57" s="496"/>
      <c r="AP57" s="496"/>
      <c r="AQ57" s="496"/>
      <c r="AR57" s="496"/>
      <c r="AS57" s="496"/>
      <c r="AT57" s="496"/>
      <c r="AU57" s="496"/>
    </row>
    <row r="58" spans="1:47" ht="37.15" customHeight="1" x14ac:dyDescent="0.25">
      <c r="A58" s="594" t="s">
        <v>252</v>
      </c>
      <c r="B58" s="595" t="s">
        <v>250</v>
      </c>
      <c r="C58" s="576">
        <v>1</v>
      </c>
      <c r="D58" s="577">
        <v>1.2</v>
      </c>
      <c r="E58" s="577">
        <v>1.25</v>
      </c>
      <c r="F58" s="577"/>
      <c r="G58" s="577">
        <v>1.28</v>
      </c>
      <c r="H58" s="577">
        <v>1.3</v>
      </c>
      <c r="I58" s="539"/>
      <c r="J58" s="539"/>
      <c r="K58" s="540"/>
      <c r="L58" s="540"/>
      <c r="M58" s="541"/>
      <c r="N58" s="496"/>
      <c r="O58" s="594" t="s">
        <v>252</v>
      </c>
      <c r="P58" s="595" t="s">
        <v>250</v>
      </c>
      <c r="Q58" s="576">
        <v>1</v>
      </c>
      <c r="R58" s="575">
        <f t="shared" si="5"/>
        <v>1.2000028770203277</v>
      </c>
      <c r="S58" s="575">
        <f t="shared" si="2"/>
        <v>1.2499160548375823</v>
      </c>
      <c r="T58" s="575"/>
      <c r="U58" s="575">
        <f t="shared" si="3"/>
        <v>1.2799764685860877</v>
      </c>
      <c r="V58" s="575">
        <f t="shared" si="4"/>
        <v>1.2999960156187744</v>
      </c>
      <c r="W58" s="496"/>
      <c r="X58" s="594" t="s">
        <v>252</v>
      </c>
      <c r="Y58" s="595" t="s">
        <v>250</v>
      </c>
      <c r="Z58" s="587">
        <v>0</v>
      </c>
      <c r="AA58" s="587">
        <v>2.397516939867117E-6</v>
      </c>
      <c r="AB58" s="587">
        <v>-6.7156129934242692E-5</v>
      </c>
      <c r="AC58" s="587">
        <v>-4.2972210470004768E-5</v>
      </c>
      <c r="AD58" s="587">
        <v>-1.8383917119058069E-5</v>
      </c>
      <c r="AE58" s="587">
        <v>-3.0649086351086652E-6</v>
      </c>
      <c r="AF58" s="496"/>
      <c r="AG58" s="496"/>
      <c r="AH58" s="496"/>
      <c r="AI58" s="496"/>
      <c r="AJ58" s="496"/>
      <c r="AK58" s="496"/>
      <c r="AL58" s="496"/>
      <c r="AM58" s="496"/>
      <c r="AN58" s="496"/>
      <c r="AO58" s="496"/>
      <c r="AP58" s="496"/>
      <c r="AQ58" s="496"/>
      <c r="AR58" s="496"/>
      <c r="AS58" s="496"/>
      <c r="AT58" s="496"/>
      <c r="AU58" s="496"/>
    </row>
    <row r="59" spans="1:47" ht="37.15" customHeight="1" x14ac:dyDescent="0.25">
      <c r="A59" s="594" t="s">
        <v>253</v>
      </c>
      <c r="B59" s="595" t="s">
        <v>250</v>
      </c>
      <c r="C59" s="578">
        <v>1</v>
      </c>
      <c r="D59" s="579">
        <v>1</v>
      </c>
      <c r="E59" s="579">
        <v>1</v>
      </c>
      <c r="F59" s="579"/>
      <c r="G59" s="579">
        <v>1</v>
      </c>
      <c r="H59" s="579">
        <v>1</v>
      </c>
      <c r="I59" s="566"/>
      <c r="J59" s="539"/>
      <c r="K59" s="540"/>
      <c r="L59" s="540"/>
      <c r="M59" s="541"/>
      <c r="N59" s="496"/>
      <c r="O59" s="594" t="s">
        <v>253</v>
      </c>
      <c r="P59" s="595" t="s">
        <v>250</v>
      </c>
      <c r="Q59" s="578">
        <v>1</v>
      </c>
      <c r="R59" s="575">
        <f t="shared" si="5"/>
        <v>0.99999939111064162</v>
      </c>
      <c r="S59" s="575">
        <f t="shared" si="2"/>
        <v>1.0001161846424602</v>
      </c>
      <c r="T59" s="575"/>
      <c r="U59" s="575">
        <f t="shared" si="3"/>
        <v>1.0000388483010361</v>
      </c>
      <c r="V59" s="575">
        <f t="shared" si="4"/>
        <v>1.0000038533961249</v>
      </c>
      <c r="W59" s="496"/>
      <c r="X59" s="594" t="s">
        <v>253</v>
      </c>
      <c r="Y59" s="595" t="s">
        <v>250</v>
      </c>
      <c r="Z59" s="588">
        <v>0</v>
      </c>
      <c r="AA59" s="588">
        <v>-6.0888935837777325E-7</v>
      </c>
      <c r="AB59" s="588">
        <v>1.1618464246021531E-4</v>
      </c>
      <c r="AC59" s="588">
        <v>8.0146739549258328E-5</v>
      </c>
      <c r="AD59" s="588">
        <v>3.884830103606518E-5</v>
      </c>
      <c r="AE59" s="588">
        <v>3.8533961248532478E-6</v>
      </c>
      <c r="AF59" s="496"/>
      <c r="AG59" s="496"/>
      <c r="AH59" s="496"/>
      <c r="AI59" s="496"/>
      <c r="AJ59" s="496"/>
      <c r="AK59" s="496"/>
      <c r="AL59" s="496"/>
      <c r="AM59" s="496"/>
      <c r="AN59" s="496"/>
      <c r="AO59" s="496"/>
      <c r="AP59" s="496"/>
      <c r="AQ59" s="496"/>
      <c r="AR59" s="496"/>
      <c r="AS59" s="496"/>
      <c r="AT59" s="496"/>
      <c r="AU59" s="496"/>
    </row>
    <row r="60" spans="1:47" ht="37.15" customHeight="1" x14ac:dyDescent="0.25">
      <c r="A60" s="594" t="s">
        <v>254</v>
      </c>
      <c r="B60" s="595" t="s">
        <v>250</v>
      </c>
      <c r="C60" s="580">
        <v>1</v>
      </c>
      <c r="D60" s="581">
        <v>1.01</v>
      </c>
      <c r="E60" s="581">
        <v>1.01</v>
      </c>
      <c r="F60" s="581"/>
      <c r="G60" s="581">
        <v>1.02</v>
      </c>
      <c r="H60" s="581">
        <v>1.03</v>
      </c>
      <c r="I60" s="567"/>
      <c r="J60" s="539"/>
      <c r="K60" s="540"/>
      <c r="L60" s="540"/>
      <c r="M60" s="541"/>
      <c r="N60" s="496"/>
      <c r="O60" s="594" t="s">
        <v>254</v>
      </c>
      <c r="P60" s="595" t="s">
        <v>250</v>
      </c>
      <c r="Q60" s="580">
        <v>1</v>
      </c>
      <c r="R60" s="575">
        <f t="shared" si="5"/>
        <v>1.01</v>
      </c>
      <c r="S60" s="575">
        <f t="shared" si="2"/>
        <v>1.0100001009869728</v>
      </c>
      <c r="T60" s="575"/>
      <c r="U60" s="575">
        <f t="shared" si="3"/>
        <v>1.02</v>
      </c>
      <c r="V60" s="575">
        <f>H60*(1+AE60)</f>
        <v>1.03</v>
      </c>
      <c r="W60" s="496"/>
      <c r="X60" s="594" t="s">
        <v>254</v>
      </c>
      <c r="Y60" s="595" t="s">
        <v>250</v>
      </c>
      <c r="Z60" s="587">
        <v>0</v>
      </c>
      <c r="AA60" s="587">
        <v>0</v>
      </c>
      <c r="AB60" s="587">
        <v>9.9987101709331228E-8</v>
      </c>
      <c r="AC60" s="587">
        <v>-9.5730120719395018E-8</v>
      </c>
      <c r="AD60" s="587">
        <v>0</v>
      </c>
      <c r="AE60" s="587">
        <v>0</v>
      </c>
      <c r="AF60" s="496"/>
      <c r="AG60" s="496"/>
      <c r="AH60" s="496"/>
      <c r="AI60" s="496"/>
      <c r="AJ60" s="496"/>
      <c r="AK60" s="496"/>
      <c r="AL60" s="496"/>
      <c r="AM60" s="496"/>
      <c r="AN60" s="496"/>
      <c r="AO60" s="496"/>
      <c r="AP60" s="496"/>
      <c r="AQ60" s="496"/>
      <c r="AR60" s="496"/>
      <c r="AS60" s="496"/>
      <c r="AT60" s="496"/>
      <c r="AU60" s="496"/>
    </row>
    <row r="61" spans="1:47" x14ac:dyDescent="0.25">
      <c r="A61" s="542"/>
      <c r="B61" s="543"/>
      <c r="C61" s="544"/>
      <c r="D61" s="544"/>
      <c r="E61" s="545"/>
      <c r="F61" s="544"/>
      <c r="G61" s="496"/>
      <c r="H61" s="496"/>
      <c r="I61" s="496"/>
      <c r="J61" s="539"/>
      <c r="K61" s="540"/>
      <c r="L61" s="540"/>
      <c r="M61" s="541"/>
      <c r="N61" s="496"/>
      <c r="O61" s="542"/>
      <c r="P61" s="496" t="s">
        <v>402</v>
      </c>
      <c r="Q61" s="544"/>
      <c r="R61" s="544"/>
      <c r="S61" s="545"/>
      <c r="T61" s="544"/>
      <c r="U61" s="496"/>
      <c r="V61" s="496"/>
      <c r="W61" s="568"/>
      <c r="X61" s="542"/>
      <c r="Y61" s="496" t="s">
        <v>402</v>
      </c>
      <c r="Z61" s="544"/>
      <c r="AA61" s="544"/>
      <c r="AB61" s="545"/>
      <c r="AC61" s="544"/>
      <c r="AD61" s="496"/>
      <c r="AE61" s="496"/>
      <c r="AF61" s="496"/>
      <c r="AG61" s="496"/>
      <c r="AH61" s="568"/>
      <c r="AI61" s="568"/>
      <c r="AJ61" s="568"/>
      <c r="AK61" s="568"/>
      <c r="AL61" s="568"/>
      <c r="AM61" s="568"/>
      <c r="AN61" s="568"/>
      <c r="AO61" s="568"/>
      <c r="AP61" s="568"/>
      <c r="AQ61" s="568"/>
      <c r="AR61" s="568"/>
      <c r="AS61" s="568"/>
      <c r="AT61" s="568"/>
      <c r="AU61" s="568"/>
    </row>
    <row r="62" spans="1:47" x14ac:dyDescent="0.25">
      <c r="A62" s="542"/>
      <c r="B62" s="543"/>
      <c r="C62" s="544"/>
      <c r="D62" s="544"/>
      <c r="E62" s="545"/>
      <c r="F62" s="544"/>
      <c r="G62" s="496"/>
      <c r="H62" s="496"/>
      <c r="I62" s="496"/>
      <c r="J62" s="539"/>
      <c r="K62" s="540"/>
      <c r="L62" s="540"/>
      <c r="M62" s="541"/>
      <c r="N62" s="496"/>
      <c r="O62" s="542"/>
      <c r="P62" s="543"/>
      <c r="Q62" s="544"/>
      <c r="R62" s="544"/>
      <c r="S62" s="545"/>
      <c r="T62" s="544"/>
      <c r="U62" s="496"/>
      <c r="V62" s="496"/>
      <c r="W62" s="568"/>
      <c r="X62" s="542"/>
      <c r="Y62" s="543"/>
      <c r="Z62" s="544"/>
      <c r="AA62" s="544"/>
      <c r="AB62" s="545"/>
      <c r="AC62" s="544"/>
      <c r="AD62" s="496"/>
      <c r="AE62" s="496"/>
      <c r="AF62" s="496"/>
      <c r="AG62" s="496"/>
      <c r="AH62" s="568"/>
      <c r="AI62" s="568"/>
      <c r="AJ62" s="568"/>
      <c r="AK62" s="568"/>
      <c r="AL62" s="568"/>
      <c r="AM62" s="568"/>
      <c r="AN62" s="568"/>
      <c r="AO62" s="568"/>
      <c r="AP62" s="568"/>
      <c r="AQ62" s="568"/>
      <c r="AR62" s="568"/>
      <c r="AS62" s="568"/>
      <c r="AT62" s="568"/>
      <c r="AU62" s="568"/>
    </row>
    <row r="64" spans="1:47" ht="21" x14ac:dyDescent="0.35">
      <c r="A64" s="501" t="s">
        <v>255</v>
      </c>
      <c r="B64" s="500"/>
      <c r="C64" s="500"/>
      <c r="D64" s="500"/>
      <c r="E64" s="500"/>
      <c r="F64" s="500"/>
      <c r="G64" s="500"/>
      <c r="H64" s="496"/>
      <c r="I64" s="496"/>
      <c r="J64" s="539"/>
      <c r="K64" s="540"/>
      <c r="L64" s="540"/>
      <c r="M64" s="541"/>
      <c r="N64" s="496"/>
      <c r="O64" s="501" t="s">
        <v>255</v>
      </c>
      <c r="P64" s="500"/>
      <c r="Q64" s="500"/>
      <c r="R64" s="500"/>
      <c r="S64" s="500"/>
      <c r="T64" s="500"/>
      <c r="U64" s="500"/>
      <c r="V64" s="496"/>
      <c r="W64" s="496"/>
      <c r="X64" s="538" t="s">
        <v>255</v>
      </c>
      <c r="Y64" s="496"/>
      <c r="Z64" s="496"/>
      <c r="AA64" s="496"/>
      <c r="AB64" s="496"/>
      <c r="AC64" s="496"/>
      <c r="AD64" s="496"/>
      <c r="AE64" s="496"/>
      <c r="AF64" s="496"/>
      <c r="AG64" s="496"/>
      <c r="AH64" s="496"/>
      <c r="AI64" s="496"/>
      <c r="AJ64" s="496"/>
      <c r="AK64" s="496"/>
      <c r="AL64" s="496"/>
      <c r="AM64" s="496"/>
      <c r="AN64" s="496"/>
      <c r="AO64" s="496"/>
      <c r="AP64" s="496"/>
      <c r="AQ64" s="496"/>
      <c r="AR64" s="496"/>
      <c r="AS64" s="496"/>
      <c r="AT64" s="496"/>
      <c r="AU64" s="496"/>
    </row>
    <row r="65" spans="1:47" x14ac:dyDescent="0.25">
      <c r="A65" s="496"/>
      <c r="B65" s="496"/>
      <c r="C65" s="496"/>
      <c r="D65" s="496"/>
      <c r="E65" s="496"/>
      <c r="F65" s="496"/>
      <c r="G65" s="496"/>
      <c r="H65" s="496"/>
      <c r="I65" s="496"/>
      <c r="J65" s="539"/>
      <c r="K65" s="540"/>
      <c r="L65" s="540"/>
      <c r="M65" s="541"/>
      <c r="N65" s="496"/>
      <c r="O65" s="496"/>
      <c r="P65" s="496"/>
      <c r="Q65" s="496"/>
      <c r="R65" s="496"/>
      <c r="S65" s="496"/>
      <c r="T65" s="496"/>
      <c r="U65" s="496"/>
      <c r="V65" s="496"/>
      <c r="W65" s="496"/>
      <c r="X65" s="496"/>
      <c r="Y65" s="496"/>
      <c r="Z65" s="496"/>
      <c r="AA65" s="496"/>
      <c r="AB65" s="496"/>
      <c r="AC65" s="496"/>
      <c r="AD65" s="496"/>
      <c r="AE65" s="496"/>
      <c r="AF65" s="496"/>
      <c r="AG65" s="496"/>
      <c r="AH65" s="496"/>
      <c r="AI65" s="496"/>
      <c r="AJ65" s="496"/>
      <c r="AK65" s="496"/>
      <c r="AL65" s="496"/>
      <c r="AM65" s="496"/>
      <c r="AN65" s="496"/>
      <c r="AO65" s="496"/>
      <c r="AP65" s="496"/>
      <c r="AQ65" s="496"/>
      <c r="AR65" s="496"/>
      <c r="AS65" s="496"/>
      <c r="AT65" s="496"/>
      <c r="AU65" s="496"/>
    </row>
    <row r="66" spans="1:47" ht="15.75" thickBot="1" x14ac:dyDescent="0.3">
      <c r="A66" s="496"/>
      <c r="B66" s="496"/>
      <c r="C66" s="502"/>
      <c r="D66" s="496"/>
      <c r="E66" s="496"/>
      <c r="F66" s="496"/>
      <c r="G66" s="496"/>
      <c r="H66" s="496"/>
      <c r="I66" s="496"/>
      <c r="J66" s="539"/>
      <c r="K66" s="540"/>
      <c r="L66" s="540"/>
      <c r="M66" s="541"/>
      <c r="N66" s="496"/>
      <c r="O66" s="496"/>
      <c r="P66" s="496"/>
      <c r="Q66" s="496"/>
      <c r="R66" s="496"/>
      <c r="S66" s="496"/>
      <c r="T66" s="496"/>
      <c r="U66" s="496"/>
      <c r="V66" s="496"/>
      <c r="W66" s="496"/>
      <c r="X66" s="496"/>
      <c r="Y66" s="496"/>
      <c r="Z66" s="496"/>
      <c r="AA66" s="496"/>
      <c r="AB66" s="496"/>
      <c r="AC66" s="496"/>
      <c r="AD66" s="496"/>
      <c r="AE66" s="496"/>
      <c r="AF66" s="496"/>
      <c r="AG66" s="496"/>
      <c r="AH66" s="496"/>
      <c r="AI66" s="496"/>
      <c r="AJ66" s="496"/>
      <c r="AK66" s="496"/>
      <c r="AL66" s="496"/>
      <c r="AM66" s="496"/>
      <c r="AN66" s="496"/>
      <c r="AO66" s="496"/>
      <c r="AP66" s="496"/>
      <c r="AQ66" s="496"/>
      <c r="AR66" s="496"/>
      <c r="AS66" s="496"/>
      <c r="AT66" s="496"/>
      <c r="AU66" s="496"/>
    </row>
    <row r="67" spans="1:47" ht="16.5" thickBot="1" x14ac:dyDescent="0.3">
      <c r="A67" s="559"/>
      <c r="B67" s="550"/>
      <c r="C67" s="551">
        <v>2010</v>
      </c>
      <c r="D67" s="551">
        <v>2015</v>
      </c>
      <c r="E67" s="551">
        <v>2020</v>
      </c>
      <c r="F67" s="551">
        <v>2025</v>
      </c>
      <c r="G67" s="551">
        <v>2030</v>
      </c>
      <c r="H67" s="552">
        <v>2035</v>
      </c>
      <c r="I67" s="496"/>
      <c r="J67" s="539"/>
      <c r="K67" s="540"/>
      <c r="L67" s="540"/>
      <c r="M67" s="541"/>
      <c r="N67" s="496"/>
      <c r="O67" s="496"/>
      <c r="P67" s="496"/>
      <c r="Q67" s="496"/>
      <c r="R67" s="496"/>
      <c r="S67" s="496"/>
      <c r="T67" s="496"/>
      <c r="U67" s="496"/>
      <c r="V67" s="496"/>
      <c r="W67" s="496"/>
      <c r="X67" s="496"/>
      <c r="Y67" s="496"/>
      <c r="Z67" s="496"/>
      <c r="AA67" s="496"/>
      <c r="AB67" s="496"/>
      <c r="AC67" s="496"/>
      <c r="AD67" s="496"/>
      <c r="AE67" s="496"/>
      <c r="AF67" s="496"/>
      <c r="AG67" s="496"/>
      <c r="AH67" s="496"/>
      <c r="AI67" s="496"/>
      <c r="AJ67" s="496"/>
      <c r="AK67" s="496"/>
      <c r="AL67" s="496"/>
      <c r="AM67" s="496"/>
      <c r="AN67" s="496"/>
      <c r="AO67" s="496"/>
      <c r="AP67" s="496"/>
      <c r="AQ67" s="496"/>
      <c r="AR67" s="496"/>
      <c r="AS67" s="496"/>
      <c r="AT67" s="496"/>
      <c r="AU67" s="496"/>
    </row>
    <row r="68" spans="1:47" ht="28.9" customHeight="1" thickBot="1" x14ac:dyDescent="0.3">
      <c r="A68" s="546"/>
      <c r="B68" s="549" t="s">
        <v>324</v>
      </c>
      <c r="C68" s="553">
        <v>18.350999999999999</v>
      </c>
      <c r="D68" s="553">
        <v>17.059999999999999</v>
      </c>
      <c r="E68" s="553">
        <v>15.744</v>
      </c>
      <c r="F68" s="553">
        <v>14.593500000000001</v>
      </c>
      <c r="G68" s="553">
        <v>13.443000000000001</v>
      </c>
      <c r="H68" s="554">
        <v>12.359</v>
      </c>
      <c r="P68" s="593" t="s">
        <v>535</v>
      </c>
      <c r="W68" s="569"/>
      <c r="AH68" s="569"/>
      <c r="AI68" s="569"/>
      <c r="AJ68" s="569"/>
      <c r="AK68" s="569"/>
      <c r="AL68" s="569"/>
      <c r="AM68" s="569"/>
      <c r="AN68" s="569"/>
      <c r="AO68" s="569"/>
      <c r="AP68" s="569"/>
      <c r="AQ68" s="569"/>
      <c r="AR68" s="569"/>
      <c r="AS68" s="569"/>
      <c r="AT68" s="569"/>
      <c r="AU68" s="569"/>
    </row>
    <row r="69" spans="1:47" ht="15.75" thickBot="1" x14ac:dyDescent="0.3">
      <c r="A69" s="546"/>
      <c r="B69" s="546"/>
      <c r="C69" s="560"/>
      <c r="D69" s="546"/>
      <c r="E69" s="546"/>
      <c r="F69" s="546"/>
      <c r="G69" s="546"/>
      <c r="H69" s="546"/>
      <c r="I69" s="546"/>
      <c r="Q69" s="570"/>
      <c r="Z69" s="570"/>
    </row>
    <row r="70" spans="1:47" ht="16.5" thickBot="1" x14ac:dyDescent="0.3">
      <c r="A70" s="546"/>
      <c r="B70" s="555" t="s">
        <v>368</v>
      </c>
      <c r="C70" s="556">
        <v>2010</v>
      </c>
      <c r="D70" s="556">
        <v>2015</v>
      </c>
      <c r="E70" s="556">
        <v>2020</v>
      </c>
      <c r="F70" s="556">
        <v>2025</v>
      </c>
      <c r="G70" s="556">
        <v>2030</v>
      </c>
      <c r="H70" s="557">
        <v>2035</v>
      </c>
      <c r="I70" s="548"/>
      <c r="J70" s="537" t="s">
        <v>215</v>
      </c>
      <c r="P70" s="555" t="s">
        <v>256</v>
      </c>
      <c r="Q70" s="556">
        <v>2010</v>
      </c>
      <c r="R70" s="556">
        <v>2015</v>
      </c>
      <c r="S70" s="556">
        <v>2020</v>
      </c>
      <c r="T70" s="556">
        <v>2025</v>
      </c>
      <c r="U70" s="556">
        <v>2030</v>
      </c>
      <c r="V70" s="557">
        <v>2035</v>
      </c>
      <c r="Y70" s="555" t="s">
        <v>256</v>
      </c>
      <c r="Z70" s="556">
        <v>2010</v>
      </c>
      <c r="AA70" s="556">
        <v>2015</v>
      </c>
      <c r="AB70" s="556">
        <v>2020</v>
      </c>
      <c r="AC70" s="556">
        <v>2025</v>
      </c>
      <c r="AD70" s="556">
        <v>2030</v>
      </c>
      <c r="AE70" s="557">
        <v>2035</v>
      </c>
    </row>
    <row r="71" spans="1:47" ht="15.75" thickBot="1" x14ac:dyDescent="0.3">
      <c r="A71" s="546"/>
      <c r="B71" s="558" t="s">
        <v>257</v>
      </c>
      <c r="C71" s="561">
        <v>6.6153838796150604</v>
      </c>
      <c r="D71" s="561"/>
      <c r="E71" s="561">
        <v>5.1178782555341211</v>
      </c>
      <c r="F71" s="561">
        <v>4.6479713510254141</v>
      </c>
      <c r="G71" s="561">
        <v>4.1081012013746614</v>
      </c>
      <c r="H71" s="562">
        <v>3.6173823970507977</v>
      </c>
      <c r="I71" s="589"/>
      <c r="J71" s="590" t="s">
        <v>213</v>
      </c>
      <c r="P71" s="558" t="s">
        <v>257</v>
      </c>
      <c r="Q71" s="561">
        <v>6.6153838796150604</v>
      </c>
      <c r="R71" s="561"/>
      <c r="S71" s="561">
        <f>E71*(1+AB71)</f>
        <v>5.2050162153954904</v>
      </c>
      <c r="T71" s="561">
        <f t="shared" ref="T71:V80" si="6">F71*(1+AC71)</f>
        <v>4.9661679352624182</v>
      </c>
      <c r="U71" s="561">
        <f t="shared" si="6"/>
        <v>4.4449266682343165</v>
      </c>
      <c r="V71" s="562">
        <f t="shared" si="6"/>
        <v>3.9024896361412624</v>
      </c>
      <c r="Y71" s="558" t="s">
        <v>257</v>
      </c>
      <c r="Z71" s="563">
        <v>2.3342717092589282E-8</v>
      </c>
      <c r="AA71" s="563">
        <v>3.2735982730798252E-3</v>
      </c>
      <c r="AB71" s="563">
        <v>1.7026188492691219E-2</v>
      </c>
      <c r="AC71" s="563">
        <v>6.8459239570572095E-2</v>
      </c>
      <c r="AD71" s="563">
        <v>8.1990547542243108E-2</v>
      </c>
      <c r="AE71" s="564">
        <v>7.8815897186570227E-2</v>
      </c>
    </row>
    <row r="72" spans="1:47" ht="15.75" thickBot="1" x14ac:dyDescent="0.3">
      <c r="A72" s="546"/>
      <c r="B72" s="558" t="s">
        <v>258</v>
      </c>
      <c r="C72" s="561">
        <v>0</v>
      </c>
      <c r="D72" s="561"/>
      <c r="E72" s="561">
        <v>0</v>
      </c>
      <c r="F72" s="561">
        <v>0</v>
      </c>
      <c r="G72" s="561">
        <v>0</v>
      </c>
      <c r="H72" s="562">
        <v>0</v>
      </c>
      <c r="I72" s="589"/>
      <c r="P72" s="558" t="s">
        <v>258</v>
      </c>
      <c r="Q72" s="561">
        <v>0</v>
      </c>
      <c r="R72" s="561"/>
      <c r="S72" s="561">
        <f t="shared" ref="S72:S80" si="7">E72*(1+AB72)</f>
        <v>0</v>
      </c>
      <c r="T72" s="561">
        <f t="shared" si="6"/>
        <v>0</v>
      </c>
      <c r="U72" s="561">
        <f t="shared" si="6"/>
        <v>0</v>
      </c>
      <c r="V72" s="562">
        <f t="shared" si="6"/>
        <v>0</v>
      </c>
      <c r="Y72" s="558" t="s">
        <v>258</v>
      </c>
      <c r="Z72" s="563">
        <v>0</v>
      </c>
      <c r="AA72" s="563">
        <v>0</v>
      </c>
      <c r="AB72" s="563">
        <v>0</v>
      </c>
      <c r="AC72" s="563">
        <v>0</v>
      </c>
      <c r="AD72" s="563">
        <v>0</v>
      </c>
      <c r="AE72" s="564">
        <v>0</v>
      </c>
    </row>
    <row r="73" spans="1:47" ht="15.75" thickBot="1" x14ac:dyDescent="0.3">
      <c r="A73" s="546"/>
      <c r="B73" s="558" t="s">
        <v>259</v>
      </c>
      <c r="C73" s="561">
        <v>0.39652023415662246</v>
      </c>
      <c r="D73" s="561"/>
      <c r="E73" s="561">
        <v>0.47545769643491298</v>
      </c>
      <c r="F73" s="561">
        <v>0.48151748154523233</v>
      </c>
      <c r="G73" s="561">
        <v>0.48062680107622135</v>
      </c>
      <c r="H73" s="562">
        <v>0.47595182734429115</v>
      </c>
      <c r="I73" s="591"/>
      <c r="P73" s="558" t="s">
        <v>259</v>
      </c>
      <c r="Q73" s="561">
        <v>0.39652023415662246</v>
      </c>
      <c r="R73" s="561"/>
      <c r="S73" s="561">
        <f t="shared" si="7"/>
        <v>0.47534885308384622</v>
      </c>
      <c r="T73" s="561">
        <f t="shared" si="6"/>
        <v>0.4039612061458891</v>
      </c>
      <c r="U73" s="561">
        <f t="shared" si="6"/>
        <v>0.45824359152576122</v>
      </c>
      <c r="V73" s="562">
        <f t="shared" si="6"/>
        <v>0.51584309044907761</v>
      </c>
      <c r="Y73" s="558" t="s">
        <v>259</v>
      </c>
      <c r="Z73" s="563">
        <v>6.410153274849506E-8</v>
      </c>
      <c r="AA73" s="563">
        <v>-3.4576782312644383E-2</v>
      </c>
      <c r="AB73" s="563">
        <v>-2.2892331301582747E-4</v>
      </c>
      <c r="AC73" s="563">
        <v>-0.16106637530678691</v>
      </c>
      <c r="AD73" s="563">
        <v>-4.6570872661157448E-2</v>
      </c>
      <c r="AE73" s="564">
        <v>8.3813656788274349E-2</v>
      </c>
    </row>
    <row r="74" spans="1:47" ht="15.75" thickBot="1" x14ac:dyDescent="0.3">
      <c r="A74" s="546"/>
      <c r="B74" s="558" t="s">
        <v>260</v>
      </c>
      <c r="C74" s="561">
        <v>5.3846408827159182</v>
      </c>
      <c r="D74" s="561"/>
      <c r="E74" s="561">
        <v>5.0960660144721901</v>
      </c>
      <c r="F74" s="561">
        <v>4.8716648181763862</v>
      </c>
      <c r="G74" s="561">
        <v>4.6242278001943991</v>
      </c>
      <c r="H74" s="562">
        <v>4.3769556457391952</v>
      </c>
      <c r="I74" s="589"/>
      <c r="P74" s="558" t="s">
        <v>260</v>
      </c>
      <c r="Q74" s="561">
        <v>5.3846408827159182</v>
      </c>
      <c r="R74" s="561"/>
      <c r="S74" s="561">
        <f t="shared" si="7"/>
        <v>4.9030902428372327</v>
      </c>
      <c r="T74" s="561">
        <f t="shared" si="6"/>
        <v>4.6565266764307784</v>
      </c>
      <c r="U74" s="561">
        <f t="shared" si="6"/>
        <v>4.4892096839801701</v>
      </c>
      <c r="V74" s="562">
        <f t="shared" si="6"/>
        <v>4.2808963813761185</v>
      </c>
      <c r="Y74" s="558" t="s">
        <v>260</v>
      </c>
      <c r="Z74" s="563">
        <v>0</v>
      </c>
      <c r="AA74" s="563">
        <v>-3.7849757859422795E-3</v>
      </c>
      <c r="AB74" s="563">
        <v>-3.7867596512080159E-2</v>
      </c>
      <c r="AC74" s="563">
        <v>-4.41611132487848E-2</v>
      </c>
      <c r="AD74" s="563">
        <v>-2.9197981165320797E-2</v>
      </c>
      <c r="AE74" s="564">
        <v>-2.194659305185942E-2</v>
      </c>
    </row>
    <row r="75" spans="1:47" ht="15.75" thickBot="1" x14ac:dyDescent="0.3">
      <c r="A75" s="546"/>
      <c r="B75" s="558" t="s">
        <v>218</v>
      </c>
      <c r="C75" s="561">
        <v>1.6968297364423537</v>
      </c>
      <c r="D75" s="561"/>
      <c r="E75" s="561">
        <v>2.5524618108560793</v>
      </c>
      <c r="F75" s="561">
        <v>2.4582471068525931</v>
      </c>
      <c r="G75" s="561">
        <v>2.3484439856962611</v>
      </c>
      <c r="H75" s="562">
        <v>2.2362962667292918</v>
      </c>
      <c r="I75" s="589"/>
      <c r="P75" s="558" t="s">
        <v>218</v>
      </c>
      <c r="Q75" s="561">
        <v>1.6968297364423537</v>
      </c>
      <c r="R75" s="561"/>
      <c r="S75" s="561">
        <f t="shared" si="7"/>
        <v>2.5605977771626698</v>
      </c>
      <c r="T75" s="561">
        <f t="shared" si="6"/>
        <v>2.4415351468079267</v>
      </c>
      <c r="U75" s="561">
        <f t="shared" si="6"/>
        <v>2.3497306323357936</v>
      </c>
      <c r="V75" s="562">
        <f t="shared" si="6"/>
        <v>2.2421737235587877</v>
      </c>
      <c r="Y75" s="558" t="s">
        <v>218</v>
      </c>
      <c r="Z75" s="563">
        <v>0</v>
      </c>
      <c r="AA75" s="563">
        <v>-8.2201341891069424E-3</v>
      </c>
      <c r="AB75" s="563">
        <v>3.187497760783975E-3</v>
      </c>
      <c r="AC75" s="563">
        <v>-6.7983238943229995E-3</v>
      </c>
      <c r="AD75" s="563">
        <v>5.4787197283356903E-4</v>
      </c>
      <c r="AE75" s="564">
        <v>2.6282102764907389E-3</v>
      </c>
    </row>
    <row r="76" spans="1:47" ht="15.75" thickBot="1" x14ac:dyDescent="0.3">
      <c r="A76" s="546"/>
      <c r="B76" s="558" t="s">
        <v>219</v>
      </c>
      <c r="C76" s="561">
        <v>0.87493566153854441</v>
      </c>
      <c r="D76" s="561"/>
      <c r="E76" s="561">
        <v>0.86297646820690677</v>
      </c>
      <c r="F76" s="561">
        <v>0.80395303680551577</v>
      </c>
      <c r="G76" s="561">
        <v>0.74449475677691146</v>
      </c>
      <c r="H76" s="562">
        <v>0.6880673470912434</v>
      </c>
      <c r="I76" s="589"/>
      <c r="P76" s="558" t="s">
        <v>219</v>
      </c>
      <c r="Q76" s="561">
        <v>0.87493566153854441</v>
      </c>
      <c r="R76" s="561"/>
      <c r="S76" s="561">
        <f t="shared" si="7"/>
        <v>0.86314425567394459</v>
      </c>
      <c r="T76" s="561">
        <f t="shared" si="6"/>
        <v>0.80428178408707851</v>
      </c>
      <c r="U76" s="561">
        <f t="shared" si="6"/>
        <v>0.74469278158623198</v>
      </c>
      <c r="V76" s="562">
        <f t="shared" si="6"/>
        <v>0.68824208264399955</v>
      </c>
      <c r="Y76" s="558" t="s">
        <v>219</v>
      </c>
      <c r="Z76" s="563">
        <v>0</v>
      </c>
      <c r="AA76" s="563">
        <v>0</v>
      </c>
      <c r="AB76" s="563">
        <v>1.944287859743099E-4</v>
      </c>
      <c r="AC76" s="563">
        <v>4.0891353911542971E-4</v>
      </c>
      <c r="AD76" s="563">
        <v>2.659854989144339E-4</v>
      </c>
      <c r="AE76" s="564">
        <v>2.539512352894846E-4</v>
      </c>
    </row>
    <row r="77" spans="1:47" ht="15.75" thickBot="1" x14ac:dyDescent="0.3">
      <c r="A77" s="546"/>
      <c r="B77" s="558" t="s">
        <v>89</v>
      </c>
      <c r="C77" s="561">
        <v>2.8763301450023304</v>
      </c>
      <c r="D77" s="561"/>
      <c r="E77" s="561">
        <v>1.388390770662953</v>
      </c>
      <c r="F77" s="561">
        <v>1.1194462219254093</v>
      </c>
      <c r="G77" s="561">
        <v>0.95339345432738143</v>
      </c>
      <c r="H77" s="562">
        <v>0.80498881798741762</v>
      </c>
      <c r="I77" s="589"/>
      <c r="P77" s="558" t="s">
        <v>89</v>
      </c>
      <c r="Q77" s="561">
        <v>2.8763301450023304</v>
      </c>
      <c r="R77" s="561"/>
      <c r="S77" s="561">
        <f t="shared" si="7"/>
        <v>1.4359243989500827</v>
      </c>
      <c r="T77" s="561">
        <f t="shared" si="6"/>
        <v>1.099238722651652</v>
      </c>
      <c r="U77" s="561">
        <f t="shared" si="6"/>
        <v>0.79972611490730339</v>
      </c>
      <c r="V77" s="562">
        <f t="shared" si="6"/>
        <v>0.55814553691802293</v>
      </c>
      <c r="Y77" s="558" t="s">
        <v>89</v>
      </c>
      <c r="Z77" s="563">
        <v>0</v>
      </c>
      <c r="AA77" s="563">
        <v>1.8926821955859596E-2</v>
      </c>
      <c r="AB77" s="563">
        <v>3.4236491117290102E-2</v>
      </c>
      <c r="AC77" s="563">
        <v>-1.8051335453168171E-2</v>
      </c>
      <c r="AD77" s="563">
        <v>-0.16117935226279723</v>
      </c>
      <c r="AE77" s="564">
        <v>-0.30664187570522627</v>
      </c>
    </row>
    <row r="78" spans="1:47" ht="15.75" thickBot="1" x14ac:dyDescent="0.3">
      <c r="A78" s="546"/>
      <c r="B78" s="558" t="s">
        <v>112</v>
      </c>
      <c r="C78" s="561">
        <v>0.43640577928708907</v>
      </c>
      <c r="D78" s="561"/>
      <c r="E78" s="561">
        <v>0.22327519819161093</v>
      </c>
      <c r="F78" s="561">
        <v>0.18371842747873918</v>
      </c>
      <c r="G78" s="561">
        <v>0.15858794352594721</v>
      </c>
      <c r="H78" s="562">
        <v>0.13601167442195625</v>
      </c>
      <c r="I78" s="589"/>
      <c r="P78" s="558" t="s">
        <v>112</v>
      </c>
      <c r="Q78" s="561">
        <v>0.43640577928708907</v>
      </c>
      <c r="R78" s="561"/>
      <c r="S78" s="561">
        <f t="shared" si="7"/>
        <v>0.22327519819161093</v>
      </c>
      <c r="T78" s="561">
        <f t="shared" si="6"/>
        <v>0.18371842747873918</v>
      </c>
      <c r="U78" s="561">
        <f t="shared" si="6"/>
        <v>0.15858794352594721</v>
      </c>
      <c r="V78" s="562">
        <f t="shared" si="6"/>
        <v>0.13601167442195625</v>
      </c>
      <c r="Y78" s="558" t="s">
        <v>112</v>
      </c>
      <c r="Z78" s="561"/>
      <c r="AA78" s="561"/>
      <c r="AB78" s="561"/>
      <c r="AC78" s="561"/>
      <c r="AD78" s="561"/>
      <c r="AE78" s="562"/>
    </row>
    <row r="79" spans="1:47" ht="15.75" thickBot="1" x14ac:dyDescent="0.3">
      <c r="A79" s="546"/>
      <c r="B79" s="558" t="s">
        <v>90</v>
      </c>
      <c r="C79" s="561">
        <v>6.9953681242077709E-2</v>
      </c>
      <c r="D79" s="561"/>
      <c r="E79" s="561">
        <v>0</v>
      </c>
      <c r="F79" s="561">
        <v>0</v>
      </c>
      <c r="G79" s="561">
        <v>0</v>
      </c>
      <c r="H79" s="562">
        <v>0</v>
      </c>
      <c r="I79" s="589"/>
      <c r="P79" s="558" t="s">
        <v>90</v>
      </c>
      <c r="Q79" s="561">
        <v>6.9953681242077709E-2</v>
      </c>
      <c r="R79" s="561"/>
      <c r="S79" s="561">
        <f t="shared" si="7"/>
        <v>0</v>
      </c>
      <c r="T79" s="561">
        <f t="shared" si="6"/>
        <v>0</v>
      </c>
      <c r="U79" s="561">
        <f t="shared" si="6"/>
        <v>0</v>
      </c>
      <c r="V79" s="562">
        <f t="shared" si="6"/>
        <v>0</v>
      </c>
      <c r="Y79" s="558" t="s">
        <v>90</v>
      </c>
      <c r="Z79" s="561"/>
      <c r="AA79" s="561"/>
      <c r="AB79" s="561"/>
      <c r="AC79" s="561"/>
      <c r="AD79" s="561"/>
      <c r="AE79" s="562"/>
    </row>
    <row r="80" spans="1:47" ht="15.75" thickBot="1" x14ac:dyDescent="0.3">
      <c r="A80" s="546"/>
      <c r="B80" s="558" t="s">
        <v>261</v>
      </c>
      <c r="C80" s="561">
        <v>0</v>
      </c>
      <c r="D80" s="561"/>
      <c r="E80" s="561">
        <v>2.7493785641221565E-2</v>
      </c>
      <c r="F80" s="561">
        <v>2.6981556190713709E-2</v>
      </c>
      <c r="G80" s="561">
        <v>2.5124057028215904E-2</v>
      </c>
      <c r="H80" s="562">
        <v>2.3346023635812164E-2</v>
      </c>
      <c r="I80" s="589"/>
      <c r="P80" s="558" t="s">
        <v>261</v>
      </c>
      <c r="Q80" s="561">
        <v>0</v>
      </c>
      <c r="R80" s="561"/>
      <c r="S80" s="561">
        <f t="shared" si="7"/>
        <v>2.7493785641221565E-2</v>
      </c>
      <c r="T80" s="561">
        <f t="shared" si="6"/>
        <v>2.6981556190713709E-2</v>
      </c>
      <c r="U80" s="561">
        <f t="shared" si="6"/>
        <v>2.5124057028215904E-2</v>
      </c>
      <c r="V80" s="562">
        <f t="shared" si="6"/>
        <v>2.3346023635812164E-2</v>
      </c>
      <c r="Y80" s="558" t="s">
        <v>261</v>
      </c>
      <c r="Z80" s="561"/>
      <c r="AA80" s="561"/>
      <c r="AB80" s="561"/>
      <c r="AC80" s="561"/>
      <c r="AD80" s="561"/>
      <c r="AE80" s="562"/>
    </row>
    <row r="81" spans="1:47" x14ac:dyDescent="0.25">
      <c r="A81" s="546"/>
      <c r="P81" s="496" t="s">
        <v>402</v>
      </c>
      <c r="Y81" s="496" t="s">
        <v>402</v>
      </c>
    </row>
    <row r="82" spans="1:47" ht="15.75" thickBot="1" x14ac:dyDescent="0.3">
      <c r="A82" s="546"/>
      <c r="C82" s="570"/>
      <c r="H82" s="546"/>
      <c r="J82" s="590"/>
      <c r="K82" s="592"/>
      <c r="Q82" s="570"/>
      <c r="W82" s="569"/>
      <c r="Z82" s="570"/>
      <c r="AE82" s="569"/>
      <c r="AF82" s="569"/>
      <c r="AG82" s="569"/>
      <c r="AH82" s="569"/>
      <c r="AI82" s="569"/>
      <c r="AJ82" s="569"/>
      <c r="AK82" s="569"/>
      <c r="AL82" s="569"/>
      <c r="AM82" s="569"/>
      <c r="AN82" s="569"/>
      <c r="AO82" s="569"/>
      <c r="AP82" s="569"/>
      <c r="AQ82" s="569"/>
      <c r="AR82" s="569"/>
      <c r="AS82" s="569"/>
      <c r="AT82" s="569"/>
      <c r="AU82" s="569"/>
    </row>
    <row r="83" spans="1:47" ht="16.5" thickBot="1" x14ac:dyDescent="0.3">
      <c r="A83" s="546"/>
      <c r="B83" s="555" t="s">
        <v>443</v>
      </c>
      <c r="C83" s="556">
        <v>2010</v>
      </c>
      <c r="D83" s="556">
        <v>2015</v>
      </c>
      <c r="E83" s="556">
        <v>2020</v>
      </c>
      <c r="F83" s="556">
        <v>2025</v>
      </c>
      <c r="G83" s="556">
        <v>2030</v>
      </c>
      <c r="H83" s="557">
        <v>2035</v>
      </c>
      <c r="I83" s="548"/>
      <c r="J83" s="590" t="s">
        <v>215</v>
      </c>
      <c r="K83" s="592"/>
      <c r="P83" s="555" t="s">
        <v>256</v>
      </c>
      <c r="Q83" s="556">
        <v>2010</v>
      </c>
      <c r="R83" s="556">
        <v>2015</v>
      </c>
      <c r="S83" s="556">
        <v>2020</v>
      </c>
      <c r="T83" s="556">
        <v>2025</v>
      </c>
      <c r="U83" s="556">
        <v>2030</v>
      </c>
      <c r="V83" s="557">
        <v>2035</v>
      </c>
      <c r="W83" s="569"/>
      <c r="Z83" s="570"/>
      <c r="AE83" s="569"/>
      <c r="AF83" s="569"/>
      <c r="AG83" s="569"/>
      <c r="AH83" s="569"/>
      <c r="AI83" s="569"/>
      <c r="AJ83" s="569"/>
      <c r="AK83" s="569"/>
      <c r="AL83" s="569"/>
      <c r="AM83" s="569"/>
      <c r="AN83" s="569"/>
      <c r="AO83" s="569"/>
      <c r="AP83" s="569"/>
      <c r="AQ83" s="569"/>
      <c r="AR83" s="569"/>
      <c r="AS83" s="569"/>
      <c r="AT83" s="569"/>
      <c r="AU83" s="569"/>
    </row>
    <row r="84" spans="1:47" ht="15.75" thickBot="1" x14ac:dyDescent="0.3">
      <c r="B84" s="558" t="s">
        <v>257</v>
      </c>
      <c r="C84" s="563">
        <v>0.36049173775898102</v>
      </c>
      <c r="D84" s="563"/>
      <c r="E84" s="563">
        <v>0.325068486759027</v>
      </c>
      <c r="F84" s="563">
        <v>0.31849599828865</v>
      </c>
      <c r="G84" s="563">
        <v>0.305594078804929</v>
      </c>
      <c r="H84" s="564">
        <v>0.29269215932120701</v>
      </c>
      <c r="I84" s="589"/>
      <c r="J84" s="590" t="s">
        <v>213</v>
      </c>
      <c r="K84" s="592"/>
      <c r="P84" s="558" t="s">
        <v>257</v>
      </c>
      <c r="Q84" s="563">
        <v>0.36049173775898102</v>
      </c>
      <c r="R84" s="563"/>
      <c r="S84" s="563">
        <f>S71/SUM(S$71:S$80)</f>
        <v>0.3316587521832236</v>
      </c>
      <c r="T84" s="563">
        <f t="shared" ref="T84:V84" si="8">T71/SUM(T$71:T$80)</f>
        <v>0.34055875810175601</v>
      </c>
      <c r="U84" s="563">
        <f t="shared" si="8"/>
        <v>0.32998121652852153</v>
      </c>
      <c r="V84" s="564">
        <f t="shared" si="8"/>
        <v>0.31606404888010398</v>
      </c>
      <c r="W84" s="569"/>
      <c r="Z84" s="570"/>
      <c r="AE84" s="569"/>
      <c r="AF84" s="569"/>
      <c r="AG84" s="569"/>
      <c r="AH84" s="569"/>
      <c r="AI84" s="569"/>
      <c r="AJ84" s="569"/>
      <c r="AK84" s="569"/>
      <c r="AL84" s="569"/>
      <c r="AM84" s="569"/>
      <c r="AN84" s="569"/>
      <c r="AO84" s="569"/>
      <c r="AP84" s="569"/>
      <c r="AQ84" s="569"/>
      <c r="AR84" s="569"/>
      <c r="AS84" s="569"/>
      <c r="AT84" s="569"/>
      <c r="AU84" s="569"/>
    </row>
    <row r="85" spans="1:47" ht="15.75" thickBot="1" x14ac:dyDescent="0.3">
      <c r="B85" s="558" t="s">
        <v>258</v>
      </c>
      <c r="C85" s="563">
        <v>0</v>
      </c>
      <c r="D85" s="563"/>
      <c r="E85" s="563">
        <v>0</v>
      </c>
      <c r="F85" s="563">
        <v>0</v>
      </c>
      <c r="G85" s="563">
        <v>0</v>
      </c>
      <c r="H85" s="564">
        <v>0</v>
      </c>
      <c r="I85" s="589"/>
      <c r="J85" s="590"/>
      <c r="K85" s="592"/>
      <c r="P85" s="558" t="s">
        <v>258</v>
      </c>
      <c r="Q85" s="563">
        <v>0</v>
      </c>
      <c r="R85" s="563"/>
      <c r="S85" s="563">
        <f t="shared" ref="S85:V93" si="9">S72/SUM(S$71:S$80)</f>
        <v>0</v>
      </c>
      <c r="T85" s="563">
        <f t="shared" si="9"/>
        <v>0</v>
      </c>
      <c r="U85" s="563">
        <f t="shared" si="9"/>
        <v>0</v>
      </c>
      <c r="V85" s="564">
        <f t="shared" si="9"/>
        <v>0</v>
      </c>
      <c r="W85" s="569"/>
      <c r="Z85" s="570"/>
      <c r="AE85" s="569"/>
      <c r="AF85" s="569"/>
      <c r="AG85" s="569"/>
      <c r="AH85" s="569"/>
      <c r="AI85" s="569"/>
      <c r="AJ85" s="569"/>
      <c r="AK85" s="569"/>
      <c r="AL85" s="569"/>
      <c r="AM85" s="569"/>
      <c r="AN85" s="569"/>
      <c r="AO85" s="569"/>
      <c r="AP85" s="569"/>
      <c r="AQ85" s="569"/>
      <c r="AR85" s="569"/>
      <c r="AS85" s="569"/>
      <c r="AT85" s="569"/>
      <c r="AU85" s="569"/>
    </row>
    <row r="86" spans="1:47" ht="15.75" thickBot="1" x14ac:dyDescent="0.3">
      <c r="B86" s="558" t="s">
        <v>259</v>
      </c>
      <c r="C86" s="563">
        <v>2.1607554583217399E-2</v>
      </c>
      <c r="D86" s="563"/>
      <c r="E86" s="563">
        <v>3.01992947430712E-2</v>
      </c>
      <c r="F86" s="563">
        <v>3.29953391266819E-2</v>
      </c>
      <c r="G86" s="563">
        <v>3.57529421316835E-2</v>
      </c>
      <c r="H86" s="564">
        <v>3.8510545136685101E-2</v>
      </c>
      <c r="I86" s="591"/>
      <c r="J86" s="590"/>
      <c r="K86" s="592"/>
      <c r="P86" s="558" t="s">
        <v>259</v>
      </c>
      <c r="Q86" s="563">
        <v>2.1607554583217399E-2</v>
      </c>
      <c r="R86" s="563"/>
      <c r="S86" s="563">
        <f t="shared" si="9"/>
        <v>3.0288783154835186E-2</v>
      </c>
      <c r="T86" s="563">
        <f t="shared" si="9"/>
        <v>2.7701948157953692E-2</v>
      </c>
      <c r="U86" s="563">
        <f t="shared" si="9"/>
        <v>3.4018958935521947E-2</v>
      </c>
      <c r="V86" s="564">
        <f t="shared" si="9"/>
        <v>4.1778318703076106E-2</v>
      </c>
      <c r="W86" s="569"/>
      <c r="Z86" s="570"/>
      <c r="AE86" s="569"/>
      <c r="AF86" s="569"/>
      <c r="AG86" s="569"/>
      <c r="AH86" s="569"/>
      <c r="AI86" s="569"/>
      <c r="AJ86" s="569"/>
      <c r="AK86" s="569"/>
      <c r="AL86" s="569"/>
      <c r="AM86" s="569"/>
      <c r="AN86" s="569"/>
      <c r="AO86" s="569"/>
      <c r="AP86" s="569"/>
      <c r="AQ86" s="569"/>
      <c r="AR86" s="569"/>
      <c r="AS86" s="569"/>
      <c r="AT86" s="569"/>
      <c r="AU86" s="569"/>
    </row>
    <row r="87" spans="1:47" ht="15.75" thickBot="1" x14ac:dyDescent="0.3">
      <c r="B87" s="558" t="s">
        <v>260</v>
      </c>
      <c r="C87" s="563">
        <v>0.29342492957963701</v>
      </c>
      <c r="D87" s="563"/>
      <c r="E87" s="563">
        <v>0.32368305478100801</v>
      </c>
      <c r="F87" s="563">
        <v>0.3338242928822</v>
      </c>
      <c r="G87" s="563">
        <v>0.34398778547901498</v>
      </c>
      <c r="H87" s="564">
        <v>0.35415127807583102</v>
      </c>
      <c r="I87" s="589"/>
      <c r="J87" s="590"/>
      <c r="K87" s="592"/>
      <c r="P87" s="558" t="s">
        <v>260</v>
      </c>
      <c r="Q87" s="563">
        <v>0.29342492957963701</v>
      </c>
      <c r="R87" s="563"/>
      <c r="S87" s="563">
        <f t="shared" si="9"/>
        <v>0.31242031234624618</v>
      </c>
      <c r="T87" s="563">
        <f t="shared" si="9"/>
        <v>0.31932487234932111</v>
      </c>
      <c r="U87" s="563">
        <f t="shared" si="9"/>
        <v>0.33326868660351672</v>
      </c>
      <c r="V87" s="564">
        <f t="shared" si="9"/>
        <v>0.34671134821303201</v>
      </c>
      <c r="W87" s="569"/>
      <c r="Z87" s="570"/>
      <c r="AE87" s="569"/>
      <c r="AF87" s="569"/>
      <c r="AG87" s="569"/>
      <c r="AH87" s="569"/>
      <c r="AI87" s="569"/>
      <c r="AJ87" s="569"/>
      <c r="AK87" s="569"/>
      <c r="AL87" s="569"/>
      <c r="AM87" s="569"/>
      <c r="AN87" s="569"/>
      <c r="AO87" s="569"/>
      <c r="AP87" s="569"/>
      <c r="AQ87" s="569"/>
      <c r="AR87" s="569"/>
      <c r="AS87" s="569"/>
      <c r="AT87" s="569"/>
      <c r="AU87" s="569"/>
    </row>
    <row r="88" spans="1:47" ht="15.75" thickBot="1" x14ac:dyDescent="0.3">
      <c r="B88" s="558" t="s">
        <v>218</v>
      </c>
      <c r="C88" s="563">
        <v>9.24652463867012E-2</v>
      </c>
      <c r="D88" s="563"/>
      <c r="E88" s="563">
        <v>0.16212282843344</v>
      </c>
      <c r="F88" s="563">
        <v>0.16844808352023799</v>
      </c>
      <c r="G88" s="563">
        <v>0.1746964208656</v>
      </c>
      <c r="H88" s="564">
        <v>0.18094475821096301</v>
      </c>
      <c r="I88" s="589"/>
      <c r="J88" s="590"/>
      <c r="K88" s="592"/>
      <c r="P88" s="558" t="s">
        <v>218</v>
      </c>
      <c r="Q88" s="563">
        <v>9.24652463867012E-2</v>
      </c>
      <c r="R88" s="563"/>
      <c r="S88" s="563">
        <f t="shared" si="9"/>
        <v>0.16315888913179483</v>
      </c>
      <c r="T88" s="563">
        <f t="shared" si="9"/>
        <v>0.16743013693812175</v>
      </c>
      <c r="U88" s="563">
        <f t="shared" si="9"/>
        <v>0.17443864217460775</v>
      </c>
      <c r="V88" s="564">
        <f t="shared" si="9"/>
        <v>0.18159446185263797</v>
      </c>
      <c r="W88" s="569"/>
      <c r="Z88" s="570"/>
      <c r="AE88" s="569"/>
      <c r="AF88" s="569"/>
      <c r="AG88" s="569"/>
      <c r="AH88" s="569"/>
      <c r="AI88" s="569"/>
      <c r="AJ88" s="569"/>
      <c r="AK88" s="569"/>
      <c r="AL88" s="569"/>
      <c r="AM88" s="569"/>
      <c r="AN88" s="569"/>
      <c r="AO88" s="569"/>
      <c r="AP88" s="569"/>
      <c r="AQ88" s="569"/>
      <c r="AR88" s="569"/>
      <c r="AS88" s="569"/>
      <c r="AT88" s="569"/>
      <c r="AU88" s="569"/>
    </row>
    <row r="89" spans="1:47" ht="15.75" thickBot="1" x14ac:dyDescent="0.3">
      <c r="B89" s="558" t="s">
        <v>219</v>
      </c>
      <c r="C89" s="563">
        <v>4.7677819276254398E-2</v>
      </c>
      <c r="D89" s="563"/>
      <c r="E89" s="563">
        <v>5.4813037868833001E-2</v>
      </c>
      <c r="F89" s="563">
        <v>5.5089802775586103E-2</v>
      </c>
      <c r="G89" s="563">
        <v>5.5381593154572001E-2</v>
      </c>
      <c r="H89" s="564">
        <v>5.5673383533558003E-2</v>
      </c>
      <c r="I89" s="589"/>
      <c r="J89" s="590"/>
      <c r="K89" s="592"/>
      <c r="P89" s="558" t="s">
        <v>219</v>
      </c>
      <c r="Q89" s="563">
        <v>4.7677819276254398E-2</v>
      </c>
      <c r="R89" s="563"/>
      <c r="S89" s="563">
        <f t="shared" si="9"/>
        <v>5.4998742548429562E-2</v>
      </c>
      <c r="T89" s="563">
        <f t="shared" si="9"/>
        <v>5.5154237456951132E-2</v>
      </c>
      <c r="U89" s="563">
        <f t="shared" si="9"/>
        <v>5.5284293386430143E-2</v>
      </c>
      <c r="V89" s="564">
        <f t="shared" si="9"/>
        <v>5.5740975513576881E-2</v>
      </c>
      <c r="W89" s="569"/>
      <c r="Z89" s="570"/>
      <c r="AE89" s="569"/>
      <c r="AF89" s="569"/>
      <c r="AG89" s="569"/>
      <c r="AH89" s="569"/>
      <c r="AI89" s="569"/>
      <c r="AJ89" s="569"/>
      <c r="AK89" s="569"/>
      <c r="AL89" s="569"/>
      <c r="AM89" s="569"/>
      <c r="AN89" s="569"/>
      <c r="AO89" s="569"/>
      <c r="AP89" s="569"/>
      <c r="AQ89" s="569"/>
      <c r="AR89" s="569"/>
      <c r="AS89" s="569"/>
      <c r="AT89" s="569"/>
      <c r="AU89" s="569"/>
    </row>
    <row r="90" spans="1:47" ht="15.75" thickBot="1" x14ac:dyDescent="0.3">
      <c r="B90" s="558" t="s">
        <v>89</v>
      </c>
      <c r="C90" s="563">
        <v>0.15673969511211</v>
      </c>
      <c r="D90" s="563"/>
      <c r="E90" s="563">
        <v>8.8185389396783095E-2</v>
      </c>
      <c r="F90" s="563">
        <v>7.67085498287189E-2</v>
      </c>
      <c r="G90" s="563">
        <v>7.0921182349727094E-2</v>
      </c>
      <c r="H90" s="564">
        <v>6.5133814870735302E-2</v>
      </c>
      <c r="I90" s="589"/>
      <c r="J90" s="590"/>
      <c r="K90" s="592"/>
      <c r="P90" s="558" t="s">
        <v>89</v>
      </c>
      <c r="Q90" s="563">
        <v>0.15673969511211</v>
      </c>
      <c r="R90" s="563"/>
      <c r="S90" s="563">
        <f t="shared" si="9"/>
        <v>9.1495756147042875E-2</v>
      </c>
      <c r="T90" s="563">
        <f t="shared" si="9"/>
        <v>7.5381134734789398E-2</v>
      </c>
      <c r="U90" s="563">
        <f t="shared" si="9"/>
        <v>5.9369842515662588E-2</v>
      </c>
      <c r="V90" s="564">
        <f t="shared" si="9"/>
        <v>4.5204409162019413E-2</v>
      </c>
      <c r="W90" s="569"/>
      <c r="Z90" s="570"/>
      <c r="AE90" s="569"/>
      <c r="AF90" s="569"/>
      <c r="AG90" s="569"/>
      <c r="AH90" s="569"/>
      <c r="AI90" s="569"/>
      <c r="AJ90" s="569"/>
      <c r="AK90" s="569"/>
      <c r="AL90" s="569"/>
      <c r="AM90" s="569"/>
      <c r="AN90" s="569"/>
      <c r="AO90" s="569"/>
      <c r="AP90" s="569"/>
      <c r="AQ90" s="569"/>
      <c r="AR90" s="569"/>
      <c r="AS90" s="569"/>
      <c r="AT90" s="569"/>
      <c r="AU90" s="569"/>
    </row>
    <row r="91" spans="1:47" ht="15.75" thickBot="1" x14ac:dyDescent="0.3">
      <c r="B91" s="558" t="s">
        <v>112</v>
      </c>
      <c r="C91" s="563">
        <v>2.3781035327071501E-2</v>
      </c>
      <c r="D91" s="563"/>
      <c r="E91" s="563">
        <v>1.41816055761948E-2</v>
      </c>
      <c r="F91" s="563">
        <v>1.25890586547942E-2</v>
      </c>
      <c r="G91" s="563">
        <v>1.1797064905597499E-2</v>
      </c>
      <c r="H91" s="564">
        <v>1.10050711564007E-2</v>
      </c>
      <c r="I91" s="589"/>
      <c r="J91" s="590"/>
      <c r="K91" s="592"/>
      <c r="P91" s="558" t="s">
        <v>112</v>
      </c>
      <c r="Q91" s="563">
        <v>2.3781035327071501E-2</v>
      </c>
      <c r="R91" s="563"/>
      <c r="S91" s="563">
        <f t="shared" si="9"/>
        <v>1.4226886249972042E-2</v>
      </c>
      <c r="T91" s="563">
        <f t="shared" si="9"/>
        <v>1.2598631443433221E-2</v>
      </c>
      <c r="U91" s="563">
        <f t="shared" si="9"/>
        <v>1.1773207172445049E-2</v>
      </c>
      <c r="V91" s="564">
        <f t="shared" si="9"/>
        <v>1.1015634766751723E-2</v>
      </c>
      <c r="W91" s="569"/>
      <c r="Z91" s="570"/>
      <c r="AE91" s="569"/>
      <c r="AF91" s="569"/>
      <c r="AG91" s="569"/>
      <c r="AH91" s="569"/>
      <c r="AI91" s="569"/>
      <c r="AJ91" s="569"/>
      <c r="AK91" s="569"/>
      <c r="AL91" s="569"/>
      <c r="AM91" s="569"/>
      <c r="AN91" s="569"/>
      <c r="AO91" s="569"/>
      <c r="AP91" s="569"/>
      <c r="AQ91" s="569"/>
      <c r="AR91" s="569"/>
      <c r="AS91" s="569"/>
      <c r="AT91" s="569"/>
      <c r="AU91" s="569"/>
    </row>
    <row r="92" spans="1:47" ht="15.75" thickBot="1" x14ac:dyDescent="0.3">
      <c r="B92" s="558" t="s">
        <v>90</v>
      </c>
      <c r="C92" s="563">
        <v>3.81198197602734E-3</v>
      </c>
      <c r="D92" s="563"/>
      <c r="E92" s="563">
        <v>0</v>
      </c>
      <c r="F92" s="563">
        <v>0</v>
      </c>
      <c r="G92" s="563">
        <v>0</v>
      </c>
      <c r="H92" s="564">
        <v>0</v>
      </c>
      <c r="I92" s="589"/>
      <c r="J92" s="590"/>
      <c r="K92" s="592"/>
      <c r="P92" s="558" t="s">
        <v>90</v>
      </c>
      <c r="Q92" s="563">
        <v>3.81198197602734E-3</v>
      </c>
      <c r="R92" s="563"/>
      <c r="S92" s="563">
        <f t="shared" si="9"/>
        <v>0</v>
      </c>
      <c r="T92" s="563">
        <f t="shared" si="9"/>
        <v>0</v>
      </c>
      <c r="U92" s="563">
        <f t="shared" si="9"/>
        <v>0</v>
      </c>
      <c r="V92" s="564">
        <f t="shared" si="9"/>
        <v>0</v>
      </c>
      <c r="W92" s="569"/>
      <c r="Z92" s="570"/>
      <c r="AE92" s="569"/>
      <c r="AF92" s="569"/>
      <c r="AG92" s="569"/>
      <c r="AH92" s="569"/>
      <c r="AI92" s="569"/>
      <c r="AJ92" s="569"/>
      <c r="AK92" s="569"/>
      <c r="AL92" s="569"/>
      <c r="AM92" s="569"/>
      <c r="AN92" s="569"/>
      <c r="AO92" s="569"/>
      <c r="AP92" s="569"/>
      <c r="AQ92" s="569"/>
      <c r="AR92" s="569"/>
      <c r="AS92" s="569"/>
      <c r="AT92" s="569"/>
      <c r="AU92" s="569"/>
    </row>
    <row r="93" spans="1:47" ht="15.75" thickBot="1" x14ac:dyDescent="0.3">
      <c r="B93" s="558" t="s">
        <v>261</v>
      </c>
      <c r="C93" s="563">
        <v>0</v>
      </c>
      <c r="D93" s="563"/>
      <c r="E93" s="563">
        <v>1.7463024416426299E-3</v>
      </c>
      <c r="F93" s="563">
        <v>1.8488749231310999E-3</v>
      </c>
      <c r="G93" s="563">
        <v>1.86893230887569E-3</v>
      </c>
      <c r="H93" s="564">
        <v>1.8889896946202901E-3</v>
      </c>
      <c r="I93" s="589"/>
      <c r="P93" s="558" t="s">
        <v>261</v>
      </c>
      <c r="Q93" s="563">
        <v>0</v>
      </c>
      <c r="R93" s="563"/>
      <c r="S93" s="563">
        <f t="shared" si="9"/>
        <v>1.7518782384557323E-3</v>
      </c>
      <c r="T93" s="563">
        <f t="shared" si="9"/>
        <v>1.8502808176736898E-3</v>
      </c>
      <c r="U93" s="563">
        <f t="shared" si="9"/>
        <v>1.8651526832940766E-3</v>
      </c>
      <c r="V93" s="564">
        <f t="shared" si="9"/>
        <v>1.8908029088019593E-3</v>
      </c>
      <c r="W93" s="569"/>
      <c r="Z93" s="570"/>
      <c r="AE93" s="569"/>
      <c r="AF93" s="569"/>
      <c r="AG93" s="569"/>
      <c r="AH93" s="569"/>
      <c r="AI93" s="569"/>
      <c r="AJ93" s="569"/>
      <c r="AK93" s="569"/>
      <c r="AL93" s="569"/>
      <c r="AM93" s="569"/>
      <c r="AN93" s="569"/>
      <c r="AO93" s="569"/>
      <c r="AP93" s="569"/>
      <c r="AQ93" s="569"/>
      <c r="AR93" s="569"/>
      <c r="AS93" s="569"/>
      <c r="AT93" s="569"/>
      <c r="AU93" s="569"/>
    </row>
    <row r="94" spans="1:47" x14ac:dyDescent="0.25">
      <c r="P94" s="496" t="s">
        <v>402</v>
      </c>
    </row>
    <row r="95" spans="1:47" x14ac:dyDescent="0.25">
      <c r="P95" s="496"/>
    </row>
    <row r="96" spans="1:47" ht="21" x14ac:dyDescent="0.35">
      <c r="A96" s="538" t="s">
        <v>262</v>
      </c>
      <c r="B96" s="501"/>
      <c r="C96" s="501"/>
      <c r="D96" s="501"/>
      <c r="E96" s="501"/>
      <c r="F96" s="501"/>
      <c r="G96" s="501"/>
      <c r="H96" s="496"/>
      <c r="I96" s="496"/>
      <c r="J96" s="539"/>
      <c r="K96" s="540"/>
      <c r="L96" s="540"/>
      <c r="M96" s="541"/>
      <c r="N96" s="496"/>
      <c r="O96" s="538" t="s">
        <v>262</v>
      </c>
      <c r="P96" s="501"/>
      <c r="Q96" s="501"/>
      <c r="R96" s="501"/>
      <c r="S96" s="501"/>
      <c r="T96" s="501"/>
      <c r="U96" s="501"/>
      <c r="V96" s="496"/>
      <c r="AG96" s="496"/>
      <c r="AH96" s="496"/>
      <c r="AI96" s="496"/>
      <c r="AJ96" s="496"/>
      <c r="AK96" s="496"/>
      <c r="AL96" s="496"/>
      <c r="AM96" s="496"/>
      <c r="AN96" s="496"/>
      <c r="AO96" s="496"/>
      <c r="AP96" s="496"/>
      <c r="AQ96" s="496"/>
      <c r="AR96" s="496"/>
      <c r="AS96" s="496"/>
      <c r="AT96" s="496"/>
      <c r="AU96" s="496"/>
    </row>
    <row r="97" spans="1:47" ht="15.75" thickBot="1" x14ac:dyDescent="0.3">
      <c r="A97" s="496"/>
      <c r="B97" s="496"/>
      <c r="C97" s="496"/>
      <c r="D97" s="496"/>
      <c r="E97" s="496"/>
      <c r="F97" s="496"/>
      <c r="G97" s="496"/>
      <c r="H97" s="496"/>
      <c r="I97" s="496"/>
      <c r="J97" s="539"/>
      <c r="K97" s="540"/>
      <c r="L97" s="540"/>
      <c r="M97" s="541"/>
      <c r="N97" s="496"/>
      <c r="O97" s="496"/>
      <c r="P97" s="496"/>
      <c r="Q97" s="496"/>
      <c r="R97" s="496"/>
      <c r="S97" s="496"/>
      <c r="T97" s="496"/>
      <c r="U97" s="496"/>
      <c r="V97" s="496"/>
      <c r="AG97" s="496"/>
      <c r="AH97" s="496"/>
      <c r="AI97" s="496"/>
      <c r="AJ97" s="496"/>
      <c r="AK97" s="496"/>
      <c r="AL97" s="496"/>
      <c r="AM97" s="496"/>
      <c r="AN97" s="496"/>
      <c r="AO97" s="496"/>
      <c r="AP97" s="496"/>
      <c r="AQ97" s="496"/>
      <c r="AR97" s="496"/>
      <c r="AS97" s="496"/>
      <c r="AT97" s="496"/>
      <c r="AU97" s="496"/>
    </row>
    <row r="98" spans="1:47" ht="15.75" thickBot="1" x14ac:dyDescent="0.3">
      <c r="A98" s="496"/>
      <c r="B98" s="143" t="s">
        <v>442</v>
      </c>
      <c r="C98" s="144">
        <v>2010</v>
      </c>
      <c r="D98" s="144">
        <v>2015</v>
      </c>
      <c r="E98" s="144">
        <v>2020</v>
      </c>
      <c r="F98" s="144">
        <v>2025</v>
      </c>
      <c r="G98" s="299">
        <v>2030</v>
      </c>
      <c r="H98" s="299">
        <v>2035</v>
      </c>
      <c r="J98" s="26"/>
      <c r="K98" s="540"/>
      <c r="L98" s="540"/>
      <c r="M98" s="541"/>
      <c r="N98" s="496"/>
      <c r="O98" s="496"/>
      <c r="P98" s="143" t="s">
        <v>442</v>
      </c>
      <c r="Q98" s="144">
        <v>2018</v>
      </c>
      <c r="R98" s="144">
        <v>2020</v>
      </c>
      <c r="S98" s="144">
        <v>2023</v>
      </c>
      <c r="T98" s="144">
        <v>2025</v>
      </c>
      <c r="U98" s="299">
        <v>2030</v>
      </c>
      <c r="V98" s="299">
        <v>2035</v>
      </c>
      <c r="AG98" s="496"/>
      <c r="AH98" s="496"/>
      <c r="AI98" s="496"/>
      <c r="AJ98" s="496"/>
      <c r="AK98" s="496"/>
      <c r="AL98" s="496"/>
      <c r="AM98" s="496"/>
      <c r="AN98" s="496"/>
      <c r="AO98" s="496"/>
      <c r="AP98" s="496"/>
      <c r="AQ98" s="496"/>
      <c r="AR98" s="496"/>
      <c r="AS98" s="496"/>
      <c r="AT98" s="496"/>
      <c r="AU98" s="496"/>
    </row>
    <row r="99" spans="1:47" ht="15.75" thickBot="1" x14ac:dyDescent="0.3">
      <c r="A99" s="496"/>
      <c r="B99" s="163" t="s">
        <v>536</v>
      </c>
      <c r="C99" s="598">
        <v>57.087258583804541</v>
      </c>
      <c r="D99" s="598">
        <v>70.170020692295708</v>
      </c>
      <c r="E99" s="598">
        <v>93.417322119472175</v>
      </c>
      <c r="F99" s="598">
        <v>117.04294965060615</v>
      </c>
      <c r="G99" s="598">
        <v>140.66857718174012</v>
      </c>
      <c r="H99" s="599">
        <v>165.93492135037951</v>
      </c>
      <c r="J99" s="26"/>
      <c r="K99" s="540"/>
      <c r="L99" s="540"/>
      <c r="M99" s="541"/>
      <c r="N99" s="496"/>
      <c r="O99" s="496"/>
      <c r="P99" s="163" t="s">
        <v>536</v>
      </c>
      <c r="Q99" s="598">
        <f>'Mix énergétique'!E35</f>
        <v>157.65734265734264</v>
      </c>
      <c r="R99" s="598">
        <f>'Mix énergétique'!F35</f>
        <v>189.18881118881117</v>
      </c>
      <c r="S99" s="598">
        <f>'Mix énergétique'!G35</f>
        <v>236.48601398601397</v>
      </c>
      <c r="T99" s="598">
        <f>'Mix énergétique'!H35</f>
        <v>275.83728671328674</v>
      </c>
      <c r="U99" s="598">
        <f>'Mix énergétique'!I35</f>
        <v>405.29546999616394</v>
      </c>
      <c r="V99" s="599">
        <f>'Mix énergétique'!J35</f>
        <v>595.51201346521577</v>
      </c>
      <c r="AG99" s="496"/>
      <c r="AH99" s="496"/>
      <c r="AI99" s="496"/>
      <c r="AJ99" s="496"/>
      <c r="AK99" s="496"/>
      <c r="AL99" s="496"/>
      <c r="AM99" s="496"/>
      <c r="AN99" s="496"/>
      <c r="AO99" s="496"/>
      <c r="AP99" s="496"/>
      <c r="AQ99" s="496"/>
      <c r="AR99" s="496"/>
      <c r="AS99" s="496"/>
      <c r="AT99" s="496"/>
      <c r="AU99" s="496"/>
    </row>
    <row r="100" spans="1:47" x14ac:dyDescent="0.25">
      <c r="P100" s="496" t="s">
        <v>537</v>
      </c>
    </row>
    <row r="102" spans="1:47" ht="21" x14ac:dyDescent="0.35">
      <c r="A102" s="538" t="s">
        <v>263</v>
      </c>
      <c r="B102" s="538"/>
      <c r="C102" s="538"/>
      <c r="D102" s="538"/>
      <c r="E102" s="538"/>
      <c r="F102" s="538"/>
      <c r="G102" s="538"/>
      <c r="H102" s="496"/>
      <c r="I102" s="496"/>
      <c r="J102" s="539"/>
      <c r="K102" s="540"/>
      <c r="L102" s="540"/>
      <c r="M102" s="541"/>
      <c r="N102" s="496"/>
      <c r="O102" s="538" t="s">
        <v>263</v>
      </c>
      <c r="P102" s="538"/>
      <c r="Q102" s="538"/>
      <c r="R102" s="538"/>
      <c r="S102" s="538"/>
      <c r="T102" s="538"/>
      <c r="U102" s="538"/>
      <c r="V102" s="496"/>
      <c r="AG102" s="496"/>
      <c r="AH102" s="496"/>
      <c r="AI102" s="496"/>
      <c r="AJ102" s="496"/>
      <c r="AK102" s="496"/>
      <c r="AL102" s="496"/>
      <c r="AM102" s="496"/>
      <c r="AN102" s="496"/>
      <c r="AO102" s="496"/>
      <c r="AP102" s="496"/>
      <c r="AQ102" s="496"/>
      <c r="AR102" s="496"/>
      <c r="AS102" s="496"/>
      <c r="AT102" s="496"/>
      <c r="AU102" s="496"/>
    </row>
    <row r="103" spans="1:47" x14ac:dyDescent="0.25">
      <c r="A103" s="496"/>
      <c r="B103" s="496"/>
      <c r="C103" s="496"/>
      <c r="D103" s="496"/>
      <c r="E103" s="496"/>
      <c r="F103" s="496"/>
      <c r="G103" s="496"/>
      <c r="H103" s="496"/>
      <c r="I103" s="496"/>
      <c r="J103" s="539"/>
      <c r="K103" s="540"/>
      <c r="L103" s="540"/>
      <c r="M103" s="541"/>
      <c r="N103" s="496"/>
      <c r="O103" s="496"/>
      <c r="P103" s="496"/>
      <c r="Q103" s="496"/>
      <c r="R103" s="496"/>
      <c r="S103" s="496"/>
      <c r="T103" s="496"/>
      <c r="U103" s="496"/>
      <c r="V103" s="496"/>
      <c r="AG103" s="496"/>
      <c r="AH103" s="496"/>
      <c r="AI103" s="496"/>
      <c r="AJ103" s="496"/>
      <c r="AK103" s="496"/>
      <c r="AL103" s="496"/>
      <c r="AM103" s="496"/>
      <c r="AN103" s="496"/>
      <c r="AO103" s="496"/>
      <c r="AP103" s="496"/>
      <c r="AQ103" s="496"/>
      <c r="AR103" s="496"/>
      <c r="AS103" s="496"/>
      <c r="AT103" s="496"/>
      <c r="AU103" s="496"/>
    </row>
    <row r="104" spans="1:47" ht="21.75" thickBot="1" x14ac:dyDescent="0.4">
      <c r="A104" s="496"/>
      <c r="B104" s="538" t="s">
        <v>264</v>
      </c>
      <c r="C104" s="538"/>
      <c r="D104" s="538"/>
      <c r="E104" s="538"/>
      <c r="F104" s="538"/>
      <c r="G104" s="538"/>
      <c r="H104" s="496"/>
      <c r="I104" s="496"/>
      <c r="J104" s="539"/>
      <c r="K104" s="540"/>
      <c r="L104" s="540"/>
      <c r="M104" s="541"/>
      <c r="N104" s="496"/>
      <c r="O104" s="496"/>
      <c r="P104" s="538" t="s">
        <v>264</v>
      </c>
      <c r="Q104" s="538"/>
      <c r="R104" s="538"/>
      <c r="S104" s="538"/>
      <c r="T104" s="538"/>
      <c r="U104" s="538"/>
      <c r="V104" s="496"/>
      <c r="AG104" s="496"/>
      <c r="AH104" s="496"/>
      <c r="AI104" s="496"/>
      <c r="AJ104" s="496"/>
      <c r="AK104" s="496"/>
      <c r="AL104" s="496"/>
      <c r="AM104" s="496"/>
      <c r="AN104" s="496"/>
      <c r="AO104" s="496"/>
      <c r="AP104" s="496"/>
      <c r="AQ104" s="496"/>
      <c r="AR104" s="496"/>
      <c r="AS104" s="496"/>
      <c r="AT104" s="496"/>
      <c r="AU104" s="496"/>
    </row>
    <row r="105" spans="1:47" ht="15.75" thickBot="1" x14ac:dyDescent="0.3">
      <c r="A105" s="496"/>
      <c r="B105" s="600"/>
      <c r="C105" s="602">
        <v>2010</v>
      </c>
      <c r="D105" s="602">
        <v>2020</v>
      </c>
      <c r="E105" s="602">
        <v>2025</v>
      </c>
      <c r="F105" s="602">
        <v>2030</v>
      </c>
      <c r="G105" s="601">
        <v>2035</v>
      </c>
      <c r="H105" s="496"/>
      <c r="I105" s="496"/>
      <c r="J105" s="539"/>
      <c r="K105" s="540"/>
      <c r="L105" s="540"/>
      <c r="M105" s="541"/>
      <c r="N105" s="496"/>
      <c r="O105" s="496"/>
      <c r="P105" s="600"/>
      <c r="Q105" s="602">
        <v>2010</v>
      </c>
      <c r="R105" s="602">
        <v>2020</v>
      </c>
      <c r="S105" s="602">
        <v>2025</v>
      </c>
      <c r="T105" s="602">
        <v>2030</v>
      </c>
      <c r="U105" s="601">
        <v>2035</v>
      </c>
      <c r="V105" s="496"/>
      <c r="AG105" s="496"/>
      <c r="AH105" s="496"/>
      <c r="AI105" s="496"/>
      <c r="AJ105" s="496"/>
      <c r="AK105" s="496"/>
      <c r="AL105" s="496"/>
      <c r="AM105" s="496"/>
      <c r="AN105" s="496"/>
      <c r="AO105" s="496"/>
      <c r="AP105" s="496"/>
      <c r="AQ105" s="496"/>
      <c r="AR105" s="496"/>
      <c r="AS105" s="496"/>
      <c r="AT105" s="496"/>
      <c r="AU105" s="496"/>
    </row>
    <row r="106" spans="1:47" ht="15.75" thickBot="1" x14ac:dyDescent="0.3">
      <c r="A106" s="496"/>
      <c r="B106" s="605" t="s">
        <v>265</v>
      </c>
      <c r="C106" s="603">
        <v>361.72153068973489</v>
      </c>
      <c r="D106" s="603">
        <v>311.41588799238707</v>
      </c>
      <c r="E106" s="603">
        <v>283.16495425436074</v>
      </c>
      <c r="F106" s="603">
        <v>255.38334273359652</v>
      </c>
      <c r="G106" s="604">
        <v>233.31257681526193</v>
      </c>
      <c r="H106" s="496"/>
      <c r="I106" s="496"/>
      <c r="J106" s="539"/>
      <c r="K106" s="540"/>
      <c r="L106" s="540"/>
      <c r="M106" s="541"/>
      <c r="N106" s="496"/>
      <c r="O106" s="496"/>
      <c r="P106" s="605" t="s">
        <v>265</v>
      </c>
      <c r="Q106" s="603">
        <v>361.72153068973489</v>
      </c>
      <c r="R106" s="603">
        <v>311.41588799238707</v>
      </c>
      <c r="S106" s="603">
        <v>283.16495425436074</v>
      </c>
      <c r="T106" s="603">
        <v>255.38334273359652</v>
      </c>
      <c r="U106" s="604">
        <v>233.31257681526193</v>
      </c>
      <c r="V106" s="496"/>
      <c r="AG106" s="496"/>
      <c r="AH106" s="496"/>
      <c r="AI106" s="496"/>
      <c r="AJ106" s="496"/>
      <c r="AK106" s="496"/>
      <c r="AL106" s="496"/>
      <c r="AM106" s="496"/>
      <c r="AN106" s="496"/>
      <c r="AO106" s="496"/>
      <c r="AP106" s="496"/>
      <c r="AQ106" s="496"/>
      <c r="AR106" s="496"/>
      <c r="AS106" s="496"/>
      <c r="AT106" s="496"/>
      <c r="AU106" s="496"/>
    </row>
    <row r="107" spans="1:47" x14ac:dyDescent="0.25">
      <c r="A107" s="496"/>
      <c r="B107" s="496"/>
      <c r="C107" s="496"/>
      <c r="D107" s="496"/>
      <c r="E107" s="496"/>
      <c r="F107" s="496"/>
      <c r="G107" s="496"/>
      <c r="H107" s="496"/>
      <c r="I107" s="496"/>
      <c r="J107" s="539"/>
      <c r="K107" s="540"/>
      <c r="L107" s="540"/>
      <c r="M107" s="541"/>
      <c r="N107" s="496"/>
      <c r="O107" s="496"/>
      <c r="P107" s="496" t="s">
        <v>529</v>
      </c>
      <c r="Q107" s="496"/>
      <c r="R107" s="496"/>
      <c r="S107" s="496"/>
      <c r="T107" s="496"/>
      <c r="U107" s="496"/>
      <c r="V107" s="496"/>
      <c r="AG107" s="496"/>
      <c r="AH107" s="496"/>
      <c r="AI107" s="496"/>
      <c r="AJ107" s="496"/>
      <c r="AK107" s="496"/>
      <c r="AL107" s="496"/>
      <c r="AM107" s="496"/>
      <c r="AN107" s="496"/>
      <c r="AO107" s="496"/>
      <c r="AP107" s="496"/>
      <c r="AQ107" s="496"/>
      <c r="AR107" s="496"/>
      <c r="AS107" s="496"/>
      <c r="AT107" s="496"/>
      <c r="AU107" s="496"/>
    </row>
    <row r="108" spans="1:47" x14ac:dyDescent="0.25">
      <c r="A108" s="496"/>
      <c r="B108" s="496"/>
      <c r="C108" s="496"/>
      <c r="D108" s="496"/>
      <c r="E108" s="496"/>
      <c r="F108" s="496"/>
      <c r="G108" s="496"/>
      <c r="H108" s="496"/>
      <c r="I108" s="496"/>
      <c r="J108" s="539"/>
      <c r="K108" s="540"/>
      <c r="L108" s="540"/>
      <c r="M108" s="541"/>
      <c r="N108" s="496"/>
      <c r="O108" s="496"/>
      <c r="P108" s="496"/>
      <c r="Q108" s="496"/>
      <c r="R108" s="496"/>
      <c r="S108" s="496"/>
      <c r="T108" s="496"/>
      <c r="U108" s="496"/>
      <c r="V108" s="496"/>
      <c r="AG108" s="496"/>
      <c r="AH108" s="496"/>
      <c r="AI108" s="496"/>
      <c r="AJ108" s="496"/>
      <c r="AK108" s="496"/>
      <c r="AL108" s="496"/>
      <c r="AM108" s="496"/>
      <c r="AN108" s="496"/>
      <c r="AO108" s="496"/>
      <c r="AP108" s="496"/>
      <c r="AQ108" s="496"/>
      <c r="AR108" s="496"/>
      <c r="AS108" s="496"/>
      <c r="AT108" s="496"/>
      <c r="AU108" s="496"/>
    </row>
    <row r="109" spans="1:47" ht="21.75" thickBot="1" x14ac:dyDescent="0.4">
      <c r="A109" s="496"/>
      <c r="B109" s="538" t="s">
        <v>266</v>
      </c>
      <c r="C109" s="538"/>
      <c r="D109" s="538"/>
      <c r="E109" s="538"/>
      <c r="F109" s="538"/>
      <c r="G109" s="538"/>
      <c r="H109" s="496"/>
      <c r="I109" s="496"/>
      <c r="J109" s="539"/>
      <c r="K109" s="540"/>
      <c r="L109" s="540"/>
      <c r="M109" s="541"/>
      <c r="N109" s="496"/>
      <c r="O109" s="496"/>
      <c r="P109" s="538" t="s">
        <v>267</v>
      </c>
      <c r="Q109" s="538"/>
      <c r="R109" s="538"/>
      <c r="S109" s="538"/>
      <c r="T109" s="538"/>
      <c r="U109" s="538"/>
      <c r="V109" s="496"/>
      <c r="AG109" s="496"/>
      <c r="AH109" s="496"/>
      <c r="AI109" s="496"/>
      <c r="AJ109" s="496"/>
      <c r="AK109" s="496"/>
      <c r="AL109" s="496"/>
      <c r="AM109" s="496"/>
      <c r="AN109" s="496"/>
      <c r="AO109" s="496"/>
      <c r="AP109" s="496"/>
      <c r="AQ109" s="496"/>
      <c r="AR109" s="496"/>
      <c r="AS109" s="496"/>
      <c r="AT109" s="496"/>
      <c r="AU109" s="496"/>
    </row>
    <row r="110" spans="1:47" ht="15.75" thickBot="1" x14ac:dyDescent="0.3">
      <c r="A110" s="496"/>
      <c r="B110" s="610" t="s">
        <v>268</v>
      </c>
      <c r="C110" s="611">
        <v>2010</v>
      </c>
      <c r="D110" s="611">
        <v>2020</v>
      </c>
      <c r="E110" s="611">
        <v>2025</v>
      </c>
      <c r="F110" s="611">
        <v>2030</v>
      </c>
      <c r="G110" s="612">
        <v>2035</v>
      </c>
      <c r="H110" s="496"/>
      <c r="I110" s="496"/>
      <c r="J110" s="539"/>
      <c r="K110" s="540"/>
      <c r="L110" s="540"/>
      <c r="M110" s="541"/>
      <c r="N110" s="496"/>
      <c r="O110" s="496"/>
      <c r="P110" s="610" t="s">
        <v>268</v>
      </c>
      <c r="Q110" s="611">
        <v>2010</v>
      </c>
      <c r="R110" s="611">
        <v>2020</v>
      </c>
      <c r="S110" s="611">
        <v>2025</v>
      </c>
      <c r="T110" s="611">
        <v>2030</v>
      </c>
      <c r="U110" s="612">
        <v>2035</v>
      </c>
      <c r="AG110" s="496"/>
      <c r="AH110" s="496"/>
      <c r="AI110" s="496"/>
      <c r="AJ110" s="496"/>
      <c r="AK110" s="496"/>
      <c r="AL110" s="496"/>
      <c r="AM110" s="496"/>
      <c r="AN110" s="496"/>
      <c r="AO110" s="496"/>
      <c r="AP110" s="496"/>
      <c r="AQ110" s="496"/>
      <c r="AR110" s="496"/>
      <c r="AS110" s="496"/>
      <c r="AT110" s="496"/>
      <c r="AU110" s="496"/>
    </row>
    <row r="111" spans="1:47" ht="15.75" thickBot="1" x14ac:dyDescent="0.3">
      <c r="A111" s="496"/>
      <c r="B111" s="606" t="s">
        <v>538</v>
      </c>
      <c r="C111" s="607">
        <v>1</v>
      </c>
      <c r="D111" s="608">
        <v>0.84</v>
      </c>
      <c r="E111" s="608">
        <v>0.76</v>
      </c>
      <c r="F111" s="608">
        <v>0.69</v>
      </c>
      <c r="G111" s="609">
        <v>0.59</v>
      </c>
      <c r="H111" s="496"/>
      <c r="I111" s="496"/>
      <c r="J111" s="539"/>
      <c r="K111" s="540"/>
      <c r="L111" s="540"/>
      <c r="M111" s="541"/>
      <c r="N111" s="496"/>
      <c r="O111" s="496"/>
      <c r="P111" s="606" t="s">
        <v>538</v>
      </c>
      <c r="Q111" s="607">
        <v>1</v>
      </c>
      <c r="R111" s="608">
        <v>0.84</v>
      </c>
      <c r="S111" s="608">
        <v>0.76</v>
      </c>
      <c r="T111" s="608">
        <v>0.69</v>
      </c>
      <c r="U111" s="609">
        <v>0.59</v>
      </c>
      <c r="AG111" s="496"/>
      <c r="AH111" s="496"/>
      <c r="AI111" s="496"/>
      <c r="AJ111" s="496"/>
      <c r="AK111" s="496"/>
      <c r="AL111" s="496"/>
      <c r="AM111" s="496"/>
      <c r="AN111" s="496"/>
      <c r="AO111" s="496"/>
      <c r="AP111" s="496"/>
      <c r="AQ111" s="496"/>
      <c r="AR111" s="496"/>
      <c r="AS111" s="496"/>
      <c r="AT111" s="496"/>
      <c r="AU111" s="496"/>
    </row>
    <row r="112" spans="1:47" ht="15.75" thickBot="1" x14ac:dyDescent="0.3">
      <c r="A112" s="496"/>
      <c r="B112" s="606" t="s">
        <v>539</v>
      </c>
      <c r="C112" s="607">
        <v>1</v>
      </c>
      <c r="D112" s="608">
        <v>0.68</v>
      </c>
      <c r="E112" s="608">
        <v>0.55000000000000004</v>
      </c>
      <c r="F112" s="608">
        <v>0.41</v>
      </c>
      <c r="G112" s="609">
        <v>0.3</v>
      </c>
      <c r="H112" s="496"/>
      <c r="I112" s="496"/>
      <c r="J112" s="539"/>
      <c r="K112" s="540"/>
      <c r="L112" s="540"/>
      <c r="M112" s="541"/>
      <c r="N112" s="496"/>
      <c r="O112" s="496"/>
      <c r="P112" s="606" t="s">
        <v>539</v>
      </c>
      <c r="Q112" s="607">
        <v>1</v>
      </c>
      <c r="R112" s="608">
        <v>0.68</v>
      </c>
      <c r="S112" s="608">
        <v>0.55000000000000004</v>
      </c>
      <c r="T112" s="608">
        <v>0.41</v>
      </c>
      <c r="U112" s="609">
        <v>0.3</v>
      </c>
      <c r="AG112" s="496"/>
      <c r="AH112" s="496"/>
      <c r="AI112" s="496"/>
      <c r="AJ112" s="496"/>
      <c r="AK112" s="496"/>
      <c r="AL112" s="496"/>
      <c r="AM112" s="496"/>
      <c r="AN112" s="496"/>
      <c r="AO112" s="496"/>
      <c r="AP112" s="496"/>
      <c r="AQ112" s="496"/>
      <c r="AR112" s="496"/>
      <c r="AS112" s="496"/>
      <c r="AT112" s="496"/>
      <c r="AU112" s="496"/>
    </row>
    <row r="113" spans="1:47" ht="15.75" thickBot="1" x14ac:dyDescent="0.3">
      <c r="A113" s="496"/>
      <c r="B113" s="606" t="s">
        <v>540</v>
      </c>
      <c r="C113" s="607">
        <v>1</v>
      </c>
      <c r="D113" s="608">
        <v>0.81</v>
      </c>
      <c r="E113" s="608">
        <v>0.73</v>
      </c>
      <c r="F113" s="608">
        <v>0.65</v>
      </c>
      <c r="G113" s="609">
        <v>0.56000000000000005</v>
      </c>
      <c r="H113" s="496"/>
      <c r="I113" s="496"/>
      <c r="J113" s="539"/>
      <c r="K113" s="540"/>
      <c r="L113" s="540"/>
      <c r="M113" s="541"/>
      <c r="N113" s="496"/>
      <c r="O113" s="496"/>
      <c r="P113" s="606" t="s">
        <v>540</v>
      </c>
      <c r="Q113" s="607">
        <v>1</v>
      </c>
      <c r="R113" s="608">
        <v>0.81</v>
      </c>
      <c r="S113" s="608">
        <v>0.73</v>
      </c>
      <c r="T113" s="608">
        <v>0.65</v>
      </c>
      <c r="U113" s="609">
        <v>0.56000000000000005</v>
      </c>
      <c r="AG113" s="496"/>
      <c r="AH113" s="496"/>
      <c r="AI113" s="496"/>
      <c r="AJ113" s="496"/>
      <c r="AK113" s="496"/>
      <c r="AL113" s="496"/>
      <c r="AM113" s="496"/>
      <c r="AN113" s="496"/>
      <c r="AO113" s="496"/>
      <c r="AP113" s="496"/>
      <c r="AQ113" s="496"/>
      <c r="AR113" s="496"/>
      <c r="AS113" s="496"/>
      <c r="AT113" s="496"/>
      <c r="AU113" s="496"/>
    </row>
    <row r="114" spans="1:47" ht="15.75" thickBot="1" x14ac:dyDescent="0.3">
      <c r="A114" s="496"/>
      <c r="B114" s="606" t="s">
        <v>541</v>
      </c>
      <c r="C114" s="607">
        <v>1</v>
      </c>
      <c r="D114" s="608">
        <v>0.83</v>
      </c>
      <c r="E114" s="608">
        <v>0.65</v>
      </c>
      <c r="F114" s="608">
        <v>0.47</v>
      </c>
      <c r="G114" s="609">
        <v>0.28999999999999998</v>
      </c>
      <c r="H114" s="496"/>
      <c r="I114" s="496"/>
      <c r="J114" s="539"/>
      <c r="K114" s="540"/>
      <c r="L114" s="540"/>
      <c r="M114" s="541"/>
      <c r="N114" s="496"/>
      <c r="O114" s="496"/>
      <c r="P114" s="606" t="s">
        <v>541</v>
      </c>
      <c r="Q114" s="607">
        <v>1</v>
      </c>
      <c r="R114" s="608">
        <v>0.83</v>
      </c>
      <c r="S114" s="608">
        <v>0.65</v>
      </c>
      <c r="T114" s="608">
        <v>0.47</v>
      </c>
      <c r="U114" s="609">
        <v>0.28999999999999998</v>
      </c>
      <c r="AG114" s="496"/>
      <c r="AH114" s="496"/>
      <c r="AI114" s="496"/>
      <c r="AJ114" s="496"/>
      <c r="AK114" s="496"/>
      <c r="AL114" s="496"/>
      <c r="AM114" s="496"/>
      <c r="AN114" s="496"/>
      <c r="AO114" s="496"/>
      <c r="AP114" s="496"/>
      <c r="AQ114" s="496"/>
      <c r="AR114" s="496"/>
      <c r="AS114" s="496"/>
      <c r="AT114" s="496"/>
      <c r="AU114" s="496"/>
    </row>
    <row r="115" spans="1:47" ht="15.75" thickBot="1" x14ac:dyDescent="0.3">
      <c r="A115" s="496"/>
      <c r="B115" s="606" t="s">
        <v>542</v>
      </c>
      <c r="C115" s="607">
        <v>1</v>
      </c>
      <c r="D115" s="608">
        <v>0.8</v>
      </c>
      <c r="E115" s="608">
        <v>0.73</v>
      </c>
      <c r="F115" s="608">
        <v>0.66</v>
      </c>
      <c r="G115" s="609">
        <v>0.59</v>
      </c>
      <c r="H115" s="496"/>
      <c r="I115" s="496"/>
      <c r="J115" s="539"/>
      <c r="K115" s="540"/>
      <c r="L115" s="540"/>
      <c r="M115" s="541"/>
      <c r="N115" s="496"/>
      <c r="O115" s="496"/>
      <c r="P115" s="606" t="s">
        <v>542</v>
      </c>
      <c r="Q115" s="607">
        <v>1</v>
      </c>
      <c r="R115" s="608">
        <v>0.8</v>
      </c>
      <c r="S115" s="608">
        <v>0.73</v>
      </c>
      <c r="T115" s="608">
        <v>0.66</v>
      </c>
      <c r="U115" s="609">
        <v>0.59</v>
      </c>
      <c r="AG115" s="496"/>
      <c r="AH115" s="496"/>
      <c r="AI115" s="496"/>
      <c r="AJ115" s="496"/>
      <c r="AK115" s="496"/>
      <c r="AL115" s="496"/>
      <c r="AM115" s="496"/>
      <c r="AN115" s="496"/>
      <c r="AO115" s="496"/>
      <c r="AP115" s="496"/>
      <c r="AQ115" s="496"/>
      <c r="AR115" s="496"/>
      <c r="AS115" s="496"/>
      <c r="AT115" s="496"/>
      <c r="AU115" s="496"/>
    </row>
    <row r="116" spans="1:47" ht="15.75" thickBot="1" x14ac:dyDescent="0.3">
      <c r="A116" s="496"/>
      <c r="B116" s="606" t="s">
        <v>543</v>
      </c>
      <c r="C116" s="607">
        <v>1</v>
      </c>
      <c r="D116" s="608">
        <v>0.75</v>
      </c>
      <c r="E116" s="608">
        <v>0.57999999999999996</v>
      </c>
      <c r="F116" s="608">
        <v>0.41</v>
      </c>
      <c r="G116" s="609">
        <v>0.28000000000000003</v>
      </c>
      <c r="H116" s="496"/>
      <c r="I116" s="496"/>
      <c r="J116" s="539"/>
      <c r="K116" s="540"/>
      <c r="L116" s="540"/>
      <c r="M116" s="541"/>
      <c r="N116" s="496"/>
      <c r="O116" s="496"/>
      <c r="P116" s="606" t="s">
        <v>543</v>
      </c>
      <c r="Q116" s="607">
        <v>1</v>
      </c>
      <c r="R116" s="608">
        <v>0.75</v>
      </c>
      <c r="S116" s="608">
        <v>0.57999999999999996</v>
      </c>
      <c r="T116" s="608">
        <v>0.41</v>
      </c>
      <c r="U116" s="609">
        <v>0.28000000000000003</v>
      </c>
      <c r="AG116" s="496"/>
      <c r="AH116" s="496"/>
      <c r="AI116" s="496"/>
      <c r="AJ116" s="496"/>
      <c r="AK116" s="496"/>
      <c r="AL116" s="496"/>
      <c r="AM116" s="496"/>
      <c r="AN116" s="496"/>
      <c r="AO116" s="496"/>
      <c r="AP116" s="496"/>
      <c r="AQ116" s="496"/>
      <c r="AR116" s="496"/>
      <c r="AS116" s="496"/>
      <c r="AT116" s="496"/>
      <c r="AU116" s="496"/>
    </row>
    <row r="117" spans="1:47" x14ac:dyDescent="0.25">
      <c r="P117" s="496" t="s">
        <v>529</v>
      </c>
    </row>
  </sheetData>
  <mergeCells count="8">
    <mergeCell ref="X3:AE3"/>
    <mergeCell ref="A3:G3"/>
    <mergeCell ref="O3:U3"/>
    <mergeCell ref="J4:M8"/>
    <mergeCell ref="C18:D18"/>
    <mergeCell ref="E18:F18"/>
    <mergeCell ref="Q18:R18"/>
    <mergeCell ref="S18:T18"/>
  </mergeCells>
  <conditionalFormatting sqref="I44:I49">
    <cfRule type="cellIs" dxfId="0" priority="2" operator="lessThan">
      <formula>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166"/>
  <sheetViews>
    <sheetView topLeftCell="A26" zoomScale="70" zoomScaleNormal="70" workbookViewId="0">
      <selection activeCell="A30" sqref="A30"/>
    </sheetView>
  </sheetViews>
  <sheetFormatPr baseColWidth="10" defaultRowHeight="15" x14ac:dyDescent="0.25"/>
  <cols>
    <col min="1" max="1" width="38" customWidth="1"/>
    <col min="2" max="2" width="48.85546875" customWidth="1"/>
    <col min="3" max="3" width="41.5703125" customWidth="1"/>
    <col min="4" max="4" width="39.7109375" customWidth="1"/>
    <col min="66" max="71" width="14.42578125" customWidth="1"/>
  </cols>
  <sheetData>
    <row r="1" spans="1:3" s="694" customFormat="1" ht="18.75" x14ac:dyDescent="0.3">
      <c r="A1" s="693" t="s">
        <v>592</v>
      </c>
    </row>
    <row r="2" spans="1:3" s="3" customFormat="1" x14ac:dyDescent="0.25">
      <c r="A2" s="615"/>
      <c r="B2" s="616"/>
      <c r="C2" s="616"/>
    </row>
    <row r="3" spans="1:3" s="3" customFormat="1" x14ac:dyDescent="0.25">
      <c r="A3" s="616"/>
      <c r="B3" s="616" t="s">
        <v>325</v>
      </c>
      <c r="C3" s="616" t="s">
        <v>593</v>
      </c>
    </row>
    <row r="4" spans="1:3" s="3" customFormat="1" x14ac:dyDescent="0.25">
      <c r="A4" s="616" t="s">
        <v>594</v>
      </c>
      <c r="B4" s="616"/>
      <c r="C4" s="616"/>
    </row>
    <row r="5" spans="1:3" s="619" customFormat="1" ht="30" x14ac:dyDescent="0.25">
      <c r="A5" s="617" t="s">
        <v>225</v>
      </c>
      <c r="B5" s="618" t="s">
        <v>595</v>
      </c>
      <c r="C5" s="618" t="s">
        <v>596</v>
      </c>
    </row>
    <row r="6" spans="1:3" s="3" customFormat="1" ht="120" x14ac:dyDescent="0.25">
      <c r="A6" s="615" t="s">
        <v>597</v>
      </c>
      <c r="B6" s="618" t="s">
        <v>598</v>
      </c>
      <c r="C6" s="618" t="s">
        <v>599</v>
      </c>
    </row>
    <row r="7" spans="1:3" s="3" customFormat="1" ht="102" x14ac:dyDescent="0.25">
      <c r="A7" s="615" t="s">
        <v>600</v>
      </c>
      <c r="B7" s="618" t="s">
        <v>601</v>
      </c>
      <c r="C7" s="620" t="s">
        <v>602</v>
      </c>
    </row>
    <row r="8" spans="1:3" s="3" customFormat="1" x14ac:dyDescent="0.25">
      <c r="A8" s="615" t="s">
        <v>603</v>
      </c>
      <c r="B8" s="620" t="s">
        <v>604</v>
      </c>
      <c r="C8" s="620" t="s">
        <v>605</v>
      </c>
    </row>
    <row r="9" spans="1:3" x14ac:dyDescent="0.25">
      <c r="A9" s="613" t="s">
        <v>606</v>
      </c>
      <c r="B9" s="621" t="s">
        <v>607</v>
      </c>
      <c r="C9" s="621" t="s">
        <v>607</v>
      </c>
    </row>
    <row r="10" spans="1:3" x14ac:dyDescent="0.25">
      <c r="B10" s="621"/>
      <c r="C10" s="621"/>
    </row>
    <row r="11" spans="1:3" s="3" customFormat="1" x14ac:dyDescent="0.25">
      <c r="A11" s="615" t="s">
        <v>608</v>
      </c>
      <c r="B11" s="618"/>
      <c r="C11" s="618"/>
    </row>
    <row r="12" spans="1:3" s="3" customFormat="1" x14ac:dyDescent="0.25">
      <c r="A12" s="615" t="s">
        <v>724</v>
      </c>
      <c r="B12" s="618"/>
      <c r="C12" s="618"/>
    </row>
    <row r="13" spans="1:3" x14ac:dyDescent="0.25">
      <c r="A13" s="620" t="s">
        <v>609</v>
      </c>
      <c r="B13" s="825">
        <v>2.253454919749449E-2</v>
      </c>
      <c r="C13" s="826">
        <v>1.8962083501131398E-2</v>
      </c>
    </row>
    <row r="14" spans="1:3" x14ac:dyDescent="0.25">
      <c r="A14" s="620" t="s">
        <v>610</v>
      </c>
      <c r="B14" s="825">
        <v>1.9100912695601924E-2</v>
      </c>
      <c r="C14" s="827">
        <v>1.9753059517833949E-2</v>
      </c>
    </row>
    <row r="15" spans="1:3" x14ac:dyDescent="0.25">
      <c r="A15" s="620" t="s">
        <v>611</v>
      </c>
      <c r="B15" s="825">
        <v>1.0999999999999999E-2</v>
      </c>
      <c r="C15" s="825">
        <v>1.0999999999999999E-2</v>
      </c>
    </row>
    <row r="16" spans="1:3" ht="25.5" x14ac:dyDescent="0.25">
      <c r="A16" s="620" t="s">
        <v>612</v>
      </c>
      <c r="B16" s="825">
        <v>1.2E-2</v>
      </c>
      <c r="C16" s="825">
        <v>1.2E-2</v>
      </c>
    </row>
    <row r="17" spans="1:24" ht="75" x14ac:dyDescent="0.25">
      <c r="A17" s="615" t="s">
        <v>613</v>
      </c>
      <c r="B17" s="618" t="s">
        <v>614</v>
      </c>
      <c r="C17" s="618" t="s">
        <v>615</v>
      </c>
    </row>
    <row r="18" spans="1:24" x14ac:dyDescent="0.25">
      <c r="A18" s="615"/>
      <c r="B18" s="618"/>
      <c r="C18" s="618"/>
    </row>
    <row r="19" spans="1:24" s="694" customFormat="1" ht="18.75" x14ac:dyDescent="0.3">
      <c r="A19" s="693" t="s">
        <v>616</v>
      </c>
    </row>
    <row r="20" spans="1:24" ht="18.75" x14ac:dyDescent="0.3">
      <c r="A20" s="622"/>
      <c r="B20" s="616" t="s">
        <v>325</v>
      </c>
      <c r="C20" s="616" t="s">
        <v>593</v>
      </c>
    </row>
    <row r="21" spans="1:24" s="3" customFormat="1" ht="45" x14ac:dyDescent="0.25">
      <c r="A21" s="623"/>
      <c r="C21" s="3" t="s">
        <v>617</v>
      </c>
    </row>
    <row r="22" spans="1:24" x14ac:dyDescent="0.25">
      <c r="A22" s="613" t="s">
        <v>618</v>
      </c>
    </row>
    <row r="26" spans="1:24" s="694" customFormat="1" ht="18.75" x14ac:dyDescent="0.3">
      <c r="A26" s="693" t="s">
        <v>619</v>
      </c>
    </row>
    <row r="27" spans="1:24" s="614" customFormat="1" x14ac:dyDescent="0.25"/>
    <row r="28" spans="1:24" s="694" customFormat="1" ht="18.75" x14ac:dyDescent="0.3">
      <c r="A28" s="693" t="s">
        <v>620</v>
      </c>
    </row>
    <row r="29" spans="1:24" s="694" customFormat="1" ht="18.75" x14ac:dyDescent="0.3">
      <c r="A29" s="693" t="s">
        <v>621</v>
      </c>
    </row>
    <row r="30" spans="1:24" s="3" customFormat="1" ht="43.5" customHeight="1" x14ac:dyDescent="0.3">
      <c r="B30" s="854" t="s">
        <v>622</v>
      </c>
      <c r="C30" s="854"/>
      <c r="D30" s="854"/>
      <c r="E30" s="854"/>
      <c r="F30" s="854"/>
      <c r="G30" s="854"/>
      <c r="H30" s="854"/>
      <c r="J30" s="854" t="s">
        <v>623</v>
      </c>
      <c r="K30" s="854"/>
      <c r="L30" s="854"/>
      <c r="M30" s="854"/>
      <c r="N30" s="854"/>
      <c r="O30" s="854"/>
      <c r="P30" s="854"/>
      <c r="R30" s="854" t="s">
        <v>624</v>
      </c>
      <c r="S30" s="854"/>
      <c r="T30" s="854"/>
      <c r="U30" s="854"/>
      <c r="V30" s="854"/>
      <c r="W30" s="854"/>
      <c r="X30" s="854"/>
    </row>
    <row r="31" spans="1:24" x14ac:dyDescent="0.25">
      <c r="C31" s="624" t="s">
        <v>241</v>
      </c>
      <c r="D31" s="624" t="s">
        <v>243</v>
      </c>
      <c r="E31" s="624" t="s">
        <v>244</v>
      </c>
      <c r="F31" s="624" t="s">
        <v>245</v>
      </c>
      <c r="G31" s="624" t="s">
        <v>246</v>
      </c>
      <c r="H31" s="625" t="s">
        <v>247</v>
      </c>
      <c r="K31" s="624" t="s">
        <v>241</v>
      </c>
      <c r="L31" s="624" t="s">
        <v>243</v>
      </c>
      <c r="M31" s="624" t="s">
        <v>244</v>
      </c>
      <c r="N31" s="624" t="s">
        <v>245</v>
      </c>
      <c r="O31" s="624" t="s">
        <v>246</v>
      </c>
      <c r="P31" s="625" t="s">
        <v>247</v>
      </c>
      <c r="S31" s="624" t="s">
        <v>241</v>
      </c>
      <c r="T31" s="624" t="s">
        <v>243</v>
      </c>
      <c r="U31" s="624" t="s">
        <v>244</v>
      </c>
      <c r="V31" s="624" t="s">
        <v>245</v>
      </c>
      <c r="W31" s="624" t="s">
        <v>246</v>
      </c>
      <c r="X31" s="625" t="s">
        <v>247</v>
      </c>
    </row>
    <row r="32" spans="1:24" ht="33" customHeight="1" x14ac:dyDescent="0.25">
      <c r="C32" s="855" t="s">
        <v>242</v>
      </c>
      <c r="D32" s="856"/>
      <c r="E32" s="856"/>
      <c r="F32" s="856"/>
      <c r="G32" s="856"/>
      <c r="H32" s="856"/>
      <c r="K32" s="855" t="s">
        <v>242</v>
      </c>
      <c r="L32" s="856"/>
      <c r="M32" s="856"/>
      <c r="N32" s="856"/>
      <c r="O32" s="856"/>
      <c r="P32" s="856"/>
      <c r="S32" s="855" t="s">
        <v>242</v>
      </c>
      <c r="T32" s="856"/>
      <c r="U32" s="856"/>
      <c r="V32" s="856"/>
      <c r="W32" s="856"/>
      <c r="X32" s="856"/>
    </row>
    <row r="33" spans="2:24" x14ac:dyDescent="0.25">
      <c r="B33">
        <v>2008</v>
      </c>
      <c r="C33" s="4">
        <v>1.0392635813417646</v>
      </c>
      <c r="D33" s="4">
        <v>1.0114256471357519</v>
      </c>
      <c r="E33" s="4">
        <v>1.0091611940213576</v>
      </c>
      <c r="F33" s="4">
        <v>1.0042182977224909</v>
      </c>
      <c r="G33" s="4">
        <v>1.0049058272003502</v>
      </c>
      <c r="H33" s="4">
        <v>1.0017284970724731</v>
      </c>
      <c r="J33">
        <v>2008</v>
      </c>
      <c r="K33" s="4">
        <f>BV68</f>
        <v>1.0392635813417648</v>
      </c>
      <c r="L33" s="4">
        <f t="shared" ref="L33:P48" si="0">BW68</f>
        <v>1.0114256471357521</v>
      </c>
      <c r="M33" s="4">
        <f t="shared" si="0"/>
        <v>1.0091611940213576</v>
      </c>
      <c r="N33" s="4">
        <f t="shared" si="0"/>
        <v>1.0042182977224912</v>
      </c>
      <c r="O33" s="4">
        <f t="shared" si="0"/>
        <v>1.0049058272003502</v>
      </c>
      <c r="P33" s="4">
        <f t="shared" si="0"/>
        <v>1.0017284970724731</v>
      </c>
      <c r="R33">
        <v>2008</v>
      </c>
      <c r="S33" s="626">
        <f>K33/C33-1</f>
        <v>0</v>
      </c>
      <c r="T33" s="626">
        <f t="shared" ref="T33:X48" si="1">L33/D33-1</f>
        <v>0</v>
      </c>
      <c r="U33" s="626">
        <f t="shared" si="1"/>
        <v>0</v>
      </c>
      <c r="V33" s="626">
        <f t="shared" si="1"/>
        <v>0</v>
      </c>
      <c r="W33" s="626">
        <f t="shared" si="1"/>
        <v>0</v>
      </c>
      <c r="X33" s="626">
        <f t="shared" si="1"/>
        <v>0</v>
      </c>
    </row>
    <row r="34" spans="2:24" x14ac:dyDescent="0.25">
      <c r="B34">
        <v>2009</v>
      </c>
      <c r="C34" s="4">
        <v>1.0198924698960599</v>
      </c>
      <c r="D34" s="4">
        <v>1.0042593186389166</v>
      </c>
      <c r="E34" s="4">
        <v>1.0037689424770189</v>
      </c>
      <c r="F34" s="4">
        <v>1.000714205366992</v>
      </c>
      <c r="G34" s="4">
        <v>1.0015597529045046</v>
      </c>
      <c r="H34" s="4">
        <v>1.0001614670632937</v>
      </c>
      <c r="J34">
        <v>2009</v>
      </c>
      <c r="K34" s="4">
        <f t="shared" ref="K34:K60" si="2">BV69</f>
        <v>1.0198924698960599</v>
      </c>
      <c r="L34" s="4">
        <f t="shared" si="0"/>
        <v>1.004259318638917</v>
      </c>
      <c r="M34" s="4">
        <f t="shared" si="0"/>
        <v>1.0037689424770189</v>
      </c>
      <c r="N34" s="4">
        <f t="shared" si="0"/>
        <v>1.000714205366992</v>
      </c>
      <c r="O34" s="4">
        <f t="shared" si="0"/>
        <v>1.0015597529045046</v>
      </c>
      <c r="P34" s="4">
        <f t="shared" si="0"/>
        <v>1.0001614670632939</v>
      </c>
      <c r="R34">
        <v>2009</v>
      </c>
      <c r="S34" s="626">
        <f t="shared" ref="S34:X60" si="3">K34/C34-1</f>
        <v>0</v>
      </c>
      <c r="T34" s="626">
        <f t="shared" si="1"/>
        <v>0</v>
      </c>
      <c r="U34" s="626">
        <f t="shared" si="1"/>
        <v>0</v>
      </c>
      <c r="V34" s="626">
        <f t="shared" si="1"/>
        <v>0</v>
      </c>
      <c r="W34" s="626">
        <f t="shared" si="1"/>
        <v>0</v>
      </c>
      <c r="X34" s="626">
        <f t="shared" si="1"/>
        <v>0</v>
      </c>
    </row>
    <row r="35" spans="2:24" x14ac:dyDescent="0.25">
      <c r="B35">
        <v>2010</v>
      </c>
      <c r="C35" s="4">
        <v>1</v>
      </c>
      <c r="D35" s="4">
        <v>1</v>
      </c>
      <c r="E35" s="4">
        <v>1</v>
      </c>
      <c r="F35" s="4">
        <v>1</v>
      </c>
      <c r="G35" s="4">
        <v>1</v>
      </c>
      <c r="H35" s="4">
        <v>1</v>
      </c>
      <c r="J35">
        <v>2010</v>
      </c>
      <c r="K35" s="4">
        <f t="shared" si="2"/>
        <v>1</v>
      </c>
      <c r="L35" s="4">
        <f t="shared" si="0"/>
        <v>1</v>
      </c>
      <c r="M35" s="4">
        <f t="shared" si="0"/>
        <v>1</v>
      </c>
      <c r="N35" s="4">
        <f t="shared" si="0"/>
        <v>1</v>
      </c>
      <c r="O35" s="4">
        <f t="shared" si="0"/>
        <v>1</v>
      </c>
      <c r="P35" s="4">
        <f t="shared" si="0"/>
        <v>1</v>
      </c>
      <c r="R35">
        <v>2010</v>
      </c>
      <c r="S35" s="626">
        <f t="shared" si="3"/>
        <v>0</v>
      </c>
      <c r="T35" s="626">
        <f t="shared" si="1"/>
        <v>0</v>
      </c>
      <c r="U35" s="626">
        <f t="shared" si="1"/>
        <v>0</v>
      </c>
      <c r="V35" s="626">
        <f t="shared" si="1"/>
        <v>0</v>
      </c>
      <c r="W35" s="626">
        <f t="shared" si="1"/>
        <v>0</v>
      </c>
      <c r="X35" s="626">
        <f t="shared" si="1"/>
        <v>0</v>
      </c>
    </row>
    <row r="36" spans="2:24" x14ac:dyDescent="0.25">
      <c r="B36">
        <v>2011</v>
      </c>
      <c r="C36" s="4">
        <v>0.98181691310052388</v>
      </c>
      <c r="D36" s="4">
        <v>0.99629066531358768</v>
      </c>
      <c r="E36" s="4">
        <v>0.99613462986660839</v>
      </c>
      <c r="F36" s="4">
        <v>0.99929223105600862</v>
      </c>
      <c r="G36" s="4">
        <v>0.99819176189442604</v>
      </c>
      <c r="H36" s="4">
        <v>0.99981510946870655</v>
      </c>
      <c r="J36">
        <v>2011</v>
      </c>
      <c r="K36" s="4">
        <f t="shared" si="2"/>
        <v>0.9818169131005241</v>
      </c>
      <c r="L36" s="4">
        <f t="shared" si="0"/>
        <v>0.99629066531358779</v>
      </c>
      <c r="M36" s="4">
        <f t="shared" si="0"/>
        <v>0.99613462986660828</v>
      </c>
      <c r="N36" s="4">
        <f t="shared" si="0"/>
        <v>0.99929223105600862</v>
      </c>
      <c r="O36" s="4">
        <f t="shared" si="0"/>
        <v>0.99819176189442593</v>
      </c>
      <c r="P36" s="4">
        <f t="shared" si="0"/>
        <v>0.99981510946870644</v>
      </c>
      <c r="R36">
        <v>2011</v>
      </c>
      <c r="S36" s="626">
        <f t="shared" si="3"/>
        <v>0</v>
      </c>
      <c r="T36" s="626">
        <f t="shared" si="1"/>
        <v>0</v>
      </c>
      <c r="U36" s="626">
        <f t="shared" si="1"/>
        <v>0</v>
      </c>
      <c r="V36" s="626">
        <f t="shared" si="1"/>
        <v>0</v>
      </c>
      <c r="W36" s="626">
        <f t="shared" si="1"/>
        <v>0</v>
      </c>
      <c r="X36" s="626">
        <f t="shared" si="1"/>
        <v>0</v>
      </c>
    </row>
    <row r="37" spans="2:24" x14ac:dyDescent="0.25">
      <c r="B37">
        <v>2012</v>
      </c>
      <c r="C37" s="4">
        <v>0.96749946212931726</v>
      </c>
      <c r="D37" s="4">
        <v>0.99315314756741557</v>
      </c>
      <c r="E37" s="4">
        <v>0.99260049959395424</v>
      </c>
      <c r="F37" s="4">
        <v>0.99864377223805745</v>
      </c>
      <c r="G37" s="4">
        <v>0.99619852465460257</v>
      </c>
      <c r="H37" s="4">
        <v>0.99958085543047159</v>
      </c>
      <c r="J37">
        <v>2012</v>
      </c>
      <c r="K37" s="4">
        <f t="shared" si="2"/>
        <v>0.96766605220776514</v>
      </c>
      <c r="L37" s="4">
        <f t="shared" si="0"/>
        <v>0.99318313669988367</v>
      </c>
      <c r="M37" s="4">
        <f t="shared" si="0"/>
        <v>0.99266960922916547</v>
      </c>
      <c r="N37" s="4">
        <f t="shared" si="0"/>
        <v>0.99864958229774592</v>
      </c>
      <c r="O37" s="4">
        <f t="shared" si="0"/>
        <v>0.99622290082182241</v>
      </c>
      <c r="P37" s="4">
        <f t="shared" si="0"/>
        <v>0.99958300419489143</v>
      </c>
      <c r="R37">
        <v>2012</v>
      </c>
      <c r="S37" s="626">
        <f t="shared" si="3"/>
        <v>1.7218622331971467E-4</v>
      </c>
      <c r="T37" s="626">
        <f t="shared" si="1"/>
        <v>3.0195879197059128E-5</v>
      </c>
      <c r="U37" s="626">
        <f t="shared" si="1"/>
        <v>6.9624824125646967E-5</v>
      </c>
      <c r="V37" s="626">
        <f t="shared" si="1"/>
        <v>5.8179501540855938E-6</v>
      </c>
      <c r="W37" s="626">
        <f t="shared" si="1"/>
        <v>2.4469186228115447E-5</v>
      </c>
      <c r="X37" s="626">
        <f t="shared" si="1"/>
        <v>2.1496654405428473E-6</v>
      </c>
    </row>
    <row r="38" spans="2:24" x14ac:dyDescent="0.25">
      <c r="B38">
        <v>2013</v>
      </c>
      <c r="C38" s="4">
        <v>0.95417262279199344</v>
      </c>
      <c r="D38" s="4">
        <v>0.99012772997280529</v>
      </c>
      <c r="E38" s="4">
        <v>0.98902326729223344</v>
      </c>
      <c r="F38" s="4">
        <v>0.99801192284724549</v>
      </c>
      <c r="G38" s="4">
        <v>0.99412930870591865</v>
      </c>
      <c r="H38" s="4">
        <v>0.99934584642095403</v>
      </c>
      <c r="J38">
        <v>2013</v>
      </c>
      <c r="K38" s="4">
        <f t="shared" si="2"/>
        <v>0.95483470215663224</v>
      </c>
      <c r="L38" s="4">
        <f t="shared" si="0"/>
        <v>0.99026274976538309</v>
      </c>
      <c r="M38" s="4">
        <f t="shared" si="0"/>
        <v>0.98927241142299827</v>
      </c>
      <c r="N38" s="4">
        <f t="shared" si="0"/>
        <v>0.99804103794189269</v>
      </c>
      <c r="O38" s="4">
        <f t="shared" si="0"/>
        <v>0.99430789487396887</v>
      </c>
      <c r="P38" s="4">
        <f t="shared" si="0"/>
        <v>0.99935498350929775</v>
      </c>
      <c r="R38">
        <v>2013</v>
      </c>
      <c r="S38" s="626">
        <f t="shared" si="3"/>
        <v>6.9387797220743508E-4</v>
      </c>
      <c r="T38" s="626">
        <f t="shared" si="1"/>
        <v>1.3636603489675103E-4</v>
      </c>
      <c r="U38" s="626">
        <f t="shared" si="1"/>
        <v>2.5190927150475773E-4</v>
      </c>
      <c r="V38" s="626">
        <f t="shared" si="1"/>
        <v>2.917309300687343E-5</v>
      </c>
      <c r="W38" s="626">
        <f t="shared" si="1"/>
        <v>1.7964078363474911E-4</v>
      </c>
      <c r="X38" s="626">
        <f t="shared" si="1"/>
        <v>9.1430693152094733E-6</v>
      </c>
    </row>
    <row r="39" spans="2:24" x14ac:dyDescent="0.25">
      <c r="B39">
        <v>2014</v>
      </c>
      <c r="C39" s="4">
        <v>0.94034625784499215</v>
      </c>
      <c r="D39" s="4">
        <v>0.98668403829735873</v>
      </c>
      <c r="E39" s="4">
        <v>0.98496152379497026</v>
      </c>
      <c r="F39" s="4">
        <v>0.99730467227289177</v>
      </c>
      <c r="G39" s="4">
        <v>0.99172888259074821</v>
      </c>
      <c r="H39" s="4">
        <v>0.99905653755380086</v>
      </c>
      <c r="J39">
        <v>2014</v>
      </c>
      <c r="K39" s="4">
        <f t="shared" si="2"/>
        <v>0.94196525165804246</v>
      </c>
      <c r="L39" s="4">
        <f t="shared" si="0"/>
        <v>0.9870171537338106</v>
      </c>
      <c r="M39" s="4">
        <f t="shared" si="0"/>
        <v>0.9856133667242819</v>
      </c>
      <c r="N39" s="4">
        <f t="shared" si="0"/>
        <v>0.99739070003400487</v>
      </c>
      <c r="O39" s="4">
        <f t="shared" si="0"/>
        <v>0.99219648896306667</v>
      </c>
      <c r="P39" s="4">
        <f t="shared" si="0"/>
        <v>0.99908451020773414</v>
      </c>
      <c r="R39">
        <v>2014</v>
      </c>
      <c r="S39" s="626">
        <f t="shared" si="3"/>
        <v>1.7216996394078254E-3</v>
      </c>
      <c r="T39" s="626">
        <f t="shared" si="1"/>
        <v>3.37611052294573E-4</v>
      </c>
      <c r="U39" s="626">
        <f t="shared" si="1"/>
        <v>6.6179532252208517E-4</v>
      </c>
      <c r="V39" s="626">
        <f t="shared" si="1"/>
        <v>8.6260260785842036E-5</v>
      </c>
      <c r="W39" s="626">
        <f t="shared" si="1"/>
        <v>4.715062559204064E-4</v>
      </c>
      <c r="X39" s="626">
        <f t="shared" si="1"/>
        <v>2.7999070004280924E-5</v>
      </c>
    </row>
    <row r="40" spans="2:24" x14ac:dyDescent="0.25">
      <c r="B40">
        <v>2015</v>
      </c>
      <c r="C40" s="4">
        <v>0.92595768196143791</v>
      </c>
      <c r="D40" s="4">
        <v>0.98268487944193883</v>
      </c>
      <c r="E40" s="4">
        <v>0.98021815198922935</v>
      </c>
      <c r="F40" s="4">
        <v>0.99642329269776142</v>
      </c>
      <c r="G40" s="4">
        <v>0.98888912231983683</v>
      </c>
      <c r="H40" s="4">
        <v>0.99871912346517733</v>
      </c>
      <c r="J40">
        <v>2015</v>
      </c>
      <c r="K40" s="4">
        <f t="shared" si="2"/>
        <v>0.93094810670131234</v>
      </c>
      <c r="L40" s="4">
        <f t="shared" si="0"/>
        <v>0.98405232642724816</v>
      </c>
      <c r="M40" s="4">
        <f t="shared" si="0"/>
        <v>0.98258399414945707</v>
      </c>
      <c r="N40" s="4">
        <f t="shared" si="0"/>
        <v>0.99679753397740178</v>
      </c>
      <c r="O40" s="4">
        <f t="shared" si="0"/>
        <v>0.98859047908572784</v>
      </c>
      <c r="P40" s="4">
        <f t="shared" si="0"/>
        <v>0.99791254513634076</v>
      </c>
      <c r="R40">
        <v>2015</v>
      </c>
      <c r="S40" s="626">
        <f t="shared" si="3"/>
        <v>5.3894738788746732E-3</v>
      </c>
      <c r="T40" s="626">
        <f t="shared" si="1"/>
        <v>1.3915416975642803E-3</v>
      </c>
      <c r="U40" s="626">
        <f t="shared" si="1"/>
        <v>2.4135873789181694E-3</v>
      </c>
      <c r="V40" s="626">
        <f t="shared" si="1"/>
        <v>3.7558463595033231E-4</v>
      </c>
      <c r="W40" s="626">
        <f t="shared" si="1"/>
        <v>-3.0199870477731761E-4</v>
      </c>
      <c r="X40" s="626">
        <f t="shared" si="1"/>
        <v>-8.0761278109708901E-4</v>
      </c>
    </row>
    <row r="41" spans="2:24" x14ac:dyDescent="0.25">
      <c r="B41">
        <v>2016</v>
      </c>
      <c r="C41" s="4">
        <v>0.91071095924206169</v>
      </c>
      <c r="D41" s="4">
        <v>0.97782250570355589</v>
      </c>
      <c r="E41" s="4">
        <v>0.97441379263041228</v>
      </c>
      <c r="F41" s="4">
        <v>0.99528957510277527</v>
      </c>
      <c r="G41" s="4">
        <v>0.98514004251727627</v>
      </c>
      <c r="H41" s="4">
        <v>0.99822616593409286</v>
      </c>
      <c r="J41">
        <v>2016</v>
      </c>
      <c r="K41" s="4">
        <f t="shared" si="2"/>
        <v>0.91257538994800425</v>
      </c>
      <c r="L41" s="4">
        <f t="shared" si="0"/>
        <v>0.97576522062839255</v>
      </c>
      <c r="M41" s="4">
        <f t="shared" si="0"/>
        <v>0.93341835510079973</v>
      </c>
      <c r="N41" s="4">
        <f t="shared" si="0"/>
        <v>0.9228606328681328</v>
      </c>
      <c r="O41" s="4">
        <f t="shared" si="0"/>
        <v>0.93873562667430965</v>
      </c>
      <c r="P41" s="4">
        <f t="shared" si="0"/>
        <v>0.92064591888090885</v>
      </c>
      <c r="R41">
        <v>2016</v>
      </c>
      <c r="S41" s="626">
        <f t="shared" si="3"/>
        <v>2.0472255077441659E-3</v>
      </c>
      <c r="T41" s="626">
        <f t="shared" si="1"/>
        <v>-2.1039453102821293E-3</v>
      </c>
      <c r="U41" s="626">
        <f t="shared" si="1"/>
        <v>-4.2071897831973515E-2</v>
      </c>
      <c r="V41" s="626">
        <f t="shared" si="1"/>
        <v>-7.2771727993999447E-2</v>
      </c>
      <c r="W41" s="626">
        <f t="shared" si="1"/>
        <v>-4.7104385001336291E-2</v>
      </c>
      <c r="X41" s="626">
        <f t="shared" si="1"/>
        <v>-7.771810607728169E-2</v>
      </c>
    </row>
    <row r="42" spans="2:24" x14ac:dyDescent="0.25">
      <c r="B42">
        <v>2017</v>
      </c>
      <c r="C42" s="4">
        <v>0.90144710758893642</v>
      </c>
      <c r="D42" s="4">
        <v>0.97499684495840844</v>
      </c>
      <c r="E42" s="4">
        <v>0.97031932417435074</v>
      </c>
      <c r="F42" s="4">
        <v>0.99412281144338976</v>
      </c>
      <c r="G42" s="4">
        <v>0.98020243780520344</v>
      </c>
      <c r="H42" s="4">
        <v>0.99706631710334781</v>
      </c>
      <c r="J42">
        <v>2017</v>
      </c>
      <c r="K42" s="4">
        <f t="shared" si="2"/>
        <v>0.89507588954984274</v>
      </c>
      <c r="L42" s="4">
        <f t="shared" si="0"/>
        <v>0.96679118634594408</v>
      </c>
      <c r="M42" s="4">
        <f t="shared" si="0"/>
        <v>0.90217775446738224</v>
      </c>
      <c r="N42" s="4">
        <f t="shared" si="0"/>
        <v>0.88166534919766493</v>
      </c>
      <c r="O42" s="4">
        <f t="shared" si="0"/>
        <v>0.90626884806317309</v>
      </c>
      <c r="P42" s="4">
        <f t="shared" si="0"/>
        <v>0.8772600675025306</v>
      </c>
      <c r="R42">
        <v>2017</v>
      </c>
      <c r="S42" s="626">
        <f t="shared" si="3"/>
        <v>-7.0677669110664754E-3</v>
      </c>
      <c r="T42" s="626">
        <f t="shared" si="1"/>
        <v>-8.4160873493025479E-3</v>
      </c>
      <c r="U42" s="626">
        <f t="shared" si="1"/>
        <v>-7.022592254869342E-2</v>
      </c>
      <c r="V42" s="626">
        <f t="shared" si="1"/>
        <v>-0.11312230335248541</v>
      </c>
      <c r="W42" s="626">
        <f t="shared" si="1"/>
        <v>-7.5426857647464041E-2</v>
      </c>
      <c r="X42" s="626">
        <f t="shared" si="1"/>
        <v>-0.12015875729196768</v>
      </c>
    </row>
    <row r="43" spans="2:24" x14ac:dyDescent="0.25">
      <c r="B43">
        <v>2018</v>
      </c>
      <c r="C43" s="4">
        <v>0.89167951053339767</v>
      </c>
      <c r="D43" s="4">
        <v>0.9719561018054732</v>
      </c>
      <c r="E43" s="4">
        <v>0.96576375490993904</v>
      </c>
      <c r="F43" s="4">
        <v>0.99285602404267481</v>
      </c>
      <c r="G43" s="4">
        <v>0.97472247773844511</v>
      </c>
      <c r="H43" s="4">
        <v>0.99580011411294145</v>
      </c>
      <c r="J43">
        <v>2018</v>
      </c>
      <c r="K43" s="4">
        <f t="shared" si="2"/>
        <v>0.87811047587747704</v>
      </c>
      <c r="L43" s="4">
        <f t="shared" si="0"/>
        <v>0.95762476175818967</v>
      </c>
      <c r="M43" s="4">
        <f t="shared" si="0"/>
        <v>0.87799193419685961</v>
      </c>
      <c r="N43" s="4">
        <f t="shared" si="0"/>
        <v>0.85367110320093353</v>
      </c>
      <c r="O43" s="4">
        <f t="shared" si="0"/>
        <v>0.88030238540238293</v>
      </c>
      <c r="P43" s="4">
        <f t="shared" si="0"/>
        <v>0.84741226638825262</v>
      </c>
      <c r="R43">
        <v>2018</v>
      </c>
      <c r="S43" s="626">
        <f t="shared" si="3"/>
        <v>-1.5217389763507838E-2</v>
      </c>
      <c r="T43" s="626">
        <f t="shared" si="1"/>
        <v>-1.4744842921055934E-2</v>
      </c>
      <c r="U43" s="626">
        <f t="shared" si="1"/>
        <v>-9.0883324484738459E-2</v>
      </c>
      <c r="V43" s="626">
        <f t="shared" si="1"/>
        <v>-0.14018640917845593</v>
      </c>
      <c r="W43" s="626">
        <f t="shared" si="1"/>
        <v>-9.6868692876700746E-2</v>
      </c>
      <c r="X43" s="626">
        <f t="shared" si="1"/>
        <v>-0.14901368821078387</v>
      </c>
    </row>
    <row r="44" spans="2:24" x14ac:dyDescent="0.25">
      <c r="B44">
        <v>2019</v>
      </c>
      <c r="C44" s="4">
        <v>0.88198627968027921</v>
      </c>
      <c r="D44" s="4">
        <v>0.96868551274846648</v>
      </c>
      <c r="E44" s="4">
        <v>0.96065073981958926</v>
      </c>
      <c r="F44" s="4">
        <v>0.99143225703669502</v>
      </c>
      <c r="G44" s="4">
        <v>0.96873598528410432</v>
      </c>
      <c r="H44" s="4">
        <v>0.99439571266133697</v>
      </c>
      <c r="J44">
        <v>2019</v>
      </c>
      <c r="K44" s="4">
        <f t="shared" si="2"/>
        <v>0.86734110182287882</v>
      </c>
      <c r="L44" s="4">
        <f t="shared" si="0"/>
        <v>0.95241903559780905</v>
      </c>
      <c r="M44" s="4">
        <f t="shared" si="0"/>
        <v>0.85927822758779648</v>
      </c>
      <c r="N44" s="4">
        <f t="shared" si="0"/>
        <v>0.83293200806161194</v>
      </c>
      <c r="O44" s="4">
        <f t="shared" si="0"/>
        <v>0.85730898907205455</v>
      </c>
      <c r="P44" s="4">
        <f t="shared" si="0"/>
        <v>0.8241360685163589</v>
      </c>
      <c r="R44">
        <v>2019</v>
      </c>
      <c r="S44" s="626">
        <f t="shared" si="3"/>
        <v>-1.660476834481972E-2</v>
      </c>
      <c r="T44" s="626">
        <f t="shared" si="1"/>
        <v>-1.6792320042553599E-2</v>
      </c>
      <c r="U44" s="626">
        <f t="shared" si="1"/>
        <v>-0.10552483647785516</v>
      </c>
      <c r="V44" s="626">
        <f t="shared" si="1"/>
        <v>-0.1598699738183087</v>
      </c>
      <c r="W44" s="626">
        <f t="shared" si="1"/>
        <v>-0.11502307946098567</v>
      </c>
      <c r="X44" s="626">
        <f t="shared" si="1"/>
        <v>-0.17121920577202221</v>
      </c>
    </row>
    <row r="45" spans="2:24" x14ac:dyDescent="0.25">
      <c r="B45">
        <v>2020</v>
      </c>
      <c r="C45" s="4">
        <v>0.87291182944894286</v>
      </c>
      <c r="D45" s="4">
        <v>0.96511639380594638</v>
      </c>
      <c r="E45" s="4">
        <v>0.95509705931182731</v>
      </c>
      <c r="F45" s="4">
        <v>0.98992561568489768</v>
      </c>
      <c r="G45" s="4">
        <v>0.96229263219829886</v>
      </c>
      <c r="H45" s="4">
        <v>0.99285266750905976</v>
      </c>
      <c r="J45">
        <v>2020</v>
      </c>
      <c r="K45" s="4">
        <f t="shared" si="2"/>
        <v>0.85735321821567712</v>
      </c>
      <c r="L45" s="4">
        <f t="shared" si="0"/>
        <v>0.94697400100505025</v>
      </c>
      <c r="M45" s="4">
        <f t="shared" si="0"/>
        <v>0.84744140663059497</v>
      </c>
      <c r="N45" s="4">
        <f t="shared" si="0"/>
        <v>0.82534920395577827</v>
      </c>
      <c r="O45" s="4">
        <f t="shared" si="0"/>
        <v>0.84066451465929692</v>
      </c>
      <c r="P45" s="4">
        <f t="shared" si="0"/>
        <v>0.81430351621481034</v>
      </c>
      <c r="R45">
        <v>2020</v>
      </c>
      <c r="S45" s="626">
        <f t="shared" si="3"/>
        <v>-1.78238061489987E-2</v>
      </c>
      <c r="T45" s="626">
        <f t="shared" si="1"/>
        <v>-1.8798139703493644E-2</v>
      </c>
      <c r="U45" s="626">
        <f t="shared" si="1"/>
        <v>-0.11271697638646394</v>
      </c>
      <c r="V45" s="626">
        <f t="shared" si="1"/>
        <v>-0.16625129112883319</v>
      </c>
      <c r="W45" s="626">
        <f t="shared" si="1"/>
        <v>-0.12639410660471329</v>
      </c>
      <c r="X45" s="626">
        <f t="shared" si="1"/>
        <v>-0.17983448817457115</v>
      </c>
    </row>
    <row r="46" spans="2:24" x14ac:dyDescent="0.25">
      <c r="B46">
        <v>2021</v>
      </c>
      <c r="C46" s="4">
        <v>0.86366338921276653</v>
      </c>
      <c r="D46" s="4">
        <v>0.96124797058132305</v>
      </c>
      <c r="E46" s="4">
        <v>0.94894549900125702</v>
      </c>
      <c r="F46" s="4">
        <v>0.98818337533279321</v>
      </c>
      <c r="G46" s="4">
        <v>0.95534619455620073</v>
      </c>
      <c r="H46" s="4">
        <v>0.99111689173909268</v>
      </c>
      <c r="J46">
        <v>2021</v>
      </c>
      <c r="K46" s="4">
        <f t="shared" si="2"/>
        <v>0.84890583013448084</v>
      </c>
      <c r="L46" s="4">
        <f t="shared" si="0"/>
        <v>0.94261169411080215</v>
      </c>
      <c r="M46" s="4">
        <f t="shared" si="0"/>
        <v>0.83758984805586667</v>
      </c>
      <c r="N46" s="4">
        <f t="shared" si="0"/>
        <v>0.81886825298160382</v>
      </c>
      <c r="O46" s="4">
        <f t="shared" si="0"/>
        <v>0.82928540922203631</v>
      </c>
      <c r="P46" s="4">
        <f t="shared" si="0"/>
        <v>0.80796397584243251</v>
      </c>
      <c r="R46">
        <v>2021</v>
      </c>
      <c r="S46" s="626">
        <f t="shared" si="3"/>
        <v>-1.708716528060461E-2</v>
      </c>
      <c r="T46" s="626">
        <f t="shared" si="1"/>
        <v>-1.9387584724106621E-2</v>
      </c>
      <c r="U46" s="626">
        <f t="shared" si="1"/>
        <v>-0.11734672967266258</v>
      </c>
      <c r="V46" s="626">
        <f t="shared" si="1"/>
        <v>-0.17133978022466601</v>
      </c>
      <c r="W46" s="626">
        <f t="shared" si="1"/>
        <v>-0.13195298840618197</v>
      </c>
      <c r="X46" s="626">
        <f t="shared" si="1"/>
        <v>-0.18479446513648401</v>
      </c>
    </row>
    <row r="47" spans="2:24" x14ac:dyDescent="0.25">
      <c r="B47">
        <v>2022</v>
      </c>
      <c r="C47" s="4">
        <v>0.85497453018723535</v>
      </c>
      <c r="D47" s="4">
        <v>0.95735782678137193</v>
      </c>
      <c r="E47" s="4">
        <v>0.94269317840088018</v>
      </c>
      <c r="F47" s="4">
        <v>0.98664748929393897</v>
      </c>
      <c r="G47" s="4">
        <v>0.94849820399020268</v>
      </c>
      <c r="H47" s="4">
        <v>0.98965259589906573</v>
      </c>
      <c r="J47">
        <v>2022</v>
      </c>
      <c r="K47" s="4">
        <f t="shared" si="2"/>
        <v>0.84049681301827672</v>
      </c>
      <c r="L47" s="4">
        <f t="shared" si="0"/>
        <v>0.93816864937475941</v>
      </c>
      <c r="M47" s="4">
        <f t="shared" si="0"/>
        <v>0.82765005348433962</v>
      </c>
      <c r="N47" s="4">
        <f t="shared" si="0"/>
        <v>0.81254700845327821</v>
      </c>
      <c r="O47" s="4">
        <f t="shared" si="0"/>
        <v>0.81777486059627125</v>
      </c>
      <c r="P47" s="4">
        <f t="shared" si="0"/>
        <v>0.8018705118206414</v>
      </c>
      <c r="R47">
        <v>2022</v>
      </c>
      <c r="S47" s="626">
        <f t="shared" si="3"/>
        <v>-1.6933506973345835E-2</v>
      </c>
      <c r="T47" s="626">
        <f t="shared" si="1"/>
        <v>-2.0043892544469366E-2</v>
      </c>
      <c r="U47" s="626">
        <f t="shared" si="1"/>
        <v>-0.12203665789933027</v>
      </c>
      <c r="V47" s="626">
        <f t="shared" si="1"/>
        <v>-0.17645661974496074</v>
      </c>
      <c r="W47" s="626">
        <f t="shared" si="1"/>
        <v>-0.1378213926436509</v>
      </c>
      <c r="X47" s="626">
        <f t="shared" si="1"/>
        <v>-0.18974545699830225</v>
      </c>
    </row>
    <row r="48" spans="2:24" x14ac:dyDescent="0.25">
      <c r="B48">
        <v>2023</v>
      </c>
      <c r="C48" s="4">
        <v>0.84663915524886568</v>
      </c>
      <c r="D48" s="4">
        <v>0.95340514421163036</v>
      </c>
      <c r="E48" s="4">
        <v>0.9363631301205867</v>
      </c>
      <c r="F48" s="4">
        <v>0.98505490657596806</v>
      </c>
      <c r="G48" s="4">
        <v>0.94146190437191668</v>
      </c>
      <c r="H48" s="4">
        <v>0.9881618373476706</v>
      </c>
      <c r="J48">
        <v>2023</v>
      </c>
      <c r="K48" s="4">
        <f t="shared" si="2"/>
        <v>0.83202633009216975</v>
      </c>
      <c r="L48" s="4">
        <f t="shared" si="0"/>
        <v>0.93362566548665504</v>
      </c>
      <c r="M48" s="4">
        <f t="shared" si="0"/>
        <v>0.81755026504349959</v>
      </c>
      <c r="N48" s="4">
        <f t="shared" si="0"/>
        <v>0.80618642177385136</v>
      </c>
      <c r="O48" s="4">
        <f t="shared" si="0"/>
        <v>0.80633844359975737</v>
      </c>
      <c r="P48" s="4">
        <f t="shared" si="0"/>
        <v>0.79572420385953824</v>
      </c>
      <c r="R48">
        <v>2023</v>
      </c>
      <c r="S48" s="626">
        <f t="shared" si="3"/>
        <v>-1.7259803147659292E-2</v>
      </c>
      <c r="T48" s="626">
        <f t="shared" si="1"/>
        <v>-2.0746142230364195E-2</v>
      </c>
      <c r="U48" s="626">
        <f t="shared" si="1"/>
        <v>-0.12688759441199504</v>
      </c>
      <c r="V48" s="626">
        <f t="shared" si="1"/>
        <v>-0.18158224846964122</v>
      </c>
      <c r="W48" s="626">
        <f t="shared" si="1"/>
        <v>-0.14352514971097541</v>
      </c>
      <c r="X48" s="626">
        <f t="shared" si="1"/>
        <v>-0.19474303319044883</v>
      </c>
    </row>
    <row r="49" spans="2:79" x14ac:dyDescent="0.25">
      <c r="B49">
        <v>2024</v>
      </c>
      <c r="C49" s="4">
        <v>0.83947657690902511</v>
      </c>
      <c r="D49" s="4">
        <v>0.94952035873647256</v>
      </c>
      <c r="E49" s="4">
        <v>0.93009324287566009</v>
      </c>
      <c r="F49" s="4">
        <v>0.98337819678555527</v>
      </c>
      <c r="G49" s="4">
        <v>0.93444715369919307</v>
      </c>
      <c r="H49" s="4">
        <v>0.98660291844021997</v>
      </c>
      <c r="J49">
        <v>2024</v>
      </c>
      <c r="K49" s="4">
        <f t="shared" si="2"/>
        <v>0.82325353183652539</v>
      </c>
      <c r="L49" s="4">
        <f t="shared" ref="L49:L60" si="4">BW84</f>
        <v>0.92893728748482385</v>
      </c>
      <c r="M49" s="4">
        <f t="shared" ref="M49:M60" si="5">BX84</f>
        <v>0.80728932033076317</v>
      </c>
      <c r="N49" s="4">
        <f t="shared" ref="N49:N60" si="6">BY84</f>
        <v>0.79975944266420629</v>
      </c>
      <c r="O49" s="4">
        <f t="shared" ref="O49:O60" si="7">BZ84</f>
        <v>0.79469465576117648</v>
      </c>
      <c r="P49" s="4">
        <f t="shared" ref="P49:P60" si="8">CA84</f>
        <v>0.78945484166945179</v>
      </c>
      <c r="R49">
        <v>2024</v>
      </c>
      <c r="S49" s="626">
        <f t="shared" si="3"/>
        <v>-1.9325190861469221E-2</v>
      </c>
      <c r="T49" s="626">
        <f t="shared" si="3"/>
        <v>-2.1677335364392425E-2</v>
      </c>
      <c r="U49" s="626">
        <f t="shared" si="3"/>
        <v>-0.1320339906622825</v>
      </c>
      <c r="V49" s="626">
        <f t="shared" si="3"/>
        <v>-0.18672241739908191</v>
      </c>
      <c r="W49" s="626">
        <f t="shared" si="3"/>
        <v>-0.14955634182712074</v>
      </c>
      <c r="X49" s="626">
        <f t="shared" si="3"/>
        <v>-0.19982515061120176</v>
      </c>
    </row>
    <row r="50" spans="2:79" x14ac:dyDescent="0.25">
      <c r="B50">
        <v>2025</v>
      </c>
      <c r="C50" s="4">
        <v>0.83421431189796857</v>
      </c>
      <c r="D50" s="4">
        <v>0.94565795582082446</v>
      </c>
      <c r="E50" s="4">
        <v>0.92415578785108088</v>
      </c>
      <c r="F50" s="4">
        <v>0.98173274036454516</v>
      </c>
      <c r="G50" s="4">
        <v>0.92763654911714943</v>
      </c>
      <c r="H50" s="4">
        <v>0.98505518859434305</v>
      </c>
      <c r="J50">
        <v>2025</v>
      </c>
      <c r="K50" s="4">
        <f t="shared" si="2"/>
        <v>0.81556481648176549</v>
      </c>
      <c r="L50" s="4">
        <f t="shared" si="4"/>
        <v>0.92414303735429626</v>
      </c>
      <c r="M50" s="4">
        <f t="shared" si="5"/>
        <v>0.79689823294128981</v>
      </c>
      <c r="N50" s="4">
        <f t="shared" si="6"/>
        <v>0.79325361923366011</v>
      </c>
      <c r="O50" s="4">
        <f t="shared" si="7"/>
        <v>0.7829887544309746</v>
      </c>
      <c r="P50" s="4">
        <f t="shared" si="8"/>
        <v>0.78311862801001531</v>
      </c>
      <c r="R50">
        <v>2025</v>
      </c>
      <c r="S50" s="626">
        <f t="shared" si="3"/>
        <v>-2.235576056441968E-2</v>
      </c>
      <c r="T50" s="626">
        <f t="shared" si="3"/>
        <v>-2.2751268927731272E-2</v>
      </c>
      <c r="U50" s="626">
        <f t="shared" si="3"/>
        <v>-0.13770140985179591</v>
      </c>
      <c r="V50" s="626">
        <f t="shared" si="3"/>
        <v>-0.19198618257439126</v>
      </c>
      <c r="W50" s="626">
        <f t="shared" si="3"/>
        <v>-0.15593153894576395</v>
      </c>
      <c r="X50" s="626">
        <f t="shared" si="3"/>
        <v>-0.20500025066868366</v>
      </c>
    </row>
    <row r="51" spans="2:79" x14ac:dyDescent="0.25">
      <c r="B51">
        <v>2026</v>
      </c>
      <c r="C51" s="4">
        <v>0.82942380748351496</v>
      </c>
      <c r="D51" s="4">
        <v>0.94183067553762123</v>
      </c>
      <c r="E51" s="4">
        <v>0.91873094120889121</v>
      </c>
      <c r="F51" s="4">
        <v>0.98017033107923179</v>
      </c>
      <c r="G51" s="4">
        <v>0.92097751119861349</v>
      </c>
      <c r="H51" s="4">
        <v>0.98354909831843895</v>
      </c>
      <c r="J51">
        <v>2026</v>
      </c>
      <c r="K51" s="4">
        <f t="shared" si="2"/>
        <v>0.80885645735453215</v>
      </c>
      <c r="L51" s="4">
        <f t="shared" si="4"/>
        <v>0.91921828630615576</v>
      </c>
      <c r="M51" s="4">
        <f t="shared" si="5"/>
        <v>0.78639522456972721</v>
      </c>
      <c r="N51" s="4">
        <f t="shared" si="6"/>
        <v>0.78667805762335796</v>
      </c>
      <c r="O51" s="4">
        <f t="shared" si="7"/>
        <v>0.77117302351383299</v>
      </c>
      <c r="P51" s="4">
        <f t="shared" si="8"/>
        <v>0.77667845646085931</v>
      </c>
      <c r="R51">
        <v>2026</v>
      </c>
      <c r="S51" s="626">
        <f t="shared" si="3"/>
        <v>-2.4797154293634827E-2</v>
      </c>
      <c r="T51" s="626">
        <f t="shared" si="3"/>
        <v>-2.4008975093700036E-2</v>
      </c>
      <c r="U51" s="626">
        <f t="shared" si="3"/>
        <v>-0.1440418632957251</v>
      </c>
      <c r="V51" s="626">
        <f t="shared" si="3"/>
        <v>-0.19740678463795791</v>
      </c>
      <c r="W51" s="626">
        <f t="shared" si="3"/>
        <v>-0.16265813862253409</v>
      </c>
      <c r="X51" s="626">
        <f t="shared" si="3"/>
        <v>-0.2103307727202065</v>
      </c>
    </row>
    <row r="52" spans="2:79" x14ac:dyDescent="0.25">
      <c r="B52">
        <v>2027</v>
      </c>
      <c r="C52" s="4">
        <v>0.82552526940318804</v>
      </c>
      <c r="D52" s="4">
        <v>0.93812609964315818</v>
      </c>
      <c r="E52" s="4">
        <v>0.91373687874655474</v>
      </c>
      <c r="F52" s="4">
        <v>0.978640017513982</v>
      </c>
      <c r="G52" s="4">
        <v>0.91482731571462417</v>
      </c>
      <c r="H52" s="4">
        <v>0.98204643445066364</v>
      </c>
      <c r="J52">
        <v>2027</v>
      </c>
      <c r="K52" s="4">
        <f t="shared" si="2"/>
        <v>0.80334417279899661</v>
      </c>
      <c r="L52" s="4">
        <f t="shared" si="4"/>
        <v>0.91411220245138225</v>
      </c>
      <c r="M52" s="4">
        <f t="shared" si="5"/>
        <v>0.77589508343901181</v>
      </c>
      <c r="N52" s="4">
        <f t="shared" si="6"/>
        <v>0.78005306853747647</v>
      </c>
      <c r="O52" s="4">
        <f t="shared" si="7"/>
        <v>0.75929010258247909</v>
      </c>
      <c r="P52" s="4">
        <f t="shared" si="8"/>
        <v>0.77013313882297829</v>
      </c>
      <c r="R52">
        <v>2027</v>
      </c>
      <c r="S52" s="626">
        <f t="shared" si="3"/>
        <v>-2.6869070428609865E-2</v>
      </c>
      <c r="T52" s="626">
        <f t="shared" si="3"/>
        <v>-2.5597728493973571E-2</v>
      </c>
      <c r="U52" s="626">
        <f t="shared" si="3"/>
        <v>-0.15085502020738339</v>
      </c>
      <c r="V52" s="626">
        <f t="shared" si="3"/>
        <v>-0.20292134535942197</v>
      </c>
      <c r="W52" s="626">
        <f t="shared" si="3"/>
        <v>-0.17001811211840134</v>
      </c>
      <c r="X52" s="626">
        <f t="shared" si="3"/>
        <v>-0.21578744975152342</v>
      </c>
    </row>
    <row r="53" spans="2:79" x14ac:dyDescent="0.25">
      <c r="B53">
        <v>2028</v>
      </c>
      <c r="C53" s="4">
        <v>0.82208222431268452</v>
      </c>
      <c r="D53" s="4">
        <v>0.93450835608893557</v>
      </c>
      <c r="E53" s="4">
        <v>0.90902435481864208</v>
      </c>
      <c r="F53" s="4">
        <v>0.97713689675597371</v>
      </c>
      <c r="G53" s="4">
        <v>0.90902367324636224</v>
      </c>
      <c r="H53" s="4">
        <v>0.98057365970238564</v>
      </c>
      <c r="J53">
        <v>2028</v>
      </c>
      <c r="K53" s="4">
        <f t="shared" si="2"/>
        <v>0.79841216720205266</v>
      </c>
      <c r="L53" s="4">
        <f t="shared" si="4"/>
        <v>0.90885321132073704</v>
      </c>
      <c r="M53" s="4">
        <f t="shared" si="5"/>
        <v>0.76527169805246187</v>
      </c>
      <c r="N53" s="4">
        <f t="shared" si="6"/>
        <v>0.77336999743840562</v>
      </c>
      <c r="O53" s="4">
        <f t="shared" si="7"/>
        <v>0.74730902306201674</v>
      </c>
      <c r="P53" s="4">
        <f t="shared" si="8"/>
        <v>0.76353698358519984</v>
      </c>
      <c r="R53">
        <v>2028</v>
      </c>
      <c r="S53" s="626">
        <f t="shared" si="3"/>
        <v>-2.8792809783013573E-2</v>
      </c>
      <c r="T53" s="626">
        <f t="shared" si="3"/>
        <v>-2.7453092956353342E-2</v>
      </c>
      <c r="U53" s="626">
        <f t="shared" si="3"/>
        <v>-0.15813949978805575</v>
      </c>
      <c r="V53" s="626">
        <f t="shared" si="3"/>
        <v>-0.2085346485165589</v>
      </c>
      <c r="W53" s="626">
        <f t="shared" si="3"/>
        <v>-0.17789927253139626</v>
      </c>
      <c r="X53" s="626">
        <f t="shared" si="3"/>
        <v>-0.22133643298460481</v>
      </c>
    </row>
    <row r="54" spans="2:79" x14ac:dyDescent="0.25">
      <c r="B54">
        <v>2029</v>
      </c>
      <c r="C54" s="4">
        <v>0.8188954857635814</v>
      </c>
      <c r="D54" s="4">
        <v>0.93086862966376605</v>
      </c>
      <c r="E54" s="4">
        <v>0.90452322090236137</v>
      </c>
      <c r="F54" s="4">
        <v>0.97564680003511084</v>
      </c>
      <c r="G54" s="4">
        <v>0.90339381296788646</v>
      </c>
      <c r="H54" s="4">
        <v>0.97912270168835192</v>
      </c>
      <c r="J54">
        <v>2029</v>
      </c>
      <c r="K54" s="4">
        <f t="shared" si="2"/>
        <v>0.79312232430315877</v>
      </c>
      <c r="L54" s="4">
        <f t="shared" si="4"/>
        <v>0.90350369692321775</v>
      </c>
      <c r="M54" s="4">
        <f t="shared" si="5"/>
        <v>0.75461082337933605</v>
      </c>
      <c r="N54" s="4">
        <f t="shared" si="6"/>
        <v>0.76660551230739449</v>
      </c>
      <c r="O54" s="4">
        <f t="shared" si="7"/>
        <v>0.73531431889837762</v>
      </c>
      <c r="P54" s="4">
        <f t="shared" si="8"/>
        <v>0.75687789596802246</v>
      </c>
      <c r="R54">
        <v>2029</v>
      </c>
      <c r="S54" s="626">
        <f t="shared" si="3"/>
        <v>-3.1473077954985107E-2</v>
      </c>
      <c r="T54" s="626">
        <f t="shared" si="3"/>
        <v>-2.9397201569068443E-2</v>
      </c>
      <c r="U54" s="626">
        <f t="shared" si="3"/>
        <v>-0.16573637255378715</v>
      </c>
      <c r="V54" s="626">
        <f t="shared" si="3"/>
        <v>-0.21425918449196324</v>
      </c>
      <c r="W54" s="626">
        <f t="shared" si="3"/>
        <v>-0.18605340401582282</v>
      </c>
      <c r="X54" s="626">
        <f t="shared" si="3"/>
        <v>-0.22698361026365876</v>
      </c>
    </row>
    <row r="55" spans="2:79" x14ac:dyDescent="0.25">
      <c r="B55">
        <v>2030</v>
      </c>
      <c r="C55" s="4">
        <v>0.81565810970164609</v>
      </c>
      <c r="D55" s="4">
        <v>0.92725127330783852</v>
      </c>
      <c r="E55" s="4">
        <v>0.90031132273303593</v>
      </c>
      <c r="F55" s="4">
        <v>0.97411566571793495</v>
      </c>
      <c r="G55" s="4">
        <v>0.89793980357797076</v>
      </c>
      <c r="H55" s="4">
        <v>0.97768304888531976</v>
      </c>
      <c r="J55">
        <v>2030</v>
      </c>
      <c r="K55" s="4">
        <f t="shared" si="2"/>
        <v>0.78760717806056324</v>
      </c>
      <c r="L55" s="4">
        <f t="shared" si="4"/>
        <v>0.89816307362095416</v>
      </c>
      <c r="M55" s="4">
        <f t="shared" si="5"/>
        <v>0.74399895388296711</v>
      </c>
      <c r="N55" s="4">
        <f t="shared" si="6"/>
        <v>0.75978698974407954</v>
      </c>
      <c r="O55" s="4">
        <f t="shared" si="7"/>
        <v>0.72332390931311186</v>
      </c>
      <c r="P55" s="4">
        <f t="shared" si="8"/>
        <v>0.75022527699666997</v>
      </c>
      <c r="R55">
        <v>2030</v>
      </c>
      <c r="S55" s="626">
        <f t="shared" si="3"/>
        <v>-3.4390550780330487E-2</v>
      </c>
      <c r="T55" s="626">
        <f t="shared" si="3"/>
        <v>-3.1370352917517441E-2</v>
      </c>
      <c r="U55" s="626">
        <f t="shared" si="3"/>
        <v>-0.17362035209727023</v>
      </c>
      <c r="V55" s="626">
        <f t="shared" si="3"/>
        <v>-0.22002384677377362</v>
      </c>
      <c r="W55" s="626">
        <f t="shared" si="3"/>
        <v>-0.19446280649223557</v>
      </c>
      <c r="X55" s="626">
        <f t="shared" si="3"/>
        <v>-0.23264980624137843</v>
      </c>
    </row>
    <row r="56" spans="2:79" x14ac:dyDescent="0.25">
      <c r="B56">
        <v>2031</v>
      </c>
      <c r="C56" s="4">
        <v>0.81241052051816121</v>
      </c>
      <c r="D56" s="4">
        <v>0.92366630421575513</v>
      </c>
      <c r="E56" s="4">
        <v>0.89646133521916604</v>
      </c>
      <c r="F56" s="4">
        <v>0.97254208988667745</v>
      </c>
      <c r="G56" s="4">
        <v>0.89268255042700351</v>
      </c>
      <c r="H56" s="4">
        <v>0.9762166236391111</v>
      </c>
      <c r="J56">
        <v>2031</v>
      </c>
      <c r="K56" s="4">
        <f t="shared" si="2"/>
        <v>0.78242527219297586</v>
      </c>
      <c r="L56" s="4">
        <f t="shared" si="4"/>
        <v>0.89283475745227681</v>
      </c>
      <c r="M56" s="4">
        <f t="shared" si="5"/>
        <v>0.73347595400665999</v>
      </c>
      <c r="N56" s="4">
        <f t="shared" si="6"/>
        <v>0.75294284376721443</v>
      </c>
      <c r="O56" s="4">
        <f t="shared" si="7"/>
        <v>0.71185812508028068</v>
      </c>
      <c r="P56" s="4">
        <f t="shared" si="8"/>
        <v>0.74356602481547851</v>
      </c>
      <c r="R56">
        <v>2031</v>
      </c>
      <c r="S56" s="626">
        <f t="shared" si="3"/>
        <v>-3.6908985750283674E-2</v>
      </c>
      <c r="T56" s="626">
        <f t="shared" si="3"/>
        <v>-3.337952962315327E-2</v>
      </c>
      <c r="U56" s="626">
        <f t="shared" si="3"/>
        <v>-0.18180971650345579</v>
      </c>
      <c r="V56" s="626">
        <f t="shared" si="3"/>
        <v>-0.22579922082863391</v>
      </c>
      <c r="W56" s="626">
        <f t="shared" si="3"/>
        <v>-0.20256296626413017</v>
      </c>
      <c r="X56" s="626">
        <f t="shared" si="3"/>
        <v>-0.23831862026315909</v>
      </c>
    </row>
    <row r="57" spans="2:79" x14ac:dyDescent="0.25">
      <c r="B57">
        <v>2032</v>
      </c>
      <c r="C57" s="4">
        <v>0.80911021450368448</v>
      </c>
      <c r="D57" s="4">
        <v>0.92005353178803073</v>
      </c>
      <c r="E57" s="4">
        <v>0.8928777869531751</v>
      </c>
      <c r="F57" s="4">
        <v>0.9709409540696855</v>
      </c>
      <c r="G57" s="4">
        <v>0.88732862008666502</v>
      </c>
      <c r="H57" s="4">
        <v>0.97474777861315032</v>
      </c>
      <c r="J57">
        <v>2032</v>
      </c>
      <c r="K57" s="4">
        <f t="shared" si="2"/>
        <v>0.77678755678256217</v>
      </c>
      <c r="L57" s="4">
        <f t="shared" si="4"/>
        <v>0.88760937435840681</v>
      </c>
      <c r="M57" s="4">
        <f t="shared" si="5"/>
        <v>0.72303368331654994</v>
      </c>
      <c r="N57" s="4">
        <f t="shared" si="6"/>
        <v>0.7460920006460553</v>
      </c>
      <c r="O57" s="4">
        <f t="shared" si="7"/>
        <v>0.70034891357202933</v>
      </c>
      <c r="P57" s="4">
        <f t="shared" si="8"/>
        <v>0.7369211265284048</v>
      </c>
      <c r="R57">
        <v>2032</v>
      </c>
      <c r="S57" s="626">
        <f t="shared" si="3"/>
        <v>-3.9948399045918959E-2</v>
      </c>
      <c r="T57" s="626">
        <f t="shared" si="3"/>
        <v>-3.5263336652348931E-2</v>
      </c>
      <c r="U57" s="626">
        <f t="shared" si="3"/>
        <v>-0.19022099789960645</v>
      </c>
      <c r="V57" s="626">
        <f t="shared" si="3"/>
        <v>-0.23157840080921388</v>
      </c>
      <c r="W57" s="626">
        <f t="shared" si="3"/>
        <v>-0.21072205075090833</v>
      </c>
      <c r="X57" s="626">
        <f t="shared" si="3"/>
        <v>-0.24398788825466222</v>
      </c>
    </row>
    <row r="58" spans="2:79" x14ac:dyDescent="0.25">
      <c r="B58">
        <v>2033</v>
      </c>
      <c r="C58" s="4">
        <v>0.80622063498217966</v>
      </c>
      <c r="D58" s="4">
        <v>0.91651662524560862</v>
      </c>
      <c r="E58" s="4">
        <v>0.88972348814674707</v>
      </c>
      <c r="F58" s="4">
        <v>0.96928536784200636</v>
      </c>
      <c r="G58" s="4">
        <v>0.88195868031637026</v>
      </c>
      <c r="H58" s="4">
        <v>0.97321348338445657</v>
      </c>
      <c r="J58">
        <v>2033</v>
      </c>
      <c r="K58" s="4">
        <f t="shared" si="2"/>
        <v>0.77193323380745771</v>
      </c>
      <c r="L58" s="4">
        <f t="shared" si="4"/>
        <v>0.88251623986293193</v>
      </c>
      <c r="M58" s="4">
        <f t="shared" si="5"/>
        <v>0.71282689351652506</v>
      </c>
      <c r="N58" s="4">
        <f t="shared" si="6"/>
        <v>0.73921578692532686</v>
      </c>
      <c r="O58" s="4">
        <f t="shared" si="7"/>
        <v>0.68891376051508324</v>
      </c>
      <c r="P58" s="4">
        <f t="shared" si="8"/>
        <v>0.73027146334738402</v>
      </c>
      <c r="R58">
        <v>2033</v>
      </c>
      <c r="S58" s="626">
        <f t="shared" si="3"/>
        <v>-4.252855817251544E-2</v>
      </c>
      <c r="T58" s="626">
        <f t="shared" si="3"/>
        <v>-3.7097401668589769E-2</v>
      </c>
      <c r="U58" s="626">
        <f t="shared" si="3"/>
        <v>-0.19882199018786095</v>
      </c>
      <c r="V58" s="626">
        <f t="shared" si="3"/>
        <v>-0.23736000619600905</v>
      </c>
      <c r="W58" s="626">
        <f t="shared" si="3"/>
        <v>-0.21888204528134947</v>
      </c>
      <c r="X58" s="626">
        <f t="shared" si="3"/>
        <v>-0.24962870344974575</v>
      </c>
    </row>
    <row r="59" spans="2:79" x14ac:dyDescent="0.25">
      <c r="B59">
        <v>2034</v>
      </c>
      <c r="C59" s="4">
        <v>0.80408303475751552</v>
      </c>
      <c r="D59" s="4">
        <v>0.91302614502779433</v>
      </c>
      <c r="E59" s="4">
        <v>0.88671158777214665</v>
      </c>
      <c r="F59" s="4">
        <v>0.96761276181122491</v>
      </c>
      <c r="G59" s="4">
        <v>0.8765895565328139</v>
      </c>
      <c r="H59" s="4">
        <v>0.97166008157484063</v>
      </c>
      <c r="J59">
        <v>2034</v>
      </c>
      <c r="K59" s="4">
        <f t="shared" si="2"/>
        <v>0.76744458842162266</v>
      </c>
      <c r="L59" s="4">
        <f t="shared" si="4"/>
        <v>0.87756964792679903</v>
      </c>
      <c r="M59" s="4">
        <f t="shared" si="5"/>
        <v>0.70308756326875455</v>
      </c>
      <c r="N59" s="4">
        <f t="shared" si="6"/>
        <v>0.73237717256340917</v>
      </c>
      <c r="O59" s="4">
        <f t="shared" si="7"/>
        <v>0.67739577518062166</v>
      </c>
      <c r="P59" s="4">
        <f t="shared" si="8"/>
        <v>0.72370406649269381</v>
      </c>
      <c r="R59">
        <v>2034</v>
      </c>
      <c r="S59" s="626">
        <f t="shared" si="3"/>
        <v>-4.5565501014384391E-2</v>
      </c>
      <c r="T59" s="626">
        <f t="shared" si="3"/>
        <v>-3.8834043574859423E-2</v>
      </c>
      <c r="U59" s="626">
        <f t="shared" si="3"/>
        <v>-0.20708427298750598</v>
      </c>
      <c r="V59" s="626">
        <f t="shared" si="3"/>
        <v>-0.24310922564465798</v>
      </c>
      <c r="W59" s="626">
        <f t="shared" si="3"/>
        <v>-0.22723722849273498</v>
      </c>
      <c r="X59" s="626">
        <f t="shared" si="3"/>
        <v>-0.25518802283229169</v>
      </c>
    </row>
    <row r="60" spans="2:79" x14ac:dyDescent="0.25">
      <c r="B60">
        <v>2035</v>
      </c>
      <c r="C60" s="4">
        <v>0.80196213023454588</v>
      </c>
      <c r="D60" s="4">
        <v>0.9096152777755574</v>
      </c>
      <c r="E60" s="4">
        <v>0.88360892640070576</v>
      </c>
      <c r="F60" s="4">
        <v>0.9659410629273093</v>
      </c>
      <c r="G60" s="4">
        <v>0.87124413084299079</v>
      </c>
      <c r="H60" s="4">
        <v>0.97010575056980008</v>
      </c>
      <c r="J60">
        <v>2035</v>
      </c>
      <c r="K60" s="4">
        <f t="shared" si="2"/>
        <v>0.7640074295121988</v>
      </c>
      <c r="L60" s="4">
        <f t="shared" si="4"/>
        <v>0.87267585597484498</v>
      </c>
      <c r="M60" s="4">
        <f t="shared" si="5"/>
        <v>0.6937330558938769</v>
      </c>
      <c r="N60" s="4">
        <f t="shared" si="6"/>
        <v>0.72556628295069447</v>
      </c>
      <c r="O60" s="4">
        <f t="shared" si="7"/>
        <v>0.66596783221019684</v>
      </c>
      <c r="P60" s="4">
        <f t="shared" si="8"/>
        <v>0.71718832385213127</v>
      </c>
      <c r="R60">
        <v>2035</v>
      </c>
      <c r="S60" s="626">
        <f t="shared" si="3"/>
        <v>-4.7327298000027329E-2</v>
      </c>
      <c r="T60" s="626">
        <f t="shared" si="3"/>
        <v>-4.0609939941913531E-2</v>
      </c>
      <c r="U60" s="626">
        <f t="shared" si="3"/>
        <v>-0.21488677268151823</v>
      </c>
      <c r="V60" s="626">
        <f t="shared" si="3"/>
        <v>-0.24885035868353378</v>
      </c>
      <c r="W60" s="626">
        <f t="shared" si="3"/>
        <v>-0.235612833838174</v>
      </c>
      <c r="X60" s="626">
        <f t="shared" si="3"/>
        <v>-0.26071119212427674</v>
      </c>
    </row>
    <row r="62" spans="2:79" ht="18.75" x14ac:dyDescent="0.3">
      <c r="B62" s="857" t="s">
        <v>625</v>
      </c>
      <c r="C62" s="857"/>
      <c r="D62" s="857"/>
      <c r="E62" s="857"/>
      <c r="F62" s="857"/>
      <c r="G62" s="857"/>
      <c r="H62" s="857"/>
      <c r="I62" s="857"/>
      <c r="J62" s="857"/>
      <c r="K62" s="857"/>
      <c r="L62" s="857"/>
      <c r="M62" s="857"/>
      <c r="N62" s="857"/>
      <c r="O62" s="857"/>
      <c r="P62" s="857"/>
      <c r="Q62" s="857"/>
      <c r="R62" s="857"/>
      <c r="S62" s="857"/>
      <c r="T62" s="857"/>
      <c r="U62" s="857"/>
      <c r="V62" s="857"/>
      <c r="W62" s="857"/>
      <c r="X62" s="857"/>
      <c r="Y62" s="857"/>
      <c r="Z62" s="857"/>
      <c r="AA62" s="857"/>
      <c r="AB62" s="857"/>
      <c r="AC62" s="857"/>
      <c r="AD62" s="857"/>
      <c r="AE62" s="857"/>
      <c r="AF62" s="857"/>
      <c r="AG62" s="857"/>
      <c r="AH62" s="857"/>
      <c r="AI62" s="857"/>
      <c r="AJ62" s="857"/>
      <c r="AK62" s="857"/>
      <c r="AL62" s="857"/>
      <c r="AM62" s="857"/>
      <c r="AN62" s="857"/>
      <c r="AO62" s="857"/>
      <c r="AP62" s="857"/>
      <c r="AQ62" s="857"/>
      <c r="AR62" s="857"/>
      <c r="AS62" s="857"/>
      <c r="AT62" s="857"/>
      <c r="AU62" s="857"/>
      <c r="AV62" s="857"/>
      <c r="AW62" s="857"/>
      <c r="AX62" s="857"/>
      <c r="AY62" s="857"/>
      <c r="AZ62" s="857"/>
      <c r="BA62" s="857"/>
      <c r="BB62" s="857"/>
      <c r="BC62" s="857"/>
      <c r="BD62" s="857"/>
      <c r="BE62" s="857"/>
      <c r="BF62" s="857"/>
      <c r="BG62" s="857"/>
      <c r="BH62" s="857"/>
      <c r="BI62" s="857"/>
      <c r="BJ62" s="857"/>
      <c r="BK62" s="857"/>
      <c r="BL62" s="857"/>
      <c r="BM62" s="857"/>
      <c r="BN62" s="857"/>
      <c r="BO62" s="857"/>
      <c r="BP62" s="857"/>
      <c r="BQ62" s="857"/>
      <c r="BR62" s="857"/>
      <c r="BS62" s="857"/>
      <c r="BT62" s="857"/>
      <c r="BU62" s="857"/>
      <c r="BV62" s="857"/>
      <c r="BW62" s="857"/>
      <c r="BX62" s="857"/>
      <c r="BY62" s="857"/>
      <c r="BZ62" s="857"/>
      <c r="CA62" s="857"/>
    </row>
    <row r="63" spans="2:79" ht="18.75" x14ac:dyDescent="0.3">
      <c r="B63" s="858" t="s">
        <v>626</v>
      </c>
      <c r="C63" s="859"/>
      <c r="D63" s="859"/>
      <c r="E63" s="859"/>
      <c r="F63" s="859"/>
      <c r="G63" s="859"/>
      <c r="H63" s="860"/>
      <c r="I63" s="627"/>
      <c r="J63" s="861" t="s">
        <v>627</v>
      </c>
      <c r="K63" s="862"/>
      <c r="L63" s="862"/>
      <c r="M63" s="862"/>
      <c r="N63" s="862"/>
      <c r="O63" s="862"/>
      <c r="P63" s="863"/>
      <c r="R63" s="858" t="s">
        <v>628</v>
      </c>
      <c r="S63" s="859"/>
      <c r="T63" s="859"/>
      <c r="U63" s="859"/>
      <c r="V63" s="859"/>
      <c r="W63" s="859"/>
      <c r="X63" s="860"/>
      <c r="Y63" s="628"/>
      <c r="Z63" s="861" t="s">
        <v>629</v>
      </c>
      <c r="AA63" s="862"/>
      <c r="AB63" s="862"/>
      <c r="AC63" s="862"/>
      <c r="AD63" s="862"/>
      <c r="AE63" s="862"/>
      <c r="AF63" s="863"/>
      <c r="AG63" s="628"/>
      <c r="AH63" s="864" t="s">
        <v>630</v>
      </c>
      <c r="AI63" s="865"/>
      <c r="AJ63" s="865"/>
      <c r="AK63" s="865"/>
      <c r="AL63" s="865"/>
      <c r="AM63" s="865"/>
      <c r="AN63" s="865"/>
      <c r="AO63" s="865"/>
      <c r="AP63" s="865"/>
      <c r="AQ63" s="865"/>
      <c r="AR63" s="866"/>
      <c r="AT63" s="867" t="s">
        <v>631</v>
      </c>
      <c r="AU63" s="867"/>
      <c r="AV63" s="867"/>
      <c r="AW63" s="867"/>
      <c r="AX63" s="867"/>
      <c r="AY63" s="867"/>
      <c r="AZ63" s="867"/>
      <c r="BA63" s="867"/>
      <c r="BB63" s="867"/>
      <c r="BC63" s="867"/>
      <c r="BD63" s="867"/>
      <c r="BE63" s="867"/>
      <c r="BF63" s="614"/>
      <c r="BG63" s="868" t="s">
        <v>632</v>
      </c>
      <c r="BH63" s="868"/>
      <c r="BI63" s="868"/>
      <c r="BJ63" s="868"/>
      <c r="BK63" s="614"/>
      <c r="BL63" s="861" t="s">
        <v>633</v>
      </c>
      <c r="BM63" s="862"/>
      <c r="BN63" s="862"/>
      <c r="BO63" s="862"/>
      <c r="BP63" s="862"/>
      <c r="BQ63" s="862"/>
      <c r="BR63" s="863"/>
      <c r="BV63" s="869" t="s">
        <v>634</v>
      </c>
      <c r="BW63" s="870"/>
      <c r="BX63" s="870"/>
      <c r="BY63" s="870"/>
      <c r="BZ63" s="870"/>
      <c r="CA63" s="870"/>
    </row>
    <row r="64" spans="2:79" x14ac:dyDescent="0.25">
      <c r="B64" s="873" t="s">
        <v>42</v>
      </c>
      <c r="C64" s="629" t="s">
        <v>241</v>
      </c>
      <c r="D64" s="629" t="s">
        <v>243</v>
      </c>
      <c r="E64" s="629" t="s">
        <v>244</v>
      </c>
      <c r="F64" s="629" t="s">
        <v>245</v>
      </c>
      <c r="G64" s="629" t="s">
        <v>246</v>
      </c>
      <c r="H64" s="629" t="s">
        <v>247</v>
      </c>
      <c r="I64" s="630"/>
      <c r="J64" s="873" t="s">
        <v>42</v>
      </c>
      <c r="K64" s="629" t="s">
        <v>241</v>
      </c>
      <c r="L64" s="629" t="s">
        <v>243</v>
      </c>
      <c r="M64" s="629" t="s">
        <v>244</v>
      </c>
      <c r="N64" s="629" t="s">
        <v>245</v>
      </c>
      <c r="O64" s="629" t="s">
        <v>246</v>
      </c>
      <c r="P64" s="629" t="s">
        <v>247</v>
      </c>
      <c r="R64" s="873" t="s">
        <v>42</v>
      </c>
      <c r="S64" s="629" t="s">
        <v>241</v>
      </c>
      <c r="T64" s="629" t="s">
        <v>243</v>
      </c>
      <c r="U64" s="629" t="s">
        <v>244</v>
      </c>
      <c r="V64" s="629" t="s">
        <v>245</v>
      </c>
      <c r="W64" s="629" t="s">
        <v>246</v>
      </c>
      <c r="X64" s="629" t="s">
        <v>247</v>
      </c>
      <c r="Z64" s="873" t="s">
        <v>42</v>
      </c>
      <c r="AA64" s="629" t="s">
        <v>241</v>
      </c>
      <c r="AB64" s="629" t="s">
        <v>243</v>
      </c>
      <c r="AC64" s="629" t="s">
        <v>244</v>
      </c>
      <c r="AD64" s="629" t="s">
        <v>245</v>
      </c>
      <c r="AE64" s="629" t="s">
        <v>246</v>
      </c>
      <c r="AF64" s="629" t="s">
        <v>247</v>
      </c>
      <c r="AH64" s="871" t="s">
        <v>635</v>
      </c>
      <c r="AI64" s="871"/>
      <c r="AJ64" s="871"/>
      <c r="AL64" s="871" t="s">
        <v>636</v>
      </c>
      <c r="AM64" s="871"/>
      <c r="AN64" s="871"/>
      <c r="AP64" s="871" t="s">
        <v>637</v>
      </c>
      <c r="AQ64" s="871"/>
      <c r="AR64" s="871"/>
      <c r="AT64" s="872" t="s">
        <v>638</v>
      </c>
      <c r="AU64" s="872"/>
      <c r="AV64" s="872"/>
      <c r="AX64" s="873" t="s">
        <v>42</v>
      </c>
      <c r="AY64" s="629" t="s">
        <v>241</v>
      </c>
      <c r="AZ64" s="629" t="s">
        <v>243</v>
      </c>
      <c r="BA64" s="629" t="s">
        <v>244</v>
      </c>
      <c r="BB64" s="629" t="s">
        <v>245</v>
      </c>
      <c r="BC64" s="629" t="s">
        <v>246</v>
      </c>
      <c r="BD64" s="629" t="s">
        <v>247</v>
      </c>
      <c r="BF64" s="614"/>
      <c r="BG64" s="614"/>
      <c r="BH64" s="631" t="s">
        <v>246</v>
      </c>
      <c r="BI64" s="632" t="s">
        <v>247</v>
      </c>
      <c r="BJ64" s="614"/>
      <c r="BK64" s="614"/>
      <c r="BL64" s="875" t="s">
        <v>42</v>
      </c>
      <c r="BM64" s="629" t="s">
        <v>241</v>
      </c>
      <c r="BN64" s="629" t="s">
        <v>243</v>
      </c>
      <c r="BO64" s="629" t="s">
        <v>244</v>
      </c>
      <c r="BP64" s="629" t="s">
        <v>245</v>
      </c>
      <c r="BQ64" s="629" t="s">
        <v>246</v>
      </c>
      <c r="BR64" s="629" t="s">
        <v>247</v>
      </c>
      <c r="BV64" s="633" t="s">
        <v>241</v>
      </c>
      <c r="BW64" s="631" t="s">
        <v>243</v>
      </c>
      <c r="BX64" s="631" t="s">
        <v>244</v>
      </c>
      <c r="BY64" s="631" t="s">
        <v>245</v>
      </c>
      <c r="BZ64" s="631" t="s">
        <v>246</v>
      </c>
      <c r="CA64" s="632" t="s">
        <v>247</v>
      </c>
    </row>
    <row r="65" spans="2:79" ht="135" x14ac:dyDescent="0.25">
      <c r="B65" s="874"/>
      <c r="C65" s="629" t="s">
        <v>639</v>
      </c>
      <c r="D65" s="629" t="s">
        <v>639</v>
      </c>
      <c r="E65" s="629" t="s">
        <v>639</v>
      </c>
      <c r="F65" s="629" t="s">
        <v>639</v>
      </c>
      <c r="G65" s="629" t="s">
        <v>639</v>
      </c>
      <c r="H65" s="629" t="s">
        <v>639</v>
      </c>
      <c r="I65" s="630"/>
      <c r="J65" s="874"/>
      <c r="K65" s="629" t="s">
        <v>640</v>
      </c>
      <c r="L65" s="629" t="s">
        <v>640</v>
      </c>
      <c r="M65" s="629" t="s">
        <v>640</v>
      </c>
      <c r="N65" s="629" t="s">
        <v>640</v>
      </c>
      <c r="O65" s="629" t="s">
        <v>640</v>
      </c>
      <c r="P65" s="629" t="s">
        <v>640</v>
      </c>
      <c r="R65" s="874"/>
      <c r="S65" s="629" t="s">
        <v>641</v>
      </c>
      <c r="T65" s="629" t="s">
        <v>641</v>
      </c>
      <c r="U65" s="629" t="s">
        <v>641</v>
      </c>
      <c r="V65" s="629" t="s">
        <v>641</v>
      </c>
      <c r="W65" s="629" t="s">
        <v>641</v>
      </c>
      <c r="X65" s="629" t="s">
        <v>641</v>
      </c>
      <c r="Z65" s="874"/>
      <c r="AA65" s="629" t="s">
        <v>641</v>
      </c>
      <c r="AB65" s="629" t="s">
        <v>641</v>
      </c>
      <c r="AC65" s="629" t="s">
        <v>641</v>
      </c>
      <c r="AD65" s="629" t="s">
        <v>641</v>
      </c>
      <c r="AE65" s="629" t="s">
        <v>641</v>
      </c>
      <c r="AF65" s="629" t="s">
        <v>641</v>
      </c>
      <c r="AH65" s="634" t="s">
        <v>642</v>
      </c>
      <c r="AI65" s="634" t="s">
        <v>643</v>
      </c>
      <c r="AJ65" s="634" t="s">
        <v>644</v>
      </c>
      <c r="AL65" s="634" t="s">
        <v>642</v>
      </c>
      <c r="AM65" s="634" t="s">
        <v>643</v>
      </c>
      <c r="AN65" s="634" t="s">
        <v>644</v>
      </c>
      <c r="AP65" s="634" t="s">
        <v>642</v>
      </c>
      <c r="AQ65" s="634" t="s">
        <v>643</v>
      </c>
      <c r="AR65" s="634" t="s">
        <v>644</v>
      </c>
      <c r="AT65" s="634" t="s">
        <v>642</v>
      </c>
      <c r="AU65" s="634" t="s">
        <v>643</v>
      </c>
      <c r="AV65" s="634" t="s">
        <v>644</v>
      </c>
      <c r="AX65" s="874"/>
      <c r="AY65" s="629" t="s">
        <v>645</v>
      </c>
      <c r="AZ65" s="629" t="s">
        <v>645</v>
      </c>
      <c r="BA65" s="629" t="s">
        <v>645</v>
      </c>
      <c r="BB65" s="629" t="s">
        <v>645</v>
      </c>
      <c r="BC65" s="629" t="s">
        <v>645</v>
      </c>
      <c r="BD65" s="629" t="s">
        <v>645</v>
      </c>
      <c r="BE65" s="635" t="s">
        <v>646</v>
      </c>
      <c r="BF65" s="630"/>
      <c r="BG65" s="630"/>
      <c r="BH65" s="636" t="s">
        <v>647</v>
      </c>
      <c r="BI65" s="636" t="s">
        <v>647</v>
      </c>
      <c r="BJ65" s="630"/>
      <c r="BK65" s="630"/>
      <c r="BL65" s="874"/>
      <c r="BM65" s="629" t="s">
        <v>648</v>
      </c>
      <c r="BN65" s="629" t="s">
        <v>648</v>
      </c>
      <c r="BO65" s="629" t="s">
        <v>648</v>
      </c>
      <c r="BP65" s="629" t="s">
        <v>648</v>
      </c>
      <c r="BQ65" s="629" t="s">
        <v>648</v>
      </c>
      <c r="BR65" s="629" t="s">
        <v>648</v>
      </c>
      <c r="BV65" s="637" t="s">
        <v>242</v>
      </c>
      <c r="BW65" s="638" t="s">
        <v>242</v>
      </c>
      <c r="BX65" s="638" t="s">
        <v>242</v>
      </c>
      <c r="BY65" s="638" t="s">
        <v>242</v>
      </c>
      <c r="BZ65" s="638" t="s">
        <v>242</v>
      </c>
      <c r="CA65" s="639" t="s">
        <v>242</v>
      </c>
    </row>
    <row r="66" spans="2:79" s="614" customFormat="1" ht="13.5" customHeight="1" x14ac:dyDescent="0.25">
      <c r="C66" s="630"/>
      <c r="D66" s="630"/>
      <c r="E66" s="630"/>
      <c r="F66" s="630"/>
      <c r="G66" s="630"/>
      <c r="H66" s="630"/>
      <c r="I66" s="630"/>
      <c r="K66" s="630"/>
      <c r="L66" s="630"/>
      <c r="M66" s="630"/>
      <c r="N66" s="630"/>
      <c r="O66" s="630"/>
      <c r="P66" s="630"/>
      <c r="AA66" s="630"/>
      <c r="AB66" s="630"/>
      <c r="AC66" s="630"/>
      <c r="AD66" s="630"/>
      <c r="AE66" s="630"/>
      <c r="AF66" s="630"/>
      <c r="AH66" s="640"/>
      <c r="AI66" s="641"/>
      <c r="AJ66" s="641"/>
      <c r="AL66" s="640"/>
      <c r="AM66" s="641"/>
      <c r="AN66" s="641"/>
      <c r="AP66" s="640"/>
      <c r="AQ66" s="641"/>
      <c r="AR66" s="641"/>
      <c r="AT66" s="640"/>
      <c r="AU66" s="641"/>
      <c r="AV66" s="641"/>
      <c r="AY66" s="630"/>
      <c r="AZ66" s="630"/>
      <c r="BA66" s="630"/>
      <c r="BB66" s="630"/>
      <c r="BC66" s="630"/>
      <c r="BD66" s="630"/>
      <c r="BE66" s="630"/>
      <c r="BF66" s="630"/>
      <c r="BG66" s="642" t="s">
        <v>649</v>
      </c>
      <c r="BH66" s="643">
        <v>0.71</v>
      </c>
      <c r="BI66" s="643">
        <v>0.42</v>
      </c>
      <c r="BJ66" s="630"/>
      <c r="BK66" s="630"/>
      <c r="BM66" s="630"/>
      <c r="BN66" s="630"/>
      <c r="BO66" s="630"/>
      <c r="BP66" s="630"/>
      <c r="BQ66" s="630"/>
      <c r="BR66" s="630"/>
      <c r="BV66" s="630"/>
      <c r="BW66" s="630"/>
      <c r="BX66" s="630"/>
      <c r="BY66" s="630"/>
      <c r="BZ66" s="630"/>
      <c r="CA66" s="630"/>
    </row>
    <row r="67" spans="2:79" s="614" customFormat="1" ht="14.25" customHeight="1" x14ac:dyDescent="0.25">
      <c r="C67" s="630"/>
      <c r="D67" s="630"/>
      <c r="E67" s="630"/>
      <c r="F67" s="630"/>
      <c r="G67" s="630"/>
      <c r="H67" s="630"/>
      <c r="I67" s="630"/>
      <c r="K67" s="630"/>
      <c r="L67" s="630"/>
      <c r="M67" s="630"/>
      <c r="N67" s="630"/>
      <c r="O67" s="630"/>
      <c r="P67" s="630"/>
      <c r="AA67" s="630"/>
      <c r="AB67" s="630"/>
      <c r="AC67" s="630"/>
      <c r="AD67" s="630"/>
      <c r="AE67" s="630"/>
      <c r="AF67" s="630"/>
      <c r="AH67" s="640"/>
      <c r="AI67" s="641"/>
      <c r="AJ67" s="641"/>
      <c r="AL67" s="640"/>
      <c r="AM67" s="641"/>
      <c r="AN67" s="641"/>
      <c r="AP67" s="640"/>
      <c r="AQ67" s="641"/>
      <c r="AR67" s="641"/>
      <c r="AT67" s="640"/>
      <c r="AU67" s="641"/>
      <c r="AV67" s="641"/>
      <c r="AY67" s="630"/>
      <c r="AZ67" s="630"/>
      <c r="BA67" s="630"/>
      <c r="BB67" s="630"/>
      <c r="BC67" s="630"/>
      <c r="BD67" s="630"/>
      <c r="BE67" s="630"/>
      <c r="BF67" s="630"/>
      <c r="BG67" s="644" t="s">
        <v>650</v>
      </c>
      <c r="BH67" s="645">
        <v>0.6</v>
      </c>
      <c r="BI67" s="645">
        <v>0.4</v>
      </c>
      <c r="BJ67" s="646" t="s">
        <v>651</v>
      </c>
      <c r="BK67" s="630"/>
      <c r="BM67" s="630"/>
      <c r="BN67" s="630"/>
      <c r="BO67" s="630"/>
      <c r="BP67" s="630"/>
      <c r="BQ67" s="630"/>
      <c r="BR67" s="630"/>
      <c r="BV67" s="630"/>
      <c r="BW67" s="630"/>
      <c r="BX67" s="630"/>
      <c r="BY67" s="630"/>
      <c r="BZ67" s="630"/>
      <c r="CA67" s="630"/>
    </row>
    <row r="68" spans="2:79" x14ac:dyDescent="0.25">
      <c r="B68" s="647">
        <v>2008</v>
      </c>
      <c r="C68" s="648">
        <v>7804.2759999999998</v>
      </c>
      <c r="D68" s="648">
        <v>6052.1414999999997</v>
      </c>
      <c r="E68" s="648">
        <v>5309.5186999999996</v>
      </c>
      <c r="F68" s="648">
        <v>2669.9728</v>
      </c>
      <c r="G68" s="648">
        <v>3227.8452000000002</v>
      </c>
      <c r="H68" s="648">
        <v>1713.4254000000001</v>
      </c>
      <c r="I68" s="649"/>
      <c r="J68" s="647">
        <v>2008</v>
      </c>
      <c r="K68" s="650">
        <v>0</v>
      </c>
      <c r="L68" s="650">
        <v>0</v>
      </c>
      <c r="M68" s="650">
        <v>0</v>
      </c>
      <c r="N68" s="650">
        <v>0</v>
      </c>
      <c r="O68" s="650">
        <v>0</v>
      </c>
      <c r="P68" s="651">
        <v>0</v>
      </c>
      <c r="R68" s="647">
        <v>2008</v>
      </c>
      <c r="S68">
        <v>16993.532999999999</v>
      </c>
      <c r="T68">
        <v>8097.71</v>
      </c>
      <c r="U68">
        <v>8548.1996999999992</v>
      </c>
      <c r="V68">
        <v>4649.4310999999998</v>
      </c>
      <c r="W68">
        <v>8743.8080000000009</v>
      </c>
      <c r="X68">
        <v>5174.6884</v>
      </c>
      <c r="Z68" s="647">
        <v>2008</v>
      </c>
      <c r="AA68" s="648">
        <f t="shared" ref="AA68:AF83" si="9">S68*C68*10^(-6)</f>
        <v>132.622221747108</v>
      </c>
      <c r="AB68" s="648">
        <f t="shared" si="9"/>
        <v>49.008486745964994</v>
      </c>
      <c r="AC68" s="648">
        <f t="shared" si="9"/>
        <v>45.386826158484382</v>
      </c>
      <c r="AD68" s="648">
        <f t="shared" si="9"/>
        <v>12.413854572474079</v>
      </c>
      <c r="AE68" s="648">
        <f t="shared" si="9"/>
        <v>28.223658682521602</v>
      </c>
      <c r="AF68" s="652">
        <f t="shared" si="9"/>
        <v>8.8664425416453607</v>
      </c>
      <c r="AH68" s="653" t="s">
        <v>652</v>
      </c>
      <c r="AI68" s="654">
        <v>1</v>
      </c>
      <c r="AJ68" s="655">
        <f>14466911+2342576</f>
        <v>16809487</v>
      </c>
      <c r="AL68" s="653" t="s">
        <v>652</v>
      </c>
      <c r="AM68" s="654">
        <v>1</v>
      </c>
      <c r="AN68" s="655">
        <f>4235408+730648</f>
        <v>4966056</v>
      </c>
      <c r="AP68" s="653" t="s">
        <v>652</v>
      </c>
      <c r="AQ68" s="654">
        <v>1</v>
      </c>
      <c r="AR68" s="655">
        <f>12560022+8600000</f>
        <v>21160022</v>
      </c>
      <c r="AT68" s="653" t="s">
        <v>652</v>
      </c>
      <c r="AU68" s="654">
        <v>0</v>
      </c>
      <c r="AV68" s="655">
        <v>0</v>
      </c>
      <c r="AX68" s="647">
        <v>2008</v>
      </c>
      <c r="AY68" s="648">
        <v>0</v>
      </c>
      <c r="AZ68" s="648">
        <v>0</v>
      </c>
      <c r="BA68" s="648">
        <v>0</v>
      </c>
      <c r="BB68" s="648">
        <v>0</v>
      </c>
      <c r="BC68" s="648">
        <v>0</v>
      </c>
      <c r="BD68" s="652">
        <v>0</v>
      </c>
      <c r="BF68" s="614"/>
      <c r="BG68" s="614"/>
      <c r="BH68" s="656">
        <f>BJ68*$BH$67*$BH$66*(AE68*(10^6)/G68)</f>
        <v>0</v>
      </c>
      <c r="BI68" s="656">
        <f>BJ68*$BI$67*$BI$66*(AF68*(10^6)/H68)</f>
        <v>0</v>
      </c>
      <c r="BJ68" s="656">
        <v>0</v>
      </c>
      <c r="BK68" s="614"/>
      <c r="BL68" s="647">
        <v>2008</v>
      </c>
      <c r="BM68" s="657">
        <f>AA68*10^9</f>
        <v>132622221747.108</v>
      </c>
      <c r="BN68" s="657">
        <f>AB68*10^9</f>
        <v>49008486745.964996</v>
      </c>
      <c r="BO68" s="657">
        <f>AC68*10^9</f>
        <v>45386826158.484383</v>
      </c>
      <c r="BP68" s="657">
        <f>AD68*10^9</f>
        <v>12413854572.474079</v>
      </c>
      <c r="BQ68" s="657">
        <f t="shared" ref="BQ68:BR75" si="10">AE68*10^9-BH68</f>
        <v>28223658682.521603</v>
      </c>
      <c r="BR68" s="658">
        <f t="shared" si="10"/>
        <v>8866442541.6453609</v>
      </c>
      <c r="BU68" s="647">
        <v>2008</v>
      </c>
      <c r="BV68" s="648">
        <f t="shared" ref="BV68:CA95" si="11">BM68/BM$70</f>
        <v>1.0392635813417648</v>
      </c>
      <c r="BW68" s="648">
        <f t="shared" si="11"/>
        <v>1.0114256471357521</v>
      </c>
      <c r="BX68" s="648">
        <f t="shared" si="11"/>
        <v>1.0091611940213576</v>
      </c>
      <c r="BY68" s="648">
        <f t="shared" si="11"/>
        <v>1.0042182977224912</v>
      </c>
      <c r="BZ68" s="648">
        <f t="shared" si="11"/>
        <v>1.0049058272003502</v>
      </c>
      <c r="CA68" s="652">
        <f t="shared" si="11"/>
        <v>1.0017284970724731</v>
      </c>
    </row>
    <row r="69" spans="2:79" x14ac:dyDescent="0.25">
      <c r="B69" s="659">
        <v>2009</v>
      </c>
      <c r="C69" s="648">
        <v>7804.2759999999998</v>
      </c>
      <c r="D69" s="648">
        <v>6052.1414999999997</v>
      </c>
      <c r="E69" s="648">
        <v>5309.5186999999996</v>
      </c>
      <c r="F69" s="648">
        <v>2669.9728</v>
      </c>
      <c r="G69" s="648">
        <v>3227.8452000000002</v>
      </c>
      <c r="H69" s="648">
        <v>1713.4254000000001</v>
      </c>
      <c r="I69" s="649"/>
      <c r="J69" s="659">
        <v>2009</v>
      </c>
      <c r="K69" s="660">
        <f t="shared" ref="K69:P84" si="12">1-C69/C68</f>
        <v>0</v>
      </c>
      <c r="L69" s="660">
        <f t="shared" si="12"/>
        <v>0</v>
      </c>
      <c r="M69" s="660">
        <f t="shared" si="12"/>
        <v>0</v>
      </c>
      <c r="N69" s="660">
        <f t="shared" si="12"/>
        <v>0</v>
      </c>
      <c r="O69" s="660">
        <f t="shared" si="12"/>
        <v>0</v>
      </c>
      <c r="P69" s="661">
        <f t="shared" si="12"/>
        <v>0</v>
      </c>
      <c r="R69" s="659">
        <v>2009</v>
      </c>
      <c r="S69">
        <v>16676.786</v>
      </c>
      <c r="T69">
        <v>8040.3347000000003</v>
      </c>
      <c r="U69">
        <v>8502.5241000000005</v>
      </c>
      <c r="V69">
        <v>4633.2075000000004</v>
      </c>
      <c r="W69">
        <v>8714.6934000000001</v>
      </c>
      <c r="X69">
        <v>5166.5934999999999</v>
      </c>
      <c r="Z69" s="659">
        <v>2009</v>
      </c>
      <c r="AA69" s="662">
        <f t="shared" si="9"/>
        <v>130.15024073693598</v>
      </c>
      <c r="AB69" s="662">
        <f t="shared" si="9"/>
        <v>48.661243311760053</v>
      </c>
      <c r="AC69" s="662">
        <f t="shared" si="9"/>
        <v>45.144310706150669</v>
      </c>
      <c r="AD69" s="662">
        <f t="shared" si="9"/>
        <v>12.370538001756001</v>
      </c>
      <c r="AE69" s="662">
        <f t="shared" si="9"/>
        <v>28.129681260661684</v>
      </c>
      <c r="AF69" s="663">
        <f t="shared" si="9"/>
        <v>8.8525725343749002</v>
      </c>
      <c r="AH69" s="664" t="s">
        <v>653</v>
      </c>
      <c r="AI69" s="665">
        <v>0.85</v>
      </c>
      <c r="AJ69" s="666">
        <f>$AJ$68*AI69</f>
        <v>14288063.949999999</v>
      </c>
      <c r="AL69" s="664" t="s">
        <v>653</v>
      </c>
      <c r="AM69" s="665">
        <v>0.85</v>
      </c>
      <c r="AN69" s="666">
        <f>$AN$68*AM69</f>
        <v>4221147.5999999996</v>
      </c>
      <c r="AP69" s="664" t="s">
        <v>653</v>
      </c>
      <c r="AQ69" s="665">
        <v>0.6</v>
      </c>
      <c r="AR69" s="666">
        <f>$AR$68*AQ69</f>
        <v>12696013.199999999</v>
      </c>
      <c r="AT69" s="664" t="s">
        <v>653</v>
      </c>
      <c r="AU69" s="665">
        <v>0</v>
      </c>
      <c r="AV69" s="666">
        <f>$AR$68*AU69</f>
        <v>0</v>
      </c>
      <c r="AX69" s="659">
        <v>2009</v>
      </c>
      <c r="AY69" s="662">
        <v>0</v>
      </c>
      <c r="AZ69" s="662">
        <v>0</v>
      </c>
      <c r="BA69" s="662">
        <v>0</v>
      </c>
      <c r="BB69" s="662">
        <v>0</v>
      </c>
      <c r="BC69" s="662">
        <v>0</v>
      </c>
      <c r="BD69" s="663">
        <v>0</v>
      </c>
      <c r="BF69" s="614"/>
      <c r="BG69" s="614"/>
      <c r="BH69" s="656">
        <f t="shared" ref="BH69:BH95" si="13">BJ69*$BH$67*$BH$66*(AE69*(10^6)/G69)+BH68</f>
        <v>0</v>
      </c>
      <c r="BI69" s="656">
        <f t="shared" ref="BI69:BI95" si="14">BJ69*$BI$67*$BI$66*(AF69*(10^6)/H69)+BI68</f>
        <v>0</v>
      </c>
      <c r="BJ69" s="656">
        <v>0</v>
      </c>
      <c r="BK69" s="614"/>
      <c r="BL69" s="659">
        <v>2009</v>
      </c>
      <c r="BM69" s="667">
        <f t="shared" ref="BM69:BP75" si="15">AA69*10^9</f>
        <v>130150240736.93599</v>
      </c>
      <c r="BN69" s="667">
        <f t="shared" si="15"/>
        <v>48661243311.760056</v>
      </c>
      <c r="BO69" s="667">
        <f t="shared" si="15"/>
        <v>45144310706.150673</v>
      </c>
      <c r="BP69" s="667">
        <f t="shared" si="15"/>
        <v>12370538001.756001</v>
      </c>
      <c r="BQ69" s="667">
        <f t="shared" si="10"/>
        <v>28129681260.661682</v>
      </c>
      <c r="BR69" s="668">
        <f t="shared" si="10"/>
        <v>8852572534.3749008</v>
      </c>
      <c r="BU69" s="659">
        <v>2009</v>
      </c>
      <c r="BV69" s="662">
        <f t="shared" si="11"/>
        <v>1.0198924698960599</v>
      </c>
      <c r="BW69" s="662">
        <f t="shared" si="11"/>
        <v>1.004259318638917</v>
      </c>
      <c r="BX69" s="662">
        <f t="shared" si="11"/>
        <v>1.0037689424770189</v>
      </c>
      <c r="BY69" s="662">
        <f t="shared" si="11"/>
        <v>1.000714205366992</v>
      </c>
      <c r="BZ69" s="662">
        <f t="shared" si="11"/>
        <v>1.0015597529045046</v>
      </c>
      <c r="CA69" s="663">
        <f t="shared" si="11"/>
        <v>1.0001614670632939</v>
      </c>
    </row>
    <row r="70" spans="2:79" x14ac:dyDescent="0.25">
      <c r="B70" s="659">
        <v>2010</v>
      </c>
      <c r="C70" s="648">
        <v>7804.2759999999998</v>
      </c>
      <c r="D70" s="648">
        <v>6052.1414999999997</v>
      </c>
      <c r="E70" s="648">
        <v>5309.5186999999996</v>
      </c>
      <c r="F70" s="648">
        <v>2669.9728</v>
      </c>
      <c r="G70" s="648">
        <v>3227.8452000000002</v>
      </c>
      <c r="H70" s="648">
        <v>1713.4254000000001</v>
      </c>
      <c r="I70" s="649"/>
      <c r="J70" s="659">
        <v>2010</v>
      </c>
      <c r="K70" s="660">
        <f t="shared" si="12"/>
        <v>0</v>
      </c>
      <c r="L70" s="660">
        <f t="shared" si="12"/>
        <v>0</v>
      </c>
      <c r="M70" s="660">
        <f t="shared" si="12"/>
        <v>0</v>
      </c>
      <c r="N70" s="660">
        <f t="shared" si="12"/>
        <v>0</v>
      </c>
      <c r="O70" s="660">
        <f t="shared" si="12"/>
        <v>0</v>
      </c>
      <c r="P70" s="661">
        <f t="shared" si="12"/>
        <v>0</v>
      </c>
      <c r="R70" s="659">
        <v>2010</v>
      </c>
      <c r="S70">
        <v>16351.513999999999</v>
      </c>
      <c r="T70">
        <v>8006.2335999999996</v>
      </c>
      <c r="U70">
        <v>8470.5989000000009</v>
      </c>
      <c r="V70">
        <v>4629.9008000000003</v>
      </c>
      <c r="W70">
        <v>8701.1218000000008</v>
      </c>
      <c r="X70">
        <v>5165.7593999999999</v>
      </c>
      <c r="Z70" s="659">
        <v>2010</v>
      </c>
      <c r="AA70" s="662">
        <f t="shared" si="9"/>
        <v>127.61172827386397</v>
      </c>
      <c r="AB70" s="662">
        <f t="shared" si="9"/>
        <v>48.454858629254389</v>
      </c>
      <c r="AC70" s="662">
        <f t="shared" si="9"/>
        <v>44.974803259749436</v>
      </c>
      <c r="AD70" s="662">
        <f t="shared" si="9"/>
        <v>12.36170920269824</v>
      </c>
      <c r="AE70" s="662">
        <f t="shared" si="9"/>
        <v>28.085874236745365</v>
      </c>
      <c r="AF70" s="663">
        <f t="shared" si="9"/>
        <v>8.8511433662487597</v>
      </c>
      <c r="AH70" s="664" t="s">
        <v>654</v>
      </c>
      <c r="AI70" s="665">
        <v>0.15</v>
      </c>
      <c r="AJ70" s="666">
        <f>$AJ$68*AI70</f>
        <v>2521423.0499999998</v>
      </c>
      <c r="AL70" s="664" t="s">
        <v>654</v>
      </c>
      <c r="AM70" s="665">
        <v>0.15</v>
      </c>
      <c r="AN70" s="666">
        <f>$AN$68*AM70</f>
        <v>744908.4</v>
      </c>
      <c r="AP70" s="664" t="s">
        <v>654</v>
      </c>
      <c r="AQ70" s="665">
        <v>0.4</v>
      </c>
      <c r="AR70" s="666">
        <f>$AR$68*AQ70</f>
        <v>8464008.8000000007</v>
      </c>
      <c r="AT70" s="664" t="s">
        <v>654</v>
      </c>
      <c r="AU70" s="665">
        <v>0</v>
      </c>
      <c r="AV70" s="666">
        <f>$AR$68*AU70</f>
        <v>0</v>
      </c>
      <c r="AX70" s="659">
        <v>2010</v>
      </c>
      <c r="AY70" s="662">
        <v>0</v>
      </c>
      <c r="AZ70" s="662">
        <v>0</v>
      </c>
      <c r="BA70" s="662">
        <v>0</v>
      </c>
      <c r="BB70" s="662">
        <v>0</v>
      </c>
      <c r="BC70" s="662">
        <v>0</v>
      </c>
      <c r="BD70" s="663">
        <v>0</v>
      </c>
      <c r="BF70" s="614"/>
      <c r="BG70" s="614"/>
      <c r="BH70" s="656">
        <f t="shared" si="13"/>
        <v>0</v>
      </c>
      <c r="BI70" s="656">
        <f t="shared" si="14"/>
        <v>0</v>
      </c>
      <c r="BJ70" s="656">
        <v>0</v>
      </c>
      <c r="BK70" s="614"/>
      <c r="BL70" s="659">
        <v>2010</v>
      </c>
      <c r="BM70" s="667">
        <f t="shared" si="15"/>
        <v>127611728273.86397</v>
      </c>
      <c r="BN70" s="667">
        <f t="shared" si="15"/>
        <v>48454858629.254387</v>
      </c>
      <c r="BO70" s="667">
        <f t="shared" si="15"/>
        <v>44974803259.749435</v>
      </c>
      <c r="BP70" s="667">
        <f t="shared" si="15"/>
        <v>12361709202.69824</v>
      </c>
      <c r="BQ70" s="667">
        <f t="shared" si="10"/>
        <v>28085874236.745365</v>
      </c>
      <c r="BR70" s="668">
        <f t="shared" si="10"/>
        <v>8851143366.2487602</v>
      </c>
      <c r="BU70" s="659">
        <v>2010</v>
      </c>
      <c r="BV70" s="662">
        <f t="shared" si="11"/>
        <v>1</v>
      </c>
      <c r="BW70" s="662">
        <f t="shared" si="11"/>
        <v>1</v>
      </c>
      <c r="BX70" s="662">
        <f t="shared" si="11"/>
        <v>1</v>
      </c>
      <c r="BY70" s="662">
        <f t="shared" si="11"/>
        <v>1</v>
      </c>
      <c r="BZ70" s="662">
        <f t="shared" si="11"/>
        <v>1</v>
      </c>
      <c r="CA70" s="663">
        <f t="shared" si="11"/>
        <v>1</v>
      </c>
    </row>
    <row r="71" spans="2:79" x14ac:dyDescent="0.25">
      <c r="B71" s="659">
        <v>2011</v>
      </c>
      <c r="C71" s="648">
        <v>7804.2759999999998</v>
      </c>
      <c r="D71" s="648">
        <v>6052.1414999999997</v>
      </c>
      <c r="E71" s="648">
        <v>5309.5186999999996</v>
      </c>
      <c r="F71" s="648">
        <v>2669.9728</v>
      </c>
      <c r="G71" s="648">
        <v>3227.8452000000002</v>
      </c>
      <c r="H71" s="648">
        <v>1713.4254000000001</v>
      </c>
      <c r="I71" s="649"/>
      <c r="J71" s="659">
        <v>2011</v>
      </c>
      <c r="K71" s="660">
        <f t="shared" si="12"/>
        <v>0</v>
      </c>
      <c r="L71" s="660">
        <f t="shared" si="12"/>
        <v>0</v>
      </c>
      <c r="M71" s="660">
        <f t="shared" si="12"/>
        <v>0</v>
      </c>
      <c r="N71" s="660">
        <f t="shared" si="12"/>
        <v>0</v>
      </c>
      <c r="O71" s="660">
        <f t="shared" si="12"/>
        <v>0</v>
      </c>
      <c r="P71" s="661">
        <f t="shared" si="12"/>
        <v>0</v>
      </c>
      <c r="R71" s="659">
        <v>2011</v>
      </c>
      <c r="S71">
        <v>16054.192999999999</v>
      </c>
      <c r="T71">
        <v>7976.5357999999997</v>
      </c>
      <c r="U71">
        <v>8437.8569000000007</v>
      </c>
      <c r="V71">
        <v>4626.6238999999996</v>
      </c>
      <c r="W71">
        <v>8685.3881000000001</v>
      </c>
      <c r="X71">
        <v>5164.8042999999998</v>
      </c>
      <c r="Z71" s="659">
        <v>2011</v>
      </c>
      <c r="AA71" s="662">
        <f t="shared" si="9"/>
        <v>125.29135312926799</v>
      </c>
      <c r="AB71" s="662">
        <f t="shared" si="9"/>
        <v>48.275123341415693</v>
      </c>
      <c r="AC71" s="662">
        <f t="shared" si="9"/>
        <v>44.80095899847403</v>
      </c>
      <c r="AD71" s="662">
        <f t="shared" si="9"/>
        <v>12.352959968829918</v>
      </c>
      <c r="AE71" s="662">
        <f t="shared" si="9"/>
        <v>28.035088288722122</v>
      </c>
      <c r="AF71" s="663">
        <f t="shared" si="9"/>
        <v>8.8495068736492204</v>
      </c>
      <c r="AH71" s="653" t="s">
        <v>655</v>
      </c>
      <c r="AI71" s="654">
        <v>1</v>
      </c>
      <c r="AJ71" s="655">
        <f>7343493+824435+255391093+45866077</f>
        <v>309425098</v>
      </c>
      <c r="AL71" s="653" t="s">
        <v>655</v>
      </c>
      <c r="AM71" s="654">
        <v>1</v>
      </c>
      <c r="AN71" s="655">
        <f>25581953+4440625</f>
        <v>30022578</v>
      </c>
      <c r="AP71" s="653" t="s">
        <v>655</v>
      </c>
      <c r="AQ71" s="654">
        <v>1</v>
      </c>
      <c r="AR71" s="655">
        <v>571990</v>
      </c>
      <c r="AT71" s="653" t="s">
        <v>655</v>
      </c>
      <c r="AU71" s="654">
        <v>1</v>
      </c>
      <c r="AV71" s="655">
        <f>8179948.62*1000</f>
        <v>8179948620</v>
      </c>
      <c r="AX71" s="659">
        <v>2011</v>
      </c>
      <c r="AY71" s="662">
        <v>0</v>
      </c>
      <c r="AZ71" s="662">
        <v>0</v>
      </c>
      <c r="BA71" s="662">
        <v>0</v>
      </c>
      <c r="BB71" s="662">
        <v>0</v>
      </c>
      <c r="BC71" s="662">
        <v>0</v>
      </c>
      <c r="BD71" s="663">
        <v>0</v>
      </c>
      <c r="BF71" s="614"/>
      <c r="BG71" s="614"/>
      <c r="BH71" s="656">
        <f t="shared" si="13"/>
        <v>0</v>
      </c>
      <c r="BI71" s="656">
        <f t="shared" si="14"/>
        <v>0</v>
      </c>
      <c r="BJ71" s="656">
        <v>0</v>
      </c>
      <c r="BK71" s="614"/>
      <c r="BL71" s="659">
        <v>2011</v>
      </c>
      <c r="BM71" s="667">
        <f t="shared" si="15"/>
        <v>125291353129.26799</v>
      </c>
      <c r="BN71" s="667">
        <f t="shared" si="15"/>
        <v>48275123341.415695</v>
      </c>
      <c r="BO71" s="667">
        <f t="shared" si="15"/>
        <v>44800958998.47403</v>
      </c>
      <c r="BP71" s="667">
        <f t="shared" si="15"/>
        <v>12352959968.829918</v>
      </c>
      <c r="BQ71" s="667">
        <f t="shared" si="10"/>
        <v>28035088288.722122</v>
      </c>
      <c r="BR71" s="668">
        <f t="shared" si="10"/>
        <v>8849506873.6492195</v>
      </c>
      <c r="BU71" s="659">
        <v>2011</v>
      </c>
      <c r="BV71" s="662">
        <f t="shared" si="11"/>
        <v>0.9818169131005241</v>
      </c>
      <c r="BW71" s="662">
        <f t="shared" si="11"/>
        <v>0.99629066531358779</v>
      </c>
      <c r="BX71" s="662">
        <f t="shared" si="11"/>
        <v>0.99613462986660828</v>
      </c>
      <c r="BY71" s="662">
        <f t="shared" si="11"/>
        <v>0.99929223105600862</v>
      </c>
      <c r="BZ71" s="662">
        <f t="shared" si="11"/>
        <v>0.99819176189442593</v>
      </c>
      <c r="CA71" s="663">
        <f t="shared" si="11"/>
        <v>0.99981510946870644</v>
      </c>
    </row>
    <row r="72" spans="2:79" x14ac:dyDescent="0.25">
      <c r="B72" s="659">
        <v>2012</v>
      </c>
      <c r="C72" s="648">
        <v>7804.2759999999998</v>
      </c>
      <c r="D72" s="648">
        <v>6052.1414999999997</v>
      </c>
      <c r="E72" s="648">
        <v>5309.5186999999996</v>
      </c>
      <c r="F72" s="648">
        <v>2669.9728</v>
      </c>
      <c r="G72" s="648">
        <v>3227.8452000000002</v>
      </c>
      <c r="H72" s="648">
        <v>1713.4254000000001</v>
      </c>
      <c r="I72" s="649"/>
      <c r="J72" s="659">
        <v>2012</v>
      </c>
      <c r="K72" s="660">
        <f t="shared" si="12"/>
        <v>0</v>
      </c>
      <c r="L72" s="660">
        <f t="shared" si="12"/>
        <v>0</v>
      </c>
      <c r="M72" s="660">
        <f t="shared" si="12"/>
        <v>0</v>
      </c>
      <c r="N72" s="660">
        <f t="shared" si="12"/>
        <v>0</v>
      </c>
      <c r="O72" s="660">
        <f t="shared" si="12"/>
        <v>0</v>
      </c>
      <c r="P72" s="661">
        <f t="shared" si="12"/>
        <v>0</v>
      </c>
      <c r="R72" s="659">
        <v>2012</v>
      </c>
      <c r="S72">
        <v>15822.805</v>
      </c>
      <c r="T72">
        <v>7951.6562000000004</v>
      </c>
      <c r="U72">
        <v>8408.5061000000005</v>
      </c>
      <c r="V72">
        <v>4623.6485000000002</v>
      </c>
      <c r="W72">
        <v>8668.2567999999992</v>
      </c>
      <c r="X72">
        <v>5163.6053000000002</v>
      </c>
      <c r="Z72" s="659">
        <v>2012</v>
      </c>
      <c r="AA72" s="662">
        <f t="shared" si="9"/>
        <v>123.48553731417999</v>
      </c>
      <c r="AB72" s="662">
        <f t="shared" si="9"/>
        <v>48.124548481752299</v>
      </c>
      <c r="AC72" s="662">
        <f t="shared" si="9"/>
        <v>44.645120377014067</v>
      </c>
      <c r="AD72" s="662">
        <f t="shared" si="9"/>
        <v>12.3450157317608</v>
      </c>
      <c r="AE72" s="662">
        <f t="shared" si="9"/>
        <v>27.979791104247358</v>
      </c>
      <c r="AF72" s="663">
        <f t="shared" si="9"/>
        <v>8.8474524765946203</v>
      </c>
      <c r="AH72" s="664" t="s">
        <v>656</v>
      </c>
      <c r="AI72" s="665">
        <v>0.45</v>
      </c>
      <c r="AJ72" s="666">
        <f>$AJ$71*AI72</f>
        <v>139241294.09999999</v>
      </c>
      <c r="AL72" s="664" t="s">
        <v>656</v>
      </c>
      <c r="AM72" s="665">
        <v>0.45</v>
      </c>
      <c r="AN72" s="666">
        <f>$AN$71*AM72</f>
        <v>13510160.1</v>
      </c>
      <c r="AP72" s="664" t="s">
        <v>656</v>
      </c>
      <c r="AQ72" s="665">
        <v>0.45</v>
      </c>
      <c r="AR72" s="666">
        <f>$AR$71*AQ72</f>
        <v>257395.5</v>
      </c>
      <c r="AT72" s="664" t="s">
        <v>656</v>
      </c>
      <c r="AU72" s="665">
        <v>0.4</v>
      </c>
      <c r="AV72" s="666">
        <f>$AV$71*AU72</f>
        <v>3271979448</v>
      </c>
      <c r="AX72" s="659">
        <v>2012</v>
      </c>
      <c r="AY72" s="662">
        <v>0</v>
      </c>
      <c r="AZ72" s="662">
        <v>0</v>
      </c>
      <c r="BA72" s="662">
        <v>0</v>
      </c>
      <c r="BB72" s="662">
        <v>0</v>
      </c>
      <c r="BC72" s="662">
        <v>0</v>
      </c>
      <c r="BD72" s="663">
        <v>0</v>
      </c>
      <c r="BF72" s="614"/>
      <c r="BG72" s="614"/>
      <c r="BH72" s="656">
        <f t="shared" si="13"/>
        <v>0</v>
      </c>
      <c r="BI72" s="656">
        <f t="shared" si="14"/>
        <v>0</v>
      </c>
      <c r="BJ72" s="656">
        <v>0</v>
      </c>
      <c r="BK72" s="614"/>
      <c r="BL72" s="659">
        <v>2012</v>
      </c>
      <c r="BM72" s="667">
        <f t="shared" si="15"/>
        <v>123485537314.17999</v>
      </c>
      <c r="BN72" s="667">
        <f t="shared" si="15"/>
        <v>48124548481.752296</v>
      </c>
      <c r="BO72" s="667">
        <f t="shared" si="15"/>
        <v>44645120377.014069</v>
      </c>
      <c r="BP72" s="667">
        <f t="shared" si="15"/>
        <v>12345015731.760799</v>
      </c>
      <c r="BQ72" s="667">
        <f t="shared" si="10"/>
        <v>27979791104.247356</v>
      </c>
      <c r="BR72" s="668">
        <f t="shared" si="10"/>
        <v>8847452476.5946198</v>
      </c>
      <c r="BU72" s="659">
        <v>2012</v>
      </c>
      <c r="BV72" s="662">
        <f t="shared" si="11"/>
        <v>0.96766605220776514</v>
      </c>
      <c r="BW72" s="662">
        <f t="shared" si="11"/>
        <v>0.99318313669988367</v>
      </c>
      <c r="BX72" s="662">
        <f t="shared" si="11"/>
        <v>0.99266960922916547</v>
      </c>
      <c r="BY72" s="662">
        <f t="shared" si="11"/>
        <v>0.99864958229774592</v>
      </c>
      <c r="BZ72" s="662">
        <f t="shared" si="11"/>
        <v>0.99622290082182241</v>
      </c>
      <c r="CA72" s="663">
        <f t="shared" si="11"/>
        <v>0.99958300419489143</v>
      </c>
    </row>
    <row r="73" spans="2:79" x14ac:dyDescent="0.25">
      <c r="B73" s="659">
        <v>2013</v>
      </c>
      <c r="C73" s="648">
        <v>7804.2759999999998</v>
      </c>
      <c r="D73" s="648">
        <v>6052.1414999999997</v>
      </c>
      <c r="E73" s="648">
        <v>5309.5186999999996</v>
      </c>
      <c r="F73" s="648">
        <v>2669.9728</v>
      </c>
      <c r="G73" s="648">
        <v>3227.8452000000002</v>
      </c>
      <c r="H73" s="648">
        <v>1713.4254000000001</v>
      </c>
      <c r="I73" s="649"/>
      <c r="J73" s="659">
        <v>2013</v>
      </c>
      <c r="K73" s="660">
        <f t="shared" si="12"/>
        <v>0</v>
      </c>
      <c r="L73" s="660">
        <f t="shared" si="12"/>
        <v>0</v>
      </c>
      <c r="M73" s="660">
        <f t="shared" si="12"/>
        <v>0</v>
      </c>
      <c r="N73" s="660">
        <f t="shared" si="12"/>
        <v>0</v>
      </c>
      <c r="O73" s="660">
        <f t="shared" si="12"/>
        <v>0</v>
      </c>
      <c r="P73" s="661">
        <f t="shared" si="12"/>
        <v>0</v>
      </c>
      <c r="R73" s="659">
        <v>2013</v>
      </c>
      <c r="S73">
        <v>15612.993</v>
      </c>
      <c r="T73">
        <v>7928.2749000000003</v>
      </c>
      <c r="U73">
        <v>8379.7297999999992</v>
      </c>
      <c r="V73">
        <v>4620.8310000000001</v>
      </c>
      <c r="W73">
        <v>8651.5941000000003</v>
      </c>
      <c r="X73">
        <v>5162.4273999999996</v>
      </c>
      <c r="Z73" s="659">
        <v>2013</v>
      </c>
      <c r="AA73" s="662">
        <f t="shared" si="9"/>
        <v>121.848106558068</v>
      </c>
      <c r="AB73" s="662">
        <f t="shared" si="9"/>
        <v>47.983041545698349</v>
      </c>
      <c r="AC73" s="662">
        <f t="shared" si="9"/>
        <v>44.492332074047248</v>
      </c>
      <c r="AD73" s="662">
        <f t="shared" si="9"/>
        <v>12.337493083396799</v>
      </c>
      <c r="AE73" s="662">
        <f t="shared" si="9"/>
        <v>27.92600648803332</v>
      </c>
      <c r="AF73" s="663">
        <f t="shared" si="9"/>
        <v>8.8454342328159594</v>
      </c>
      <c r="AH73" s="664" t="s">
        <v>657</v>
      </c>
      <c r="AI73" s="665">
        <v>0.15</v>
      </c>
      <c r="AJ73" s="666">
        <f>$AJ$71*AI73</f>
        <v>46413764.699999996</v>
      </c>
      <c r="AL73" s="664" t="s">
        <v>657</v>
      </c>
      <c r="AM73" s="665">
        <v>0.15</v>
      </c>
      <c r="AN73" s="666">
        <f>$AN$71*AM73</f>
        <v>4503386.7</v>
      </c>
      <c r="AP73" s="664" t="s">
        <v>657</v>
      </c>
      <c r="AQ73" s="665">
        <v>0.15</v>
      </c>
      <c r="AR73" s="666">
        <f>$AR$71*AQ73</f>
        <v>85798.5</v>
      </c>
      <c r="AT73" s="664" t="s">
        <v>657</v>
      </c>
      <c r="AU73" s="665">
        <v>0.2</v>
      </c>
      <c r="AV73" s="666">
        <f>$AV$71*AU73</f>
        <v>1635989724</v>
      </c>
      <c r="AX73" s="659">
        <v>2013</v>
      </c>
      <c r="AY73" s="662">
        <v>0</v>
      </c>
      <c r="AZ73" s="662">
        <v>0</v>
      </c>
      <c r="BA73" s="662">
        <v>0</v>
      </c>
      <c r="BB73" s="662">
        <v>0</v>
      </c>
      <c r="BC73" s="662">
        <v>0</v>
      </c>
      <c r="BD73" s="663">
        <v>0</v>
      </c>
      <c r="BF73" s="614"/>
      <c r="BG73" s="614"/>
      <c r="BH73" s="656">
        <f t="shared" si="13"/>
        <v>0</v>
      </c>
      <c r="BI73" s="656">
        <f t="shared" si="14"/>
        <v>0</v>
      </c>
      <c r="BJ73" s="656">
        <v>0</v>
      </c>
      <c r="BK73" s="614"/>
      <c r="BL73" s="659">
        <v>2013</v>
      </c>
      <c r="BM73" s="667">
        <f t="shared" si="15"/>
        <v>121848106558.06799</v>
      </c>
      <c r="BN73" s="667">
        <f t="shared" si="15"/>
        <v>47983041545.698349</v>
      </c>
      <c r="BO73" s="667">
        <f t="shared" si="15"/>
        <v>44492332074.047249</v>
      </c>
      <c r="BP73" s="667">
        <f t="shared" si="15"/>
        <v>12337493083.396799</v>
      </c>
      <c r="BQ73" s="667">
        <f t="shared" si="10"/>
        <v>27926006488.033321</v>
      </c>
      <c r="BR73" s="668">
        <f t="shared" si="10"/>
        <v>8845434232.8159599</v>
      </c>
      <c r="BU73" s="659">
        <v>2013</v>
      </c>
      <c r="BV73" s="662">
        <f t="shared" si="11"/>
        <v>0.95483470215663224</v>
      </c>
      <c r="BW73" s="662">
        <f t="shared" si="11"/>
        <v>0.99026274976538309</v>
      </c>
      <c r="BX73" s="662">
        <f t="shared" si="11"/>
        <v>0.98927241142299827</v>
      </c>
      <c r="BY73" s="662">
        <f t="shared" si="11"/>
        <v>0.99804103794189269</v>
      </c>
      <c r="BZ73" s="662">
        <f t="shared" si="11"/>
        <v>0.99430789487396887</v>
      </c>
      <c r="CA73" s="663">
        <f t="shared" si="11"/>
        <v>0.99935498350929775</v>
      </c>
    </row>
    <row r="74" spans="2:79" x14ac:dyDescent="0.25">
      <c r="B74" s="659">
        <v>2014</v>
      </c>
      <c r="C74" s="648">
        <v>7804.2759999999998</v>
      </c>
      <c r="D74" s="648">
        <v>6052.1414999999997</v>
      </c>
      <c r="E74" s="648">
        <v>5309.5186999999996</v>
      </c>
      <c r="F74" s="648">
        <v>2669.9728</v>
      </c>
      <c r="G74" s="648">
        <v>3227.8452000000002</v>
      </c>
      <c r="H74" s="648">
        <v>1713.4254000000001</v>
      </c>
      <c r="I74" s="649"/>
      <c r="J74" s="659">
        <v>2014</v>
      </c>
      <c r="K74" s="660">
        <f t="shared" si="12"/>
        <v>0</v>
      </c>
      <c r="L74" s="660">
        <f t="shared" si="12"/>
        <v>0</v>
      </c>
      <c r="M74" s="660">
        <f t="shared" si="12"/>
        <v>0</v>
      </c>
      <c r="N74" s="660">
        <f t="shared" si="12"/>
        <v>0</v>
      </c>
      <c r="O74" s="660">
        <f t="shared" si="12"/>
        <v>0</v>
      </c>
      <c r="P74" s="661">
        <f t="shared" si="12"/>
        <v>0</v>
      </c>
      <c r="R74" s="659">
        <v>2014</v>
      </c>
      <c r="S74">
        <v>15402.558000000001</v>
      </c>
      <c r="T74">
        <v>7902.2898999999998</v>
      </c>
      <c r="U74">
        <v>8348.7355000000007</v>
      </c>
      <c r="V74">
        <v>4617.82</v>
      </c>
      <c r="W74">
        <v>8633.2224999999999</v>
      </c>
      <c r="X74">
        <v>5161.0302000000001</v>
      </c>
      <c r="Z74" s="659">
        <v>2014</v>
      </c>
      <c r="AA74" s="662">
        <f t="shared" si="9"/>
        <v>120.205813738008</v>
      </c>
      <c r="AB74" s="662">
        <f t="shared" si="9"/>
        <v>47.825776648820842</v>
      </c>
      <c r="AC74" s="662">
        <f t="shared" si="9"/>
        <v>44.327767258603849</v>
      </c>
      <c r="AD74" s="662">
        <f t="shared" si="9"/>
        <v>12.329453795295997</v>
      </c>
      <c r="AE74" s="662">
        <f t="shared" si="9"/>
        <v>27.866705807157</v>
      </c>
      <c r="AF74" s="663">
        <f t="shared" si="9"/>
        <v>8.8430402348470789</v>
      </c>
      <c r="AH74" s="664" t="s">
        <v>658</v>
      </c>
      <c r="AI74" s="665">
        <v>0.3</v>
      </c>
      <c r="AJ74" s="666">
        <f>$AJ$71*AI74</f>
        <v>92827529.399999991</v>
      </c>
      <c r="AL74" s="664" t="s">
        <v>658</v>
      </c>
      <c r="AM74" s="665">
        <v>0.3</v>
      </c>
      <c r="AN74" s="666">
        <f>$AN$71*AM74</f>
        <v>9006773.4000000004</v>
      </c>
      <c r="AP74" s="664" t="s">
        <v>658</v>
      </c>
      <c r="AQ74" s="665">
        <v>0.3</v>
      </c>
      <c r="AR74" s="666">
        <f>$AR$71*AQ74</f>
        <v>171597</v>
      </c>
      <c r="AT74" s="664" t="s">
        <v>658</v>
      </c>
      <c r="AU74" s="665">
        <v>0.25</v>
      </c>
      <c r="AV74" s="666">
        <f>$AV$71*AU74</f>
        <v>2044987155</v>
      </c>
      <c r="AX74" s="659">
        <v>2014</v>
      </c>
      <c r="AY74" s="662">
        <v>0</v>
      </c>
      <c r="AZ74" s="662">
        <v>0</v>
      </c>
      <c r="BA74" s="662">
        <v>0</v>
      </c>
      <c r="BB74" s="662">
        <v>0</v>
      </c>
      <c r="BC74" s="662">
        <v>0</v>
      </c>
      <c r="BD74" s="663">
        <v>0</v>
      </c>
      <c r="BF74" s="614"/>
      <c r="BG74" s="614"/>
      <c r="BH74" s="656">
        <f t="shared" si="13"/>
        <v>0</v>
      </c>
      <c r="BI74" s="656">
        <f t="shared" si="14"/>
        <v>0</v>
      </c>
      <c r="BJ74" s="656">
        <v>0</v>
      </c>
      <c r="BK74" s="614"/>
      <c r="BL74" s="659">
        <v>2014</v>
      </c>
      <c r="BM74" s="667">
        <f t="shared" si="15"/>
        <v>120205813738.00801</v>
      </c>
      <c r="BN74" s="667">
        <f t="shared" si="15"/>
        <v>47825776648.820839</v>
      </c>
      <c r="BO74" s="667">
        <f t="shared" si="15"/>
        <v>44327767258.603851</v>
      </c>
      <c r="BP74" s="667">
        <f t="shared" si="15"/>
        <v>12329453795.295998</v>
      </c>
      <c r="BQ74" s="667">
        <f t="shared" si="10"/>
        <v>27866705807.157001</v>
      </c>
      <c r="BR74" s="668">
        <f t="shared" si="10"/>
        <v>8843040234.8470783</v>
      </c>
      <c r="BU74" s="659">
        <v>2014</v>
      </c>
      <c r="BV74" s="662">
        <f t="shared" si="11"/>
        <v>0.94196525165804246</v>
      </c>
      <c r="BW74" s="662">
        <f t="shared" si="11"/>
        <v>0.9870171537338106</v>
      </c>
      <c r="BX74" s="662">
        <f t="shared" si="11"/>
        <v>0.9856133667242819</v>
      </c>
      <c r="BY74" s="662">
        <f t="shared" si="11"/>
        <v>0.99739070003400487</v>
      </c>
      <c r="BZ74" s="662">
        <f t="shared" si="11"/>
        <v>0.99219648896306667</v>
      </c>
      <c r="CA74" s="663">
        <f t="shared" si="11"/>
        <v>0.99908451020773414</v>
      </c>
    </row>
    <row r="75" spans="2:79" x14ac:dyDescent="0.25">
      <c r="B75" s="659">
        <v>2015</v>
      </c>
      <c r="C75" s="648">
        <v>7804.2759999999998</v>
      </c>
      <c r="D75" s="648">
        <v>6052.1414999999997</v>
      </c>
      <c r="E75" s="648">
        <v>5309.5186999999996</v>
      </c>
      <c r="F75" s="648">
        <v>2669.9728</v>
      </c>
      <c r="G75" s="648">
        <v>3227.8452000000002</v>
      </c>
      <c r="H75" s="648">
        <v>1713.4254000000001</v>
      </c>
      <c r="I75" s="649"/>
      <c r="J75" s="659">
        <v>2015</v>
      </c>
      <c r="K75" s="660">
        <f t="shared" si="12"/>
        <v>0</v>
      </c>
      <c r="L75" s="660">
        <f t="shared" si="12"/>
        <v>0</v>
      </c>
      <c r="M75" s="660">
        <f t="shared" si="12"/>
        <v>0</v>
      </c>
      <c r="N75" s="660">
        <f t="shared" si="12"/>
        <v>0</v>
      </c>
      <c r="O75" s="660">
        <f t="shared" si="12"/>
        <v>0</v>
      </c>
      <c r="P75" s="661">
        <f t="shared" si="12"/>
        <v>0</v>
      </c>
      <c r="R75" s="659">
        <v>2015</v>
      </c>
      <c r="S75">
        <v>15222.411</v>
      </c>
      <c r="T75">
        <v>7878.5528000000004</v>
      </c>
      <c r="U75">
        <v>8323.0748999999996</v>
      </c>
      <c r="V75">
        <v>4615.0736999999999</v>
      </c>
      <c r="W75">
        <v>8612.0755000000008</v>
      </c>
      <c r="X75">
        <v>5159.5290999999997</v>
      </c>
      <c r="Z75" s="659">
        <v>2015</v>
      </c>
      <c r="AA75" s="662">
        <f t="shared" si="9"/>
        <v>118.79989682943599</v>
      </c>
      <c r="AB75" s="662">
        <f t="shared" si="9"/>
        <v>47.682116360821198</v>
      </c>
      <c r="AC75" s="662">
        <f t="shared" si="9"/>
        <v>44.191521823050621</v>
      </c>
      <c r="AD75" s="662">
        <f t="shared" si="9"/>
        <v>12.322121248995359</v>
      </c>
      <c r="AE75" s="662">
        <f t="shared" si="9"/>
        <v>27.798446564712602</v>
      </c>
      <c r="AF75" s="663">
        <f t="shared" si="9"/>
        <v>8.8404682119791396</v>
      </c>
      <c r="AH75" s="669" t="s">
        <v>659</v>
      </c>
      <c r="AI75" s="670">
        <v>0.1</v>
      </c>
      <c r="AJ75" s="671">
        <f>$AJ$71*AI75</f>
        <v>30942509.800000001</v>
      </c>
      <c r="AL75" s="669" t="s">
        <v>659</v>
      </c>
      <c r="AM75" s="670">
        <v>0.1</v>
      </c>
      <c r="AN75" s="671">
        <f>$AN$71*AM75</f>
        <v>3002257.8000000003</v>
      </c>
      <c r="AP75" s="669" t="s">
        <v>659</v>
      </c>
      <c r="AQ75" s="670">
        <v>0.1</v>
      </c>
      <c r="AR75" s="671">
        <f>$AR$71*AQ75</f>
        <v>57199</v>
      </c>
      <c r="AT75" s="669" t="s">
        <v>659</v>
      </c>
      <c r="AU75" s="670">
        <v>0.15</v>
      </c>
      <c r="AV75" s="671">
        <f>$AV$71*AU75</f>
        <v>1226992293</v>
      </c>
      <c r="AX75" s="659">
        <v>2015</v>
      </c>
      <c r="AY75" s="662">
        <v>0</v>
      </c>
      <c r="AZ75" s="662">
        <v>0</v>
      </c>
      <c r="BA75" s="662">
        <v>0</v>
      </c>
      <c r="BB75" s="662">
        <v>0</v>
      </c>
      <c r="BC75" s="662">
        <v>0</v>
      </c>
      <c r="BD75" s="663">
        <v>0</v>
      </c>
      <c r="BF75" s="614"/>
      <c r="BG75" s="614"/>
      <c r="BH75" s="656">
        <f t="shared" si="13"/>
        <v>33018697.467000004</v>
      </c>
      <c r="BI75" s="656">
        <f t="shared" si="14"/>
        <v>7801207.9991999995</v>
      </c>
      <c r="BJ75" s="656">
        <v>9000</v>
      </c>
      <c r="BK75" s="614"/>
      <c r="BL75" s="659">
        <v>2015</v>
      </c>
      <c r="BM75" s="667">
        <f t="shared" si="15"/>
        <v>118799896829.43599</v>
      </c>
      <c r="BN75" s="667">
        <f t="shared" si="15"/>
        <v>47682116360.821198</v>
      </c>
      <c r="BO75" s="667">
        <f t="shared" si="15"/>
        <v>44191521823.050621</v>
      </c>
      <c r="BP75" s="667">
        <f t="shared" si="15"/>
        <v>12322121248.995359</v>
      </c>
      <c r="BQ75" s="667">
        <f t="shared" si="10"/>
        <v>27765427867.245602</v>
      </c>
      <c r="BR75" s="668">
        <f t="shared" si="10"/>
        <v>8832667003.9799385</v>
      </c>
      <c r="BU75" s="659">
        <v>2015</v>
      </c>
      <c r="BV75" s="662">
        <f t="shared" si="11"/>
        <v>0.93094810670131234</v>
      </c>
      <c r="BW75" s="662">
        <f t="shared" si="11"/>
        <v>0.98405232642724816</v>
      </c>
      <c r="BX75" s="662">
        <f t="shared" si="11"/>
        <v>0.98258399414945707</v>
      </c>
      <c r="BY75" s="662">
        <f t="shared" si="11"/>
        <v>0.99679753397740178</v>
      </c>
      <c r="BZ75" s="662">
        <f t="shared" si="11"/>
        <v>0.98859047908572784</v>
      </c>
      <c r="CA75" s="663">
        <f t="shared" si="11"/>
        <v>0.99791254513634076</v>
      </c>
    </row>
    <row r="76" spans="2:79" x14ac:dyDescent="0.25">
      <c r="B76" s="659">
        <v>2016</v>
      </c>
      <c r="C76" s="648">
        <v>7770.0150999999996</v>
      </c>
      <c r="D76" s="648">
        <v>6036.7554</v>
      </c>
      <c r="E76" s="648">
        <v>5283.0555000000004</v>
      </c>
      <c r="F76" s="648">
        <v>2663.0951</v>
      </c>
      <c r="G76" s="648">
        <v>3210.7851000000001</v>
      </c>
      <c r="H76" s="648">
        <v>1709.0423000000001</v>
      </c>
      <c r="I76" s="649"/>
      <c r="J76" s="659">
        <v>2016</v>
      </c>
      <c r="K76" s="660">
        <f t="shared" si="12"/>
        <v>4.3900164473937853E-3</v>
      </c>
      <c r="L76" s="660">
        <f t="shared" si="12"/>
        <v>2.5422571498038282E-3</v>
      </c>
      <c r="M76" s="660">
        <f t="shared" si="12"/>
        <v>4.9841052447935352E-3</v>
      </c>
      <c r="N76" s="660">
        <f t="shared" si="12"/>
        <v>2.5759438448211824E-3</v>
      </c>
      <c r="O76" s="660">
        <f t="shared" si="12"/>
        <v>5.285290632896622E-3</v>
      </c>
      <c r="P76" s="661">
        <f t="shared" si="12"/>
        <v>2.5580921118596445E-3</v>
      </c>
      <c r="R76" s="659">
        <v>2016</v>
      </c>
      <c r="S76">
        <v>14991.802</v>
      </c>
      <c r="T76">
        <v>7834.0586999999996</v>
      </c>
      <c r="U76">
        <v>8284.8467999999993</v>
      </c>
      <c r="V76">
        <v>4610.0991999999997</v>
      </c>
      <c r="W76">
        <v>8585.86</v>
      </c>
      <c r="X76">
        <v>5157.6485000000002</v>
      </c>
      <c r="Z76" s="659">
        <v>2016</v>
      </c>
      <c r="AA76" s="662">
        <f t="shared" si="9"/>
        <v>116.48652791621018</v>
      </c>
      <c r="AB76" s="662">
        <f t="shared" si="9"/>
        <v>47.292296161141977</v>
      </c>
      <c r="AC76" s="662">
        <f t="shared" si="9"/>
        <v>43.769305453397401</v>
      </c>
      <c r="AD76" s="662">
        <f t="shared" si="9"/>
        <v>12.277132590033919</v>
      </c>
      <c r="AE76" s="662">
        <f t="shared" si="9"/>
        <v>27.567351358686004</v>
      </c>
      <c r="AF76" s="663">
        <f t="shared" si="9"/>
        <v>8.8146394550315517</v>
      </c>
      <c r="AX76" s="659">
        <v>2016</v>
      </c>
      <c r="AY76" s="662">
        <f>$AV$69*$BE76</f>
        <v>0</v>
      </c>
      <c r="AZ76" s="662">
        <f>$AV$70*$BE76</f>
        <v>0</v>
      </c>
      <c r="BA76" s="662">
        <f>$AV$72*$BE76</f>
        <v>1635989724</v>
      </c>
      <c r="BB76" s="662">
        <f>$AV$73*$BE76</f>
        <v>817994862</v>
      </c>
      <c r="BC76" s="662">
        <f>$AV$74*$BE76</f>
        <v>1022493577.5</v>
      </c>
      <c r="BD76" s="663">
        <f>$AV$75*$BE76</f>
        <v>613496146.5</v>
      </c>
      <c r="BE76" s="672">
        <v>0.5</v>
      </c>
      <c r="BF76" s="673"/>
      <c r="BG76" s="673"/>
      <c r="BH76" s="656">
        <f t="shared" si="13"/>
        <v>77641129.059</v>
      </c>
      <c r="BI76" s="656">
        <f t="shared" si="14"/>
        <v>18372324.364799999</v>
      </c>
      <c r="BJ76" s="656">
        <f>BJ75+($BJ$80-$BJ$75)/5</f>
        <v>12200</v>
      </c>
      <c r="BK76" s="673"/>
      <c r="BL76" s="659">
        <v>2016</v>
      </c>
      <c r="BM76" s="667">
        <f t="shared" ref="BM76:BM95" si="16">AA76*10^9-($AJ$69+$AN$69+$AR$69)*BS76-AY76</f>
        <v>116455322691.46017</v>
      </c>
      <c r="BN76" s="667">
        <f t="shared" ref="BN76:BN95" si="17">AB76*10^9-($AJ$70+$AN$70+$AR$70)*BS76-AZ76</f>
        <v>47280565820.891975</v>
      </c>
      <c r="BO76" s="667">
        <f t="shared" ref="BO76:BO95" si="18">AC76*10^9-($AJ$72+$AN$72+$AR$72)*BS76-BA76</f>
        <v>41980306879.697403</v>
      </c>
      <c r="BP76" s="667">
        <f t="shared" ref="BP76:BP95" si="19">AD76*10^9-($AJ$73+$AN$73+$AR$73)*BS76-BB76</f>
        <v>11408134778.133919</v>
      </c>
      <c r="BQ76" s="667">
        <f t="shared" ref="BQ76:BQ95" si="20">AE76*10^9-($AJ$74+$AN$74+$AR$74)*BS76-BC76-BH76</f>
        <v>26365210752.327007</v>
      </c>
      <c r="BR76" s="668">
        <f t="shared" ref="BR76:BR95" si="21">AF76*10^9-($AJ$75+$AN$75+$AR$75)*BS76-BD76-BI76</f>
        <v>8148769017.5667505</v>
      </c>
      <c r="BS76">
        <v>1</v>
      </c>
      <c r="BU76" s="659">
        <v>2016</v>
      </c>
      <c r="BV76" s="662">
        <f t="shared" si="11"/>
        <v>0.91257538994800425</v>
      </c>
      <c r="BW76" s="662">
        <f t="shared" si="11"/>
        <v>0.97576522062839255</v>
      </c>
      <c r="BX76" s="662">
        <f t="shared" si="11"/>
        <v>0.93341835510079973</v>
      </c>
      <c r="BY76" s="662">
        <f t="shared" si="11"/>
        <v>0.9228606328681328</v>
      </c>
      <c r="BZ76" s="662">
        <f t="shared" si="11"/>
        <v>0.93873562667430965</v>
      </c>
      <c r="CA76" s="663">
        <f t="shared" si="11"/>
        <v>0.92064591888090885</v>
      </c>
    </row>
    <row r="77" spans="2:79" ht="15" customHeight="1" x14ac:dyDescent="0.25">
      <c r="B77" s="659">
        <v>2017</v>
      </c>
      <c r="C77" s="648">
        <v>7737.3082000000004</v>
      </c>
      <c r="D77" s="648">
        <v>6021.1130999999996</v>
      </c>
      <c r="E77" s="648">
        <v>5256.1994999999997</v>
      </c>
      <c r="F77" s="648">
        <v>2656.1792999999998</v>
      </c>
      <c r="G77" s="648">
        <v>3193.3580999999999</v>
      </c>
      <c r="H77" s="648">
        <v>1704.5667000000001</v>
      </c>
      <c r="I77" s="649"/>
      <c r="J77" s="659">
        <v>2017</v>
      </c>
      <c r="K77" s="660">
        <f t="shared" si="12"/>
        <v>4.2093740590026796E-3</v>
      </c>
      <c r="L77" s="660">
        <f t="shared" si="12"/>
        <v>2.5911767105887273E-3</v>
      </c>
      <c r="M77" s="660">
        <f t="shared" si="12"/>
        <v>5.0834218947729548E-3</v>
      </c>
      <c r="N77" s="660">
        <f t="shared" si="12"/>
        <v>2.5969031297455869E-3</v>
      </c>
      <c r="O77" s="660">
        <f t="shared" si="12"/>
        <v>5.4276444723753148E-3</v>
      </c>
      <c r="P77" s="661">
        <f t="shared" si="12"/>
        <v>2.6187766095666642E-3</v>
      </c>
      <c r="R77" s="659">
        <v>2017</v>
      </c>
      <c r="S77">
        <v>14770.588</v>
      </c>
      <c r="T77">
        <v>7784.1405999999997</v>
      </c>
      <c r="U77">
        <v>8243.0190999999995</v>
      </c>
      <c r="V77">
        <v>4602.7632999999996</v>
      </c>
      <c r="W77">
        <v>8555.0445999999993</v>
      </c>
      <c r="X77">
        <v>5152.6875</v>
      </c>
      <c r="Z77" s="659">
        <v>2017</v>
      </c>
      <c r="AA77" s="662">
        <f t="shared" si="9"/>
        <v>114.2845916512216</v>
      </c>
      <c r="AB77" s="662">
        <f t="shared" si="9"/>
        <v>46.869190938901852</v>
      </c>
      <c r="AC77" s="662">
        <f t="shared" si="9"/>
        <v>43.326952871910443</v>
      </c>
      <c r="AD77" s="662">
        <f t="shared" si="9"/>
        <v>12.225764600259687</v>
      </c>
      <c r="AE77" s="662">
        <f t="shared" si="9"/>
        <v>27.319320969271256</v>
      </c>
      <c r="AF77" s="663">
        <f t="shared" si="9"/>
        <v>8.7830995280062503</v>
      </c>
      <c r="AX77" s="659">
        <v>2017</v>
      </c>
      <c r="AY77" s="662">
        <f>AY76*(1-K77)+$AV$69*$BE$77</f>
        <v>0</v>
      </c>
      <c r="AZ77" s="662">
        <f>AZ76*(1-L77)+$AV$70*$BE$77</f>
        <v>0</v>
      </c>
      <c r="BA77" s="662">
        <f>BA76*(1-M77)+$AV$72*$BE$77</f>
        <v>2445668160.017395</v>
      </c>
      <c r="BB77" s="662">
        <f>BB76*(1-N77)+$AV$73*$BE$77</f>
        <v>1224868039.5827565</v>
      </c>
      <c r="BC77" s="662">
        <f>BC76*(1-O77)+$AV$74*$BE$77</f>
        <v>1528190634.6360428</v>
      </c>
      <c r="BD77" s="663">
        <f>BD76*(1-P77)+$AV$75*$BE$77</f>
        <v>918637610.39148653</v>
      </c>
      <c r="BE77" s="672">
        <v>0.25</v>
      </c>
      <c r="BF77" s="673"/>
      <c r="BG77" s="673"/>
      <c r="BH77" s="656">
        <f t="shared" si="13"/>
        <v>133765643.65283999</v>
      </c>
      <c r="BI77" s="656">
        <f t="shared" si="14"/>
        <v>31703357.4648</v>
      </c>
      <c r="BJ77" s="656">
        <f>BJ76+($BJ$80-$BJ$75)/5</f>
        <v>15400</v>
      </c>
      <c r="BK77" s="673"/>
      <c r="BL77" s="659">
        <v>2017</v>
      </c>
      <c r="BM77" s="667">
        <f t="shared" si="16"/>
        <v>114222181201.7216</v>
      </c>
      <c r="BN77" s="667">
        <f t="shared" si="17"/>
        <v>46845730258.401855</v>
      </c>
      <c r="BO77" s="667">
        <f t="shared" si="18"/>
        <v>40575267012.49305</v>
      </c>
      <c r="BP77" s="667">
        <f t="shared" si="19"/>
        <v>10898890660.876932</v>
      </c>
      <c r="BQ77" s="667">
        <f t="shared" si="20"/>
        <v>25453352891.382374</v>
      </c>
      <c r="BR77" s="668">
        <f t="shared" si="21"/>
        <v>7764754626.9499636</v>
      </c>
      <c r="BS77">
        <v>2</v>
      </c>
      <c r="BU77" s="659">
        <v>2017</v>
      </c>
      <c r="BV77" s="662">
        <f t="shared" si="11"/>
        <v>0.89507588954984274</v>
      </c>
      <c r="BW77" s="662">
        <f t="shared" si="11"/>
        <v>0.96679118634594408</v>
      </c>
      <c r="BX77" s="662">
        <f t="shared" si="11"/>
        <v>0.90217775446738224</v>
      </c>
      <c r="BY77" s="662">
        <f t="shared" si="11"/>
        <v>0.88166534919766493</v>
      </c>
      <c r="BZ77" s="662">
        <f t="shared" si="11"/>
        <v>0.90626884806317309</v>
      </c>
      <c r="CA77" s="663">
        <f t="shared" si="11"/>
        <v>0.8772600675025306</v>
      </c>
    </row>
    <row r="78" spans="2:79" x14ac:dyDescent="0.25">
      <c r="B78" s="659">
        <v>2018</v>
      </c>
      <c r="C78" s="648">
        <v>7706.0263999999997</v>
      </c>
      <c r="D78" s="648">
        <v>6005.3090000000002</v>
      </c>
      <c r="E78" s="648">
        <v>5228.9152999999997</v>
      </c>
      <c r="F78" s="648">
        <v>2649.1588999999999</v>
      </c>
      <c r="G78" s="648">
        <v>3175.6765</v>
      </c>
      <c r="H78" s="648">
        <v>1700.0207</v>
      </c>
      <c r="I78" s="649"/>
      <c r="J78" s="659">
        <v>2018</v>
      </c>
      <c r="K78" s="660">
        <f t="shared" si="12"/>
        <v>4.042982286785568E-3</v>
      </c>
      <c r="L78" s="660">
        <f t="shared" si="12"/>
        <v>2.6247804579521139E-3</v>
      </c>
      <c r="M78" s="660">
        <f t="shared" si="12"/>
        <v>5.1908608111240762E-3</v>
      </c>
      <c r="N78" s="660">
        <f t="shared" si="12"/>
        <v>2.6430444661622587E-3</v>
      </c>
      <c r="O78" s="660">
        <f t="shared" si="12"/>
        <v>5.5369925471245862E-3</v>
      </c>
      <c r="P78" s="661">
        <f t="shared" si="12"/>
        <v>2.6669534257591776E-3</v>
      </c>
      <c r="R78" s="659">
        <v>2018</v>
      </c>
      <c r="S78">
        <v>14553.65</v>
      </c>
      <c r="T78">
        <v>7732.6184999999996</v>
      </c>
      <c r="U78">
        <v>8198.7006000000001</v>
      </c>
      <c r="V78">
        <v>4594.9949999999999</v>
      </c>
      <c r="W78">
        <v>8520.3371000000006</v>
      </c>
      <c r="X78">
        <v>5147.3477000000003</v>
      </c>
      <c r="Z78" s="659">
        <v>2018</v>
      </c>
      <c r="AA78" s="662">
        <f t="shared" si="9"/>
        <v>112.15081111635999</v>
      </c>
      <c r="AB78" s="662">
        <f t="shared" si="9"/>
        <v>46.436763471616494</v>
      </c>
      <c r="AC78" s="662">
        <f t="shared" si="9"/>
        <v>42.870311007459179</v>
      </c>
      <c r="AD78" s="662">
        <f t="shared" si="9"/>
        <v>12.172871899705498</v>
      </c>
      <c r="AE78" s="662">
        <f t="shared" si="9"/>
        <v>27.057834300548151</v>
      </c>
      <c r="AF78" s="663">
        <f t="shared" si="9"/>
        <v>8.7505976400973911</v>
      </c>
      <c r="AX78" s="659">
        <v>2018</v>
      </c>
      <c r="AY78" s="662">
        <f>AY77*(1-K78)+$AV$69*$BE$78</f>
        <v>0</v>
      </c>
      <c r="AZ78" s="662">
        <f>AZ77*(1-L78)+$AV$70*$BE$78</f>
        <v>0</v>
      </c>
      <c r="BA78" s="662">
        <f>BA77*(1-M78)+$AV$72*$BE$78</f>
        <v>2923769954.2085466</v>
      </c>
      <c r="BB78" s="662">
        <f>BB77*(1-N78)+$AV$73*$BE$78</f>
        <v>1467029117.4889581</v>
      </c>
      <c r="BC78" s="662">
        <f>BC77*(1-O78)+$AV$74*$BE$78</f>
        <v>1826477127.7314775</v>
      </c>
      <c r="BD78" s="663">
        <f>BD77*(1-P78)+$AV$75*$BE$78</f>
        <v>1100236490.6194217</v>
      </c>
      <c r="BE78" s="672">
        <v>0.15</v>
      </c>
      <c r="BF78" s="673"/>
      <c r="BG78" s="673"/>
      <c r="BH78" s="656">
        <f t="shared" si="13"/>
        <v>201277386.69839999</v>
      </c>
      <c r="BI78" s="656">
        <f t="shared" si="14"/>
        <v>47787789.55776</v>
      </c>
      <c r="BJ78" s="656">
        <f>BJ77+($BJ$80-$BJ$75)/5</f>
        <v>18600</v>
      </c>
      <c r="BK78" s="673"/>
      <c r="BL78" s="659">
        <v>2018</v>
      </c>
      <c r="BM78" s="667">
        <f t="shared" si="16"/>
        <v>112057195442.10999</v>
      </c>
      <c r="BN78" s="667">
        <f t="shared" si="17"/>
        <v>46401572450.866493</v>
      </c>
      <c r="BO78" s="667">
        <f t="shared" si="18"/>
        <v>39487514504.150635</v>
      </c>
      <c r="BP78" s="667">
        <f t="shared" si="19"/>
        <v>10552833932.516539</v>
      </c>
      <c r="BQ78" s="667">
        <f t="shared" si="20"/>
        <v>24724062086.718277</v>
      </c>
      <c r="BR78" s="668">
        <f t="shared" si="21"/>
        <v>7500567460.1202097</v>
      </c>
      <c r="BS78">
        <v>3</v>
      </c>
      <c r="BU78" s="659">
        <v>2018</v>
      </c>
      <c r="BV78" s="662">
        <f t="shared" si="11"/>
        <v>0.87811047587747704</v>
      </c>
      <c r="BW78" s="662">
        <f t="shared" si="11"/>
        <v>0.95762476175818967</v>
      </c>
      <c r="BX78" s="662">
        <f t="shared" si="11"/>
        <v>0.87799193419685961</v>
      </c>
      <c r="BY78" s="662">
        <f t="shared" si="11"/>
        <v>0.85367110320093353</v>
      </c>
      <c r="BZ78" s="662">
        <f t="shared" si="11"/>
        <v>0.88030238540238293</v>
      </c>
      <c r="CA78" s="663">
        <f t="shared" si="11"/>
        <v>0.84741226638825262</v>
      </c>
    </row>
    <row r="79" spans="2:79" x14ac:dyDescent="0.25">
      <c r="B79" s="659">
        <v>2019</v>
      </c>
      <c r="C79" s="648">
        <v>7674.9775</v>
      </c>
      <c r="D79" s="648">
        <v>5989.6626999999999</v>
      </c>
      <c r="E79" s="648">
        <v>5201.6220999999996</v>
      </c>
      <c r="F79" s="648">
        <v>2642.1732000000002</v>
      </c>
      <c r="G79" s="648">
        <v>3157.9821000000002</v>
      </c>
      <c r="H79" s="648">
        <v>1695.4752000000001</v>
      </c>
      <c r="I79" s="649"/>
      <c r="J79" s="659">
        <v>2019</v>
      </c>
      <c r="K79" s="660">
        <f t="shared" si="12"/>
        <v>4.029171247064478E-3</v>
      </c>
      <c r="L79" s="660">
        <f t="shared" si="12"/>
        <v>2.6054113118909594E-3</v>
      </c>
      <c r="M79" s="660">
        <f t="shared" si="12"/>
        <v>5.2196676431152111E-3</v>
      </c>
      <c r="N79" s="660">
        <f t="shared" si="12"/>
        <v>2.6369501655788552E-3</v>
      </c>
      <c r="O79" s="660">
        <f t="shared" si="12"/>
        <v>5.5718521707106561E-3</v>
      </c>
      <c r="P79" s="661">
        <f t="shared" si="12"/>
        <v>2.6737909720746522E-3</v>
      </c>
      <c r="R79" s="659">
        <v>2019</v>
      </c>
      <c r="S79">
        <v>14437.53</v>
      </c>
      <c r="T79">
        <v>7712.6632</v>
      </c>
      <c r="U79">
        <v>8169.3</v>
      </c>
      <c r="V79">
        <v>4589.8711999999996</v>
      </c>
      <c r="W79">
        <v>8482.3616999999995</v>
      </c>
      <c r="X79">
        <v>5141.4294</v>
      </c>
      <c r="Z79" s="659">
        <v>2019</v>
      </c>
      <c r="AA79" s="662">
        <f t="shared" si="9"/>
        <v>110.807717905575</v>
      </c>
      <c r="AB79" s="662">
        <f t="shared" si="9"/>
        <v>46.196251086702638</v>
      </c>
      <c r="AC79" s="662">
        <f t="shared" si="9"/>
        <v>42.493611421529998</v>
      </c>
      <c r="AD79" s="662">
        <f t="shared" si="9"/>
        <v>12.12723467609184</v>
      </c>
      <c r="AE79" s="662">
        <f t="shared" si="9"/>
        <v>26.787146414325569</v>
      </c>
      <c r="AF79" s="663">
        <f t="shared" si="9"/>
        <v>8.7171660402508806</v>
      </c>
      <c r="AX79" s="659">
        <v>2019</v>
      </c>
      <c r="AY79" s="662">
        <f>AY78*(1-K79)+$AV$69*$BE$79</f>
        <v>0</v>
      </c>
      <c r="AZ79" s="662">
        <f>AZ78*(1-L79)+$AV$70*$BE$79</f>
        <v>0</v>
      </c>
      <c r="BA79" s="662">
        <f>BA78*(1-M79)+$AV$72*$BE$79</f>
        <v>3235706791.5826521</v>
      </c>
      <c r="BB79" s="662">
        <f>BB78*(1-N79)+$AV$73*$BE$79</f>
        <v>1626759607.2146866</v>
      </c>
      <c r="BC79" s="662">
        <f>BC78*(1-O79)+$AV$74*$BE$79</f>
        <v>2020798982.6825736</v>
      </c>
      <c r="BD79" s="663">
        <f>BD78*(1-P79)+$AV$75*$BE$79</f>
        <v>1219993917.5236564</v>
      </c>
      <c r="BE79" s="672">
        <v>0.1</v>
      </c>
      <c r="BF79" s="673"/>
      <c r="BG79" s="673"/>
      <c r="BH79" s="656">
        <f t="shared" si="13"/>
        <v>280051383.33396</v>
      </c>
      <c r="BI79" s="656">
        <f t="shared" si="14"/>
        <v>66617760.592319995</v>
      </c>
      <c r="BJ79" s="656">
        <f>BJ78+($BJ$80-$BJ$75)/5</f>
        <v>21800</v>
      </c>
      <c r="BK79" s="673"/>
      <c r="BL79" s="659">
        <v>2019</v>
      </c>
      <c r="BM79" s="667">
        <f t="shared" si="16"/>
        <v>110682897006.575</v>
      </c>
      <c r="BN79" s="667">
        <f t="shared" si="17"/>
        <v>46149329725.702637</v>
      </c>
      <c r="BO79" s="667">
        <f t="shared" si="18"/>
        <v>38645869231.147346</v>
      </c>
      <c r="BP79" s="667">
        <f t="shared" si="19"/>
        <v>10296463269.277153</v>
      </c>
      <c r="BQ79" s="667">
        <f t="shared" si="20"/>
        <v>24078272449.109032</v>
      </c>
      <c r="BR79" s="668">
        <f t="shared" si="21"/>
        <v>7294546495.7349043</v>
      </c>
      <c r="BS79">
        <v>4</v>
      </c>
      <c r="BU79" s="659">
        <v>2019</v>
      </c>
      <c r="BV79" s="662">
        <f t="shared" si="11"/>
        <v>0.86734110182287882</v>
      </c>
      <c r="BW79" s="662">
        <f t="shared" si="11"/>
        <v>0.95241903559780905</v>
      </c>
      <c r="BX79" s="662">
        <f t="shared" si="11"/>
        <v>0.85927822758779648</v>
      </c>
      <c r="BY79" s="662">
        <f t="shared" si="11"/>
        <v>0.83293200806161194</v>
      </c>
      <c r="BZ79" s="662">
        <f t="shared" si="11"/>
        <v>0.85730898907205455</v>
      </c>
      <c r="CA79" s="663">
        <f t="shared" si="11"/>
        <v>0.8241360685163589</v>
      </c>
    </row>
    <row r="80" spans="2:79" x14ac:dyDescent="0.25">
      <c r="B80" s="659">
        <v>2020</v>
      </c>
      <c r="C80" s="648">
        <v>7644.2817999999997</v>
      </c>
      <c r="D80" s="648">
        <v>5974.0688</v>
      </c>
      <c r="E80" s="648">
        <v>5174.3527000000004</v>
      </c>
      <c r="F80" s="648">
        <v>2635.1956</v>
      </c>
      <c r="G80" s="648">
        <v>3140.2564000000002</v>
      </c>
      <c r="H80" s="648">
        <v>1690.9262000000001</v>
      </c>
      <c r="I80" s="649"/>
      <c r="J80" s="659">
        <v>2020</v>
      </c>
      <c r="K80" s="660">
        <f t="shared" si="12"/>
        <v>3.999451464190007E-3</v>
      </c>
      <c r="L80" s="660">
        <f t="shared" si="12"/>
        <v>2.6034688063486522E-3</v>
      </c>
      <c r="M80" s="660">
        <f t="shared" si="12"/>
        <v>5.2424800332956378E-3</v>
      </c>
      <c r="N80" s="660">
        <f t="shared" si="12"/>
        <v>2.6408563980589994E-3</v>
      </c>
      <c r="O80" s="660">
        <f t="shared" si="12"/>
        <v>5.6129830501572275E-3</v>
      </c>
      <c r="P80" s="661">
        <f t="shared" si="12"/>
        <v>2.6830236148543962E-3</v>
      </c>
      <c r="R80" s="659">
        <v>2020</v>
      </c>
      <c r="S80">
        <v>14332.851000000001</v>
      </c>
      <c r="T80">
        <v>7690.5949000000001</v>
      </c>
      <c r="U80">
        <v>8135.7613000000001</v>
      </c>
      <c r="V80">
        <v>4584.1778000000004</v>
      </c>
      <c r="W80">
        <v>8438.8678999999993</v>
      </c>
      <c r="X80">
        <v>5134.7191999999995</v>
      </c>
      <c r="Z80" s="659">
        <v>2020</v>
      </c>
      <c r="AA80" s="662">
        <f t="shared" si="9"/>
        <v>109.56435204141179</v>
      </c>
      <c r="AB80" s="662">
        <f t="shared" si="9"/>
        <v>45.944143045529117</v>
      </c>
      <c r="AC80" s="662">
        <f t="shared" si="9"/>
        <v>42.097298449210513</v>
      </c>
      <c r="AD80" s="662">
        <f t="shared" si="9"/>
        <v>12.080205168177681</v>
      </c>
      <c r="AE80" s="662">
        <f t="shared" si="9"/>
        <v>26.500208931729556</v>
      </c>
      <c r="AF80" s="663">
        <f t="shared" si="9"/>
        <v>8.6824312249230395</v>
      </c>
      <c r="AX80" s="659">
        <v>2020</v>
      </c>
      <c r="AY80" s="662">
        <f t="shared" ref="AY80:BD95" si="22">AY79*(1-K80)</f>
        <v>0</v>
      </c>
      <c r="AZ80" s="662">
        <f t="shared" si="22"/>
        <v>0</v>
      </c>
      <c r="BA80" s="662">
        <f t="shared" si="22"/>
        <v>3218743663.3341808</v>
      </c>
      <c r="BB80" s="662">
        <f t="shared" si="22"/>
        <v>1622463568.6978698</v>
      </c>
      <c r="BC80" s="662">
        <f t="shared" si="22"/>
        <v>2009456272.2450013</v>
      </c>
      <c r="BD80" s="663">
        <f t="shared" si="22"/>
        <v>1216720645.0329616</v>
      </c>
      <c r="BF80" s="614"/>
      <c r="BG80" s="614"/>
      <c r="BH80" s="656">
        <f t="shared" si="13"/>
        <v>369925326.46895999</v>
      </c>
      <c r="BI80" s="656">
        <f t="shared" si="14"/>
        <v>88183581.232319981</v>
      </c>
      <c r="BJ80" s="656">
        <v>25000</v>
      </c>
      <c r="BK80" s="614"/>
      <c r="BL80" s="659">
        <v>2020</v>
      </c>
      <c r="BM80" s="667">
        <f t="shared" si="16"/>
        <v>109408325917.66179</v>
      </c>
      <c r="BN80" s="667">
        <f t="shared" si="17"/>
        <v>45885491344.279114</v>
      </c>
      <c r="BO80" s="667">
        <f t="shared" si="18"/>
        <v>38113510537.376328</v>
      </c>
      <c r="BP80" s="667">
        <f t="shared" si="19"/>
        <v>10202726849.979811</v>
      </c>
      <c r="BQ80" s="667">
        <f t="shared" si="20"/>
        <v>23610797834.015594</v>
      </c>
      <c r="BR80" s="668">
        <f t="shared" si="21"/>
        <v>7207517165.6577587</v>
      </c>
      <c r="BS80">
        <v>5</v>
      </c>
      <c r="BU80" s="659">
        <v>2020</v>
      </c>
      <c r="BV80" s="662">
        <f t="shared" si="11"/>
        <v>0.85735321821567712</v>
      </c>
      <c r="BW80" s="662">
        <f t="shared" si="11"/>
        <v>0.94697400100505025</v>
      </c>
      <c r="BX80" s="662">
        <f t="shared" si="11"/>
        <v>0.84744140663059497</v>
      </c>
      <c r="BY80" s="662">
        <f t="shared" si="11"/>
        <v>0.82534920395577827</v>
      </c>
      <c r="BZ80" s="662">
        <f t="shared" si="11"/>
        <v>0.84066451465929692</v>
      </c>
      <c r="CA80" s="663">
        <f t="shared" si="11"/>
        <v>0.81430351621481034</v>
      </c>
    </row>
    <row r="81" spans="2:79" x14ac:dyDescent="0.25">
      <c r="B81" s="659">
        <v>2021</v>
      </c>
      <c r="C81" s="648">
        <v>7631.2091</v>
      </c>
      <c r="D81" s="648">
        <v>5966.6859000000004</v>
      </c>
      <c r="E81" s="648">
        <v>5161.4036999999998</v>
      </c>
      <c r="F81" s="648">
        <v>2631.9495999999999</v>
      </c>
      <c r="G81" s="648">
        <v>3131.8042999999998</v>
      </c>
      <c r="H81" s="648">
        <v>1688.7625</v>
      </c>
      <c r="I81" s="649"/>
      <c r="J81" s="659">
        <v>2021</v>
      </c>
      <c r="K81" s="660">
        <f t="shared" si="12"/>
        <v>1.7101279547281356E-3</v>
      </c>
      <c r="L81" s="660">
        <f t="shared" si="12"/>
        <v>1.2358244016205111E-3</v>
      </c>
      <c r="M81" s="660">
        <f t="shared" si="12"/>
        <v>2.5025352446501614E-3</v>
      </c>
      <c r="N81" s="660">
        <f t="shared" si="12"/>
        <v>1.2317871204703401E-3</v>
      </c>
      <c r="O81" s="660">
        <f t="shared" si="12"/>
        <v>2.6915318124980381E-3</v>
      </c>
      <c r="P81" s="661">
        <f t="shared" si="12"/>
        <v>1.2795945795860408E-3</v>
      </c>
      <c r="R81" s="659">
        <v>2021</v>
      </c>
      <c r="S81">
        <v>14220.233</v>
      </c>
      <c r="T81">
        <v>7666.6509999999998</v>
      </c>
      <c r="U81">
        <v>8098.4133000000002</v>
      </c>
      <c r="V81">
        <v>4578.0109000000002</v>
      </c>
      <c r="W81">
        <v>8390.4393999999993</v>
      </c>
      <c r="X81">
        <v>5127.2834999999995</v>
      </c>
      <c r="Z81" s="659">
        <v>2021</v>
      </c>
      <c r="AA81" s="662">
        <f t="shared" si="9"/>
        <v>108.5175714737203</v>
      </c>
      <c r="AB81" s="662">
        <f t="shared" si="9"/>
        <v>45.744498421920902</v>
      </c>
      <c r="AC81" s="662">
        <f t="shared" si="9"/>
        <v>41.799180370749212</v>
      </c>
      <c r="AD81" s="662">
        <f t="shared" si="9"/>
        <v>12.049093957050639</v>
      </c>
      <c r="AE81" s="662">
        <f t="shared" si="9"/>
        <v>26.277214191809414</v>
      </c>
      <c r="AF81" s="663">
        <f t="shared" si="9"/>
        <v>8.6587641016687478</v>
      </c>
      <c r="AX81" s="659">
        <v>2021</v>
      </c>
      <c r="AY81" s="662">
        <f t="shared" si="22"/>
        <v>0</v>
      </c>
      <c r="AZ81" s="662">
        <f t="shared" si="22"/>
        <v>0</v>
      </c>
      <c r="BA81" s="662">
        <f t="shared" si="22"/>
        <v>3210688643.8731928</v>
      </c>
      <c r="BB81" s="662">
        <f t="shared" si="22"/>
        <v>1620465038.9705155</v>
      </c>
      <c r="BC81" s="662">
        <f t="shared" si="22"/>
        <v>2004047756.7624302</v>
      </c>
      <c r="BD81" s="663">
        <f t="shared" si="22"/>
        <v>1215163735.890707</v>
      </c>
      <c r="BF81" s="614"/>
      <c r="BG81" s="614"/>
      <c r="BH81" s="656">
        <f t="shared" si="13"/>
        <v>369925326.46895999</v>
      </c>
      <c r="BI81" s="656">
        <f t="shared" si="14"/>
        <v>88183581.232319981</v>
      </c>
      <c r="BJ81" s="614"/>
      <c r="BK81" s="614"/>
      <c r="BL81" s="659">
        <v>2021</v>
      </c>
      <c r="BM81" s="667">
        <f t="shared" si="16"/>
        <v>108330340125.22029</v>
      </c>
      <c r="BN81" s="667">
        <f t="shared" si="17"/>
        <v>45674116380.420898</v>
      </c>
      <c r="BO81" s="667">
        <f t="shared" si="18"/>
        <v>37670438628.676025</v>
      </c>
      <c r="BP81" s="667">
        <f t="shared" si="19"/>
        <v>10122611218.680122</v>
      </c>
      <c r="BQ81" s="667">
        <f t="shared" si="20"/>
        <v>23291205709.778027</v>
      </c>
      <c r="BR81" s="668">
        <f t="shared" si="21"/>
        <v>7151404984.9457197</v>
      </c>
      <c r="BS81">
        <v>6</v>
      </c>
      <c r="BU81" s="659">
        <v>2021</v>
      </c>
      <c r="BV81" s="662">
        <f t="shared" si="11"/>
        <v>0.84890583013448084</v>
      </c>
      <c r="BW81" s="662">
        <f t="shared" si="11"/>
        <v>0.94261169411080215</v>
      </c>
      <c r="BX81" s="662">
        <f t="shared" si="11"/>
        <v>0.83758984805586667</v>
      </c>
      <c r="BY81" s="662">
        <f t="shared" si="11"/>
        <v>0.81886825298160382</v>
      </c>
      <c r="BZ81" s="662">
        <f t="shared" si="11"/>
        <v>0.82928540922203631</v>
      </c>
      <c r="CA81" s="663">
        <f t="shared" si="11"/>
        <v>0.80796397584243251</v>
      </c>
    </row>
    <row r="82" spans="2:79" x14ac:dyDescent="0.25">
      <c r="B82" s="659">
        <v>2022</v>
      </c>
      <c r="C82" s="648">
        <v>7618.6365999999998</v>
      </c>
      <c r="D82" s="648">
        <v>5959.1925000000001</v>
      </c>
      <c r="E82" s="648">
        <v>5148.3209999999999</v>
      </c>
      <c r="F82" s="648">
        <v>2628.6664000000001</v>
      </c>
      <c r="G82" s="648">
        <v>3123.2438000000002</v>
      </c>
      <c r="H82" s="648">
        <v>1686.5734</v>
      </c>
      <c r="I82" s="649"/>
      <c r="J82" s="659">
        <v>2022</v>
      </c>
      <c r="K82" s="660">
        <f t="shared" si="12"/>
        <v>1.6475108774047786E-3</v>
      </c>
      <c r="L82" s="660">
        <f t="shared" si="12"/>
        <v>1.2558730467109314E-3</v>
      </c>
      <c r="M82" s="660">
        <f t="shared" si="12"/>
        <v>2.5347174451787469E-3</v>
      </c>
      <c r="N82" s="660">
        <f t="shared" si="12"/>
        <v>1.2474403005284795E-3</v>
      </c>
      <c r="O82" s="660">
        <f t="shared" si="12"/>
        <v>2.7334083422771993E-3</v>
      </c>
      <c r="P82" s="661">
        <f t="shared" si="12"/>
        <v>1.29627463897386E-3</v>
      </c>
      <c r="R82" s="659">
        <v>2022</v>
      </c>
      <c r="S82">
        <v>14106.945</v>
      </c>
      <c r="T82">
        <v>7642.1329999999998</v>
      </c>
      <c r="U82">
        <v>8060.2997999999998</v>
      </c>
      <c r="V82">
        <v>4572.6358</v>
      </c>
      <c r="W82">
        <v>8340.8341</v>
      </c>
      <c r="X82">
        <v>5121.1863999999996</v>
      </c>
      <c r="Z82" s="659">
        <v>2022</v>
      </c>
      <c r="AA82" s="662">
        <f t="shared" si="9"/>
        <v>107.47568749118699</v>
      </c>
      <c r="AB82" s="662">
        <f t="shared" si="9"/>
        <v>45.540941657602495</v>
      </c>
      <c r="AC82" s="662">
        <f t="shared" si="9"/>
        <v>41.4970107266358</v>
      </c>
      <c r="AD82" s="662">
        <f t="shared" si="9"/>
        <v>12.01993408689712</v>
      </c>
      <c r="AE82" s="662">
        <f t="shared" si="9"/>
        <v>26.050458389653581</v>
      </c>
      <c r="AF82" s="663">
        <f t="shared" si="9"/>
        <v>8.6372567586817581</v>
      </c>
      <c r="AJ82" s="674"/>
      <c r="AX82" s="659">
        <v>2022</v>
      </c>
      <c r="AY82" s="662">
        <f t="shared" si="22"/>
        <v>0</v>
      </c>
      <c r="AZ82" s="662">
        <f t="shared" si="22"/>
        <v>0</v>
      </c>
      <c r="BA82" s="662">
        <f t="shared" si="22"/>
        <v>3202550455.3565302</v>
      </c>
      <c r="BB82" s="662">
        <f t="shared" si="22"/>
        <v>1618443605.5753062</v>
      </c>
      <c r="BC82" s="662">
        <f t="shared" si="22"/>
        <v>1998569875.9057739</v>
      </c>
      <c r="BD82" s="663">
        <f t="shared" si="22"/>
        <v>1213588549.9576712</v>
      </c>
      <c r="BF82" s="614"/>
      <c r="BG82" s="614"/>
      <c r="BH82" s="656">
        <f t="shared" si="13"/>
        <v>369925326.46895999</v>
      </c>
      <c r="BI82" s="656">
        <f t="shared" si="14"/>
        <v>88183581.232319981</v>
      </c>
      <c r="BJ82" s="614"/>
      <c r="BK82" s="614"/>
      <c r="BL82" s="659">
        <v>2022</v>
      </c>
      <c r="BM82" s="667">
        <f t="shared" si="16"/>
        <v>107257250917.93698</v>
      </c>
      <c r="BN82" s="667">
        <f t="shared" si="17"/>
        <v>45458829275.852493</v>
      </c>
      <c r="BO82" s="667">
        <f t="shared" si="18"/>
        <v>37223398323.379272</v>
      </c>
      <c r="BP82" s="667">
        <f t="shared" si="19"/>
        <v>10044469832.021814</v>
      </c>
      <c r="BQ82" s="667">
        <f t="shared" si="20"/>
        <v>22967921888.678848</v>
      </c>
      <c r="BR82" s="668">
        <f t="shared" si="21"/>
        <v>7097470861.2917681</v>
      </c>
      <c r="BS82">
        <v>7</v>
      </c>
      <c r="BU82" s="659">
        <v>2022</v>
      </c>
      <c r="BV82" s="662">
        <f t="shared" si="11"/>
        <v>0.84049681301827672</v>
      </c>
      <c r="BW82" s="662">
        <f t="shared" si="11"/>
        <v>0.93816864937475941</v>
      </c>
      <c r="BX82" s="662">
        <f t="shared" si="11"/>
        <v>0.82765005348433962</v>
      </c>
      <c r="BY82" s="662">
        <f t="shared" si="11"/>
        <v>0.81254700845327821</v>
      </c>
      <c r="BZ82" s="662">
        <f t="shared" si="11"/>
        <v>0.81777486059627125</v>
      </c>
      <c r="CA82" s="663">
        <f t="shared" si="11"/>
        <v>0.8018705118206414</v>
      </c>
    </row>
    <row r="83" spans="2:79" x14ac:dyDescent="0.25">
      <c r="B83" s="659">
        <v>2023</v>
      </c>
      <c r="C83" s="648">
        <v>7605.6022000000003</v>
      </c>
      <c r="D83" s="648">
        <v>5951.8243000000002</v>
      </c>
      <c r="E83" s="648">
        <v>5135.4429</v>
      </c>
      <c r="F83" s="648">
        <v>2625.4353000000001</v>
      </c>
      <c r="G83" s="648">
        <v>3114.8136</v>
      </c>
      <c r="H83" s="648">
        <v>1684.4192</v>
      </c>
      <c r="I83" s="649"/>
      <c r="J83" s="659">
        <v>2023</v>
      </c>
      <c r="K83" s="660">
        <f t="shared" si="12"/>
        <v>1.7108572943352884E-3</v>
      </c>
      <c r="L83" s="660">
        <f t="shared" si="12"/>
        <v>1.2364426891730007E-3</v>
      </c>
      <c r="M83" s="660">
        <f t="shared" si="12"/>
        <v>2.5014174524082833E-3</v>
      </c>
      <c r="N83" s="660">
        <f t="shared" si="12"/>
        <v>1.2291784153363183E-3</v>
      </c>
      <c r="O83" s="660">
        <f t="shared" si="12"/>
        <v>2.699180896477027E-3</v>
      </c>
      <c r="P83" s="661">
        <f t="shared" si="12"/>
        <v>1.2772643040617204E-3</v>
      </c>
      <c r="R83" s="659">
        <v>2023</v>
      </c>
      <c r="S83">
        <v>13993.101000000001</v>
      </c>
      <c r="T83">
        <v>7616.5793999999996</v>
      </c>
      <c r="U83">
        <v>8020.2960999999996</v>
      </c>
      <c r="V83">
        <v>4566.9835999999996</v>
      </c>
      <c r="W83">
        <v>8291.3045000000002</v>
      </c>
      <c r="X83">
        <v>5114.7047000000002</v>
      </c>
      <c r="Z83" s="659">
        <v>2023</v>
      </c>
      <c r="AA83" s="662">
        <f t="shared" si="9"/>
        <v>106.42595975042221</v>
      </c>
      <c r="AB83" s="662">
        <f t="shared" si="9"/>
        <v>45.332542355799418</v>
      </c>
      <c r="AC83" s="662">
        <f t="shared" si="9"/>
        <v>41.187772662642686</v>
      </c>
      <c r="AD83" s="662">
        <f t="shared" si="9"/>
        <v>11.990319957961079</v>
      </c>
      <c r="AE83" s="662">
        <f t="shared" si="9"/>
        <v>25.825868018341197</v>
      </c>
      <c r="AF83" s="663">
        <f t="shared" si="9"/>
        <v>8.6153067990102414</v>
      </c>
      <c r="AX83" s="659">
        <v>2023</v>
      </c>
      <c r="AY83" s="662">
        <f t="shared" si="22"/>
        <v>0</v>
      </c>
      <c r="AZ83" s="662">
        <f t="shared" si="22"/>
        <v>0</v>
      </c>
      <c r="BA83" s="662">
        <f t="shared" si="22"/>
        <v>3194539539.7552834</v>
      </c>
      <c r="BB83" s="662">
        <f t="shared" si="22"/>
        <v>1616454249.6288939</v>
      </c>
      <c r="BC83" s="662">
        <f t="shared" si="22"/>
        <v>1993175374.2764544</v>
      </c>
      <c r="BD83" s="663">
        <f t="shared" si="22"/>
        <v>1212038476.6229923</v>
      </c>
      <c r="BF83" s="614"/>
      <c r="BG83" s="614"/>
      <c r="BH83" s="656">
        <f t="shared" si="13"/>
        <v>369925326.46895999</v>
      </c>
      <c r="BI83" s="656">
        <f t="shared" si="14"/>
        <v>88183581.232319981</v>
      </c>
      <c r="BJ83" s="614"/>
      <c r="BK83" s="614"/>
      <c r="BL83" s="659">
        <v>2023</v>
      </c>
      <c r="BM83" s="667">
        <f t="shared" si="16"/>
        <v>106176317952.42221</v>
      </c>
      <c r="BN83" s="667">
        <f t="shared" si="17"/>
        <v>45238699633.799416</v>
      </c>
      <c r="BO83" s="667">
        <f t="shared" si="18"/>
        <v>36769162325.287399</v>
      </c>
      <c r="BP83" s="667">
        <f t="shared" si="19"/>
        <v>9965842109.1321831</v>
      </c>
      <c r="BQ83" s="667">
        <f t="shared" si="20"/>
        <v>22646720119.195782</v>
      </c>
      <c r="BR83" s="668">
        <f t="shared" si="21"/>
        <v>7043069008.354928</v>
      </c>
      <c r="BS83">
        <v>8</v>
      </c>
      <c r="BU83" s="659">
        <v>2023</v>
      </c>
      <c r="BV83" s="662">
        <f t="shared" si="11"/>
        <v>0.83202633009216975</v>
      </c>
      <c r="BW83" s="662">
        <f t="shared" si="11"/>
        <v>0.93362566548665504</v>
      </c>
      <c r="BX83" s="662">
        <f t="shared" si="11"/>
        <v>0.81755026504349959</v>
      </c>
      <c r="BY83" s="662">
        <f t="shared" si="11"/>
        <v>0.80618642177385136</v>
      </c>
      <c r="BZ83" s="662">
        <f t="shared" si="11"/>
        <v>0.80633844359975737</v>
      </c>
      <c r="CA83" s="663">
        <f t="shared" si="11"/>
        <v>0.79572420385953824</v>
      </c>
    </row>
    <row r="84" spans="2:79" x14ac:dyDescent="0.25">
      <c r="B84" s="659">
        <v>2024</v>
      </c>
      <c r="C84" s="648">
        <v>7592.9071000000004</v>
      </c>
      <c r="D84" s="648">
        <v>5944.3994000000002</v>
      </c>
      <c r="E84" s="648">
        <v>5122.4715999999999</v>
      </c>
      <c r="F84" s="648">
        <v>2622.1781999999998</v>
      </c>
      <c r="G84" s="648">
        <v>3106.3215</v>
      </c>
      <c r="H84" s="648">
        <v>1682.248</v>
      </c>
      <c r="I84" s="649"/>
      <c r="J84" s="659">
        <v>2024</v>
      </c>
      <c r="K84" s="660">
        <f t="shared" si="12"/>
        <v>1.6691774912971358E-3</v>
      </c>
      <c r="L84" s="660">
        <f t="shared" si="12"/>
        <v>1.2474998631931689E-3</v>
      </c>
      <c r="M84" s="660">
        <f t="shared" si="12"/>
        <v>2.525838618515297E-3</v>
      </c>
      <c r="N84" s="660">
        <f t="shared" si="12"/>
        <v>1.2405942740238984E-3</v>
      </c>
      <c r="O84" s="660">
        <f t="shared" si="12"/>
        <v>2.7263589705656122E-3</v>
      </c>
      <c r="P84" s="661">
        <f t="shared" si="12"/>
        <v>1.2889902941025655E-3</v>
      </c>
      <c r="R84" s="659">
        <v>2024</v>
      </c>
      <c r="S84">
        <v>13873.165000000001</v>
      </c>
      <c r="T84">
        <v>7589.8496999999998</v>
      </c>
      <c r="U84">
        <v>7978.8101999999999</v>
      </c>
      <c r="V84">
        <v>4561.0436</v>
      </c>
      <c r="W84">
        <v>8239.7826000000005</v>
      </c>
      <c r="X84">
        <v>5107.6032999999998</v>
      </c>
      <c r="Z84" s="659">
        <v>2024</v>
      </c>
      <c r="AA84" s="662">
        <f t="shared" ref="AA84:AF95" si="23">S84*C84*10^(-6)</f>
        <v>105.3376530279715</v>
      </c>
      <c r="AB84" s="662">
        <f t="shared" si="23"/>
        <v>45.117098002770177</v>
      </c>
      <c r="AC84" s="662">
        <f t="shared" si="23"/>
        <v>40.871228651290316</v>
      </c>
      <c r="AD84" s="662">
        <f t="shared" si="23"/>
        <v>11.959869097169518</v>
      </c>
      <c r="AE84" s="662">
        <f t="shared" si="23"/>
        <v>25.595413845705899</v>
      </c>
      <c r="AF84" s="663">
        <f t="shared" si="23"/>
        <v>8.5922554362183998</v>
      </c>
      <c r="AX84" s="659">
        <v>2024</v>
      </c>
      <c r="AY84" s="662">
        <f t="shared" si="22"/>
        <v>0</v>
      </c>
      <c r="AZ84" s="662">
        <f t="shared" si="22"/>
        <v>0</v>
      </c>
      <c r="BA84" s="662">
        <f t="shared" si="22"/>
        <v>3186470648.4173956</v>
      </c>
      <c r="BB84" s="662">
        <f t="shared" si="22"/>
        <v>1614448885.7425826</v>
      </c>
      <c r="BC84" s="662">
        <f t="shared" si="22"/>
        <v>1987741262.7148855</v>
      </c>
      <c r="BD84" s="663">
        <f t="shared" si="22"/>
        <v>1210476170.7905464</v>
      </c>
      <c r="BF84" s="614"/>
      <c r="BG84" s="614"/>
      <c r="BH84" s="656">
        <f t="shared" si="13"/>
        <v>369925326.46895999</v>
      </c>
      <c r="BI84" s="656">
        <f t="shared" si="14"/>
        <v>88183581.232319981</v>
      </c>
      <c r="BJ84" s="614"/>
      <c r="BK84" s="614"/>
      <c r="BL84" s="659">
        <v>2024</v>
      </c>
      <c r="BM84" s="667">
        <f t="shared" si="16"/>
        <v>105056806005.2215</v>
      </c>
      <c r="BN84" s="667">
        <f t="shared" si="17"/>
        <v>45011524940.52018</v>
      </c>
      <c r="BO84" s="667">
        <f t="shared" si="18"/>
        <v>36307678355.572914</v>
      </c>
      <c r="BP84" s="667">
        <f t="shared" si="19"/>
        <v>9886393662.3269348</v>
      </c>
      <c r="BQ84" s="667">
        <f t="shared" si="20"/>
        <v>22319694158.322052</v>
      </c>
      <c r="BR84" s="668">
        <f t="shared" si="21"/>
        <v>6987577984.7955332</v>
      </c>
      <c r="BS84">
        <v>9</v>
      </c>
      <c r="BU84" s="659">
        <v>2024</v>
      </c>
      <c r="BV84" s="662">
        <f t="shared" si="11"/>
        <v>0.82325353183652539</v>
      </c>
      <c r="BW84" s="662">
        <f t="shared" si="11"/>
        <v>0.92893728748482385</v>
      </c>
      <c r="BX84" s="662">
        <f t="shared" si="11"/>
        <v>0.80728932033076317</v>
      </c>
      <c r="BY84" s="662">
        <f t="shared" si="11"/>
        <v>0.79975944266420629</v>
      </c>
      <c r="BZ84" s="662">
        <f t="shared" si="11"/>
        <v>0.79469465576117648</v>
      </c>
      <c r="CA84" s="663">
        <f t="shared" si="11"/>
        <v>0.78945484166945179</v>
      </c>
    </row>
    <row r="85" spans="2:79" x14ac:dyDescent="0.25">
      <c r="B85" s="659">
        <v>2025</v>
      </c>
      <c r="C85" s="648">
        <v>7580.1451999999999</v>
      </c>
      <c r="D85" s="648">
        <v>5937.0097999999998</v>
      </c>
      <c r="E85" s="648">
        <v>5109.5429999999997</v>
      </c>
      <c r="F85" s="648">
        <v>2618.9502000000002</v>
      </c>
      <c r="G85" s="648">
        <v>3097.8642</v>
      </c>
      <c r="H85" s="648">
        <v>1680.0866000000001</v>
      </c>
      <c r="I85" s="649"/>
      <c r="J85" s="659">
        <v>2025</v>
      </c>
      <c r="K85" s="660">
        <f t="shared" ref="K85:P95" si="24">1-C85/C84</f>
        <v>1.6807659875096581E-3</v>
      </c>
      <c r="L85" s="660">
        <f t="shared" si="24"/>
        <v>1.2431197002005234E-3</v>
      </c>
      <c r="M85" s="660">
        <f t="shared" si="24"/>
        <v>2.5238988147830987E-3</v>
      </c>
      <c r="N85" s="660">
        <f t="shared" si="24"/>
        <v>1.2310376159787584E-3</v>
      </c>
      <c r="O85" s="660">
        <f t="shared" si="24"/>
        <v>2.7226093628750503E-3</v>
      </c>
      <c r="P85" s="661">
        <f t="shared" si="24"/>
        <v>1.2848283962887397E-3</v>
      </c>
      <c r="R85" s="659">
        <v>2025</v>
      </c>
      <c r="S85">
        <v>13771.199000000001</v>
      </c>
      <c r="T85">
        <v>7562.1441000000004</v>
      </c>
      <c r="U85">
        <v>7935.9070000000002</v>
      </c>
      <c r="V85">
        <v>4554.6728999999996</v>
      </c>
      <c r="W85">
        <v>8187.3302999999996</v>
      </c>
      <c r="X85">
        <v>5100.1058000000003</v>
      </c>
      <c r="Z85" s="659">
        <v>2025</v>
      </c>
      <c r="AA85" s="662">
        <f t="shared" si="23"/>
        <v>104.38768799809479</v>
      </c>
      <c r="AB85" s="662">
        <f t="shared" si="23"/>
        <v>44.896523630712181</v>
      </c>
      <c r="AC85" s="662">
        <f t="shared" si="23"/>
        <v>40.548858060500997</v>
      </c>
      <c r="AD85" s="662">
        <f t="shared" si="23"/>
        <v>11.928461502389579</v>
      </c>
      <c r="AE85" s="662">
        <f t="shared" si="23"/>
        <v>25.363237429945258</v>
      </c>
      <c r="AF85" s="663">
        <f t="shared" si="23"/>
        <v>8.5686194131622813</v>
      </c>
      <c r="AX85" s="659">
        <v>2025</v>
      </c>
      <c r="AY85" s="662">
        <f t="shared" si="22"/>
        <v>0</v>
      </c>
      <c r="AZ85" s="662">
        <f t="shared" si="22"/>
        <v>0</v>
      </c>
      <c r="BA85" s="662">
        <f t="shared" si="22"/>
        <v>3178428318.9245138</v>
      </c>
      <c r="BB85" s="662">
        <f t="shared" si="22"/>
        <v>1612461438.4351585</v>
      </c>
      <c r="BC85" s="662">
        <f t="shared" si="22"/>
        <v>1982329419.7420449</v>
      </c>
      <c r="BD85" s="663">
        <f t="shared" si="22"/>
        <v>1208920916.6332839</v>
      </c>
      <c r="BF85" s="614"/>
      <c r="BG85" s="614"/>
      <c r="BH85" s="656">
        <f t="shared" si="13"/>
        <v>369925326.46895999</v>
      </c>
      <c r="BI85" s="656">
        <f t="shared" si="14"/>
        <v>88183581.232319981</v>
      </c>
      <c r="BJ85" s="614"/>
      <c r="BK85" s="614"/>
      <c r="BL85" s="659">
        <v>2025</v>
      </c>
      <c r="BM85" s="667">
        <f t="shared" si="16"/>
        <v>104075635750.59479</v>
      </c>
      <c r="BN85" s="667">
        <f t="shared" si="17"/>
        <v>44779220228.212181</v>
      </c>
      <c r="BO85" s="667">
        <f t="shared" si="18"/>
        <v>35840341244.576485</v>
      </c>
      <c r="BP85" s="667">
        <f t="shared" si="19"/>
        <v>9805970564.954422</v>
      </c>
      <c r="BQ85" s="667">
        <f t="shared" si="20"/>
        <v>21990923685.734253</v>
      </c>
      <c r="BR85" s="668">
        <f t="shared" si="21"/>
        <v>6931495249.2966776</v>
      </c>
      <c r="BS85">
        <v>10</v>
      </c>
      <c r="BU85" s="659">
        <v>2025</v>
      </c>
      <c r="BV85" s="662">
        <f t="shared" si="11"/>
        <v>0.81556481648176549</v>
      </c>
      <c r="BW85" s="662">
        <f t="shared" si="11"/>
        <v>0.92414303735429626</v>
      </c>
      <c r="BX85" s="662">
        <f t="shared" si="11"/>
        <v>0.79689823294128981</v>
      </c>
      <c r="BY85" s="662">
        <f t="shared" si="11"/>
        <v>0.79325361923366011</v>
      </c>
      <c r="BZ85" s="662">
        <f t="shared" si="11"/>
        <v>0.7829887544309746</v>
      </c>
      <c r="CA85" s="663">
        <f t="shared" si="11"/>
        <v>0.78311862801001531</v>
      </c>
    </row>
    <row r="86" spans="2:79" x14ac:dyDescent="0.25">
      <c r="B86" s="659">
        <v>2026</v>
      </c>
      <c r="C86" s="648">
        <v>7567.1827000000003</v>
      </c>
      <c r="D86" s="648">
        <v>5929.6562000000004</v>
      </c>
      <c r="E86" s="648">
        <v>5096.7583999999997</v>
      </c>
      <c r="F86" s="648">
        <v>2615.7368999999999</v>
      </c>
      <c r="G86" s="648">
        <v>3089.4866999999999</v>
      </c>
      <c r="H86" s="648">
        <v>1677.9356</v>
      </c>
      <c r="I86" s="649"/>
      <c r="J86" s="659">
        <v>2026</v>
      </c>
      <c r="K86" s="660">
        <f t="shared" si="24"/>
        <v>1.7100595909428362E-3</v>
      </c>
      <c r="L86" s="660">
        <f t="shared" si="24"/>
        <v>1.2386033117208761E-3</v>
      </c>
      <c r="M86" s="660">
        <f t="shared" si="24"/>
        <v>2.5021024385155632E-3</v>
      </c>
      <c r="N86" s="660">
        <f t="shared" si="24"/>
        <v>1.2269420014173749E-3</v>
      </c>
      <c r="O86" s="660">
        <f t="shared" si="24"/>
        <v>2.7042825182589381E-3</v>
      </c>
      <c r="P86" s="661">
        <f t="shared" si="24"/>
        <v>1.2802911468968725E-3</v>
      </c>
      <c r="R86" s="659">
        <v>2026</v>
      </c>
      <c r="S86">
        <v>13685.784</v>
      </c>
      <c r="T86">
        <v>7533.2573000000002</v>
      </c>
      <c r="U86">
        <v>7891.5931</v>
      </c>
      <c r="V86">
        <v>4547.9348</v>
      </c>
      <c r="W86">
        <v>8133.3987999999999</v>
      </c>
      <c r="X86">
        <v>5092.0135</v>
      </c>
      <c r="Z86" s="659">
        <v>2026</v>
      </c>
      <c r="AA86" s="662">
        <f t="shared" si="23"/>
        <v>103.56282792073679</v>
      </c>
      <c r="AB86" s="662">
        <f t="shared" si="23"/>
        <v>44.669625855140261</v>
      </c>
      <c r="AC86" s="662">
        <f t="shared" si="23"/>
        <v>40.221543421807034</v>
      </c>
      <c r="AD86" s="662">
        <f t="shared" si="23"/>
        <v>11.896200875154118</v>
      </c>
      <c r="AE86" s="662">
        <f t="shared" si="23"/>
        <v>25.128027418395959</v>
      </c>
      <c r="AF86" s="663">
        <f t="shared" si="23"/>
        <v>8.5440707273306007</v>
      </c>
      <c r="AX86" s="659">
        <v>2026</v>
      </c>
      <c r="AY86" s="662">
        <f t="shared" si="22"/>
        <v>0</v>
      </c>
      <c r="AZ86" s="662">
        <f t="shared" si="22"/>
        <v>0</v>
      </c>
      <c r="BA86" s="662">
        <f t="shared" si="22"/>
        <v>3170475565.6770859</v>
      </c>
      <c r="BB86" s="662">
        <f t="shared" si="22"/>
        <v>1610483041.7706766</v>
      </c>
      <c r="BC86" s="662">
        <f t="shared" si="22"/>
        <v>1976968640.9468062</v>
      </c>
      <c r="BD86" s="663">
        <f t="shared" si="22"/>
        <v>1207373145.8864198</v>
      </c>
      <c r="BF86" s="614"/>
      <c r="BG86" s="614"/>
      <c r="BH86" s="656">
        <f t="shared" si="13"/>
        <v>369925326.46895999</v>
      </c>
      <c r="BI86" s="656">
        <f t="shared" si="14"/>
        <v>88183581.232319981</v>
      </c>
      <c r="BJ86" s="614"/>
      <c r="BK86" s="614"/>
      <c r="BL86" s="659">
        <v>2026</v>
      </c>
      <c r="BM86" s="667">
        <f t="shared" si="16"/>
        <v>103219570448.4868</v>
      </c>
      <c r="BN86" s="667">
        <f t="shared" si="17"/>
        <v>44540592112.390259</v>
      </c>
      <c r="BO86" s="667">
        <f t="shared" si="18"/>
        <v>35367970509.429955</v>
      </c>
      <c r="BP86" s="667">
        <f t="shared" si="19"/>
        <v>9724685384.4834404</v>
      </c>
      <c r="BQ86" s="667">
        <f t="shared" si="20"/>
        <v>21659068553.180191</v>
      </c>
      <c r="BR86" s="668">
        <f t="shared" si="21"/>
        <v>6874492367.6118612</v>
      </c>
      <c r="BS86">
        <v>11</v>
      </c>
      <c r="BU86" s="659">
        <v>2026</v>
      </c>
      <c r="BV86" s="662">
        <f t="shared" si="11"/>
        <v>0.80885645735453215</v>
      </c>
      <c r="BW86" s="662">
        <f t="shared" si="11"/>
        <v>0.91921828630615576</v>
      </c>
      <c r="BX86" s="662">
        <f t="shared" si="11"/>
        <v>0.78639522456972721</v>
      </c>
      <c r="BY86" s="662">
        <f t="shared" si="11"/>
        <v>0.78667805762335796</v>
      </c>
      <c r="BZ86" s="662">
        <f t="shared" si="11"/>
        <v>0.77117302351383299</v>
      </c>
      <c r="CA86" s="663">
        <f t="shared" si="11"/>
        <v>0.77667845646085931</v>
      </c>
    </row>
    <row r="87" spans="2:79" x14ac:dyDescent="0.25">
      <c r="B87" s="659">
        <v>2027</v>
      </c>
      <c r="C87" s="648">
        <v>7554.4247999999998</v>
      </c>
      <c r="D87" s="648">
        <v>5922.2518</v>
      </c>
      <c r="E87" s="648">
        <v>5083.9111000000003</v>
      </c>
      <c r="F87" s="648">
        <v>2612.5028000000002</v>
      </c>
      <c r="G87" s="648">
        <v>3081.1365999999998</v>
      </c>
      <c r="H87" s="648">
        <v>1675.7713000000001</v>
      </c>
      <c r="I87" s="649"/>
      <c r="J87" s="659">
        <v>2027</v>
      </c>
      <c r="K87" s="660">
        <f t="shared" si="24"/>
        <v>1.6859511004010397E-3</v>
      </c>
      <c r="L87" s="660">
        <f t="shared" si="24"/>
        <v>1.2487064595751995E-3</v>
      </c>
      <c r="M87" s="660">
        <f t="shared" si="24"/>
        <v>2.5206805957291856E-3</v>
      </c>
      <c r="N87" s="660">
        <f t="shared" si="24"/>
        <v>1.2364011074660342E-3</v>
      </c>
      <c r="O87" s="660">
        <f t="shared" si="24"/>
        <v>2.7027467054641097E-3</v>
      </c>
      <c r="P87" s="661">
        <f t="shared" si="24"/>
        <v>1.2898588003019684E-3</v>
      </c>
      <c r="R87" s="659">
        <v>2027</v>
      </c>
      <c r="S87">
        <v>13619.912</v>
      </c>
      <c r="T87">
        <v>7502.8795</v>
      </c>
      <c r="U87">
        <v>7847.1707999999999</v>
      </c>
      <c r="V87">
        <v>4540.9775</v>
      </c>
      <c r="W87">
        <v>8078.4953999999998</v>
      </c>
      <c r="X87">
        <v>5083.3797000000004</v>
      </c>
      <c r="Z87" s="659">
        <v>2027</v>
      </c>
      <c r="AA87" s="662">
        <f t="shared" si="23"/>
        <v>102.89060098661759</v>
      </c>
      <c r="AB87" s="662">
        <f t="shared" si="23"/>
        <v>44.433941624058093</v>
      </c>
      <c r="AC87" s="662">
        <f t="shared" si="23"/>
        <v>39.894318733715885</v>
      </c>
      <c r="AD87" s="662">
        <f t="shared" si="23"/>
        <v>11.863316433487</v>
      </c>
      <c r="AE87" s="662">
        <f t="shared" si="23"/>
        <v>24.890947849871637</v>
      </c>
      <c r="AF87" s="663">
        <f t="shared" si="23"/>
        <v>8.5185818082626099</v>
      </c>
      <c r="AX87" s="659">
        <v>2027</v>
      </c>
      <c r="AY87" s="662">
        <f t="shared" si="22"/>
        <v>0</v>
      </c>
      <c r="AZ87" s="662">
        <f t="shared" si="22"/>
        <v>0</v>
      </c>
      <c r="BA87" s="662">
        <f t="shared" si="22"/>
        <v>3162483809.4394503</v>
      </c>
      <c r="BB87" s="662">
        <f t="shared" si="22"/>
        <v>1608491838.754276</v>
      </c>
      <c r="BC87" s="662">
        <f t="shared" si="22"/>
        <v>1971625395.4656813</v>
      </c>
      <c r="BD87" s="663">
        <f t="shared" si="22"/>
        <v>1205815805.00895</v>
      </c>
      <c r="BF87" s="614"/>
      <c r="BG87" s="614"/>
      <c r="BH87" s="656">
        <f t="shared" si="13"/>
        <v>369925326.46895999</v>
      </c>
      <c r="BI87" s="656">
        <f t="shared" si="14"/>
        <v>88183581.232319981</v>
      </c>
      <c r="BJ87" s="614"/>
      <c r="BK87" s="614"/>
      <c r="BL87" s="659">
        <v>2027</v>
      </c>
      <c r="BM87" s="667">
        <f t="shared" si="16"/>
        <v>102516138289.61758</v>
      </c>
      <c r="BN87" s="667">
        <f t="shared" si="17"/>
        <v>44293177541.05809</v>
      </c>
      <c r="BO87" s="667">
        <f t="shared" si="18"/>
        <v>34895728727.876427</v>
      </c>
      <c r="BP87" s="667">
        <f t="shared" si="19"/>
        <v>9642789195.932724</v>
      </c>
      <c r="BQ87" s="667">
        <f t="shared" si="20"/>
        <v>21325326330.336994</v>
      </c>
      <c r="BR87" s="668">
        <f t="shared" si="21"/>
        <v>6816558822.8213396</v>
      </c>
      <c r="BS87">
        <v>12</v>
      </c>
      <c r="BU87" s="659">
        <v>2027</v>
      </c>
      <c r="BV87" s="662">
        <f t="shared" si="11"/>
        <v>0.80334417279899661</v>
      </c>
      <c r="BW87" s="662">
        <f t="shared" si="11"/>
        <v>0.91411220245138225</v>
      </c>
      <c r="BX87" s="662">
        <f t="shared" si="11"/>
        <v>0.77589508343901181</v>
      </c>
      <c r="BY87" s="662">
        <f t="shared" si="11"/>
        <v>0.78005306853747647</v>
      </c>
      <c r="BZ87" s="662">
        <f t="shared" si="11"/>
        <v>0.75929010258247909</v>
      </c>
      <c r="CA87" s="663">
        <f t="shared" si="11"/>
        <v>0.77013313882297829</v>
      </c>
    </row>
    <row r="88" spans="2:79" x14ac:dyDescent="0.25">
      <c r="B88" s="659">
        <v>2028</v>
      </c>
      <c r="C88" s="648">
        <v>7541.8526000000002</v>
      </c>
      <c r="D88" s="648">
        <v>5914.8181999999997</v>
      </c>
      <c r="E88" s="648">
        <v>5071.0088999999998</v>
      </c>
      <c r="F88" s="648">
        <v>2609.2581</v>
      </c>
      <c r="G88" s="648">
        <v>3072.7858000000001</v>
      </c>
      <c r="H88" s="648">
        <v>1673.6007</v>
      </c>
      <c r="I88" s="649"/>
      <c r="J88" s="659">
        <v>2028</v>
      </c>
      <c r="K88" s="660">
        <f t="shared" si="24"/>
        <v>1.6642167117739692E-3</v>
      </c>
      <c r="L88" s="660">
        <f t="shared" si="24"/>
        <v>1.2551982338880885E-3</v>
      </c>
      <c r="M88" s="660">
        <f t="shared" si="24"/>
        <v>2.537849255467961E-3</v>
      </c>
      <c r="N88" s="660">
        <f t="shared" si="24"/>
        <v>1.2419890994950222E-3</v>
      </c>
      <c r="O88" s="660">
        <f t="shared" si="24"/>
        <v>2.7102985307434491E-3</v>
      </c>
      <c r="P88" s="661">
        <f t="shared" si="24"/>
        <v>1.2952841476638888E-3</v>
      </c>
      <c r="R88" s="659">
        <v>2028</v>
      </c>
      <c r="S88">
        <v>13563.302</v>
      </c>
      <c r="T88">
        <v>7471.2098999999998</v>
      </c>
      <c r="U88">
        <v>7801.5081</v>
      </c>
      <c r="V88">
        <v>4533.7437</v>
      </c>
      <c r="W88">
        <v>8022.3981000000003</v>
      </c>
      <c r="X88">
        <v>5074.4710999999998</v>
      </c>
      <c r="Z88" s="659">
        <v>2028</v>
      </c>
      <c r="AA88" s="662">
        <f t="shared" si="23"/>
        <v>102.29242445328519</v>
      </c>
      <c r="AB88" s="662">
        <f t="shared" si="23"/>
        <v>44.190848292540174</v>
      </c>
      <c r="AC88" s="662">
        <f t="shared" si="23"/>
        <v>39.561517008522081</v>
      </c>
      <c r="AD88" s="662">
        <f t="shared" si="23"/>
        <v>11.82970747254897</v>
      </c>
      <c r="AE88" s="662">
        <f t="shared" si="23"/>
        <v>24.65111096362698</v>
      </c>
      <c r="AF88" s="663">
        <f t="shared" si="23"/>
        <v>8.4926383850897693</v>
      </c>
      <c r="AX88" s="659">
        <v>2028</v>
      </c>
      <c r="AY88" s="662">
        <f t="shared" si="22"/>
        <v>0</v>
      </c>
      <c r="AZ88" s="662">
        <f t="shared" si="22"/>
        <v>0</v>
      </c>
      <c r="BA88" s="662">
        <f t="shared" si="22"/>
        <v>3154457902.258235</v>
      </c>
      <c r="BB88" s="662">
        <f t="shared" si="22"/>
        <v>1606494109.4239166</v>
      </c>
      <c r="BC88" s="662">
        <f t="shared" si="22"/>
        <v>1966281702.0531743</v>
      </c>
      <c r="BD88" s="663">
        <f t="shared" si="22"/>
        <v>1204253930.9117193</v>
      </c>
      <c r="BF88" s="614"/>
      <c r="BG88" s="614"/>
      <c r="BH88" s="656">
        <f t="shared" si="13"/>
        <v>369925326.46895999</v>
      </c>
      <c r="BI88" s="656">
        <f t="shared" si="14"/>
        <v>88183581.232319981</v>
      </c>
      <c r="BJ88" s="614"/>
      <c r="BK88" s="614"/>
      <c r="BL88" s="659">
        <v>2028</v>
      </c>
      <c r="BM88" s="667">
        <f t="shared" si="16"/>
        <v>101886756531.53519</v>
      </c>
      <c r="BN88" s="667">
        <f t="shared" si="17"/>
        <v>44038353869.290176</v>
      </c>
      <c r="BO88" s="667">
        <f t="shared" si="18"/>
        <v>34417944060.163849</v>
      </c>
      <c r="BP88" s="667">
        <f t="shared" si="19"/>
        <v>9560175014.4250526</v>
      </c>
      <c r="BQ88" s="667">
        <f t="shared" si="20"/>
        <v>20988827237.704845</v>
      </c>
      <c r="BR88" s="668">
        <f t="shared" si="21"/>
        <v>6758175307.14573</v>
      </c>
      <c r="BS88">
        <v>13</v>
      </c>
      <c r="BU88" s="659">
        <v>2028</v>
      </c>
      <c r="BV88" s="662">
        <f t="shared" si="11"/>
        <v>0.79841216720205266</v>
      </c>
      <c r="BW88" s="662">
        <f t="shared" si="11"/>
        <v>0.90885321132073704</v>
      </c>
      <c r="BX88" s="662">
        <f t="shared" si="11"/>
        <v>0.76527169805246187</v>
      </c>
      <c r="BY88" s="662">
        <f t="shared" si="11"/>
        <v>0.77336999743840562</v>
      </c>
      <c r="BZ88" s="662">
        <f t="shared" si="11"/>
        <v>0.74730902306201674</v>
      </c>
      <c r="CA88" s="663">
        <f t="shared" si="11"/>
        <v>0.76353698358519984</v>
      </c>
    </row>
    <row r="89" spans="2:79" x14ac:dyDescent="0.25">
      <c r="B89" s="659">
        <v>2029</v>
      </c>
      <c r="C89" s="648">
        <v>7529.3032999999996</v>
      </c>
      <c r="D89" s="648">
        <v>5907.3073999999997</v>
      </c>
      <c r="E89" s="648">
        <v>5058.1639999999998</v>
      </c>
      <c r="F89" s="648">
        <v>2606.0070000000001</v>
      </c>
      <c r="G89" s="648">
        <v>3064.5250999999998</v>
      </c>
      <c r="H89" s="648">
        <v>1671.4276</v>
      </c>
      <c r="I89" s="649"/>
      <c r="J89" s="659">
        <v>2029</v>
      </c>
      <c r="K89" s="660">
        <f t="shared" si="24"/>
        <v>1.6639545567359582E-3</v>
      </c>
      <c r="L89" s="660">
        <f t="shared" si="24"/>
        <v>1.2698277015513737E-3</v>
      </c>
      <c r="M89" s="660">
        <f t="shared" si="24"/>
        <v>2.5330067947623158E-3</v>
      </c>
      <c r="N89" s="660">
        <f t="shared" si="24"/>
        <v>1.2459863591109954E-3</v>
      </c>
      <c r="O89" s="660">
        <f t="shared" si="24"/>
        <v>2.6883422853620775E-3</v>
      </c>
      <c r="P89" s="661">
        <f t="shared" si="24"/>
        <v>1.2984578699088978E-3</v>
      </c>
      <c r="R89" s="659">
        <v>2029</v>
      </c>
      <c r="S89">
        <v>13500.397000000001</v>
      </c>
      <c r="T89">
        <v>7438.8153000000002</v>
      </c>
      <c r="U89">
        <v>7755.1983</v>
      </c>
      <c r="V89">
        <v>4526.1153000000004</v>
      </c>
      <c r="W89">
        <v>7965.6548000000003</v>
      </c>
      <c r="X89">
        <v>5065.2125999999998</v>
      </c>
      <c r="Z89" s="659">
        <v>2029</v>
      </c>
      <c r="AA89" s="662">
        <f t="shared" si="23"/>
        <v>101.64858368341011</v>
      </c>
      <c r="AB89" s="662">
        <f t="shared" si="23"/>
        <v>43.94336866892322</v>
      </c>
      <c r="AC89" s="662">
        <f t="shared" si="23"/>
        <v>39.227064853921199</v>
      </c>
      <c r="AD89" s="662">
        <f t="shared" si="23"/>
        <v>11.7950881546071</v>
      </c>
      <c r="AE89" s="662">
        <f t="shared" si="23"/>
        <v>24.41094907253548</v>
      </c>
      <c r="AF89" s="663">
        <f t="shared" si="23"/>
        <v>8.4661361395077588</v>
      </c>
      <c r="AX89" s="659">
        <v>2029</v>
      </c>
      <c r="AY89" s="662">
        <f t="shared" si="22"/>
        <v>0</v>
      </c>
      <c r="AZ89" s="662">
        <f t="shared" si="22"/>
        <v>0</v>
      </c>
      <c r="BA89" s="662">
        <f t="shared" si="22"/>
        <v>3146467638.9580231</v>
      </c>
      <c r="BB89" s="662">
        <f t="shared" si="22"/>
        <v>1604492439.6775823</v>
      </c>
      <c r="BC89" s="662">
        <f t="shared" si="22"/>
        <v>1960995663.8086109</v>
      </c>
      <c r="BD89" s="663">
        <f t="shared" si="22"/>
        <v>1202690257.9177582</v>
      </c>
      <c r="BF89" s="614"/>
      <c r="BG89" s="614"/>
      <c r="BH89" s="656">
        <f t="shared" si="13"/>
        <v>369925326.46895999</v>
      </c>
      <c r="BI89" s="656">
        <f t="shared" si="14"/>
        <v>88183581.232319981</v>
      </c>
      <c r="BJ89" s="614"/>
      <c r="BK89" s="614"/>
      <c r="BL89" s="659">
        <v>2029</v>
      </c>
      <c r="BM89" s="667">
        <f t="shared" si="16"/>
        <v>101211710536.91011</v>
      </c>
      <c r="BN89" s="667">
        <f t="shared" si="17"/>
        <v>43779143905.423218</v>
      </c>
      <c r="BO89" s="667">
        <f t="shared" si="18"/>
        <v>33938473319.16317</v>
      </c>
      <c r="BP89" s="667">
        <f t="shared" si="19"/>
        <v>9476554416.3295174</v>
      </c>
      <c r="BQ89" s="667">
        <f t="shared" si="20"/>
        <v>20651945485.057911</v>
      </c>
      <c r="BR89" s="668">
        <f t="shared" si="21"/>
        <v>6699234767.9576817</v>
      </c>
      <c r="BS89">
        <v>14</v>
      </c>
      <c r="BU89" s="659">
        <v>2029</v>
      </c>
      <c r="BV89" s="662">
        <f t="shared" si="11"/>
        <v>0.79312232430315877</v>
      </c>
      <c r="BW89" s="662">
        <f t="shared" si="11"/>
        <v>0.90350369692321775</v>
      </c>
      <c r="BX89" s="662">
        <f t="shared" si="11"/>
        <v>0.75461082337933605</v>
      </c>
      <c r="BY89" s="662">
        <f t="shared" si="11"/>
        <v>0.76660551230739449</v>
      </c>
      <c r="BZ89" s="662">
        <f t="shared" si="11"/>
        <v>0.73531431889837762</v>
      </c>
      <c r="CA89" s="663">
        <f t="shared" si="11"/>
        <v>0.75687789596802246</v>
      </c>
    </row>
    <row r="90" spans="2:79" x14ac:dyDescent="0.25">
      <c r="B90" s="659">
        <v>2030</v>
      </c>
      <c r="C90" s="648">
        <v>7516.7221</v>
      </c>
      <c r="D90" s="648">
        <v>5899.8276999999998</v>
      </c>
      <c r="E90" s="648">
        <v>5045.3532999999998</v>
      </c>
      <c r="F90" s="648">
        <v>2602.7660999999998</v>
      </c>
      <c r="G90" s="648">
        <v>3056.2835</v>
      </c>
      <c r="H90" s="648">
        <v>1669.2754</v>
      </c>
      <c r="I90" s="649"/>
      <c r="J90" s="659">
        <v>2030</v>
      </c>
      <c r="K90" s="660">
        <f t="shared" si="24"/>
        <v>1.6709646960296753E-3</v>
      </c>
      <c r="L90" s="660">
        <f t="shared" si="24"/>
        <v>1.2661775481668247E-3</v>
      </c>
      <c r="M90" s="660">
        <f t="shared" si="24"/>
        <v>2.5326778649328308E-3</v>
      </c>
      <c r="N90" s="660">
        <f t="shared" si="24"/>
        <v>1.2436267439036586E-3</v>
      </c>
      <c r="O90" s="660">
        <f t="shared" si="24"/>
        <v>2.6893563377894392E-3</v>
      </c>
      <c r="P90" s="661">
        <f t="shared" si="24"/>
        <v>1.2876417740139701E-3</v>
      </c>
      <c r="R90" s="659">
        <v>2030</v>
      </c>
      <c r="S90">
        <v>13433.513999999999</v>
      </c>
      <c r="T90">
        <v>7406.3721999999998</v>
      </c>
      <c r="U90">
        <v>7709.0415000000003</v>
      </c>
      <c r="V90">
        <v>4518.1958999999997</v>
      </c>
      <c r="W90">
        <v>7908.5987999999998</v>
      </c>
      <c r="X90">
        <v>5055.91</v>
      </c>
      <c r="Z90" s="659">
        <v>2030</v>
      </c>
      <c r="AA90" s="662">
        <f t="shared" si="23"/>
        <v>100.97599156445939</v>
      </c>
      <c r="AB90" s="662">
        <f t="shared" si="23"/>
        <v>43.696319862069934</v>
      </c>
      <c r="AC90" s="662">
        <f t="shared" si="23"/>
        <v>38.894837971861946</v>
      </c>
      <c r="AD90" s="662">
        <f t="shared" si="23"/>
        <v>11.759807121678989</v>
      </c>
      <c r="AE90" s="662">
        <f t="shared" si="23"/>
        <v>24.170920020559798</v>
      </c>
      <c r="AF90" s="663">
        <f t="shared" si="23"/>
        <v>8.4397061876139983</v>
      </c>
      <c r="AX90" s="659">
        <v>2030</v>
      </c>
      <c r="AY90" s="662">
        <f t="shared" si="22"/>
        <v>0</v>
      </c>
      <c r="AZ90" s="662">
        <f t="shared" si="22"/>
        <v>0</v>
      </c>
      <c r="BA90" s="662">
        <f t="shared" si="22"/>
        <v>3138498650.0161066</v>
      </c>
      <c r="BB90" s="662">
        <f t="shared" si="22"/>
        <v>1602497049.969208</v>
      </c>
      <c r="BC90" s="662">
        <f t="shared" si="22"/>
        <v>1955721847.6917696</v>
      </c>
      <c r="BD90" s="663">
        <f t="shared" si="22"/>
        <v>1201141623.7004638</v>
      </c>
      <c r="BF90" s="614"/>
      <c r="BG90" s="614"/>
      <c r="BH90" s="656">
        <f t="shared" si="13"/>
        <v>369925326.46895999</v>
      </c>
      <c r="BI90" s="656">
        <f t="shared" si="14"/>
        <v>88183581.232319981</v>
      </c>
      <c r="BJ90" s="614"/>
      <c r="BK90" s="614"/>
      <c r="BL90" s="659">
        <v>2030</v>
      </c>
      <c r="BM90" s="667">
        <f t="shared" si="16"/>
        <v>100507913193.2094</v>
      </c>
      <c r="BN90" s="667">
        <f t="shared" si="17"/>
        <v>43520364758.319931</v>
      </c>
      <c r="BO90" s="667">
        <f t="shared" si="18"/>
        <v>33461206576.34584</v>
      </c>
      <c r="BP90" s="667">
        <f t="shared" si="19"/>
        <v>9392265823.2097816</v>
      </c>
      <c r="BQ90" s="667">
        <f t="shared" si="20"/>
        <v>20315184349.399071</v>
      </c>
      <c r="BR90" s="668">
        <f t="shared" si="21"/>
        <v>6640351483.6812143</v>
      </c>
      <c r="BS90">
        <v>15</v>
      </c>
      <c r="BU90" s="659">
        <v>2030</v>
      </c>
      <c r="BV90" s="662">
        <f t="shared" si="11"/>
        <v>0.78760717806056324</v>
      </c>
      <c r="BW90" s="662">
        <f t="shared" si="11"/>
        <v>0.89816307362095416</v>
      </c>
      <c r="BX90" s="662">
        <f t="shared" si="11"/>
        <v>0.74399895388296711</v>
      </c>
      <c r="BY90" s="662">
        <f t="shared" si="11"/>
        <v>0.75978698974407954</v>
      </c>
      <c r="BZ90" s="662">
        <f t="shared" si="11"/>
        <v>0.72332390931311186</v>
      </c>
      <c r="CA90" s="663">
        <f t="shared" si="11"/>
        <v>0.75022527699666997</v>
      </c>
    </row>
    <row r="91" spans="2:79" x14ac:dyDescent="0.25">
      <c r="B91" s="659">
        <v>2031</v>
      </c>
      <c r="C91" s="648">
        <v>7504.1378999999997</v>
      </c>
      <c r="D91" s="648">
        <v>5892.3410000000003</v>
      </c>
      <c r="E91" s="648">
        <v>5032.6148000000003</v>
      </c>
      <c r="F91" s="648">
        <v>2599.5228000000002</v>
      </c>
      <c r="G91" s="648">
        <v>3048.0671000000002</v>
      </c>
      <c r="H91" s="648">
        <v>1667.1223</v>
      </c>
      <c r="I91" s="649"/>
      <c r="J91" s="659">
        <v>2031</v>
      </c>
      <c r="K91" s="660">
        <f t="shared" si="24"/>
        <v>1.6741606025317823E-3</v>
      </c>
      <c r="L91" s="660">
        <f t="shared" si="24"/>
        <v>1.2689692615938108E-3</v>
      </c>
      <c r="M91" s="660">
        <f t="shared" si="24"/>
        <v>2.5247984120357891E-3</v>
      </c>
      <c r="N91" s="660">
        <f t="shared" si="24"/>
        <v>1.2460973730984426E-3</v>
      </c>
      <c r="O91" s="660">
        <f t="shared" si="24"/>
        <v>2.6883631704976985E-3</v>
      </c>
      <c r="P91" s="661">
        <f t="shared" si="24"/>
        <v>1.2898410891336587E-3</v>
      </c>
      <c r="R91" s="659">
        <v>2031</v>
      </c>
      <c r="S91">
        <v>13372.079</v>
      </c>
      <c r="T91">
        <v>7373.9566999999997</v>
      </c>
      <c r="U91">
        <v>7663.3428999999996</v>
      </c>
      <c r="V91">
        <v>4510.1385</v>
      </c>
      <c r="W91">
        <v>7856.0087000000003</v>
      </c>
      <c r="X91">
        <v>5046.5505000000003</v>
      </c>
      <c r="Z91" s="659">
        <v>2031</v>
      </c>
      <c r="AA91" s="662">
        <f t="shared" si="23"/>
        <v>100.3459248256941</v>
      </c>
      <c r="AB91" s="662">
        <f t="shared" si="23"/>
        <v>43.449867395634705</v>
      </c>
      <c r="AC91" s="662">
        <f t="shared" si="23"/>
        <v>38.566652896014922</v>
      </c>
      <c r="AD91" s="662">
        <f t="shared" si="23"/>
        <v>11.7242078619078</v>
      </c>
      <c r="AE91" s="662">
        <f t="shared" si="23"/>
        <v>23.945641655783771</v>
      </c>
      <c r="AF91" s="663">
        <f t="shared" si="23"/>
        <v>8.4132168766261497</v>
      </c>
      <c r="AX91" s="659">
        <v>2031</v>
      </c>
      <c r="AY91" s="662">
        <f t="shared" si="22"/>
        <v>0</v>
      </c>
      <c r="AZ91" s="662">
        <f t="shared" si="22"/>
        <v>0</v>
      </c>
      <c r="BA91" s="662">
        <f t="shared" si="22"/>
        <v>3130574573.6083694</v>
      </c>
      <c r="BB91" s="662">
        <f t="shared" si="22"/>
        <v>1600500182.6048434</v>
      </c>
      <c r="BC91" s="662">
        <f t="shared" si="22"/>
        <v>1950464157.1046972</v>
      </c>
      <c r="BD91" s="663">
        <f t="shared" si="22"/>
        <v>1199592341.8803463</v>
      </c>
      <c r="BF91" s="614"/>
      <c r="BG91" s="614"/>
      <c r="BH91" s="656">
        <f t="shared" si="13"/>
        <v>369925326.46895999</v>
      </c>
      <c r="BI91" s="656">
        <f t="shared" si="14"/>
        <v>88183581.232319981</v>
      </c>
      <c r="BJ91" s="614"/>
      <c r="BK91" s="614"/>
      <c r="BL91" s="659">
        <v>2031</v>
      </c>
      <c r="BM91" s="667">
        <f t="shared" si="16"/>
        <v>99846641229.694092</v>
      </c>
      <c r="BN91" s="667">
        <f t="shared" si="17"/>
        <v>43262181951.634705</v>
      </c>
      <c r="BO91" s="667">
        <f t="shared" si="18"/>
        <v>32987936727.206558</v>
      </c>
      <c r="BP91" s="667">
        <f t="shared" si="19"/>
        <v>9307660480.9029579</v>
      </c>
      <c r="BQ91" s="667">
        <f t="shared" si="20"/>
        <v>19993157775.410114</v>
      </c>
      <c r="BR91" s="668">
        <f t="shared" si="21"/>
        <v>6581409487.9134836</v>
      </c>
      <c r="BS91">
        <v>16</v>
      </c>
      <c r="BU91" s="659">
        <v>2031</v>
      </c>
      <c r="BV91" s="662">
        <f t="shared" si="11"/>
        <v>0.78242527219297586</v>
      </c>
      <c r="BW91" s="662">
        <f t="shared" si="11"/>
        <v>0.89283475745227681</v>
      </c>
      <c r="BX91" s="662">
        <f t="shared" si="11"/>
        <v>0.73347595400665999</v>
      </c>
      <c r="BY91" s="662">
        <f t="shared" si="11"/>
        <v>0.75294284376721443</v>
      </c>
      <c r="BZ91" s="662">
        <f t="shared" si="11"/>
        <v>0.71185812508028068</v>
      </c>
      <c r="CA91" s="663">
        <f t="shared" si="11"/>
        <v>0.74356602481547851</v>
      </c>
    </row>
    <row r="92" spans="2:79" x14ac:dyDescent="0.25">
      <c r="B92" s="659">
        <v>2032</v>
      </c>
      <c r="C92" s="648">
        <v>7491.5550000000003</v>
      </c>
      <c r="D92" s="648">
        <v>5884.9998999999998</v>
      </c>
      <c r="E92" s="648">
        <v>5019.8589000000002</v>
      </c>
      <c r="F92" s="648">
        <v>2596.2692000000002</v>
      </c>
      <c r="G92" s="648">
        <v>3039.8206</v>
      </c>
      <c r="H92" s="648">
        <v>1664.9632999999999</v>
      </c>
      <c r="I92" s="649"/>
      <c r="J92" s="659">
        <v>2032</v>
      </c>
      <c r="K92" s="660">
        <f t="shared" si="24"/>
        <v>1.676794878729404E-3</v>
      </c>
      <c r="L92" s="660">
        <f t="shared" si="24"/>
        <v>1.245871547488564E-3</v>
      </c>
      <c r="M92" s="660">
        <f t="shared" si="24"/>
        <v>2.5346466016036295E-3</v>
      </c>
      <c r="N92" s="660">
        <f t="shared" si="24"/>
        <v>1.2516143347540698E-3</v>
      </c>
      <c r="O92" s="660">
        <f t="shared" si="24"/>
        <v>2.7054850596958113E-3</v>
      </c>
      <c r="P92" s="661">
        <f t="shared" si="24"/>
        <v>1.2950459603354725E-3</v>
      </c>
      <c r="R92" s="659">
        <v>2032</v>
      </c>
      <c r="S92">
        <v>13302.671</v>
      </c>
      <c r="T92">
        <v>7342.1246000000001</v>
      </c>
      <c r="U92">
        <v>7618.1598999999997</v>
      </c>
      <c r="V92">
        <v>4502.0445</v>
      </c>
      <c r="W92">
        <v>7802.8040000000001</v>
      </c>
      <c r="X92">
        <v>5037.2583999999997</v>
      </c>
      <c r="Z92" s="659">
        <v>2032</v>
      </c>
      <c r="AA92" s="662">
        <f t="shared" si="23"/>
        <v>99.657691443405</v>
      </c>
      <c r="AB92" s="662">
        <f t="shared" si="23"/>
        <v>43.208402536787538</v>
      </c>
      <c r="AC92" s="662">
        <f t="shared" si="23"/>
        <v>38.242087775638112</v>
      </c>
      <c r="AD92" s="662">
        <f t="shared" si="23"/>
        <v>11.688519472379401</v>
      </c>
      <c r="AE92" s="662">
        <f t="shared" si="23"/>
        <v>23.719124336962402</v>
      </c>
      <c r="AF92" s="663">
        <f t="shared" si="23"/>
        <v>8.3868503686167184</v>
      </c>
      <c r="AX92" s="659">
        <v>2032</v>
      </c>
      <c r="AY92" s="662">
        <f t="shared" si="22"/>
        <v>0</v>
      </c>
      <c r="AZ92" s="662">
        <f t="shared" si="22"/>
        <v>0</v>
      </c>
      <c r="BA92" s="662">
        <f t="shared" si="22"/>
        <v>3122639673.4043059</v>
      </c>
      <c r="BB92" s="662">
        <f t="shared" si="22"/>
        <v>1598496973.6335187</v>
      </c>
      <c r="BC92" s="662">
        <f t="shared" si="22"/>
        <v>1945187205.4681783</v>
      </c>
      <c r="BD92" s="663">
        <f t="shared" si="22"/>
        <v>1198038814.6639447</v>
      </c>
      <c r="BF92" s="614"/>
      <c r="BG92" s="614"/>
      <c r="BH92" s="656">
        <f t="shared" si="13"/>
        <v>369925326.46895999</v>
      </c>
      <c r="BI92" s="656">
        <f t="shared" si="14"/>
        <v>88183581.232319981</v>
      </c>
      <c r="BJ92" s="614"/>
      <c r="BK92" s="614"/>
      <c r="BL92" s="659">
        <v>2032</v>
      </c>
      <c r="BM92" s="667">
        <f t="shared" si="16"/>
        <v>99127202622.654999</v>
      </c>
      <c r="BN92" s="667">
        <f t="shared" si="17"/>
        <v>43008986752.537537</v>
      </c>
      <c r="BO92" s="667">
        <f t="shared" si="18"/>
        <v>32518297657.333809</v>
      </c>
      <c r="BP92" s="667">
        <f t="shared" si="19"/>
        <v>9222972350.4458828</v>
      </c>
      <c r="BQ92" s="667">
        <f t="shared" si="20"/>
        <v>19669911508.425266</v>
      </c>
      <c r="BR92" s="668">
        <f t="shared" si="21"/>
        <v>6522594540.5204535</v>
      </c>
      <c r="BS92">
        <v>17</v>
      </c>
      <c r="BU92" s="659">
        <v>2032</v>
      </c>
      <c r="BV92" s="662">
        <f t="shared" si="11"/>
        <v>0.77678755678256217</v>
      </c>
      <c r="BW92" s="662">
        <f t="shared" si="11"/>
        <v>0.88760937435840681</v>
      </c>
      <c r="BX92" s="662">
        <f t="shared" si="11"/>
        <v>0.72303368331654994</v>
      </c>
      <c r="BY92" s="662">
        <f t="shared" si="11"/>
        <v>0.7460920006460553</v>
      </c>
      <c r="BZ92" s="662">
        <f t="shared" si="11"/>
        <v>0.70034891357202933</v>
      </c>
      <c r="CA92" s="663">
        <f t="shared" si="11"/>
        <v>0.7369211265284048</v>
      </c>
    </row>
    <row r="93" spans="2:79" x14ac:dyDescent="0.25">
      <c r="B93" s="659">
        <v>2033</v>
      </c>
      <c r="C93" s="648">
        <v>7478.3963999999996</v>
      </c>
      <c r="D93" s="648">
        <v>5877.7970999999998</v>
      </c>
      <c r="E93" s="648">
        <v>5007.3414000000002</v>
      </c>
      <c r="F93" s="648">
        <v>2593.0745999999999</v>
      </c>
      <c r="G93" s="648">
        <v>3031.7584999999999</v>
      </c>
      <c r="H93" s="648">
        <v>1662.8434</v>
      </c>
      <c r="I93" s="649"/>
      <c r="J93" s="659">
        <v>2033</v>
      </c>
      <c r="K93" s="660">
        <f t="shared" si="24"/>
        <v>1.7564577714507257E-3</v>
      </c>
      <c r="L93" s="660">
        <f t="shared" si="24"/>
        <v>1.2239252544422596E-3</v>
      </c>
      <c r="M93" s="660">
        <f t="shared" si="24"/>
        <v>2.4935959853373824E-3</v>
      </c>
      <c r="N93" s="660">
        <f t="shared" si="24"/>
        <v>1.2304579201571908E-3</v>
      </c>
      <c r="O93" s="660">
        <f t="shared" si="24"/>
        <v>2.6521630914666527E-3</v>
      </c>
      <c r="P93" s="661">
        <f t="shared" si="24"/>
        <v>1.2732412780509517E-3</v>
      </c>
      <c r="R93" s="659">
        <v>2033</v>
      </c>
      <c r="S93">
        <v>13247.415999999999</v>
      </c>
      <c r="T93">
        <v>7311.1311999999998</v>
      </c>
      <c r="U93">
        <v>7574.5308000000005</v>
      </c>
      <c r="V93">
        <v>4493.7209999999995</v>
      </c>
      <c r="W93">
        <v>7749.5635000000002</v>
      </c>
      <c r="X93">
        <v>5027.8154999999997</v>
      </c>
      <c r="Z93" s="659">
        <v>2033</v>
      </c>
      <c r="AA93" s="662">
        <f t="shared" si="23"/>
        <v>99.069428123702394</v>
      </c>
      <c r="AB93" s="662">
        <f t="shared" si="23"/>
        <v>42.973345765079522</v>
      </c>
      <c r="AC93" s="662">
        <f t="shared" si="23"/>
        <v>37.928261660415124</v>
      </c>
      <c r="AD93" s="662">
        <f t="shared" si="23"/>
        <v>11.652553784586599</v>
      </c>
      <c r="AE93" s="662">
        <f t="shared" si="23"/>
        <v>23.494805012414748</v>
      </c>
      <c r="AF93" s="663">
        <f t="shared" si="23"/>
        <v>8.3604698205926997</v>
      </c>
      <c r="AX93" s="659">
        <v>2033</v>
      </c>
      <c r="AY93" s="662">
        <f t="shared" si="22"/>
        <v>0</v>
      </c>
      <c r="AZ93" s="662">
        <f t="shared" si="22"/>
        <v>0</v>
      </c>
      <c r="BA93" s="662">
        <f t="shared" si="22"/>
        <v>3114853071.6510496</v>
      </c>
      <c r="BB93" s="662">
        <f t="shared" si="22"/>
        <v>1596530090.371964</v>
      </c>
      <c r="BC93" s="662">
        <f t="shared" si="22"/>
        <v>1940028251.7558424</v>
      </c>
      <c r="BD93" s="663">
        <f t="shared" si="22"/>
        <v>1196513422.1924074</v>
      </c>
      <c r="BF93" s="614"/>
      <c r="BG93" s="614"/>
      <c r="BH93" s="656">
        <f t="shared" si="13"/>
        <v>369925326.46895999</v>
      </c>
      <c r="BI93" s="656">
        <f t="shared" si="14"/>
        <v>88183581.232319981</v>
      </c>
      <c r="BJ93" s="614"/>
      <c r="BK93" s="614"/>
      <c r="BL93" s="659">
        <v>2033</v>
      </c>
      <c r="BM93" s="667">
        <f t="shared" si="16"/>
        <v>98507734078.202393</v>
      </c>
      <c r="BN93" s="667">
        <f t="shared" si="17"/>
        <v>42762199640.579521</v>
      </c>
      <c r="BO93" s="667">
        <f t="shared" si="18"/>
        <v>32059249294.164074</v>
      </c>
      <c r="BP93" s="667">
        <f t="shared" si="19"/>
        <v>9137970596.0146351</v>
      </c>
      <c r="BQ93" s="667">
        <f t="shared" si="20"/>
        <v>19348745237.789944</v>
      </c>
      <c r="BR93" s="668">
        <f t="shared" si="21"/>
        <v>6463737418.3679724</v>
      </c>
      <c r="BS93">
        <v>18</v>
      </c>
      <c r="BU93" s="659">
        <v>2033</v>
      </c>
      <c r="BV93" s="662">
        <f t="shared" si="11"/>
        <v>0.77193323380745771</v>
      </c>
      <c r="BW93" s="662">
        <f t="shared" si="11"/>
        <v>0.88251623986293193</v>
      </c>
      <c r="BX93" s="662">
        <f t="shared" si="11"/>
        <v>0.71282689351652506</v>
      </c>
      <c r="BY93" s="662">
        <f t="shared" si="11"/>
        <v>0.73921578692532686</v>
      </c>
      <c r="BZ93" s="662">
        <f t="shared" si="11"/>
        <v>0.68891376051508324</v>
      </c>
      <c r="CA93" s="663">
        <f t="shared" si="11"/>
        <v>0.73027146334738402</v>
      </c>
    </row>
    <row r="94" spans="2:79" x14ac:dyDescent="0.25">
      <c r="B94" s="659">
        <v>2034</v>
      </c>
      <c r="C94" s="648">
        <v>7464.4754999999996</v>
      </c>
      <c r="D94" s="648">
        <v>5870.6936999999998</v>
      </c>
      <c r="E94" s="648">
        <v>4995.3675000000003</v>
      </c>
      <c r="F94" s="648">
        <v>2589.9263999999998</v>
      </c>
      <c r="G94" s="648">
        <v>3023.8020000000001</v>
      </c>
      <c r="H94" s="648">
        <v>1660.7742000000001</v>
      </c>
      <c r="I94" s="649"/>
      <c r="J94" s="659">
        <v>2034</v>
      </c>
      <c r="K94" s="660">
        <f t="shared" si="24"/>
        <v>1.8614819615606626E-3</v>
      </c>
      <c r="L94" s="660">
        <f t="shared" si="24"/>
        <v>1.2085139856222726E-3</v>
      </c>
      <c r="M94" s="660">
        <f t="shared" si="24"/>
        <v>2.3912689476295323E-3</v>
      </c>
      <c r="N94" s="660">
        <f t="shared" si="24"/>
        <v>1.2140799960016491E-3</v>
      </c>
      <c r="O94" s="660">
        <f t="shared" si="24"/>
        <v>2.6243844950050166E-3</v>
      </c>
      <c r="P94" s="661">
        <f t="shared" si="24"/>
        <v>1.2443745454321364E-3</v>
      </c>
      <c r="R94" s="659">
        <v>2034</v>
      </c>
      <c r="S94">
        <v>13199.565000000001</v>
      </c>
      <c r="T94">
        <v>7281.1480000000001</v>
      </c>
      <c r="U94">
        <v>7534.1399000000001</v>
      </c>
      <c r="V94">
        <v>4485.4871000000003</v>
      </c>
      <c r="W94">
        <v>7695.0232999999998</v>
      </c>
      <c r="X94">
        <v>5018.6557000000003</v>
      </c>
      <c r="Z94" s="659">
        <v>2034</v>
      </c>
      <c r="AA94" s="662">
        <f t="shared" si="23"/>
        <v>98.527829553157488</v>
      </c>
      <c r="AB94" s="662">
        <f t="shared" si="23"/>
        <v>42.745389692367596</v>
      </c>
      <c r="AC94" s="662">
        <f t="shared" si="23"/>
        <v>37.635797596913257</v>
      </c>
      <c r="AD94" s="662">
        <f t="shared" si="23"/>
        <v>11.617081457149441</v>
      </c>
      <c r="AE94" s="662">
        <f t="shared" si="23"/>
        <v>23.2682268445866</v>
      </c>
      <c r="AF94" s="663">
        <f t="shared" si="23"/>
        <v>8.3348539052429409</v>
      </c>
      <c r="AX94" s="659">
        <v>2034</v>
      </c>
      <c r="AY94" s="662">
        <f t="shared" si="22"/>
        <v>0</v>
      </c>
      <c r="AZ94" s="662">
        <f t="shared" si="22"/>
        <v>0</v>
      </c>
      <c r="BA94" s="662">
        <f t="shared" si="22"/>
        <v>3107404620.2243819</v>
      </c>
      <c r="BB94" s="662">
        <f t="shared" si="22"/>
        <v>1594591775.1262286</v>
      </c>
      <c r="BC94" s="662">
        <f t="shared" si="22"/>
        <v>1934936871.6920626</v>
      </c>
      <c r="BD94" s="663">
        <f t="shared" si="22"/>
        <v>1195024511.3465633</v>
      </c>
      <c r="BF94" s="614"/>
      <c r="BG94" s="614"/>
      <c r="BH94" s="656">
        <f t="shared" si="13"/>
        <v>369925326.46895999</v>
      </c>
      <c r="BI94" s="656">
        <f t="shared" si="14"/>
        <v>88183581.232319981</v>
      </c>
      <c r="BJ94" s="614"/>
      <c r="BK94" s="614"/>
      <c r="BL94" s="659">
        <v>2034</v>
      </c>
      <c r="BM94" s="667">
        <f t="shared" si="16"/>
        <v>97934930282.907486</v>
      </c>
      <c r="BN94" s="667">
        <f t="shared" si="17"/>
        <v>42522513227.617592</v>
      </c>
      <c r="BO94" s="667">
        <f t="shared" si="18"/>
        <v>31621224832.38887</v>
      </c>
      <c r="BP94" s="667">
        <f t="shared" si="19"/>
        <v>9053433633.9232121</v>
      </c>
      <c r="BQ94" s="667">
        <f t="shared" si="20"/>
        <v>19025252550.225578</v>
      </c>
      <c r="BR94" s="668">
        <f t="shared" si="21"/>
        <v>6405608447.2640581</v>
      </c>
      <c r="BS94">
        <v>19</v>
      </c>
      <c r="BU94" s="659">
        <v>2034</v>
      </c>
      <c r="BV94" s="662">
        <f t="shared" si="11"/>
        <v>0.76744458842162266</v>
      </c>
      <c r="BW94" s="662">
        <f t="shared" si="11"/>
        <v>0.87756964792679903</v>
      </c>
      <c r="BX94" s="662">
        <f t="shared" si="11"/>
        <v>0.70308756326875455</v>
      </c>
      <c r="BY94" s="662">
        <f t="shared" si="11"/>
        <v>0.73237717256340917</v>
      </c>
      <c r="BZ94" s="662">
        <f t="shared" si="11"/>
        <v>0.67739577518062166</v>
      </c>
      <c r="CA94" s="663">
        <f t="shared" si="11"/>
        <v>0.72370406649269381</v>
      </c>
    </row>
    <row r="95" spans="2:79" x14ac:dyDescent="0.25">
      <c r="B95" s="675">
        <v>2035</v>
      </c>
      <c r="C95" s="648">
        <v>7450.6059999999998</v>
      </c>
      <c r="D95" s="648">
        <v>5863.6071000000002</v>
      </c>
      <c r="E95" s="648">
        <v>4983.3886000000002</v>
      </c>
      <c r="F95" s="648">
        <v>2586.7782999999999</v>
      </c>
      <c r="G95" s="648">
        <v>3015.8652999999999</v>
      </c>
      <c r="H95" s="648">
        <v>1658.7048</v>
      </c>
      <c r="I95" s="649"/>
      <c r="J95" s="675">
        <v>2035</v>
      </c>
      <c r="K95" s="676">
        <f t="shared" si="24"/>
        <v>1.8580675896116006E-3</v>
      </c>
      <c r="L95" s="676">
        <f t="shared" si="24"/>
        <v>1.2071145868161048E-3</v>
      </c>
      <c r="M95" s="676">
        <f t="shared" si="24"/>
        <v>2.3980017486201488E-3</v>
      </c>
      <c r="N95" s="676">
        <f t="shared" si="24"/>
        <v>1.2155171668197795E-3</v>
      </c>
      <c r="O95" s="676">
        <f t="shared" si="24"/>
        <v>2.6247419639249259E-3</v>
      </c>
      <c r="P95" s="677">
        <f t="shared" si="24"/>
        <v>1.2460453684793871E-3</v>
      </c>
      <c r="R95" s="675">
        <v>2035</v>
      </c>
      <c r="S95">
        <v>13169.454</v>
      </c>
      <c r="T95">
        <v>7251.5077000000001</v>
      </c>
      <c r="U95">
        <v>7497.0348000000004</v>
      </c>
      <c r="V95">
        <v>4477.3654999999999</v>
      </c>
      <c r="W95">
        <v>7640.9879000000001</v>
      </c>
      <c r="X95">
        <v>5009.7492000000002</v>
      </c>
      <c r="Z95" s="675">
        <v>2035</v>
      </c>
      <c r="AA95" s="678">
        <f t="shared" si="23"/>
        <v>98.120412989123992</v>
      </c>
      <c r="AB95" s="678">
        <f t="shared" si="23"/>
        <v>42.519992035424671</v>
      </c>
      <c r="AC95" s="678">
        <f t="shared" si="23"/>
        <v>37.360637756123282</v>
      </c>
      <c r="AD95" s="678">
        <f t="shared" si="23"/>
        <v>11.581951916568649</v>
      </c>
      <c r="AE95" s="678">
        <f t="shared" si="23"/>
        <v>23.04419026532987</v>
      </c>
      <c r="AF95" s="679">
        <f t="shared" si="23"/>
        <v>8.3096950448361593</v>
      </c>
      <c r="AX95" s="675">
        <v>2035</v>
      </c>
      <c r="AY95" s="678">
        <f t="shared" si="22"/>
        <v>0</v>
      </c>
      <c r="AZ95" s="678">
        <f t="shared" si="22"/>
        <v>0</v>
      </c>
      <c r="BA95" s="678">
        <f t="shared" si="22"/>
        <v>3099953058.5114136</v>
      </c>
      <c r="BB95" s="678">
        <f t="shared" si="22"/>
        <v>1592653521.4494929</v>
      </c>
      <c r="BC95" s="678">
        <f t="shared" si="22"/>
        <v>1929858161.6873868</v>
      </c>
      <c r="BD95" s="679">
        <f t="shared" si="22"/>
        <v>1193535456.5889807</v>
      </c>
      <c r="BF95" s="614"/>
      <c r="BG95" s="614"/>
      <c r="BH95" s="656">
        <f t="shared" si="13"/>
        <v>369925326.46895999</v>
      </c>
      <c r="BI95" s="656">
        <f t="shared" si="14"/>
        <v>88183581.232319981</v>
      </c>
      <c r="BJ95" s="614"/>
      <c r="BK95" s="614"/>
      <c r="BL95" s="675">
        <v>2035</v>
      </c>
      <c r="BM95" s="680">
        <f t="shared" si="16"/>
        <v>97496308494.123993</v>
      </c>
      <c r="BN95" s="680">
        <f t="shared" si="17"/>
        <v>42285385230.424675</v>
      </c>
      <c r="BO95" s="680">
        <f t="shared" si="18"/>
        <v>31200507703.61187</v>
      </c>
      <c r="BP95" s="680">
        <f t="shared" si="19"/>
        <v>8969239397.1191559</v>
      </c>
      <c r="BQ95" s="680">
        <f t="shared" si="20"/>
        <v>18704288781.173527</v>
      </c>
      <c r="BR95" s="681">
        <f t="shared" si="21"/>
        <v>6347936675.0148592</v>
      </c>
      <c r="BS95">
        <v>20</v>
      </c>
      <c r="BU95" s="675">
        <v>2035</v>
      </c>
      <c r="BV95" s="678">
        <f t="shared" si="11"/>
        <v>0.7640074295121988</v>
      </c>
      <c r="BW95" s="678">
        <f t="shared" si="11"/>
        <v>0.87267585597484498</v>
      </c>
      <c r="BX95" s="678">
        <f t="shared" si="11"/>
        <v>0.6937330558938769</v>
      </c>
      <c r="BY95" s="678">
        <f t="shared" si="11"/>
        <v>0.72556628295069447</v>
      </c>
      <c r="BZ95" s="678">
        <f t="shared" si="11"/>
        <v>0.66596783221019684</v>
      </c>
      <c r="CA95" s="679">
        <f t="shared" si="11"/>
        <v>0.71718832385213127</v>
      </c>
    </row>
    <row r="97" spans="1:21" s="614" customFormat="1" x14ac:dyDescent="0.25"/>
    <row r="98" spans="1:21" s="694" customFormat="1" ht="18.75" x14ac:dyDescent="0.3">
      <c r="A98" s="693" t="s">
        <v>660</v>
      </c>
    </row>
    <row r="99" spans="1:21" s="694" customFormat="1" ht="18.75" x14ac:dyDescent="0.3">
      <c r="A99" s="693" t="s">
        <v>621</v>
      </c>
    </row>
    <row r="100" spans="1:21" s="614" customFormat="1" ht="18.75" x14ac:dyDescent="0.3">
      <c r="B100" s="622"/>
    </row>
    <row r="101" spans="1:21" ht="42" customHeight="1" x14ac:dyDescent="0.3">
      <c r="B101" s="854" t="s">
        <v>622</v>
      </c>
      <c r="C101" s="854"/>
      <c r="D101" s="854"/>
      <c r="E101" s="854"/>
      <c r="F101" s="854"/>
      <c r="G101" s="854"/>
      <c r="H101" s="682"/>
      <c r="I101" s="854" t="s">
        <v>661</v>
      </c>
      <c r="J101" s="854"/>
      <c r="K101" s="854"/>
      <c r="L101" s="854"/>
      <c r="M101" s="854"/>
      <c r="N101" s="854"/>
      <c r="P101" s="854" t="s">
        <v>662</v>
      </c>
      <c r="Q101" s="854"/>
      <c r="R101" s="854"/>
      <c r="S101" s="854"/>
      <c r="T101" s="854"/>
      <c r="U101" s="854"/>
    </row>
    <row r="102" spans="1:21" ht="30" x14ac:dyDescent="0.25">
      <c r="C102" s="683" t="s">
        <v>249</v>
      </c>
      <c r="D102" s="683" t="s">
        <v>251</v>
      </c>
      <c r="E102" s="683" t="s">
        <v>252</v>
      </c>
      <c r="F102" s="683" t="s">
        <v>253</v>
      </c>
      <c r="G102" s="683" t="s">
        <v>254</v>
      </c>
      <c r="J102" s="683" t="s">
        <v>249</v>
      </c>
      <c r="K102" s="683" t="s">
        <v>251</v>
      </c>
      <c r="L102" s="683" t="s">
        <v>252</v>
      </c>
      <c r="M102" s="683" t="s">
        <v>253</v>
      </c>
      <c r="N102" s="683" t="s">
        <v>254</v>
      </c>
      <c r="Q102" s="683" t="s">
        <v>249</v>
      </c>
      <c r="R102" s="683" t="s">
        <v>251</v>
      </c>
      <c r="S102" s="683" t="s">
        <v>252</v>
      </c>
      <c r="T102" s="683" t="s">
        <v>253</v>
      </c>
      <c r="U102" s="683" t="s">
        <v>254</v>
      </c>
    </row>
    <row r="103" spans="1:21" ht="30.75" customHeight="1" x14ac:dyDescent="0.25">
      <c r="C103" s="877" t="s">
        <v>250</v>
      </c>
      <c r="D103" s="878"/>
      <c r="E103" s="878"/>
      <c r="F103" s="878"/>
      <c r="G103" s="878"/>
      <c r="J103" s="877" t="s">
        <v>250</v>
      </c>
      <c r="K103" s="878"/>
      <c r="L103" s="878"/>
      <c r="M103" s="878"/>
      <c r="N103" s="878"/>
      <c r="Q103" s="877" t="s">
        <v>250</v>
      </c>
      <c r="R103" s="878"/>
      <c r="S103" s="878"/>
      <c r="T103" s="878"/>
      <c r="U103" s="878"/>
    </row>
    <row r="104" spans="1:21" x14ac:dyDescent="0.25">
      <c r="B104">
        <v>2008</v>
      </c>
      <c r="C104" s="4">
        <v>0.96576452021905113</v>
      </c>
      <c r="D104" s="4">
        <v>0.9674745391394296</v>
      </c>
      <c r="E104" s="4">
        <v>0.97088468194988453</v>
      </c>
      <c r="F104" s="4">
        <v>0.99968864222027731</v>
      </c>
      <c r="G104" s="4">
        <v>0.97093369751503189</v>
      </c>
      <c r="I104">
        <v>2008</v>
      </c>
      <c r="J104" s="4">
        <v>0.96576452021905113</v>
      </c>
      <c r="K104" s="4">
        <v>0.9674745391394296</v>
      </c>
      <c r="L104" s="4">
        <v>0.97088468194988453</v>
      </c>
      <c r="M104" s="4">
        <v>0.99968864222027731</v>
      </c>
      <c r="N104" s="4">
        <v>0.97093369751503189</v>
      </c>
      <c r="P104">
        <v>2008</v>
      </c>
      <c r="Q104" s="684">
        <f>J104/C104-1</f>
        <v>0</v>
      </c>
      <c r="R104" s="684">
        <f t="shared" ref="R104:U119" si="25">K104/D104-1</f>
        <v>0</v>
      </c>
      <c r="S104" s="684">
        <f t="shared" si="25"/>
        <v>0</v>
      </c>
      <c r="T104" s="684">
        <f t="shared" si="25"/>
        <v>0</v>
      </c>
      <c r="U104" s="684">
        <f t="shared" si="25"/>
        <v>0</v>
      </c>
    </row>
    <row r="105" spans="1:21" x14ac:dyDescent="0.25">
      <c r="B105">
        <v>2009</v>
      </c>
      <c r="C105" s="4">
        <v>0.98309031805551816</v>
      </c>
      <c r="D105" s="4">
        <v>0.98382814520305617</v>
      </c>
      <c r="E105" s="4">
        <v>0.98557961462055155</v>
      </c>
      <c r="F105" s="4">
        <v>0.999984878647595</v>
      </c>
      <c r="G105" s="4">
        <v>0.9855259618516744</v>
      </c>
      <c r="I105">
        <v>2009</v>
      </c>
      <c r="J105" s="4">
        <v>0.98309031805551816</v>
      </c>
      <c r="K105" s="4">
        <v>0.98382814520305617</v>
      </c>
      <c r="L105" s="4">
        <v>0.98557961462055155</v>
      </c>
      <c r="M105" s="4">
        <v>0.999984878647595</v>
      </c>
      <c r="N105" s="4">
        <v>0.9855259618516744</v>
      </c>
      <c r="P105">
        <v>2009</v>
      </c>
      <c r="Q105" s="684">
        <f t="shared" ref="Q105:U131" si="26">J105/C105-1</f>
        <v>0</v>
      </c>
      <c r="R105" s="684">
        <f t="shared" si="25"/>
        <v>0</v>
      </c>
      <c r="S105" s="684">
        <f t="shared" si="25"/>
        <v>0</v>
      </c>
      <c r="T105" s="684">
        <f t="shared" si="25"/>
        <v>0</v>
      </c>
      <c r="U105" s="684">
        <f t="shared" si="25"/>
        <v>0</v>
      </c>
    </row>
    <row r="106" spans="1:21" x14ac:dyDescent="0.25">
      <c r="B106">
        <v>2010</v>
      </c>
      <c r="C106" s="4">
        <v>1</v>
      </c>
      <c r="D106" s="4">
        <v>1</v>
      </c>
      <c r="E106" s="4">
        <v>1</v>
      </c>
      <c r="F106" s="4">
        <v>1</v>
      </c>
      <c r="G106" s="4">
        <v>1</v>
      </c>
      <c r="I106">
        <v>2010</v>
      </c>
      <c r="J106" s="4">
        <v>1</v>
      </c>
      <c r="K106" s="4">
        <v>1</v>
      </c>
      <c r="L106" s="4">
        <v>1</v>
      </c>
      <c r="M106" s="4">
        <v>1</v>
      </c>
      <c r="N106" s="4">
        <v>1</v>
      </c>
      <c r="P106">
        <v>2010</v>
      </c>
      <c r="Q106" s="684">
        <f t="shared" si="26"/>
        <v>0</v>
      </c>
      <c r="R106" s="684">
        <f t="shared" si="25"/>
        <v>0</v>
      </c>
      <c r="S106" s="684">
        <f t="shared" si="25"/>
        <v>0</v>
      </c>
      <c r="T106" s="684">
        <f t="shared" si="25"/>
        <v>0</v>
      </c>
      <c r="U106" s="684">
        <f t="shared" si="25"/>
        <v>0</v>
      </c>
    </row>
    <row r="107" spans="1:21" x14ac:dyDescent="0.25">
      <c r="B107">
        <v>2011</v>
      </c>
      <c r="C107" s="4">
        <v>1.0165630311041571</v>
      </c>
      <c r="D107" s="4">
        <v>1.0159367805315991</v>
      </c>
      <c r="E107" s="4">
        <v>1.0141170528410144</v>
      </c>
      <c r="F107" s="4">
        <v>1.0000050742793305</v>
      </c>
      <c r="G107" s="4">
        <v>1.0141496480068586</v>
      </c>
      <c r="I107">
        <v>2011</v>
      </c>
      <c r="J107" s="4">
        <v>1.0165630311041571</v>
      </c>
      <c r="K107" s="4">
        <v>1.0159367805315991</v>
      </c>
      <c r="L107" s="4">
        <v>1.0141170528410144</v>
      </c>
      <c r="M107" s="4">
        <v>1.0000050742793305</v>
      </c>
      <c r="N107" s="4">
        <v>1.0141496480068586</v>
      </c>
      <c r="P107">
        <v>2011</v>
      </c>
      <c r="Q107" s="684">
        <f t="shared" si="26"/>
        <v>0</v>
      </c>
      <c r="R107" s="684">
        <f t="shared" si="25"/>
        <v>0</v>
      </c>
      <c r="S107" s="684">
        <f t="shared" si="25"/>
        <v>0</v>
      </c>
      <c r="T107" s="684">
        <f t="shared" si="25"/>
        <v>0</v>
      </c>
      <c r="U107" s="684">
        <f t="shared" si="25"/>
        <v>0</v>
      </c>
    </row>
    <row r="108" spans="1:21" x14ac:dyDescent="0.25">
      <c r="B108">
        <v>2012</v>
      </c>
      <c r="C108" s="4">
        <v>1.0324347837815966</v>
      </c>
      <c r="D108" s="4">
        <v>1.0312748100063223</v>
      </c>
      <c r="E108" s="4">
        <v>1.0279115829787844</v>
      </c>
      <c r="F108" s="4">
        <v>1.0000092351883818</v>
      </c>
      <c r="G108" s="4">
        <v>1.0279676997045808</v>
      </c>
      <c r="I108">
        <v>2012</v>
      </c>
      <c r="J108" s="4">
        <v>1.0323995454422834</v>
      </c>
      <c r="K108" s="4">
        <v>1.0312467544416666</v>
      </c>
      <c r="L108" s="4">
        <v>1.0279115829787844</v>
      </c>
      <c r="M108" s="4">
        <v>1.0000092351883818</v>
      </c>
      <c r="N108" s="4">
        <v>1.0279676997045808</v>
      </c>
      <c r="P108">
        <v>2012</v>
      </c>
      <c r="Q108" s="684">
        <f t="shared" si="26"/>
        <v>-3.4131298041084612E-5</v>
      </c>
      <c r="R108" s="684">
        <f t="shared" si="25"/>
        <v>-2.7204741532949051E-5</v>
      </c>
      <c r="S108" s="684">
        <f t="shared" si="25"/>
        <v>0</v>
      </c>
      <c r="T108" s="684">
        <f t="shared" si="25"/>
        <v>0</v>
      </c>
      <c r="U108" s="684">
        <f t="shared" si="25"/>
        <v>0</v>
      </c>
    </row>
    <row r="109" spans="1:21" x14ac:dyDescent="0.25">
      <c r="B109">
        <v>2013</v>
      </c>
      <c r="C109" s="4">
        <v>1.0480637459872131</v>
      </c>
      <c r="D109" s="4">
        <v>1.0463476185530578</v>
      </c>
      <c r="E109" s="4">
        <v>1.0413700293635109</v>
      </c>
      <c r="F109" s="4">
        <v>1.0000125842127399</v>
      </c>
      <c r="G109" s="4">
        <v>1.0414483000819363</v>
      </c>
      <c r="I109">
        <v>2013</v>
      </c>
      <c r="J109" s="4">
        <v>1.0478836763872776</v>
      </c>
      <c r="K109" s="4">
        <v>1.0462000218868255</v>
      </c>
      <c r="L109" s="4">
        <v>1.0413700293635109</v>
      </c>
      <c r="M109" s="4">
        <v>1.0000125842127399</v>
      </c>
      <c r="N109" s="4">
        <v>1.0414483000819363</v>
      </c>
      <c r="P109">
        <v>2013</v>
      </c>
      <c r="Q109" s="684">
        <f t="shared" si="26"/>
        <v>-1.7181168666968727E-4</v>
      </c>
      <c r="R109" s="684">
        <f t="shared" si="25"/>
        <v>-1.4105892116089702E-4</v>
      </c>
      <c r="S109" s="684">
        <f t="shared" si="25"/>
        <v>0</v>
      </c>
      <c r="T109" s="684">
        <f t="shared" si="25"/>
        <v>0</v>
      </c>
      <c r="U109" s="684">
        <f t="shared" si="25"/>
        <v>0</v>
      </c>
    </row>
    <row r="110" spans="1:21" x14ac:dyDescent="0.25">
      <c r="B110">
        <v>2014</v>
      </c>
      <c r="C110" s="4">
        <v>1.0637159756130459</v>
      </c>
      <c r="D110" s="4">
        <v>1.061340791118131</v>
      </c>
      <c r="E110" s="4">
        <v>1.0544757605190249</v>
      </c>
      <c r="F110" s="4">
        <v>1.0000212104876018</v>
      </c>
      <c r="G110" s="4">
        <v>1.0545863823022827</v>
      </c>
      <c r="I110">
        <v>2014</v>
      </c>
      <c r="J110" s="4">
        <v>1.063185545873911</v>
      </c>
      <c r="K110" s="4">
        <v>1.0609255339095935</v>
      </c>
      <c r="L110" s="4">
        <v>1.0544757605190249</v>
      </c>
      <c r="M110" s="4">
        <v>1.0000212104876018</v>
      </c>
      <c r="N110" s="4">
        <v>1.0545863823022827</v>
      </c>
      <c r="P110">
        <v>2014</v>
      </c>
      <c r="Q110" s="684">
        <f t="shared" si="26"/>
        <v>-4.9865730260290064E-4</v>
      </c>
      <c r="R110" s="684">
        <f t="shared" si="25"/>
        <v>-3.9125718337829074E-4</v>
      </c>
      <c r="S110" s="684">
        <f t="shared" si="25"/>
        <v>0</v>
      </c>
      <c r="T110" s="684">
        <f t="shared" si="25"/>
        <v>0</v>
      </c>
      <c r="U110" s="684">
        <f t="shared" si="25"/>
        <v>0</v>
      </c>
    </row>
    <row r="111" spans="1:21" x14ac:dyDescent="0.25">
      <c r="B111">
        <v>2015</v>
      </c>
      <c r="C111" s="4">
        <v>1.0794479551646929</v>
      </c>
      <c r="D111" s="4">
        <v>1.0762013532192105</v>
      </c>
      <c r="E111" s="4">
        <v>1.067224426674636</v>
      </c>
      <c r="F111" s="4">
        <v>1.000039680864365</v>
      </c>
      <c r="G111" s="4">
        <v>1.0673784558781554</v>
      </c>
      <c r="I111">
        <v>2015</v>
      </c>
      <c r="J111" s="4">
        <v>1.0779236019315332</v>
      </c>
      <c r="K111" s="4">
        <v>1.0750794791493135</v>
      </c>
      <c r="L111" s="4">
        <v>1.0672269853632776</v>
      </c>
      <c r="M111" s="4">
        <v>1.0000390719508454</v>
      </c>
      <c r="N111" s="4">
        <v>1.0673784558781554</v>
      </c>
      <c r="P111">
        <v>2015</v>
      </c>
      <c r="Q111" s="684">
        <f t="shared" si="26"/>
        <v>-1.4121600081470342E-3</v>
      </c>
      <c r="R111" s="684">
        <f t="shared" si="25"/>
        <v>-1.0424388210823476E-3</v>
      </c>
      <c r="S111" s="684">
        <f t="shared" si="25"/>
        <v>2.397516939867117E-6</v>
      </c>
      <c r="T111" s="684">
        <f t="shared" si="25"/>
        <v>-6.0888935837777325E-7</v>
      </c>
      <c r="U111" s="684">
        <f t="shared" si="25"/>
        <v>0</v>
      </c>
    </row>
    <row r="112" spans="1:21" x14ac:dyDescent="0.25">
      <c r="B112">
        <v>2016</v>
      </c>
      <c r="C112" s="4">
        <v>1.095760777199277</v>
      </c>
      <c r="D112" s="4">
        <v>1.0917200884116229</v>
      </c>
      <c r="E112" s="4">
        <v>1.0796143646827279</v>
      </c>
      <c r="F112" s="4">
        <v>1.0000619062078329</v>
      </c>
      <c r="G112" s="4">
        <v>1.079821593303939</v>
      </c>
      <c r="I112">
        <v>2016</v>
      </c>
      <c r="J112" s="4">
        <v>1.0934153200787722</v>
      </c>
      <c r="K112" s="4">
        <v>1.0900177603922343</v>
      </c>
      <c r="L112" s="4">
        <v>1.0796157719614805</v>
      </c>
      <c r="M112" s="4">
        <v>1.000089002859458</v>
      </c>
      <c r="N112" s="4">
        <v>1.079821593303939</v>
      </c>
      <c r="P112">
        <v>2016</v>
      </c>
      <c r="Q112" s="684">
        <f t="shared" si="26"/>
        <v>-2.1404828218981597E-3</v>
      </c>
      <c r="R112" s="684">
        <f t="shared" si="25"/>
        <v>-1.5593081390170571E-3</v>
      </c>
      <c r="S112" s="684">
        <f t="shared" si="25"/>
        <v>1.3035013228801517E-6</v>
      </c>
      <c r="T112" s="684">
        <f t="shared" si="25"/>
        <v>2.7094974277996897E-5</v>
      </c>
      <c r="U112" s="684">
        <f t="shared" si="25"/>
        <v>0</v>
      </c>
    </row>
    <row r="113" spans="2:21" x14ac:dyDescent="0.25">
      <c r="B113">
        <v>2017</v>
      </c>
      <c r="C113" s="4">
        <v>1.1105848215490033</v>
      </c>
      <c r="D113" s="4">
        <v>1.1059013921833363</v>
      </c>
      <c r="E113" s="4">
        <v>1.0917050640542116</v>
      </c>
      <c r="F113" s="4">
        <v>1.0000817973828087</v>
      </c>
      <c r="G113" s="4">
        <v>1.091919172470728</v>
      </c>
      <c r="I113">
        <v>2017</v>
      </c>
      <c r="J113" s="4">
        <v>1.1088626952440044</v>
      </c>
      <c r="K113" s="4">
        <v>1.1049436693054002</v>
      </c>
      <c r="L113" s="4">
        <v>1.0916499243139899</v>
      </c>
      <c r="M113" s="4">
        <v>1.0001615650538849</v>
      </c>
      <c r="N113" s="4">
        <v>1.091919172470728</v>
      </c>
      <c r="P113">
        <v>2017</v>
      </c>
      <c r="Q113" s="684">
        <f t="shared" si="26"/>
        <v>-1.5506481554438123E-3</v>
      </c>
      <c r="R113" s="684">
        <f t="shared" si="25"/>
        <v>-8.6601109710626734E-4</v>
      </c>
      <c r="S113" s="684">
        <f t="shared" si="25"/>
        <v>-5.0507909175601107E-5</v>
      </c>
      <c r="T113" s="684">
        <f t="shared" si="25"/>
        <v>7.9761146823065232E-5</v>
      </c>
      <c r="U113" s="684">
        <f t="shared" si="25"/>
        <v>0</v>
      </c>
    </row>
    <row r="114" spans="2:21" x14ac:dyDescent="0.25">
      <c r="B114">
        <v>2018</v>
      </c>
      <c r="C114" s="4">
        <v>1.1251529242763496</v>
      </c>
      <c r="D114" s="4">
        <v>1.119975701441394</v>
      </c>
      <c r="E114" s="4">
        <v>1.1034429202620508</v>
      </c>
      <c r="F114" s="4">
        <v>1.0001042256974495</v>
      </c>
      <c r="G114" s="4">
        <v>1.103665901349141</v>
      </c>
      <c r="I114">
        <v>2018</v>
      </c>
      <c r="J114" s="4">
        <v>1.124117018263239</v>
      </c>
      <c r="K114" s="4">
        <v>1.1197664173845523</v>
      </c>
      <c r="L114" s="4">
        <v>1.1033241971090912</v>
      </c>
      <c r="M114" s="4">
        <v>1.0002472188889846</v>
      </c>
      <c r="N114" s="4">
        <v>1.103665901349141</v>
      </c>
      <c r="P114">
        <v>2018</v>
      </c>
      <c r="Q114" s="684">
        <f t="shared" si="26"/>
        <v>-9.2068019445168403E-4</v>
      </c>
      <c r="R114" s="684">
        <f t="shared" si="25"/>
        <v>-1.8686481909602204E-4</v>
      </c>
      <c r="S114" s="684">
        <f t="shared" si="25"/>
        <v>-1.0759337957544357E-4</v>
      </c>
      <c r="T114" s="684">
        <f t="shared" si="25"/>
        <v>1.4297828952325453E-4</v>
      </c>
      <c r="U114" s="684">
        <f t="shared" si="25"/>
        <v>0</v>
      </c>
    </row>
    <row r="115" spans="2:21" x14ac:dyDescent="0.25">
      <c r="B115">
        <v>2019</v>
      </c>
      <c r="C115" s="4">
        <v>1.1384976327928997</v>
      </c>
      <c r="D115" s="4">
        <v>1.133442372476132</v>
      </c>
      <c r="E115" s="4">
        <v>1.1148298523227265</v>
      </c>
      <c r="F115" s="4">
        <v>1.0001231020165593</v>
      </c>
      <c r="G115" s="4">
        <v>1.1150621177282873</v>
      </c>
      <c r="I115">
        <v>2019</v>
      </c>
      <c r="J115" s="4">
        <v>1.1366148264048128</v>
      </c>
      <c r="K115" s="4">
        <v>1.1323527361668642</v>
      </c>
      <c r="L115" s="4">
        <v>1.1147225153342211</v>
      </c>
      <c r="M115" s="4">
        <v>1.0002485382016106</v>
      </c>
      <c r="N115" s="4">
        <v>1.1150621177282873</v>
      </c>
      <c r="P115">
        <v>2019</v>
      </c>
      <c r="Q115" s="684">
        <f t="shared" si="26"/>
        <v>-1.65376399024042E-3</v>
      </c>
      <c r="R115" s="684">
        <f t="shared" si="25"/>
        <v>-9.6135130971630733E-4</v>
      </c>
      <c r="S115" s="684">
        <f t="shared" si="25"/>
        <v>-9.6281049777879879E-5</v>
      </c>
      <c r="T115" s="684">
        <f t="shared" si="25"/>
        <v>1.254207455045897E-4</v>
      </c>
      <c r="U115" s="684">
        <f t="shared" si="25"/>
        <v>0</v>
      </c>
    </row>
    <row r="116" spans="2:21" x14ac:dyDescent="0.25">
      <c r="B116">
        <v>2020</v>
      </c>
      <c r="C116" s="4">
        <v>1.1511028419973564</v>
      </c>
      <c r="D116" s="4">
        <v>1.1467877598276379</v>
      </c>
      <c r="E116" s="4">
        <v>1.1258726407611384</v>
      </c>
      <c r="F116" s="4">
        <v>1.0001407605086297</v>
      </c>
      <c r="G116" s="4">
        <v>1.1261089475718651</v>
      </c>
      <c r="I116">
        <v>2020</v>
      </c>
      <c r="J116" s="4">
        <v>1.1486076640858938</v>
      </c>
      <c r="K116" s="4">
        <v>1.1446736597630229</v>
      </c>
      <c r="L116" s="4">
        <v>1.125797031511786</v>
      </c>
      <c r="M116" s="4">
        <v>1.0002569615052992</v>
      </c>
      <c r="N116" s="4">
        <v>1.1261090601682349</v>
      </c>
      <c r="P116">
        <v>2020</v>
      </c>
      <c r="Q116" s="684">
        <f t="shared" si="26"/>
        <v>-2.1676411702129528E-3</v>
      </c>
      <c r="R116" s="684">
        <f t="shared" si="25"/>
        <v>-1.8434972352100454E-3</v>
      </c>
      <c r="S116" s="684">
        <f t="shared" si="25"/>
        <v>-6.7156129934242692E-5</v>
      </c>
      <c r="T116" s="684">
        <f t="shared" si="25"/>
        <v>1.1618464246021531E-4</v>
      </c>
      <c r="U116" s="684">
        <f t="shared" si="25"/>
        <v>9.9987101709331228E-8</v>
      </c>
    </row>
    <row r="117" spans="2:21" x14ac:dyDescent="0.25">
      <c r="B117">
        <v>2021</v>
      </c>
      <c r="C117" s="4">
        <v>1.1636441500984651</v>
      </c>
      <c r="D117" s="4">
        <v>1.1599822396077657</v>
      </c>
      <c r="E117" s="4">
        <v>1.1365946975783547</v>
      </c>
      <c r="F117" s="4">
        <v>1.0001718150981325</v>
      </c>
      <c r="G117" s="4">
        <v>1.1368086428072706</v>
      </c>
      <c r="I117">
        <v>2021</v>
      </c>
      <c r="J117" s="4">
        <v>1.1602993741401171</v>
      </c>
      <c r="K117" s="4">
        <v>1.1569240088021286</v>
      </c>
      <c r="L117" s="4">
        <v>1.1365286834114074</v>
      </c>
      <c r="M117" s="4">
        <v>1.0002797957622866</v>
      </c>
      <c r="N117" s="4">
        <v>1.1368086428072706</v>
      </c>
      <c r="P117">
        <v>2021</v>
      </c>
      <c r="Q117" s="684">
        <f t="shared" si="26"/>
        <v>-2.8743976052000297E-3</v>
      </c>
      <c r="R117" s="684">
        <f t="shared" si="25"/>
        <v>-2.6364462327208571E-3</v>
      </c>
      <c r="S117" s="684">
        <f t="shared" si="25"/>
        <v>-5.8080657148851245E-5</v>
      </c>
      <c r="T117" s="684">
        <f t="shared" si="25"/>
        <v>1.0796211463293126E-4</v>
      </c>
      <c r="U117" s="684">
        <f t="shared" si="25"/>
        <v>0</v>
      </c>
    </row>
    <row r="118" spans="2:21" x14ac:dyDescent="0.25">
      <c r="B118">
        <v>2022</v>
      </c>
      <c r="C118" s="4">
        <v>1.1755101971998168</v>
      </c>
      <c r="D118" s="4">
        <v>1.1730141365194233</v>
      </c>
      <c r="E118" s="4">
        <v>1.1469520133297444</v>
      </c>
      <c r="F118" s="4">
        <v>1.0002057112840606</v>
      </c>
      <c r="G118" s="4">
        <v>1.1471605278562855</v>
      </c>
      <c r="I118">
        <v>2022</v>
      </c>
      <c r="J118" s="4">
        <v>1.1716354973158165</v>
      </c>
      <c r="K118" s="4">
        <v>1.1691274823946978</v>
      </c>
      <c r="L118" s="4">
        <v>1.1468920120811044</v>
      </c>
      <c r="M118" s="4">
        <v>1.000306587957152</v>
      </c>
      <c r="N118" s="4">
        <v>1.1471605278562855</v>
      </c>
      <c r="P118">
        <v>2022</v>
      </c>
      <c r="Q118" s="684">
        <f t="shared" si="26"/>
        <v>-3.2961856845055149E-3</v>
      </c>
      <c r="R118" s="684">
        <f t="shared" si="25"/>
        <v>-3.3133906947260261E-3</v>
      </c>
      <c r="S118" s="684">
        <f t="shared" si="25"/>
        <v>-5.2313652134317046E-5</v>
      </c>
      <c r="T118" s="684">
        <f t="shared" si="25"/>
        <v>1.00855925889487E-4</v>
      </c>
      <c r="U118" s="684">
        <f t="shared" si="25"/>
        <v>0</v>
      </c>
    </row>
    <row r="119" spans="2:21" x14ac:dyDescent="0.25">
      <c r="B119">
        <v>2023</v>
      </c>
      <c r="C119" s="4">
        <v>1.185089461544687</v>
      </c>
      <c r="D119" s="4">
        <v>1.1849853239772965</v>
      </c>
      <c r="E119" s="4">
        <v>1.1569660809998947</v>
      </c>
      <c r="F119" s="4">
        <v>1.0002464070042918</v>
      </c>
      <c r="G119" s="4">
        <v>1.1571711333083594</v>
      </c>
      <c r="I119">
        <v>2023</v>
      </c>
      <c r="J119" s="4">
        <v>1.1827689578893417</v>
      </c>
      <c r="K119" s="4">
        <v>1.181212286176518</v>
      </c>
      <c r="L119" s="4">
        <v>1.1569091501776243</v>
      </c>
      <c r="M119" s="4">
        <v>1.0003402811719069</v>
      </c>
      <c r="N119" s="4">
        <v>1.1571711333083594</v>
      </c>
      <c r="P119">
        <v>2023</v>
      </c>
      <c r="Q119" s="684">
        <f t="shared" si="26"/>
        <v>-1.9580831073467975E-3</v>
      </c>
      <c r="R119" s="684">
        <f t="shared" si="25"/>
        <v>-3.1840375778787733E-3</v>
      </c>
      <c r="S119" s="684">
        <f t="shared" si="25"/>
        <v>-4.9206993364303564E-5</v>
      </c>
      <c r="T119" s="684">
        <f t="shared" si="25"/>
        <v>9.3851042060943968E-5</v>
      </c>
      <c r="U119" s="684">
        <f t="shared" si="25"/>
        <v>0</v>
      </c>
    </row>
    <row r="120" spans="2:21" x14ac:dyDescent="0.25">
      <c r="B120">
        <v>2024</v>
      </c>
      <c r="C120" s="4">
        <v>1.1932124888721034</v>
      </c>
      <c r="D120" s="4">
        <v>1.1965067511098504</v>
      </c>
      <c r="E120" s="4">
        <v>1.1666371564576696</v>
      </c>
      <c r="F120" s="4">
        <v>1.0002887264939084</v>
      </c>
      <c r="G120" s="4">
        <v>1.1668445126328062</v>
      </c>
      <c r="I120">
        <v>2024</v>
      </c>
      <c r="J120" s="4">
        <v>1.1926904893576844</v>
      </c>
      <c r="K120" s="4">
        <v>1.1925272173828796</v>
      </c>
      <c r="L120" s="4">
        <v>1.1665836798650651</v>
      </c>
      <c r="M120" s="4">
        <v>1.0003762070695672</v>
      </c>
      <c r="N120" s="4">
        <v>1.1668445126328062</v>
      </c>
      <c r="P120">
        <v>2024</v>
      </c>
      <c r="Q120" s="684">
        <f t="shared" si="26"/>
        <v>-4.3747406206950945E-4</v>
      </c>
      <c r="R120" s="684">
        <f t="shared" si="26"/>
        <v>-3.325960111198234E-3</v>
      </c>
      <c r="S120" s="684">
        <f t="shared" si="26"/>
        <v>-4.5838238829087885E-5</v>
      </c>
      <c r="T120" s="684">
        <f t="shared" si="26"/>
        <v>8.745532498943831E-5</v>
      </c>
      <c r="U120" s="684">
        <f t="shared" si="26"/>
        <v>0</v>
      </c>
    </row>
    <row r="121" spans="2:21" x14ac:dyDescent="0.25">
      <c r="B121">
        <v>2025</v>
      </c>
      <c r="C121" s="4">
        <v>1.2020401143812889</v>
      </c>
      <c r="D121" s="4">
        <v>1.2073037870481573</v>
      </c>
      <c r="E121" s="4">
        <v>1.1759716364246728</v>
      </c>
      <c r="F121" s="4">
        <v>1.000335308378163</v>
      </c>
      <c r="G121" s="4">
        <v>1.1761853948771579</v>
      </c>
      <c r="I121">
        <v>2025</v>
      </c>
      <c r="J121" s="4">
        <v>1.2032719388168012</v>
      </c>
      <c r="K121" s="4">
        <v>1.2035246502115844</v>
      </c>
      <c r="L121" s="4">
        <v>1.1759211023240057</v>
      </c>
      <c r="M121" s="4">
        <v>1.0004154819915856</v>
      </c>
      <c r="N121" s="4">
        <v>1.1761852822807881</v>
      </c>
      <c r="P121">
        <v>2025</v>
      </c>
      <c r="Q121" s="684">
        <f t="shared" si="26"/>
        <v>1.0247781424053137E-3</v>
      </c>
      <c r="R121" s="684">
        <f t="shared" si="26"/>
        <v>-3.1302285945883357E-3</v>
      </c>
      <c r="S121" s="684">
        <f t="shared" si="26"/>
        <v>-4.2972210470004768E-5</v>
      </c>
      <c r="T121" s="684">
        <f t="shared" si="26"/>
        <v>8.0146739549258328E-5</v>
      </c>
      <c r="U121" s="684">
        <f t="shared" si="26"/>
        <v>-9.5730120719395018E-8</v>
      </c>
    </row>
    <row r="122" spans="2:21" x14ac:dyDescent="0.25">
      <c r="B122">
        <v>2026</v>
      </c>
      <c r="C122" s="4">
        <v>1.2110508443713075</v>
      </c>
      <c r="D122" s="4">
        <v>1.2173807882463565</v>
      </c>
      <c r="E122" s="4">
        <v>1.1849751500159151</v>
      </c>
      <c r="F122" s="4">
        <v>1.0003881823687872</v>
      </c>
      <c r="G122" s="4">
        <v>1.1851988468780574</v>
      </c>
      <c r="I122">
        <v>2026</v>
      </c>
      <c r="J122" s="4">
        <v>1.2140049637163128</v>
      </c>
      <c r="K122" s="4">
        <v>1.2141530042456259</v>
      </c>
      <c r="L122" s="4">
        <v>1.1849284539482101</v>
      </c>
      <c r="M122" s="4">
        <v>1.0004536405721514</v>
      </c>
      <c r="N122" s="4">
        <v>1.1851987342816874</v>
      </c>
      <c r="P122">
        <v>2026</v>
      </c>
      <c r="Q122" s="684">
        <f t="shared" si="26"/>
        <v>2.4393024939748376E-3</v>
      </c>
      <c r="R122" s="684">
        <f t="shared" si="26"/>
        <v>-2.65141690413917E-3</v>
      </c>
      <c r="S122" s="684">
        <f t="shared" si="26"/>
        <v>-3.9406790686147275E-5</v>
      </c>
      <c r="T122" s="684">
        <f t="shared" si="26"/>
        <v>6.5432803503462367E-5</v>
      </c>
      <c r="U122" s="684">
        <f t="shared" si="26"/>
        <v>-9.5002092082019374E-8</v>
      </c>
    </row>
    <row r="123" spans="2:21" x14ac:dyDescent="0.25">
      <c r="B123">
        <v>2027</v>
      </c>
      <c r="C123" s="4">
        <v>1.2191060926920068</v>
      </c>
      <c r="D123" s="4">
        <v>1.2267813192458388</v>
      </c>
      <c r="E123" s="4">
        <v>1.1936526866742472</v>
      </c>
      <c r="F123" s="4">
        <v>1.0004316181998569</v>
      </c>
      <c r="G123" s="4">
        <v>1.1938906110503655</v>
      </c>
      <c r="I123">
        <v>2027</v>
      </c>
      <c r="J123" s="4">
        <v>1.2246885874989883</v>
      </c>
      <c r="K123" s="4">
        <v>1.224346584156587</v>
      </c>
      <c r="L123" s="4">
        <v>1.1936158415578115</v>
      </c>
      <c r="M123" s="4">
        <v>1.0004802297958435</v>
      </c>
      <c r="N123" s="4">
        <v>1.1938906110503655</v>
      </c>
      <c r="P123">
        <v>2027</v>
      </c>
      <c r="Q123" s="684">
        <f t="shared" si="26"/>
        <v>4.5791706238251795E-3</v>
      </c>
      <c r="R123" s="684">
        <f t="shared" si="26"/>
        <v>-1.9846528888689541E-3</v>
      </c>
      <c r="S123" s="684">
        <f t="shared" si="26"/>
        <v>-3.0867535294798465E-5</v>
      </c>
      <c r="T123" s="684">
        <f t="shared" si="26"/>
        <v>4.8590623389133114E-5</v>
      </c>
      <c r="U123" s="684">
        <f t="shared" si="26"/>
        <v>0</v>
      </c>
    </row>
    <row r="124" spans="2:21" x14ac:dyDescent="0.25">
      <c r="B124">
        <v>2028</v>
      </c>
      <c r="C124" s="4">
        <v>1.2265774636488711</v>
      </c>
      <c r="D124" s="4">
        <v>1.2358359477866774</v>
      </c>
      <c r="E124" s="4">
        <v>1.2020217734168626</v>
      </c>
      <c r="F124" s="4">
        <v>1.0004624698181865</v>
      </c>
      <c r="G124" s="4">
        <v>1.2022667675980527</v>
      </c>
      <c r="I124">
        <v>2028</v>
      </c>
      <c r="J124" s="4">
        <v>1.2350446127491976</v>
      </c>
      <c r="K124" s="4">
        <v>1.2341749189525273</v>
      </c>
      <c r="L124" s="4">
        <v>1.2019931161040793</v>
      </c>
      <c r="M124" s="4">
        <v>1.0005071234762954</v>
      </c>
      <c r="N124" s="4">
        <v>1.2022668801944223</v>
      </c>
      <c r="P124">
        <v>2028</v>
      </c>
      <c r="Q124" s="684">
        <f t="shared" si="26"/>
        <v>6.9030691915195064E-3</v>
      </c>
      <c r="R124" s="684">
        <f t="shared" si="26"/>
        <v>-1.3440528551745823E-3</v>
      </c>
      <c r="S124" s="684">
        <f t="shared" si="26"/>
        <v>-2.3840926526408346E-5</v>
      </c>
      <c r="T124" s="684">
        <f t="shared" si="26"/>
        <v>4.4633016685891036E-5</v>
      </c>
      <c r="U124" s="684">
        <f t="shared" si="26"/>
        <v>9.3653399257931369E-8</v>
      </c>
    </row>
    <row r="125" spans="2:21" x14ac:dyDescent="0.25">
      <c r="B125">
        <v>2029</v>
      </c>
      <c r="C125" s="4">
        <v>1.2347362351290836</v>
      </c>
      <c r="D125" s="4">
        <v>1.2445079053959391</v>
      </c>
      <c r="E125" s="4">
        <v>1.2100799794895518</v>
      </c>
      <c r="F125" s="4">
        <v>1.0004936258932762</v>
      </c>
      <c r="G125" s="4">
        <v>1.2103339597069387</v>
      </c>
      <c r="I125">
        <v>2029</v>
      </c>
      <c r="J125" s="4">
        <v>1.2466400496371632</v>
      </c>
      <c r="K125" s="4">
        <v>1.2436001946115194</v>
      </c>
      <c r="L125" s="4">
        <v>1.2100551602097307</v>
      </c>
      <c r="M125" s="4">
        <v>1.0005352349837868</v>
      </c>
      <c r="N125" s="4">
        <v>1.2103339597069387</v>
      </c>
      <c r="P125">
        <v>2029</v>
      </c>
      <c r="Q125" s="684">
        <f t="shared" si="26"/>
        <v>9.6407752274598746E-3</v>
      </c>
      <c r="R125" s="684">
        <f t="shared" si="26"/>
        <v>-7.2937325707944645E-4</v>
      </c>
      <c r="S125" s="684">
        <f t="shared" si="26"/>
        <v>-2.0510445790211662E-5</v>
      </c>
      <c r="T125" s="684">
        <f t="shared" si="26"/>
        <v>4.1588561319860773E-5</v>
      </c>
      <c r="U125" s="684">
        <f t="shared" si="26"/>
        <v>0</v>
      </c>
    </row>
    <row r="126" spans="2:21" x14ac:dyDescent="0.25">
      <c r="B126">
        <v>2030</v>
      </c>
      <c r="C126" s="4">
        <v>1.24235867571286</v>
      </c>
      <c r="D126" s="4">
        <v>1.2527714018651199</v>
      </c>
      <c r="E126" s="4">
        <v>1.2178321664007337</v>
      </c>
      <c r="F126" s="4">
        <v>1.000532291901775</v>
      </c>
      <c r="G126" s="4">
        <v>1.2180988305628433</v>
      </c>
      <c r="I126">
        <v>2030</v>
      </c>
      <c r="J126" s="4">
        <v>1.2581361784779737</v>
      </c>
      <c r="K126" s="4">
        <v>1.2528092158870474</v>
      </c>
      <c r="L126" s="4">
        <v>1.2178097778751216</v>
      </c>
      <c r="M126" s="4">
        <v>1.0005711608814472</v>
      </c>
      <c r="N126" s="4">
        <v>1.2180988305628433</v>
      </c>
      <c r="P126">
        <v>2030</v>
      </c>
      <c r="Q126" s="684">
        <f t="shared" si="26"/>
        <v>1.269963584072098E-2</v>
      </c>
      <c r="R126" s="684">
        <f t="shared" si="26"/>
        <v>3.0184295292112751E-5</v>
      </c>
      <c r="S126" s="684">
        <f t="shared" si="26"/>
        <v>-1.8383917119058069E-5</v>
      </c>
      <c r="T126" s="684">
        <f t="shared" si="26"/>
        <v>3.884830103606518E-5</v>
      </c>
      <c r="U126" s="684">
        <f t="shared" si="26"/>
        <v>0</v>
      </c>
    </row>
    <row r="127" spans="2:21" x14ac:dyDescent="0.25">
      <c r="B127">
        <v>2031</v>
      </c>
      <c r="C127" s="4">
        <v>1.2492972564676685</v>
      </c>
      <c r="D127" s="4">
        <v>1.2607649724358434</v>
      </c>
      <c r="E127" s="4">
        <v>1.2252838353309869</v>
      </c>
      <c r="F127" s="4">
        <v>1.000573292078766</v>
      </c>
      <c r="G127" s="4">
        <v>1.225568361140696</v>
      </c>
      <c r="I127">
        <v>2031</v>
      </c>
      <c r="J127" s="4">
        <v>1.268943557959481</v>
      </c>
      <c r="K127" s="4">
        <v>1.2614968567312095</v>
      </c>
      <c r="L127" s="4">
        <v>1.2252683552647066</v>
      </c>
      <c r="M127" s="4">
        <v>1.0006092179764261</v>
      </c>
      <c r="N127" s="4">
        <v>1.225568361140696</v>
      </c>
      <c r="P127">
        <v>2031</v>
      </c>
      <c r="Q127" s="684">
        <f t="shared" si="26"/>
        <v>1.5725882203056596E-2</v>
      </c>
      <c r="R127" s="684">
        <f t="shared" si="26"/>
        <v>5.8050811322285512E-4</v>
      </c>
      <c r="S127" s="684">
        <f t="shared" si="26"/>
        <v>-1.2633861505406685E-5</v>
      </c>
      <c r="T127" s="684">
        <f t="shared" si="26"/>
        <v>3.5905313428230556E-5</v>
      </c>
      <c r="U127" s="684">
        <f t="shared" si="26"/>
        <v>0</v>
      </c>
    </row>
    <row r="128" spans="2:21" x14ac:dyDescent="0.25">
      <c r="B128">
        <v>2032</v>
      </c>
      <c r="C128" s="4">
        <v>1.2557006865575009</v>
      </c>
      <c r="D128" s="4">
        <v>1.2684457495993806</v>
      </c>
      <c r="E128" s="4">
        <v>1.2324503384121597</v>
      </c>
      <c r="F128" s="4">
        <v>1.000622309617099</v>
      </c>
      <c r="G128" s="4">
        <v>1.2327499828009045</v>
      </c>
      <c r="I128">
        <v>2032</v>
      </c>
      <c r="J128" s="4">
        <v>1.2778959507944645</v>
      </c>
      <c r="K128" s="4">
        <v>1.2698277911104636</v>
      </c>
      <c r="L128" s="4">
        <v>1.232437672903385</v>
      </c>
      <c r="M128" s="4">
        <v>1.000653364206602</v>
      </c>
      <c r="N128" s="4">
        <v>1.2327499828009045</v>
      </c>
      <c r="P128">
        <v>2032</v>
      </c>
      <c r="Q128" s="684">
        <f t="shared" si="26"/>
        <v>1.7675600941026604E-2</v>
      </c>
      <c r="R128" s="684">
        <f t="shared" si="26"/>
        <v>1.0895550807115129E-3</v>
      </c>
      <c r="S128" s="684">
        <f t="shared" si="26"/>
        <v>-1.0276688950372481E-5</v>
      </c>
      <c r="T128" s="684">
        <f t="shared" si="26"/>
        <v>3.1035275952273622E-5</v>
      </c>
      <c r="U128" s="684">
        <f t="shared" si="26"/>
        <v>0</v>
      </c>
    </row>
    <row r="129" spans="1:37" x14ac:dyDescent="0.25">
      <c r="B129">
        <v>2033</v>
      </c>
      <c r="C129" s="4">
        <v>1.2623659594270147</v>
      </c>
      <c r="D129" s="4">
        <v>1.2756476653239495</v>
      </c>
      <c r="E129" s="4">
        <v>1.2393219526274151</v>
      </c>
      <c r="F129" s="4">
        <v>1.0006796489735343</v>
      </c>
      <c r="G129" s="4">
        <v>1.2396510143075081</v>
      </c>
      <c r="I129">
        <v>2033</v>
      </c>
      <c r="J129" s="4">
        <v>1.2868051808789016</v>
      </c>
      <c r="K129" s="4">
        <v>1.2778333854946111</v>
      </c>
      <c r="L129" s="4">
        <v>1.239314404495923</v>
      </c>
      <c r="M129" s="4">
        <v>1.0006977134079511</v>
      </c>
      <c r="N129" s="4">
        <v>1.2396511269038781</v>
      </c>
      <c r="P129">
        <v>2033</v>
      </c>
      <c r="Q129" s="684">
        <f t="shared" si="26"/>
        <v>1.935985462011347E-2</v>
      </c>
      <c r="R129" s="684">
        <f t="shared" si="26"/>
        <v>1.7134199591910537E-3</v>
      </c>
      <c r="S129" s="684">
        <f t="shared" si="26"/>
        <v>-6.0905331952243458E-6</v>
      </c>
      <c r="T129" s="684">
        <f t="shared" si="26"/>
        <v>1.8052165281057242E-5</v>
      </c>
      <c r="U129" s="684">
        <f t="shared" si="26"/>
        <v>9.0829087140420484E-8</v>
      </c>
    </row>
    <row r="130" spans="1:37" x14ac:dyDescent="0.25">
      <c r="B130">
        <v>2034</v>
      </c>
      <c r="C130" s="4">
        <v>1.2692472146537539</v>
      </c>
      <c r="D130" s="4">
        <v>1.2821995980909671</v>
      </c>
      <c r="E130" s="4">
        <v>1.2459200430269082</v>
      </c>
      <c r="F130" s="4">
        <v>1.0007344511903042</v>
      </c>
      <c r="G130" s="4">
        <v>1.2462792248100247</v>
      </c>
      <c r="I130">
        <v>2034</v>
      </c>
      <c r="J130" s="4">
        <v>1.294279755321158</v>
      </c>
      <c r="K130" s="4">
        <v>1.2850048060402064</v>
      </c>
      <c r="L130" s="4">
        <v>1.2459149256496254</v>
      </c>
      <c r="M130" s="4">
        <v>1.0007412507246072</v>
      </c>
      <c r="N130" s="4">
        <v>1.2462792248100247</v>
      </c>
      <c r="P130">
        <v>2034</v>
      </c>
      <c r="Q130" s="684">
        <f t="shared" si="26"/>
        <v>1.9722352256044129E-2</v>
      </c>
      <c r="R130" s="684">
        <f t="shared" si="26"/>
        <v>2.1878091004052802E-3</v>
      </c>
      <c r="S130" s="684">
        <f t="shared" si="26"/>
        <v>-4.1073079379838617E-6</v>
      </c>
      <c r="T130" s="684">
        <f t="shared" si="26"/>
        <v>6.7945440420658088E-6</v>
      </c>
      <c r="U130" s="684">
        <f t="shared" si="26"/>
        <v>0</v>
      </c>
    </row>
    <row r="131" spans="1:37" x14ac:dyDescent="0.25">
      <c r="B131">
        <v>2035</v>
      </c>
      <c r="C131" s="4">
        <v>1.2755887668941706</v>
      </c>
      <c r="D131" s="4">
        <v>1.2884972881944277</v>
      </c>
      <c r="E131" s="4">
        <v>1.2522503666600824</v>
      </c>
      <c r="F131" s="4">
        <v>1.0007931098593654</v>
      </c>
      <c r="G131" s="4">
        <v>1.2526420456688623</v>
      </c>
      <c r="I131">
        <v>2035</v>
      </c>
      <c r="J131" s="4">
        <v>1.3018497599072001</v>
      </c>
      <c r="K131" s="4">
        <v>1.2916051825772505</v>
      </c>
      <c r="L131" s="4">
        <v>1.2522465286271203</v>
      </c>
      <c r="M131" s="4">
        <v>1.0007969663116567</v>
      </c>
      <c r="N131" s="4">
        <v>1.2526420456688623</v>
      </c>
      <c r="P131">
        <v>2035</v>
      </c>
      <c r="Q131" s="684">
        <f t="shared" si="26"/>
        <v>2.0587350480492539E-2</v>
      </c>
      <c r="R131" s="684">
        <f t="shared" si="26"/>
        <v>2.4120302085990364E-3</v>
      </c>
      <c r="S131" s="684">
        <f t="shared" si="26"/>
        <v>-3.0649086351086652E-6</v>
      </c>
      <c r="T131" s="684">
        <f t="shared" si="26"/>
        <v>3.8533961248532478E-6</v>
      </c>
      <c r="U131" s="684">
        <f t="shared" si="26"/>
        <v>0</v>
      </c>
    </row>
    <row r="132" spans="1:37" ht="15.75" customHeight="1" x14ac:dyDescent="0.25"/>
    <row r="133" spans="1:37" s="694" customFormat="1" ht="18.75" x14ac:dyDescent="0.3">
      <c r="A133" s="693" t="s">
        <v>663</v>
      </c>
    </row>
    <row r="134" spans="1:37" s="694" customFormat="1" ht="18.75" x14ac:dyDescent="0.3">
      <c r="A134" s="693" t="s">
        <v>621</v>
      </c>
    </row>
    <row r="135" spans="1:37" s="614" customFormat="1" ht="18.75" x14ac:dyDescent="0.3">
      <c r="B135" s="622"/>
    </row>
    <row r="136" spans="1:37" s="614" customFormat="1" ht="18.75" x14ac:dyDescent="0.3">
      <c r="B136" s="879" t="s">
        <v>664</v>
      </c>
      <c r="C136" s="879"/>
      <c r="D136" s="879"/>
      <c r="E136" s="879"/>
      <c r="F136" s="879"/>
      <c r="G136" s="879"/>
      <c r="H136" s="879"/>
      <c r="I136" s="879"/>
      <c r="J136" s="879"/>
      <c r="K136" s="879"/>
      <c r="L136" s="879"/>
      <c r="N136" s="879" t="s">
        <v>661</v>
      </c>
      <c r="O136" s="879"/>
      <c r="P136" s="879"/>
      <c r="Q136" s="879"/>
      <c r="R136" s="879"/>
      <c r="S136" s="879"/>
      <c r="T136" s="879"/>
      <c r="U136" s="879"/>
      <c r="V136" s="879"/>
      <c r="W136" s="879"/>
      <c r="X136" s="879"/>
      <c r="Z136" s="879" t="s">
        <v>665</v>
      </c>
      <c r="AA136" s="879"/>
      <c r="AB136" s="879"/>
      <c r="AC136" s="879"/>
      <c r="AD136" s="879"/>
      <c r="AE136" s="879"/>
      <c r="AF136" s="879"/>
      <c r="AG136" s="879"/>
      <c r="AH136" s="879"/>
      <c r="AI136" s="879"/>
      <c r="AJ136" s="879"/>
    </row>
    <row r="137" spans="1:37" ht="15" customHeight="1" x14ac:dyDescent="0.25">
      <c r="B137" s="876" t="s">
        <v>666</v>
      </c>
      <c r="C137" s="876"/>
      <c r="D137" s="876"/>
      <c r="E137" s="876"/>
      <c r="F137" s="876"/>
      <c r="G137" s="876"/>
      <c r="H137" s="876"/>
      <c r="I137" s="876"/>
      <c r="J137" s="876"/>
      <c r="K137" s="876"/>
      <c r="L137" s="876"/>
      <c r="M137" s="685"/>
      <c r="N137" s="876" t="s">
        <v>667</v>
      </c>
      <c r="O137" s="876"/>
      <c r="P137" s="876"/>
      <c r="Q137" s="876"/>
      <c r="R137" s="876"/>
      <c r="S137" s="876"/>
      <c r="T137" s="876"/>
      <c r="U137" s="876"/>
      <c r="V137" s="876"/>
      <c r="W137" s="876"/>
      <c r="X137" s="876"/>
      <c r="Y137" s="685"/>
      <c r="Z137" s="876" t="s">
        <v>668</v>
      </c>
      <c r="AA137" s="876"/>
      <c r="AB137" s="876"/>
      <c r="AC137" s="876"/>
      <c r="AD137" s="876"/>
      <c r="AE137" s="876"/>
      <c r="AF137" s="876"/>
      <c r="AG137" s="876"/>
      <c r="AH137" s="876"/>
      <c r="AI137" s="876"/>
      <c r="AJ137" s="876"/>
      <c r="AK137" s="3"/>
    </row>
    <row r="138" spans="1:37" ht="45" x14ac:dyDescent="0.25">
      <c r="B138" s="686" t="s">
        <v>256</v>
      </c>
      <c r="C138" s="687" t="s">
        <v>257</v>
      </c>
      <c r="D138" s="687" t="s">
        <v>258</v>
      </c>
      <c r="E138" s="687" t="s">
        <v>259</v>
      </c>
      <c r="F138" s="687" t="s">
        <v>260</v>
      </c>
      <c r="G138" s="687" t="s">
        <v>218</v>
      </c>
      <c r="H138" s="687" t="s">
        <v>219</v>
      </c>
      <c r="I138" s="687" t="s">
        <v>89</v>
      </c>
      <c r="J138" s="687" t="s">
        <v>112</v>
      </c>
      <c r="K138" s="687" t="s">
        <v>90</v>
      </c>
      <c r="L138" s="688" t="s">
        <v>261</v>
      </c>
      <c r="M138" s="689"/>
      <c r="N138" s="686" t="s">
        <v>256</v>
      </c>
      <c r="O138" s="687" t="s">
        <v>257</v>
      </c>
      <c r="P138" s="687" t="s">
        <v>258</v>
      </c>
      <c r="Q138" s="687" t="s">
        <v>259</v>
      </c>
      <c r="R138" s="687" t="s">
        <v>260</v>
      </c>
      <c r="S138" s="687" t="s">
        <v>218</v>
      </c>
      <c r="T138" s="687" t="s">
        <v>219</v>
      </c>
      <c r="U138" s="687" t="s">
        <v>89</v>
      </c>
      <c r="V138" s="687" t="s">
        <v>112</v>
      </c>
      <c r="W138" s="687" t="s">
        <v>90</v>
      </c>
      <c r="X138" s="688" t="s">
        <v>261</v>
      </c>
      <c r="Y138" s="689"/>
      <c r="Z138" s="686" t="s">
        <v>256</v>
      </c>
      <c r="AA138" s="687" t="s">
        <v>257</v>
      </c>
      <c r="AB138" s="687" t="s">
        <v>258</v>
      </c>
      <c r="AC138" s="687" t="s">
        <v>259</v>
      </c>
      <c r="AD138" s="687" t="s">
        <v>260</v>
      </c>
      <c r="AE138" s="687" t="s">
        <v>218</v>
      </c>
      <c r="AF138" s="687" t="s">
        <v>219</v>
      </c>
      <c r="AG138" s="687" t="s">
        <v>89</v>
      </c>
      <c r="AH138" s="687" t="s">
        <v>112</v>
      </c>
      <c r="AI138" s="687" t="s">
        <v>90</v>
      </c>
      <c r="AJ138" s="688" t="s">
        <v>261</v>
      </c>
    </row>
    <row r="139" spans="1:37" x14ac:dyDescent="0.25">
      <c r="B139">
        <v>2008</v>
      </c>
      <c r="C139" s="690">
        <v>110298.43</v>
      </c>
      <c r="D139" s="690"/>
      <c r="E139" s="690">
        <v>0</v>
      </c>
      <c r="F139" s="690">
        <v>78853.076000000001</v>
      </c>
      <c r="G139" s="690">
        <v>9566.3916000000008</v>
      </c>
      <c r="H139" s="690">
        <v>4973.4570000000012</v>
      </c>
      <c r="I139" s="690">
        <v>72830.136000000013</v>
      </c>
      <c r="J139" s="691"/>
      <c r="K139" s="691"/>
      <c r="L139" s="691"/>
      <c r="M139" s="692"/>
      <c r="N139">
        <v>2008</v>
      </c>
      <c r="O139" s="690">
        <v>110298.43</v>
      </c>
      <c r="P139" s="690"/>
      <c r="Q139" s="690">
        <v>0</v>
      </c>
      <c r="R139" s="690">
        <v>78853.076000000001</v>
      </c>
      <c r="S139" s="690">
        <v>9566.3916000000008</v>
      </c>
      <c r="T139" s="690">
        <v>4973.4570000000012</v>
      </c>
      <c r="U139" s="690">
        <v>72830.136000000013</v>
      </c>
      <c r="V139" s="691"/>
      <c r="W139" s="691"/>
      <c r="X139" s="691"/>
      <c r="Y139" s="692"/>
      <c r="Z139">
        <v>2008</v>
      </c>
      <c r="AA139" s="626">
        <f t="shared" ref="AA139:AG154" si="27">O139/C139-1</f>
        <v>0</v>
      </c>
      <c r="AB139" s="626" t="e">
        <f t="shared" si="27"/>
        <v>#DIV/0!</v>
      </c>
      <c r="AC139" s="626" t="e">
        <f t="shared" si="27"/>
        <v>#DIV/0!</v>
      </c>
      <c r="AD139" s="626">
        <f t="shared" si="27"/>
        <v>0</v>
      </c>
      <c r="AE139" s="626">
        <f t="shared" si="27"/>
        <v>0</v>
      </c>
      <c r="AF139" s="626">
        <f t="shared" si="27"/>
        <v>0</v>
      </c>
      <c r="AG139" s="626">
        <f t="shared" si="27"/>
        <v>0</v>
      </c>
      <c r="AH139" s="691"/>
      <c r="AI139" s="691"/>
      <c r="AJ139" s="691"/>
      <c r="AK139" s="4"/>
    </row>
    <row r="140" spans="1:37" x14ac:dyDescent="0.25">
      <c r="B140">
        <v>2009</v>
      </c>
      <c r="C140" s="690">
        <v>110484.07800000001</v>
      </c>
      <c r="D140" s="690"/>
      <c r="E140" s="690">
        <v>929.62406999999996</v>
      </c>
      <c r="F140" s="690">
        <v>77252.221999999994</v>
      </c>
      <c r="G140" s="690">
        <v>10509.249</v>
      </c>
      <c r="H140" s="690">
        <v>5003.9894000000004</v>
      </c>
      <c r="I140" s="690">
        <v>69129.421000000017</v>
      </c>
      <c r="J140" s="691"/>
      <c r="K140" s="691"/>
      <c r="L140" s="691"/>
      <c r="M140" s="692"/>
      <c r="N140">
        <v>2009</v>
      </c>
      <c r="O140" s="690">
        <v>110484.07800000001</v>
      </c>
      <c r="P140" s="690"/>
      <c r="Q140" s="690">
        <v>929.62406999999996</v>
      </c>
      <c r="R140" s="690">
        <v>77252.221999999994</v>
      </c>
      <c r="S140" s="690">
        <v>10509.249</v>
      </c>
      <c r="T140" s="690">
        <v>5003.9894000000004</v>
      </c>
      <c r="U140" s="690">
        <v>69129.421000000017</v>
      </c>
      <c r="V140" s="691"/>
      <c r="W140" s="691"/>
      <c r="X140" s="691"/>
      <c r="Y140" s="692"/>
      <c r="Z140">
        <v>2009</v>
      </c>
      <c r="AA140" s="626">
        <f t="shared" si="27"/>
        <v>0</v>
      </c>
      <c r="AB140" s="626" t="e">
        <f t="shared" si="27"/>
        <v>#DIV/0!</v>
      </c>
      <c r="AC140" s="626">
        <f t="shared" si="27"/>
        <v>0</v>
      </c>
      <c r="AD140" s="626">
        <f t="shared" si="27"/>
        <v>0</v>
      </c>
      <c r="AE140" s="626">
        <f t="shared" si="27"/>
        <v>0</v>
      </c>
      <c r="AF140" s="626">
        <f t="shared" si="27"/>
        <v>0</v>
      </c>
      <c r="AG140" s="626">
        <f t="shared" si="27"/>
        <v>0</v>
      </c>
      <c r="AH140" s="691"/>
      <c r="AI140" s="691"/>
      <c r="AJ140" s="691"/>
      <c r="AK140" s="4"/>
    </row>
    <row r="141" spans="1:37" x14ac:dyDescent="0.25">
      <c r="B141">
        <v>2010</v>
      </c>
      <c r="C141" s="690">
        <v>111383.7773</v>
      </c>
      <c r="D141" s="690"/>
      <c r="E141" s="690">
        <v>1560.0251000000001</v>
      </c>
      <c r="F141" s="690">
        <v>75908.278999999995</v>
      </c>
      <c r="G141" s="690">
        <v>11060.800999999999</v>
      </c>
      <c r="H141" s="690">
        <v>5012.5204999999996</v>
      </c>
      <c r="I141" s="690">
        <v>65414.716</v>
      </c>
      <c r="J141" s="691"/>
      <c r="K141" s="691"/>
      <c r="L141" s="691"/>
      <c r="M141" s="692"/>
      <c r="N141">
        <v>2010</v>
      </c>
      <c r="O141" s="690">
        <v>111383.77989999999</v>
      </c>
      <c r="P141" s="690"/>
      <c r="Q141" s="690">
        <v>1560.0252</v>
      </c>
      <c r="R141" s="690">
        <v>75908.278999999995</v>
      </c>
      <c r="S141" s="690">
        <v>11060.800999999999</v>
      </c>
      <c r="T141" s="690">
        <v>5012.5204999999996</v>
      </c>
      <c r="U141" s="690">
        <v>65414.716</v>
      </c>
      <c r="V141" s="691"/>
      <c r="W141" s="691"/>
      <c r="X141" s="691"/>
      <c r="Y141" s="692"/>
      <c r="Z141">
        <v>2010</v>
      </c>
      <c r="AA141" s="626">
        <f t="shared" si="27"/>
        <v>2.3342717092589282E-8</v>
      </c>
      <c r="AB141" s="626" t="e">
        <f t="shared" si="27"/>
        <v>#DIV/0!</v>
      </c>
      <c r="AC141" s="626">
        <f t="shared" si="27"/>
        <v>6.410153274849506E-8</v>
      </c>
      <c r="AD141" s="626">
        <f t="shared" si="27"/>
        <v>0</v>
      </c>
      <c r="AE141" s="626">
        <f t="shared" si="27"/>
        <v>0</v>
      </c>
      <c r="AF141" s="626">
        <f t="shared" si="27"/>
        <v>0</v>
      </c>
      <c r="AG141" s="626">
        <f t="shared" si="27"/>
        <v>0</v>
      </c>
      <c r="AH141" s="691"/>
      <c r="AI141" s="691"/>
      <c r="AJ141" s="691"/>
      <c r="AK141" s="4"/>
    </row>
    <row r="142" spans="1:37" x14ac:dyDescent="0.25">
      <c r="B142">
        <v>2011</v>
      </c>
      <c r="C142" s="690">
        <v>112357.83129999999</v>
      </c>
      <c r="D142" s="690"/>
      <c r="E142" s="690">
        <v>2027.7396000000001</v>
      </c>
      <c r="F142" s="690">
        <v>74950.616999999998</v>
      </c>
      <c r="G142" s="690">
        <v>11394.981</v>
      </c>
      <c r="H142" s="690">
        <v>5019.4426000000003</v>
      </c>
      <c r="I142" s="690">
        <v>61854.381999999998</v>
      </c>
      <c r="J142" s="691"/>
      <c r="K142" s="691"/>
      <c r="L142" s="691"/>
      <c r="M142" s="692"/>
      <c r="N142">
        <v>2011</v>
      </c>
      <c r="O142" s="690">
        <v>112357.8345</v>
      </c>
      <c r="P142" s="690"/>
      <c r="Q142" s="690">
        <v>2027.7397000000001</v>
      </c>
      <c r="R142" s="690">
        <v>74950.615999999995</v>
      </c>
      <c r="S142" s="690">
        <v>11394.981</v>
      </c>
      <c r="T142" s="690">
        <v>5019.4426000000003</v>
      </c>
      <c r="U142" s="690">
        <v>61854.381999999998</v>
      </c>
      <c r="V142" s="691"/>
      <c r="W142" s="691"/>
      <c r="X142" s="691"/>
      <c r="Y142" s="692"/>
      <c r="Z142">
        <v>2011</v>
      </c>
      <c r="AA142" s="626">
        <f t="shared" si="27"/>
        <v>2.848043578751458E-8</v>
      </c>
      <c r="AB142" s="626" t="e">
        <f t="shared" si="27"/>
        <v>#DIV/0!</v>
      </c>
      <c r="AC142" s="626">
        <f t="shared" si="27"/>
        <v>4.9315997063814621E-8</v>
      </c>
      <c r="AD142" s="626">
        <f t="shared" si="27"/>
        <v>-1.3342118410086812E-8</v>
      </c>
      <c r="AE142" s="626">
        <f t="shared" si="27"/>
        <v>0</v>
      </c>
      <c r="AF142" s="626">
        <f t="shared" si="27"/>
        <v>0</v>
      </c>
      <c r="AG142" s="626">
        <f t="shared" si="27"/>
        <v>0</v>
      </c>
      <c r="AH142" s="691"/>
      <c r="AI142" s="691"/>
      <c r="AJ142" s="691"/>
      <c r="AK142" s="4"/>
    </row>
    <row r="143" spans="1:37" x14ac:dyDescent="0.25">
      <c r="B143">
        <v>2012</v>
      </c>
      <c r="C143" s="690">
        <v>113137.1474</v>
      </c>
      <c r="D143" s="690"/>
      <c r="E143" s="690">
        <v>2433.8245000000002</v>
      </c>
      <c r="F143" s="690">
        <v>74175.887000000002</v>
      </c>
      <c r="G143" s="690">
        <v>11640.366</v>
      </c>
      <c r="H143" s="690">
        <v>5020.1117999999997</v>
      </c>
      <c r="I143" s="690">
        <v>58993.536999999997</v>
      </c>
      <c r="J143" s="691"/>
      <c r="K143" s="691"/>
      <c r="L143" s="691"/>
      <c r="M143" s="692"/>
      <c r="N143">
        <v>2012</v>
      </c>
      <c r="O143" s="690">
        <v>113150.3089</v>
      </c>
      <c r="P143" s="690"/>
      <c r="Q143" s="690">
        <v>2429.7838999999999</v>
      </c>
      <c r="R143" s="690">
        <v>74144.039999999994</v>
      </c>
      <c r="S143" s="690">
        <v>11639.035</v>
      </c>
      <c r="T143" s="690">
        <v>5020.1117999999997</v>
      </c>
      <c r="U143" s="690">
        <v>59044.188000000002</v>
      </c>
      <c r="V143" s="691"/>
      <c r="W143" s="691"/>
      <c r="X143" s="691"/>
      <c r="Y143" s="692"/>
      <c r="Z143">
        <v>2012</v>
      </c>
      <c r="AA143" s="626">
        <f t="shared" si="27"/>
        <v>1.1633225958473936E-4</v>
      </c>
      <c r="AB143" s="626" t="e">
        <f t="shared" si="27"/>
        <v>#DIV/0!</v>
      </c>
      <c r="AC143" s="626">
        <f t="shared" si="27"/>
        <v>-1.6601854406512739E-3</v>
      </c>
      <c r="AD143" s="626">
        <f t="shared" si="27"/>
        <v>-4.2934437710206996E-4</v>
      </c>
      <c r="AE143" s="626">
        <f t="shared" si="27"/>
        <v>-1.1434348370142899E-4</v>
      </c>
      <c r="AF143" s="626">
        <f t="shared" si="27"/>
        <v>0</v>
      </c>
      <c r="AG143" s="626">
        <f t="shared" si="27"/>
        <v>8.585855769251971E-4</v>
      </c>
      <c r="AH143" s="691"/>
      <c r="AI143" s="691"/>
      <c r="AJ143" s="691"/>
      <c r="AK143" s="4"/>
    </row>
    <row r="144" spans="1:37" x14ac:dyDescent="0.25">
      <c r="B144">
        <v>2013</v>
      </c>
      <c r="C144" s="690">
        <v>113871.558</v>
      </c>
      <c r="D144" s="690"/>
      <c r="E144" s="690">
        <v>2805.1363999999999</v>
      </c>
      <c r="F144" s="690">
        <v>73418.19</v>
      </c>
      <c r="G144" s="690">
        <v>11872.895</v>
      </c>
      <c r="H144" s="690">
        <v>5020.1117999999997</v>
      </c>
      <c r="I144" s="690">
        <v>56336.83</v>
      </c>
      <c r="J144" s="691"/>
      <c r="K144" s="691"/>
      <c r="L144" s="691"/>
      <c r="M144" s="692"/>
      <c r="N144">
        <v>2013</v>
      </c>
      <c r="O144" s="690">
        <v>113900.683</v>
      </c>
      <c r="P144" s="690"/>
      <c r="Q144" s="690">
        <v>2792.7516000000001</v>
      </c>
      <c r="R144" s="690">
        <v>73342.528999999995</v>
      </c>
      <c r="S144" s="690">
        <v>11864.449000000001</v>
      </c>
      <c r="T144" s="690">
        <v>5020.1117999999997</v>
      </c>
      <c r="U144" s="690">
        <v>56511.896000000001</v>
      </c>
      <c r="V144" s="691"/>
      <c r="W144" s="691"/>
      <c r="X144" s="691"/>
      <c r="Y144" s="692"/>
      <c r="Z144">
        <v>2013</v>
      </c>
      <c r="AA144" s="626">
        <f t="shared" si="27"/>
        <v>2.5577062886950053E-4</v>
      </c>
      <c r="AB144" s="626" t="e">
        <f t="shared" si="27"/>
        <v>#DIV/0!</v>
      </c>
      <c r="AC144" s="626">
        <f t="shared" si="27"/>
        <v>-4.4150437746983684E-3</v>
      </c>
      <c r="AD144" s="626">
        <f t="shared" si="27"/>
        <v>-1.0305484240350493E-3</v>
      </c>
      <c r="AE144" s="626">
        <f t="shared" si="27"/>
        <v>-7.1136820463757466E-4</v>
      </c>
      <c r="AF144" s="626">
        <f t="shared" si="27"/>
        <v>0</v>
      </c>
      <c r="AG144" s="626">
        <f t="shared" si="27"/>
        <v>3.1074875884922193E-3</v>
      </c>
      <c r="AH144" s="691"/>
      <c r="AI144" s="691"/>
      <c r="AJ144" s="691"/>
      <c r="AK144" s="4"/>
    </row>
    <row r="145" spans="2:37" x14ac:dyDescent="0.25">
      <c r="B145">
        <v>2014</v>
      </c>
      <c r="C145" s="690">
        <v>114502.898</v>
      </c>
      <c r="D145" s="690"/>
      <c r="E145" s="690">
        <v>3237.9495999999999</v>
      </c>
      <c r="F145" s="690">
        <v>72651.425000000003</v>
      </c>
      <c r="G145" s="690">
        <v>12112.004000000001</v>
      </c>
      <c r="H145" s="690">
        <v>5020.1117999999997</v>
      </c>
      <c r="I145" s="690">
        <v>53607.663999999997</v>
      </c>
      <c r="J145" s="691"/>
      <c r="K145" s="691"/>
      <c r="L145" s="691"/>
      <c r="M145" s="692"/>
      <c r="N145">
        <v>2014</v>
      </c>
      <c r="O145" s="690">
        <v>114614.799</v>
      </c>
      <c r="P145" s="690"/>
      <c r="Q145" s="690">
        <v>3201.9857999999999</v>
      </c>
      <c r="R145" s="690">
        <v>72449.202000000005</v>
      </c>
      <c r="S145" s="690">
        <v>12082.38</v>
      </c>
      <c r="T145" s="690">
        <v>5020.1117999999997</v>
      </c>
      <c r="U145" s="690">
        <v>54030.078999999998</v>
      </c>
      <c r="V145" s="691"/>
      <c r="W145" s="691"/>
      <c r="X145" s="691"/>
      <c r="Y145" s="692"/>
      <c r="Z145">
        <v>2014</v>
      </c>
      <c r="AA145" s="626">
        <f t="shared" si="27"/>
        <v>9.7727657513080324E-4</v>
      </c>
      <c r="AB145" s="626" t="e">
        <f t="shared" si="27"/>
        <v>#DIV/0!</v>
      </c>
      <c r="AC145" s="626">
        <f t="shared" si="27"/>
        <v>-1.1106967199242423E-2</v>
      </c>
      <c r="AD145" s="626">
        <f t="shared" si="27"/>
        <v>-2.7834691473704876E-3</v>
      </c>
      <c r="AE145" s="626">
        <f t="shared" si="27"/>
        <v>-2.4458380297761595E-3</v>
      </c>
      <c r="AF145" s="626">
        <f t="shared" si="27"/>
        <v>0</v>
      </c>
      <c r="AG145" s="626">
        <f t="shared" si="27"/>
        <v>7.879750179004219E-3</v>
      </c>
      <c r="AH145" s="691"/>
      <c r="AI145" s="691"/>
      <c r="AJ145" s="691"/>
      <c r="AK145" s="4"/>
    </row>
    <row r="146" spans="2:37" x14ac:dyDescent="0.25">
      <c r="B146">
        <v>2015</v>
      </c>
      <c r="C146" s="690">
        <v>114729.105</v>
      </c>
      <c r="D146" s="690"/>
      <c r="E146" s="690">
        <v>3753.4926999999998</v>
      </c>
      <c r="F146" s="690">
        <v>71828.729000000007</v>
      </c>
      <c r="G146" s="690">
        <v>12364.64</v>
      </c>
      <c r="H146" s="690">
        <v>5020.1117999999997</v>
      </c>
      <c r="I146" s="690">
        <v>51099.07</v>
      </c>
      <c r="J146" s="691"/>
      <c r="K146" s="691"/>
      <c r="L146" s="691"/>
      <c r="M146" s="692"/>
      <c r="N146">
        <v>2015</v>
      </c>
      <c r="O146" s="690">
        <v>115104.682</v>
      </c>
      <c r="P146" s="690"/>
      <c r="Q146" s="690">
        <v>3623.7089999999998</v>
      </c>
      <c r="R146" s="690">
        <v>71556.858999999997</v>
      </c>
      <c r="S146" s="690">
        <v>12263.001</v>
      </c>
      <c r="T146" s="690">
        <v>5020.1117999999997</v>
      </c>
      <c r="U146" s="690">
        <v>52066.213000000003</v>
      </c>
      <c r="V146" s="691"/>
      <c r="W146" s="691"/>
      <c r="X146" s="691"/>
      <c r="Y146" s="692"/>
      <c r="Z146">
        <v>2015</v>
      </c>
      <c r="AA146" s="626">
        <f t="shared" si="27"/>
        <v>3.2735982730798252E-3</v>
      </c>
      <c r="AB146" s="626" t="e">
        <f t="shared" si="27"/>
        <v>#DIV/0!</v>
      </c>
      <c r="AC146" s="626">
        <f t="shared" si="27"/>
        <v>-3.4576782312644383E-2</v>
      </c>
      <c r="AD146" s="626">
        <f t="shared" si="27"/>
        <v>-3.7849757859422795E-3</v>
      </c>
      <c r="AE146" s="626">
        <f t="shared" si="27"/>
        <v>-8.2201341891069424E-3</v>
      </c>
      <c r="AF146" s="626">
        <f t="shared" si="27"/>
        <v>0</v>
      </c>
      <c r="AG146" s="626">
        <f t="shared" si="27"/>
        <v>1.8926821955859596E-2</v>
      </c>
      <c r="AH146" s="691"/>
      <c r="AI146" s="691"/>
      <c r="AJ146" s="691"/>
      <c r="AK146" s="4"/>
    </row>
    <row r="147" spans="2:37" x14ac:dyDescent="0.25">
      <c r="B147">
        <v>2016</v>
      </c>
      <c r="C147" s="690">
        <v>114911.731</v>
      </c>
      <c r="D147" s="690"/>
      <c r="E147" s="690">
        <v>4393.5803999999998</v>
      </c>
      <c r="F147" s="690">
        <v>71196.544999999998</v>
      </c>
      <c r="G147" s="690">
        <v>12650.777</v>
      </c>
      <c r="H147" s="690">
        <v>5020.1117999999997</v>
      </c>
      <c r="I147" s="690">
        <v>48056.415000000001</v>
      </c>
      <c r="J147" s="691"/>
      <c r="K147" s="691"/>
      <c r="L147" s="691"/>
      <c r="M147" s="692"/>
      <c r="N147">
        <v>2016</v>
      </c>
      <c r="O147" s="690">
        <v>115439.29699999999</v>
      </c>
      <c r="P147" s="690"/>
      <c r="Q147" s="690">
        <v>4263.9684999999999</v>
      </c>
      <c r="R147" s="690">
        <v>70515.504000000001</v>
      </c>
      <c r="S147" s="690">
        <v>12557.554</v>
      </c>
      <c r="T147" s="690">
        <v>5020.5632999999998</v>
      </c>
      <c r="U147" s="690">
        <v>49464.57</v>
      </c>
      <c r="V147" s="691"/>
      <c r="W147" s="691"/>
      <c r="X147" s="691"/>
      <c r="Y147" s="692"/>
      <c r="Z147">
        <v>2016</v>
      </c>
      <c r="AA147" s="626">
        <f t="shared" si="27"/>
        <v>4.5910543284739536E-3</v>
      </c>
      <c r="AB147" s="626" t="e">
        <f t="shared" si="27"/>
        <v>#DIV/0!</v>
      </c>
      <c r="AC147" s="626">
        <f t="shared" si="27"/>
        <v>-2.9500290924458716E-2</v>
      </c>
      <c r="AD147" s="626">
        <f t="shared" si="27"/>
        <v>-9.5656467599656292E-3</v>
      </c>
      <c r="AE147" s="626">
        <f t="shared" si="27"/>
        <v>-7.3689544918861261E-3</v>
      </c>
      <c r="AF147" s="626">
        <f t="shared" si="27"/>
        <v>8.9938236036868346E-5</v>
      </c>
      <c r="AG147" s="626">
        <f t="shared" si="27"/>
        <v>2.9302123348152298E-2</v>
      </c>
      <c r="AH147" s="691"/>
      <c r="AI147" s="691"/>
      <c r="AJ147" s="691"/>
      <c r="AK147" s="4"/>
    </row>
    <row r="148" spans="2:37" x14ac:dyDescent="0.25">
      <c r="B148">
        <v>2017</v>
      </c>
      <c r="C148" s="690">
        <v>114889.398</v>
      </c>
      <c r="D148" s="690"/>
      <c r="E148" s="690">
        <v>4771.6387999999997</v>
      </c>
      <c r="F148" s="690">
        <v>70462.100999999995</v>
      </c>
      <c r="G148" s="690">
        <v>12754.398999999999</v>
      </c>
      <c r="H148" s="690">
        <v>4992.5222000000003</v>
      </c>
      <c r="I148" s="690">
        <v>45648.68</v>
      </c>
      <c r="J148" s="691"/>
      <c r="K148" s="691"/>
      <c r="L148" s="691"/>
      <c r="M148" s="692"/>
      <c r="N148">
        <v>2017</v>
      </c>
      <c r="O148" s="690">
        <v>115276.55399999999</v>
      </c>
      <c r="P148" s="690"/>
      <c r="Q148" s="690">
        <v>4938.2509</v>
      </c>
      <c r="R148" s="690">
        <v>69128.623000000007</v>
      </c>
      <c r="S148" s="690">
        <v>12784.098</v>
      </c>
      <c r="T148" s="690">
        <v>4993.4710999999998</v>
      </c>
      <c r="U148" s="690">
        <v>46716.224000000002</v>
      </c>
      <c r="V148" s="691"/>
      <c r="W148" s="691"/>
      <c r="X148" s="691"/>
      <c r="Y148" s="692"/>
      <c r="Z148">
        <v>2017</v>
      </c>
      <c r="AA148" s="626">
        <f t="shared" si="27"/>
        <v>3.3698148544567541E-3</v>
      </c>
      <c r="AB148" s="626" t="e">
        <f t="shared" si="27"/>
        <v>#DIV/0!</v>
      </c>
      <c r="AC148" s="626">
        <f t="shared" si="27"/>
        <v>3.4917165146699736E-2</v>
      </c>
      <c r="AD148" s="626">
        <f t="shared" si="27"/>
        <v>-1.892475502539992E-2</v>
      </c>
      <c r="AE148" s="626">
        <f t="shared" si="27"/>
        <v>2.3285299448450036E-3</v>
      </c>
      <c r="AF148" s="626">
        <f t="shared" si="27"/>
        <v>1.9006425249323833E-4</v>
      </c>
      <c r="AG148" s="626">
        <f t="shared" si="27"/>
        <v>2.3386086958045782E-2</v>
      </c>
      <c r="AH148" s="691"/>
      <c r="AI148" s="691"/>
      <c r="AJ148" s="691"/>
      <c r="AK148" s="4"/>
    </row>
    <row r="149" spans="2:37" x14ac:dyDescent="0.25">
      <c r="B149">
        <v>2018</v>
      </c>
      <c r="C149" s="690">
        <v>114616.871</v>
      </c>
      <c r="D149" s="690"/>
      <c r="E149" s="690">
        <v>5200.3244999999997</v>
      </c>
      <c r="F149" s="690">
        <v>69802.754000000001</v>
      </c>
      <c r="G149" s="690">
        <v>12858.288</v>
      </c>
      <c r="H149" s="690">
        <v>4964.8627999999999</v>
      </c>
      <c r="I149" s="690">
        <v>43273.097999999998</v>
      </c>
      <c r="J149" s="691"/>
      <c r="K149" s="691"/>
      <c r="L149" s="691"/>
      <c r="M149" s="692"/>
      <c r="N149">
        <v>2018</v>
      </c>
      <c r="O149" s="690">
        <v>114994.981</v>
      </c>
      <c r="P149" s="690"/>
      <c r="Q149" s="690">
        <v>5656.7269999999999</v>
      </c>
      <c r="R149" s="690">
        <v>67821.229000000007</v>
      </c>
      <c r="S149" s="690">
        <v>12997.168</v>
      </c>
      <c r="T149" s="690">
        <v>4966.2933000000003</v>
      </c>
      <c r="U149" s="690">
        <v>43998.353000000003</v>
      </c>
      <c r="V149" s="691"/>
      <c r="W149" s="691"/>
      <c r="X149" s="691"/>
      <c r="Y149" s="692"/>
      <c r="Z149">
        <v>2018</v>
      </c>
      <c r="AA149" s="626">
        <f t="shared" si="27"/>
        <v>3.2989035270383216E-3</v>
      </c>
      <c r="AB149" s="626" t="e">
        <f t="shared" si="27"/>
        <v>#DIV/0!</v>
      </c>
      <c r="AC149" s="626">
        <f t="shared" si="27"/>
        <v>8.7764234712660816E-2</v>
      </c>
      <c r="AD149" s="626">
        <f t="shared" si="27"/>
        <v>-2.8387490270082916E-2</v>
      </c>
      <c r="AE149" s="626">
        <f t="shared" si="27"/>
        <v>1.0800815785118489E-2</v>
      </c>
      <c r="AF149" s="626">
        <f t="shared" si="27"/>
        <v>2.8812477960116212E-4</v>
      </c>
      <c r="AG149" s="626">
        <f t="shared" si="27"/>
        <v>1.6759950951512836E-2</v>
      </c>
      <c r="AH149" s="691"/>
      <c r="AI149" s="691"/>
      <c r="AJ149" s="691"/>
      <c r="AK149" s="4"/>
    </row>
    <row r="150" spans="2:37" x14ac:dyDescent="0.25">
      <c r="B150">
        <v>2019</v>
      </c>
      <c r="C150" s="690">
        <v>113870.651</v>
      </c>
      <c r="D150" s="690"/>
      <c r="E150" s="690">
        <v>5668.1769000000004</v>
      </c>
      <c r="F150" s="690">
        <v>69256.846999999994</v>
      </c>
      <c r="G150" s="690">
        <v>12967.695</v>
      </c>
      <c r="H150" s="690">
        <v>4936.5690000000004</v>
      </c>
      <c r="I150" s="690">
        <v>41197.366999999998</v>
      </c>
      <c r="J150" s="691"/>
      <c r="K150" s="691"/>
      <c r="L150" s="691"/>
      <c r="M150" s="692"/>
      <c r="N150">
        <v>2019</v>
      </c>
      <c r="O150" s="690">
        <v>114945.60800000001</v>
      </c>
      <c r="P150" s="690"/>
      <c r="Q150" s="690">
        <v>5932.6323000000002</v>
      </c>
      <c r="R150" s="690">
        <v>66980.370999999999</v>
      </c>
      <c r="S150" s="690">
        <v>13051.425999999999</v>
      </c>
      <c r="T150" s="690">
        <v>4937.9579999999996</v>
      </c>
      <c r="U150" s="690">
        <v>42255.550999999999</v>
      </c>
      <c r="V150" s="691"/>
      <c r="W150" s="691"/>
      <c r="X150" s="691"/>
      <c r="Y150" s="692"/>
      <c r="Z150">
        <v>2019</v>
      </c>
      <c r="AA150" s="626">
        <f t="shared" si="27"/>
        <v>9.4401585532342125E-3</v>
      </c>
      <c r="AB150" s="626" t="e">
        <f t="shared" si="27"/>
        <v>#DIV/0!</v>
      </c>
      <c r="AC150" s="626">
        <f t="shared" si="27"/>
        <v>4.6656165582976028E-2</v>
      </c>
      <c r="AD150" s="626">
        <f t="shared" si="27"/>
        <v>-3.2870049657328426E-2</v>
      </c>
      <c r="AE150" s="626">
        <f t="shared" si="27"/>
        <v>6.4568915292964046E-3</v>
      </c>
      <c r="AF150" s="626">
        <f t="shared" si="27"/>
        <v>2.8136950987600606E-4</v>
      </c>
      <c r="AG150" s="626">
        <f t="shared" si="27"/>
        <v>2.5685719186859801E-2</v>
      </c>
      <c r="AH150" s="691"/>
      <c r="AI150" s="691"/>
      <c r="AJ150" s="691"/>
      <c r="AK150" s="4"/>
    </row>
    <row r="151" spans="2:37" x14ac:dyDescent="0.25">
      <c r="B151">
        <v>2020</v>
      </c>
      <c r="C151" s="690">
        <v>112833.298</v>
      </c>
      <c r="D151" s="690"/>
      <c r="E151" s="690">
        <v>6234.8389999999999</v>
      </c>
      <c r="F151" s="690">
        <v>68835.528000000006</v>
      </c>
      <c r="G151" s="690">
        <v>13090.519</v>
      </c>
      <c r="H151" s="690">
        <v>4907.7094999999999</v>
      </c>
      <c r="I151" s="690">
        <v>39230.538999999997</v>
      </c>
      <c r="J151" s="691"/>
      <c r="K151" s="691"/>
      <c r="L151" s="691"/>
      <c r="M151" s="692"/>
      <c r="N151">
        <v>2020</v>
      </c>
      <c r="O151" s="690">
        <v>114754.41899999999</v>
      </c>
      <c r="P151" s="690"/>
      <c r="Q151" s="690">
        <v>6233.4116999999997</v>
      </c>
      <c r="R151" s="690">
        <v>66228.892000000007</v>
      </c>
      <c r="S151" s="690">
        <v>13132.245000000001</v>
      </c>
      <c r="T151" s="690">
        <v>4908.6637000000001</v>
      </c>
      <c r="U151" s="690">
        <v>40573.654999999999</v>
      </c>
      <c r="V151" s="691"/>
      <c r="W151" s="691"/>
      <c r="X151" s="691"/>
      <c r="Y151" s="692"/>
      <c r="Z151">
        <v>2020</v>
      </c>
      <c r="AA151" s="626">
        <f t="shared" si="27"/>
        <v>1.7026188492691219E-2</v>
      </c>
      <c r="AB151" s="626" t="e">
        <f t="shared" si="27"/>
        <v>#DIV/0!</v>
      </c>
      <c r="AC151" s="626">
        <f t="shared" si="27"/>
        <v>-2.2892331301582747E-4</v>
      </c>
      <c r="AD151" s="626">
        <f t="shared" si="27"/>
        <v>-3.7867596512080159E-2</v>
      </c>
      <c r="AE151" s="626">
        <f t="shared" si="27"/>
        <v>3.187497760783975E-3</v>
      </c>
      <c r="AF151" s="626">
        <f t="shared" si="27"/>
        <v>1.944287859743099E-4</v>
      </c>
      <c r="AG151" s="626">
        <f t="shared" si="27"/>
        <v>3.4236491117290102E-2</v>
      </c>
      <c r="AH151" s="691"/>
      <c r="AI151" s="691"/>
      <c r="AJ151" s="691"/>
      <c r="AK151" s="4"/>
    </row>
    <row r="152" spans="2:37" x14ac:dyDescent="0.25">
      <c r="B152">
        <v>2021</v>
      </c>
      <c r="C152" s="690">
        <v>111423.47400000002</v>
      </c>
      <c r="D152" s="690"/>
      <c r="E152" s="690">
        <v>6949.2298000000001</v>
      </c>
      <c r="F152" s="690">
        <v>68405.089000000007</v>
      </c>
      <c r="G152" s="690">
        <v>13211.353999999999</v>
      </c>
      <c r="H152" s="690">
        <v>4877.5</v>
      </c>
      <c r="I152" s="690">
        <v>37454.116999999998</v>
      </c>
      <c r="J152" s="691"/>
      <c r="K152" s="691"/>
      <c r="L152" s="691"/>
      <c r="M152" s="692"/>
      <c r="N152">
        <v>2021</v>
      </c>
      <c r="O152" s="690">
        <v>114461.45899999999</v>
      </c>
      <c r="P152" s="690"/>
      <c r="Q152" s="690">
        <v>6601.5762000000004</v>
      </c>
      <c r="R152" s="690">
        <v>65533.178</v>
      </c>
      <c r="S152" s="690">
        <v>13214.579</v>
      </c>
      <c r="T152" s="690">
        <v>4878.9444000000003</v>
      </c>
      <c r="U152" s="690">
        <v>38779.262000000002</v>
      </c>
      <c r="V152" s="691"/>
      <c r="W152" s="691"/>
      <c r="X152" s="691"/>
      <c r="Y152" s="692"/>
      <c r="Z152">
        <v>2021</v>
      </c>
      <c r="AA152" s="626">
        <f t="shared" si="27"/>
        <v>2.7265215227448181E-2</v>
      </c>
      <c r="AB152" s="626" t="e">
        <f t="shared" si="27"/>
        <v>#DIV/0!</v>
      </c>
      <c r="AC152" s="626">
        <f t="shared" si="27"/>
        <v>-5.0027644790218262E-2</v>
      </c>
      <c r="AD152" s="626">
        <f t="shared" si="27"/>
        <v>-4.1983879298804871E-2</v>
      </c>
      <c r="AE152" s="626">
        <f t="shared" si="27"/>
        <v>2.4410821176990005E-4</v>
      </c>
      <c r="AF152" s="626">
        <f t="shared" si="27"/>
        <v>2.9613531522310055E-4</v>
      </c>
      <c r="AG152" s="626">
        <f t="shared" si="27"/>
        <v>3.5380489680213456E-2</v>
      </c>
      <c r="AH152" s="691"/>
      <c r="AI152" s="691"/>
      <c r="AJ152" s="691"/>
      <c r="AK152" s="4"/>
    </row>
    <row r="153" spans="2:37" x14ac:dyDescent="0.25">
      <c r="B153">
        <v>2022</v>
      </c>
      <c r="C153" s="690">
        <v>110009.014</v>
      </c>
      <c r="D153" s="690"/>
      <c r="E153" s="690">
        <v>7837.1072999999997</v>
      </c>
      <c r="F153" s="690">
        <v>68099.012000000002</v>
      </c>
      <c r="G153" s="690">
        <v>13370.120999999999</v>
      </c>
      <c r="H153" s="690">
        <v>4863.1872999999996</v>
      </c>
      <c r="I153" s="690">
        <v>35939.332000000002</v>
      </c>
      <c r="J153" s="691"/>
      <c r="K153" s="691"/>
      <c r="L153" s="691"/>
      <c r="M153" s="692"/>
      <c r="N153">
        <v>2022</v>
      </c>
      <c r="O153" s="690">
        <v>114310.67799999999</v>
      </c>
      <c r="P153" s="690"/>
      <c r="Q153" s="690">
        <v>7069.0034999999998</v>
      </c>
      <c r="R153" s="690">
        <v>65059.334999999999</v>
      </c>
      <c r="S153" s="690">
        <v>13341.377</v>
      </c>
      <c r="T153" s="690">
        <v>4864.6026000000002</v>
      </c>
      <c r="U153" s="690">
        <v>36993.733</v>
      </c>
      <c r="V153" s="691"/>
      <c r="W153" s="691"/>
      <c r="X153" s="691"/>
      <c r="Y153" s="692"/>
      <c r="Z153">
        <v>2022</v>
      </c>
      <c r="AA153" s="626">
        <f t="shared" si="27"/>
        <v>3.9102832064288773E-2</v>
      </c>
      <c r="AB153" s="626" t="e">
        <f t="shared" si="27"/>
        <v>#DIV/0!</v>
      </c>
      <c r="AC153" s="626">
        <f t="shared" si="27"/>
        <v>-9.800858538711088E-2</v>
      </c>
      <c r="AD153" s="626">
        <f t="shared" si="27"/>
        <v>-4.4636139508162032E-2</v>
      </c>
      <c r="AE153" s="626">
        <f t="shared" si="27"/>
        <v>-2.1498683519767248E-3</v>
      </c>
      <c r="AF153" s="626">
        <f t="shared" si="27"/>
        <v>2.9102313209294906E-4</v>
      </c>
      <c r="AG153" s="626">
        <f t="shared" si="27"/>
        <v>2.9338358320071034E-2</v>
      </c>
      <c r="AH153" s="691"/>
      <c r="AI153" s="691"/>
      <c r="AJ153" s="691"/>
      <c r="AK153" s="4"/>
    </row>
    <row r="154" spans="2:37" x14ac:dyDescent="0.25">
      <c r="B154">
        <v>2023</v>
      </c>
      <c r="C154" s="690">
        <v>108469.49900000001</v>
      </c>
      <c r="D154" s="690"/>
      <c r="E154" s="690">
        <v>8764.8212999999996</v>
      </c>
      <c r="F154" s="690">
        <v>67671.163</v>
      </c>
      <c r="G154" s="690">
        <v>13516.084999999999</v>
      </c>
      <c r="H154" s="690">
        <v>4848.6265999999996</v>
      </c>
      <c r="I154" s="690">
        <v>34686.455999999998</v>
      </c>
      <c r="J154" s="691"/>
      <c r="K154" s="691"/>
      <c r="L154" s="691"/>
      <c r="M154" s="692"/>
      <c r="N154">
        <v>2023</v>
      </c>
      <c r="O154" s="690">
        <v>114100.239</v>
      </c>
      <c r="P154" s="690"/>
      <c r="Q154" s="690">
        <v>7625.1431999999995</v>
      </c>
      <c r="R154" s="690">
        <v>64591.403000000006</v>
      </c>
      <c r="S154" s="690">
        <v>13465.333000000001</v>
      </c>
      <c r="T154" s="690">
        <v>4850.2244000000001</v>
      </c>
      <c r="U154" s="690">
        <v>35160.978999999999</v>
      </c>
      <c r="V154" s="691"/>
      <c r="W154" s="691"/>
      <c r="X154" s="691"/>
      <c r="Y154" s="692"/>
      <c r="Z154">
        <v>2023</v>
      </c>
      <c r="AA154" s="626">
        <f t="shared" si="27"/>
        <v>5.1910814117432036E-2</v>
      </c>
      <c r="AB154" s="626" t="e">
        <f t="shared" si="27"/>
        <v>#DIV/0!</v>
      </c>
      <c r="AC154" s="626">
        <f t="shared" si="27"/>
        <v>-0.13002867497138815</v>
      </c>
      <c r="AD154" s="626">
        <f t="shared" si="27"/>
        <v>-4.5510670475694237E-2</v>
      </c>
      <c r="AE154" s="626">
        <f t="shared" si="27"/>
        <v>-3.7549334737091433E-3</v>
      </c>
      <c r="AF154" s="626">
        <f t="shared" si="27"/>
        <v>3.295366155853241E-4</v>
      </c>
      <c r="AG154" s="626">
        <f t="shared" si="27"/>
        <v>1.3680354084026458E-2</v>
      </c>
      <c r="AH154" s="691"/>
      <c r="AI154" s="691"/>
      <c r="AJ154" s="691"/>
      <c r="AK154" s="4"/>
    </row>
    <row r="155" spans="2:37" x14ac:dyDescent="0.25">
      <c r="B155">
        <v>2024</v>
      </c>
      <c r="C155" s="690">
        <v>106952.94200000001</v>
      </c>
      <c r="D155" s="690"/>
      <c r="E155" s="690">
        <v>9775.7317000000003</v>
      </c>
      <c r="F155" s="690">
        <v>67135.535999999993</v>
      </c>
      <c r="G155" s="690">
        <v>13647.141</v>
      </c>
      <c r="H155" s="690">
        <v>4833.9875000000002</v>
      </c>
      <c r="I155" s="690">
        <v>33608.493999999999</v>
      </c>
      <c r="J155" s="691"/>
      <c r="K155" s="691"/>
      <c r="L155" s="691"/>
      <c r="M155" s="692"/>
      <c r="N155">
        <v>2024</v>
      </c>
      <c r="O155" s="690">
        <v>113580.18399999999</v>
      </c>
      <c r="P155" s="690"/>
      <c r="Q155" s="690">
        <v>8291.4359999999997</v>
      </c>
      <c r="R155" s="690">
        <v>64107.603999999992</v>
      </c>
      <c r="S155" s="690">
        <v>13569.662</v>
      </c>
      <c r="T155" s="690">
        <v>4835.7902000000004</v>
      </c>
      <c r="U155" s="690">
        <v>33501.271999999997</v>
      </c>
      <c r="V155" s="691"/>
      <c r="W155" s="691"/>
      <c r="X155" s="691"/>
      <c r="Y155" s="692"/>
      <c r="Z155">
        <v>2024</v>
      </c>
      <c r="AA155" s="626">
        <f t="shared" ref="AA155:AG166" si="28">O155/C155-1</f>
        <v>6.1964092581950458E-2</v>
      </c>
      <c r="AB155" s="626" t="e">
        <f t="shared" si="28"/>
        <v>#DIV/0!</v>
      </c>
      <c r="AC155" s="626">
        <f t="shared" si="28"/>
        <v>-0.15183474194571034</v>
      </c>
      <c r="AD155" s="626">
        <f t="shared" si="28"/>
        <v>-4.5101777395506359E-2</v>
      </c>
      <c r="AE155" s="626">
        <f t="shared" si="28"/>
        <v>-5.6773063310475713E-3</v>
      </c>
      <c r="AF155" s="626">
        <f t="shared" si="28"/>
        <v>3.7292194073734741E-4</v>
      </c>
      <c r="AG155" s="626">
        <f t="shared" si="28"/>
        <v>-3.1903244459571267E-3</v>
      </c>
      <c r="AH155" s="691"/>
      <c r="AI155" s="691"/>
      <c r="AJ155" s="691"/>
      <c r="AK155" s="4"/>
    </row>
    <row r="156" spans="2:37" x14ac:dyDescent="0.25">
      <c r="B156">
        <v>2025</v>
      </c>
      <c r="C156" s="690">
        <v>105803.19099999999</v>
      </c>
      <c r="D156" s="690"/>
      <c r="E156" s="690">
        <v>10795.355</v>
      </c>
      <c r="F156" s="690">
        <v>66536.501999999993</v>
      </c>
      <c r="G156" s="690">
        <v>13771.924000000001</v>
      </c>
      <c r="H156" s="690">
        <v>4819.3562000000002</v>
      </c>
      <c r="I156" s="690">
        <v>32489.008999999998</v>
      </c>
      <c r="J156" s="691"/>
      <c r="K156" s="691"/>
      <c r="L156" s="691"/>
      <c r="M156" s="692"/>
      <c r="N156">
        <v>2025</v>
      </c>
      <c r="O156" s="690">
        <v>113046.397</v>
      </c>
      <c r="P156" s="690"/>
      <c r="Q156" s="690">
        <v>9056.5863000000008</v>
      </c>
      <c r="R156" s="690">
        <v>63598.175999999999</v>
      </c>
      <c r="S156" s="690">
        <v>13678.298000000001</v>
      </c>
      <c r="T156" s="690">
        <v>4821.3269</v>
      </c>
      <c r="U156" s="690">
        <v>31902.538999999997</v>
      </c>
      <c r="V156" s="691"/>
      <c r="W156" s="691"/>
      <c r="X156" s="691"/>
      <c r="Y156" s="692"/>
      <c r="Z156">
        <v>2025</v>
      </c>
      <c r="AA156" s="626">
        <f t="shared" si="28"/>
        <v>6.8459239570572095E-2</v>
      </c>
      <c r="AB156" s="626" t="e">
        <f t="shared" si="28"/>
        <v>#DIV/0!</v>
      </c>
      <c r="AC156" s="626">
        <f t="shared" si="28"/>
        <v>-0.16106637530678691</v>
      </c>
      <c r="AD156" s="626">
        <f t="shared" si="28"/>
        <v>-4.41611132487848E-2</v>
      </c>
      <c r="AE156" s="626">
        <f t="shared" si="28"/>
        <v>-6.7983238943229995E-3</v>
      </c>
      <c r="AF156" s="626">
        <f t="shared" si="28"/>
        <v>4.0891353911542971E-4</v>
      </c>
      <c r="AG156" s="626">
        <f t="shared" si="28"/>
        <v>-1.8051335453168171E-2</v>
      </c>
      <c r="AH156" s="691"/>
      <c r="AI156" s="691"/>
      <c r="AJ156" s="691"/>
      <c r="AK156" s="4"/>
    </row>
    <row r="157" spans="2:37" x14ac:dyDescent="0.25">
      <c r="B157">
        <v>2026</v>
      </c>
      <c r="C157" s="690">
        <v>104955.31200000001</v>
      </c>
      <c r="D157" s="690"/>
      <c r="E157" s="690">
        <v>11771.799000000001</v>
      </c>
      <c r="F157" s="690">
        <v>65876.141000000003</v>
      </c>
      <c r="G157" s="690">
        <v>13871.52</v>
      </c>
      <c r="H157" s="690">
        <v>4804.9445999999998</v>
      </c>
      <c r="I157" s="690">
        <v>31288.875</v>
      </c>
      <c r="J157" s="691"/>
      <c r="K157" s="691"/>
      <c r="L157" s="691"/>
      <c r="M157" s="692"/>
      <c r="N157">
        <v>2026</v>
      </c>
      <c r="O157" s="690">
        <v>112612.88800000001</v>
      </c>
      <c r="P157" s="690"/>
      <c r="Q157" s="690">
        <v>9953.7461999999996</v>
      </c>
      <c r="R157" s="690">
        <v>63060.86</v>
      </c>
      <c r="S157" s="690">
        <v>13783.009</v>
      </c>
      <c r="T157" s="690">
        <v>4806.7668999999996</v>
      </c>
      <c r="U157" s="690">
        <v>30215.157999999999</v>
      </c>
      <c r="V157" s="691"/>
      <c r="W157" s="691"/>
      <c r="X157" s="691"/>
      <c r="Y157" s="692"/>
      <c r="Z157">
        <v>2026</v>
      </c>
      <c r="AA157" s="626">
        <f t="shared" si="28"/>
        <v>7.2960347161847405E-2</v>
      </c>
      <c r="AB157" s="626" t="e">
        <f t="shared" si="28"/>
        <v>#DIV/0!</v>
      </c>
      <c r="AC157" s="626">
        <f t="shared" si="28"/>
        <v>-0.15444137297961014</v>
      </c>
      <c r="AD157" s="626">
        <f t="shared" si="28"/>
        <v>-4.2735973256235571E-2</v>
      </c>
      <c r="AE157" s="626">
        <f t="shared" si="28"/>
        <v>-6.3807715376541507E-3</v>
      </c>
      <c r="AF157" s="626">
        <f t="shared" si="28"/>
        <v>3.7925515311876268E-4</v>
      </c>
      <c r="AG157" s="626">
        <f t="shared" si="28"/>
        <v>-3.4316254579303318E-2</v>
      </c>
      <c r="AH157" s="691"/>
      <c r="AI157" s="691"/>
      <c r="AJ157" s="691"/>
      <c r="AK157" s="4"/>
    </row>
    <row r="158" spans="2:37" x14ac:dyDescent="0.25">
      <c r="B158">
        <v>2027</v>
      </c>
      <c r="C158" s="690">
        <v>104171.022</v>
      </c>
      <c r="D158" s="690"/>
      <c r="E158" s="690">
        <v>12655.021000000001</v>
      </c>
      <c r="F158" s="690">
        <v>65174.366999999998</v>
      </c>
      <c r="G158" s="690">
        <v>13964.588</v>
      </c>
      <c r="H158" s="690">
        <v>4790.7347</v>
      </c>
      <c r="I158" s="690">
        <v>30318.856999999996</v>
      </c>
      <c r="J158" s="691"/>
      <c r="K158" s="691"/>
      <c r="L158" s="691"/>
      <c r="M158" s="692"/>
      <c r="N158">
        <v>2027</v>
      </c>
      <c r="O158" s="690">
        <v>112277.30099999999</v>
      </c>
      <c r="P158" s="690"/>
      <c r="Q158" s="690">
        <v>10931.771000000001</v>
      </c>
      <c r="R158" s="690">
        <v>62601.091</v>
      </c>
      <c r="S158" s="690">
        <v>13900.398999999999</v>
      </c>
      <c r="T158" s="690">
        <v>4792.2969000000003</v>
      </c>
      <c r="U158" s="690">
        <v>28398.309000000001</v>
      </c>
      <c r="V158" s="691"/>
      <c r="W158" s="691"/>
      <c r="X158" s="691"/>
      <c r="Y158" s="692"/>
      <c r="Z158">
        <v>2027</v>
      </c>
      <c r="AA158" s="626">
        <f t="shared" si="28"/>
        <v>7.7817024776813515E-2</v>
      </c>
      <c r="AB158" s="626" t="e">
        <f t="shared" si="28"/>
        <v>#DIV/0!</v>
      </c>
      <c r="AC158" s="626">
        <f t="shared" si="28"/>
        <v>-0.13617124776007883</v>
      </c>
      <c r="AD158" s="626">
        <f t="shared" si="28"/>
        <v>-3.9482945802910452E-2</v>
      </c>
      <c r="AE158" s="626">
        <f t="shared" si="28"/>
        <v>-4.5965552295563761E-3</v>
      </c>
      <c r="AF158" s="626">
        <f t="shared" si="28"/>
        <v>3.2608777104692344E-4</v>
      </c>
      <c r="AG158" s="626">
        <f t="shared" si="28"/>
        <v>-6.334500010999744E-2</v>
      </c>
      <c r="AH158" s="691"/>
      <c r="AI158" s="691"/>
      <c r="AJ158" s="691"/>
      <c r="AK158" s="4"/>
    </row>
    <row r="159" spans="2:37" x14ac:dyDescent="0.25">
      <c r="B159">
        <v>2028</v>
      </c>
      <c r="C159" s="690">
        <v>103475.391</v>
      </c>
      <c r="D159" s="690"/>
      <c r="E159" s="690">
        <v>13505.728999999999</v>
      </c>
      <c r="F159" s="690">
        <v>64431.45</v>
      </c>
      <c r="G159" s="690">
        <v>14059.447</v>
      </c>
      <c r="H159" s="690">
        <v>4776.5896000000002</v>
      </c>
      <c r="I159" s="690">
        <v>29417.939000000002</v>
      </c>
      <c r="J159" s="691"/>
      <c r="K159" s="691"/>
      <c r="L159" s="691"/>
      <c r="M159" s="692"/>
      <c r="N159">
        <v>2028</v>
      </c>
      <c r="O159" s="690">
        <v>111855.56</v>
      </c>
      <c r="P159" s="690"/>
      <c r="Q159" s="690">
        <v>11989.844999999999</v>
      </c>
      <c r="R159" s="690">
        <v>62123.999999999993</v>
      </c>
      <c r="S159" s="690">
        <v>14022.843000000001</v>
      </c>
      <c r="T159" s="690">
        <v>4777.7663000000002</v>
      </c>
      <c r="U159" s="690">
        <v>26656.986000000001</v>
      </c>
      <c r="V159" s="691"/>
      <c r="W159" s="691"/>
      <c r="X159" s="691"/>
      <c r="Y159" s="692"/>
      <c r="Z159">
        <v>2028</v>
      </c>
      <c r="AA159" s="626">
        <f t="shared" si="28"/>
        <v>8.0987072568781127E-2</v>
      </c>
      <c r="AB159" s="626" t="e">
        <f t="shared" si="28"/>
        <v>#DIV/0!</v>
      </c>
      <c r="AC159" s="626">
        <f t="shared" si="28"/>
        <v>-0.11224007234263322</v>
      </c>
      <c r="AD159" s="626">
        <f t="shared" si="28"/>
        <v>-3.5812479775016781E-2</v>
      </c>
      <c r="AE159" s="626">
        <f t="shared" si="28"/>
        <v>-2.6035163402940986E-3</v>
      </c>
      <c r="AF159" s="626">
        <f t="shared" si="28"/>
        <v>2.463473102232161E-4</v>
      </c>
      <c r="AG159" s="626">
        <f t="shared" si="28"/>
        <v>-9.385269987812539E-2</v>
      </c>
      <c r="AH159" s="691"/>
      <c r="AI159" s="691"/>
      <c r="AJ159" s="691"/>
      <c r="AK159" s="4"/>
    </row>
    <row r="160" spans="2:37" x14ac:dyDescent="0.25">
      <c r="B160">
        <v>2029</v>
      </c>
      <c r="C160" s="690">
        <v>102868.57999999999</v>
      </c>
      <c r="D160" s="690"/>
      <c r="E160" s="690">
        <v>14297.594000000001</v>
      </c>
      <c r="F160" s="690">
        <v>63639.578999999998</v>
      </c>
      <c r="G160" s="690">
        <v>14152.11</v>
      </c>
      <c r="H160" s="690">
        <v>4762.2830000000004</v>
      </c>
      <c r="I160" s="690">
        <v>28589.421999999999</v>
      </c>
      <c r="J160" s="691"/>
      <c r="K160" s="691"/>
      <c r="L160" s="691"/>
      <c r="M160" s="692"/>
      <c r="N160">
        <v>2029</v>
      </c>
      <c r="O160" s="690">
        <v>111275.102</v>
      </c>
      <c r="P160" s="690"/>
      <c r="Q160" s="690">
        <v>13139.361000000001</v>
      </c>
      <c r="R160" s="690">
        <v>61591.233999999989</v>
      </c>
      <c r="S160" s="690">
        <v>14138.883</v>
      </c>
      <c r="T160" s="690">
        <v>4763.5603000000001</v>
      </c>
      <c r="U160" s="690">
        <v>24987.646000000001</v>
      </c>
      <c r="V160" s="691"/>
      <c r="W160" s="691"/>
      <c r="X160" s="691"/>
      <c r="Y160" s="692"/>
      <c r="Z160">
        <v>2029</v>
      </c>
      <c r="AA160" s="626">
        <f t="shared" si="28"/>
        <v>8.1720988080131063E-2</v>
      </c>
      <c r="AB160" s="626" t="e">
        <f t="shared" si="28"/>
        <v>#DIV/0!</v>
      </c>
      <c r="AC160" s="626">
        <f t="shared" si="28"/>
        <v>-8.1008944581864584E-2</v>
      </c>
      <c r="AD160" s="626">
        <f t="shared" si="28"/>
        <v>-3.2186652271851246E-2</v>
      </c>
      <c r="AE160" s="626">
        <f t="shared" si="28"/>
        <v>-9.34630949024573E-4</v>
      </c>
      <c r="AF160" s="626">
        <f t="shared" si="28"/>
        <v>2.6821169594493099E-4</v>
      </c>
      <c r="AG160" s="626">
        <f t="shared" si="28"/>
        <v>-0.12598281979957471</v>
      </c>
      <c r="AH160" s="691"/>
      <c r="AI160" s="691"/>
      <c r="AJ160" s="691"/>
      <c r="AK160" s="4"/>
    </row>
    <row r="161" spans="2:37" x14ac:dyDescent="0.25">
      <c r="B161">
        <v>2030</v>
      </c>
      <c r="C161" s="690">
        <v>102252.348</v>
      </c>
      <c r="D161" s="690"/>
      <c r="E161" s="690">
        <v>15088.766</v>
      </c>
      <c r="F161" s="690">
        <v>62810.09599999999</v>
      </c>
      <c r="G161" s="690">
        <v>14238.727999999999</v>
      </c>
      <c r="H161" s="690">
        <v>4748.0032000000001</v>
      </c>
      <c r="I161" s="690">
        <v>27831.040000000001</v>
      </c>
      <c r="J161" s="691"/>
      <c r="K161" s="691"/>
      <c r="L161" s="691"/>
      <c r="M161" s="692"/>
      <c r="N161">
        <v>2030</v>
      </c>
      <c r="O161" s="690">
        <v>110636.07399999999</v>
      </c>
      <c r="P161" s="690"/>
      <c r="Q161" s="690">
        <v>14386.068999999998</v>
      </c>
      <c r="R161" s="690">
        <v>60976.167999999998</v>
      </c>
      <c r="S161" s="690">
        <v>14246.529</v>
      </c>
      <c r="T161" s="690">
        <v>4749.2660999999998</v>
      </c>
      <c r="U161" s="690">
        <v>23345.251</v>
      </c>
      <c r="V161" s="691"/>
      <c r="W161" s="691"/>
      <c r="X161" s="691"/>
      <c r="Y161" s="692"/>
      <c r="Z161">
        <v>2030</v>
      </c>
      <c r="AA161" s="626">
        <f t="shared" si="28"/>
        <v>8.1990547542243108E-2</v>
      </c>
      <c r="AB161" s="626" t="e">
        <f t="shared" si="28"/>
        <v>#DIV/0!</v>
      </c>
      <c r="AC161" s="626">
        <f t="shared" si="28"/>
        <v>-4.6570872661157448E-2</v>
      </c>
      <c r="AD161" s="626">
        <f t="shared" si="28"/>
        <v>-2.9197981165320797E-2</v>
      </c>
      <c r="AE161" s="626">
        <f t="shared" si="28"/>
        <v>5.4787197283356903E-4</v>
      </c>
      <c r="AF161" s="626">
        <f t="shared" si="28"/>
        <v>2.659854989144339E-4</v>
      </c>
      <c r="AG161" s="626">
        <f t="shared" si="28"/>
        <v>-0.16117935226279723</v>
      </c>
      <c r="AH161" s="691"/>
      <c r="AI161" s="691"/>
      <c r="AJ161" s="691"/>
      <c r="AK161" s="4"/>
    </row>
    <row r="162" spans="2:37" x14ac:dyDescent="0.25">
      <c r="B162">
        <v>2031</v>
      </c>
      <c r="C162" s="690">
        <v>101575.97200000001</v>
      </c>
      <c r="D162" s="690"/>
      <c r="E162" s="690">
        <v>15870.708000000001</v>
      </c>
      <c r="F162" s="690">
        <v>61961.190999999999</v>
      </c>
      <c r="G162" s="690">
        <v>14321.777000000002</v>
      </c>
      <c r="H162" s="690">
        <v>4733.7011000000002</v>
      </c>
      <c r="I162" s="690">
        <v>27189.352999999999</v>
      </c>
      <c r="J162" s="691"/>
      <c r="K162" s="691"/>
      <c r="L162" s="691"/>
      <c r="M162" s="692"/>
      <c r="N162">
        <v>2031</v>
      </c>
      <c r="O162" s="690">
        <v>109993.087</v>
      </c>
      <c r="P162" s="690"/>
      <c r="Q162" s="690">
        <v>15743.760000000002</v>
      </c>
      <c r="R162" s="690">
        <v>60282.594999999994</v>
      </c>
      <c r="S162" s="690">
        <v>14345.234</v>
      </c>
      <c r="T162" s="690">
        <v>4734.9369999999999</v>
      </c>
      <c r="U162" s="690">
        <v>21744.496999999999</v>
      </c>
      <c r="V162" s="691"/>
      <c r="W162" s="691"/>
      <c r="X162" s="691"/>
      <c r="Y162" s="692"/>
      <c r="Z162">
        <v>2031</v>
      </c>
      <c r="AA162" s="626">
        <f t="shared" si="28"/>
        <v>8.2865217376408618E-2</v>
      </c>
      <c r="AB162" s="626" t="e">
        <f t="shared" si="28"/>
        <v>#DIV/0!</v>
      </c>
      <c r="AC162" s="626">
        <f t="shared" si="28"/>
        <v>-7.998887006175015E-3</v>
      </c>
      <c r="AD162" s="626">
        <f t="shared" si="28"/>
        <v>-2.7091086741699466E-2</v>
      </c>
      <c r="AE162" s="626">
        <f t="shared" si="28"/>
        <v>1.6378554141709412E-3</v>
      </c>
      <c r="AF162" s="626">
        <f t="shared" si="28"/>
        <v>2.6108534820656892E-4</v>
      </c>
      <c r="AG162" s="626">
        <f t="shared" si="28"/>
        <v>-0.20025691674237334</v>
      </c>
      <c r="AH162" s="691"/>
      <c r="AI162" s="691"/>
      <c r="AJ162" s="691"/>
      <c r="AK162" s="4"/>
    </row>
    <row r="163" spans="2:37" x14ac:dyDescent="0.25">
      <c r="B163">
        <v>2032</v>
      </c>
      <c r="C163" s="690">
        <v>100820.92199999999</v>
      </c>
      <c r="D163" s="690"/>
      <c r="E163" s="690">
        <v>16685.916000000001</v>
      </c>
      <c r="F163" s="690">
        <v>61103.608</v>
      </c>
      <c r="G163" s="690">
        <v>14398.718999999999</v>
      </c>
      <c r="H163" s="690">
        <v>4719.3200999999999</v>
      </c>
      <c r="I163" s="690">
        <v>26613.26</v>
      </c>
      <c r="J163" s="691"/>
      <c r="K163" s="691"/>
      <c r="L163" s="691"/>
      <c r="M163" s="692"/>
      <c r="N163">
        <v>2032</v>
      </c>
      <c r="O163" s="690">
        <v>109045.24</v>
      </c>
      <c r="P163" s="690"/>
      <c r="Q163" s="690">
        <v>17144.116000000002</v>
      </c>
      <c r="R163" s="690">
        <v>59485.12999999999</v>
      </c>
      <c r="S163" s="690">
        <v>14434.18</v>
      </c>
      <c r="T163" s="690">
        <v>4720.5964000000004</v>
      </c>
      <c r="U163" s="690">
        <v>20468.623</v>
      </c>
      <c r="V163" s="691"/>
      <c r="W163" s="691"/>
      <c r="X163" s="691"/>
      <c r="Y163" s="692"/>
      <c r="Z163">
        <v>2032</v>
      </c>
      <c r="AA163" s="626">
        <f t="shared" si="28"/>
        <v>8.1573524987204715E-2</v>
      </c>
      <c r="AB163" s="626" t="e">
        <f t="shared" si="28"/>
        <v>#DIV/0!</v>
      </c>
      <c r="AC163" s="626">
        <f t="shared" si="28"/>
        <v>2.7460284469848828E-2</v>
      </c>
      <c r="AD163" s="626">
        <f t="shared" si="28"/>
        <v>-2.6487437533967095E-2</v>
      </c>
      <c r="AE163" s="626">
        <f t="shared" si="28"/>
        <v>2.4627885300074759E-3</v>
      </c>
      <c r="AF163" s="626">
        <f t="shared" si="28"/>
        <v>2.7044149855415256E-4</v>
      </c>
      <c r="AG163" s="626">
        <f t="shared" si="28"/>
        <v>-0.23088629502736602</v>
      </c>
      <c r="AH163" s="691"/>
      <c r="AI163" s="691"/>
      <c r="AJ163" s="691"/>
      <c r="AK163" s="4"/>
    </row>
    <row r="164" spans="2:37" x14ac:dyDescent="0.25">
      <c r="B164">
        <v>2033</v>
      </c>
      <c r="C164" s="690">
        <v>100105.23700000001</v>
      </c>
      <c r="D164" s="690"/>
      <c r="E164" s="690">
        <v>17520.345000000001</v>
      </c>
      <c r="F164" s="690">
        <v>60238.438000000002</v>
      </c>
      <c r="G164" s="690">
        <v>14476.100000000002</v>
      </c>
      <c r="H164" s="690">
        <v>4705.0460999999996</v>
      </c>
      <c r="I164" s="690">
        <v>26059.053</v>
      </c>
      <c r="J164" s="691"/>
      <c r="K164" s="691"/>
      <c r="L164" s="691"/>
      <c r="M164" s="692"/>
      <c r="N164">
        <v>2033</v>
      </c>
      <c r="O164" s="690">
        <v>108285.77900000001</v>
      </c>
      <c r="P164" s="690"/>
      <c r="Q164" s="690">
        <v>18367.938999999998</v>
      </c>
      <c r="R164" s="690">
        <v>58712.011000000006</v>
      </c>
      <c r="S164" s="690">
        <v>14520.978999999998</v>
      </c>
      <c r="T164" s="690">
        <v>4706.2061000000003</v>
      </c>
      <c r="U164" s="690">
        <v>19281.232</v>
      </c>
      <c r="V164" s="691"/>
      <c r="W164" s="691"/>
      <c r="X164" s="691"/>
      <c r="Y164" s="692"/>
      <c r="Z164">
        <v>2033</v>
      </c>
      <c r="AA164" s="626">
        <f t="shared" si="28"/>
        <v>8.1719420932992781E-2</v>
      </c>
      <c r="AB164" s="626" t="e">
        <f t="shared" si="28"/>
        <v>#DIV/0!</v>
      </c>
      <c r="AC164" s="626">
        <f t="shared" si="28"/>
        <v>4.8377700324964801E-2</v>
      </c>
      <c r="AD164" s="626">
        <f t="shared" si="28"/>
        <v>-2.5339750675474004E-2</v>
      </c>
      <c r="AE164" s="626">
        <f t="shared" si="28"/>
        <v>3.1002134552811089E-3</v>
      </c>
      <c r="AF164" s="626">
        <f t="shared" si="28"/>
        <v>2.4654381176003604E-4</v>
      </c>
      <c r="AG164" s="626">
        <f t="shared" si="28"/>
        <v>-0.26009467803760944</v>
      </c>
      <c r="AH164" s="691"/>
      <c r="AI164" s="691"/>
      <c r="AJ164" s="691"/>
      <c r="AK164" s="4"/>
    </row>
    <row r="165" spans="2:37" x14ac:dyDescent="0.25">
      <c r="B165">
        <v>2034</v>
      </c>
      <c r="C165" s="690">
        <v>99517.457999999999</v>
      </c>
      <c r="D165" s="690"/>
      <c r="E165" s="690">
        <v>18346.348000000002</v>
      </c>
      <c r="F165" s="690">
        <v>59380.375</v>
      </c>
      <c r="G165" s="690">
        <v>14554.938</v>
      </c>
      <c r="H165" s="690">
        <v>4690.6383999999998</v>
      </c>
      <c r="I165" s="690">
        <v>25480.366000000002</v>
      </c>
      <c r="J165" s="691"/>
      <c r="K165" s="691"/>
      <c r="L165" s="691"/>
      <c r="M165" s="692"/>
      <c r="N165">
        <v>2034</v>
      </c>
      <c r="O165" s="690">
        <v>107422.149</v>
      </c>
      <c r="P165" s="690"/>
      <c r="Q165" s="690">
        <v>19612.012999999999</v>
      </c>
      <c r="R165" s="690">
        <v>57969.038000000008</v>
      </c>
      <c r="S165" s="690">
        <v>14601.624</v>
      </c>
      <c r="T165" s="690">
        <v>4691.7420000000002</v>
      </c>
      <c r="U165" s="690">
        <v>18232.952000000001</v>
      </c>
      <c r="V165" s="691"/>
      <c r="W165" s="691"/>
      <c r="X165" s="691"/>
      <c r="Y165" s="692"/>
      <c r="Z165">
        <v>2034</v>
      </c>
      <c r="AA165" s="626">
        <f t="shared" si="28"/>
        <v>7.9430194046958169E-2</v>
      </c>
      <c r="AB165" s="626" t="e">
        <f t="shared" si="28"/>
        <v>#DIV/0!</v>
      </c>
      <c r="AC165" s="626">
        <f t="shared" si="28"/>
        <v>6.8987299270677482E-2</v>
      </c>
      <c r="AD165" s="626">
        <f t="shared" si="28"/>
        <v>-2.3767734710331334E-2</v>
      </c>
      <c r="AE165" s="626">
        <f t="shared" si="28"/>
        <v>3.2075712036698789E-3</v>
      </c>
      <c r="AF165" s="626">
        <f t="shared" si="28"/>
        <v>2.3527714265947353E-4</v>
      </c>
      <c r="AG165" s="626">
        <f t="shared" si="28"/>
        <v>-0.28443131468362737</v>
      </c>
      <c r="AH165" s="691"/>
      <c r="AI165" s="691"/>
      <c r="AJ165" s="691"/>
      <c r="AK165" s="4"/>
    </row>
    <row r="166" spans="2:37" x14ac:dyDescent="0.25">
      <c r="B166">
        <v>2035</v>
      </c>
      <c r="C166" s="690">
        <v>98908.168000000005</v>
      </c>
      <c r="D166" s="690"/>
      <c r="E166" s="690">
        <v>19142.655999999999</v>
      </c>
      <c r="F166" s="690">
        <v>58505.983000000007</v>
      </c>
      <c r="G166" s="690">
        <v>14642.664000000001</v>
      </c>
      <c r="H166" s="690">
        <v>4676.0946000000004</v>
      </c>
      <c r="I166" s="690">
        <v>24967.164000000001</v>
      </c>
      <c r="J166" s="691"/>
      <c r="K166" s="691"/>
      <c r="L166" s="691"/>
      <c r="M166" s="692"/>
      <c r="N166">
        <v>2035</v>
      </c>
      <c r="O166" s="690">
        <v>106703.70400000001</v>
      </c>
      <c r="P166" s="690"/>
      <c r="Q166" s="690">
        <v>20747.072</v>
      </c>
      <c r="R166" s="690">
        <v>57221.976000000002</v>
      </c>
      <c r="S166" s="690">
        <v>14681.148000000001</v>
      </c>
      <c r="T166" s="690">
        <v>4677.2821000000004</v>
      </c>
      <c r="U166" s="690">
        <v>17311.186000000002</v>
      </c>
      <c r="V166" s="691"/>
      <c r="W166" s="691"/>
      <c r="X166" s="691"/>
      <c r="Y166" s="692"/>
      <c r="Z166">
        <v>2035</v>
      </c>
      <c r="AA166" s="626">
        <f t="shared" si="28"/>
        <v>7.8815897186570227E-2</v>
      </c>
      <c r="AB166" s="626" t="e">
        <f t="shared" si="28"/>
        <v>#DIV/0!</v>
      </c>
      <c r="AC166" s="626">
        <f t="shared" si="28"/>
        <v>8.3813656788274349E-2</v>
      </c>
      <c r="AD166" s="626">
        <f t="shared" si="28"/>
        <v>-2.194659305185942E-2</v>
      </c>
      <c r="AE166" s="626">
        <f t="shared" si="28"/>
        <v>2.6282102764907389E-3</v>
      </c>
      <c r="AF166" s="626">
        <f t="shared" si="28"/>
        <v>2.539512352894846E-4</v>
      </c>
      <c r="AG166" s="626">
        <f t="shared" si="28"/>
        <v>-0.30664187570522627</v>
      </c>
      <c r="AH166" s="691"/>
      <c r="AI166" s="691"/>
      <c r="AJ166" s="691"/>
      <c r="AK166" s="4"/>
    </row>
  </sheetData>
  <mergeCells count="38">
    <mergeCell ref="B137:L137"/>
    <mergeCell ref="N137:X137"/>
    <mergeCell ref="Z137:AJ137"/>
    <mergeCell ref="C103:G103"/>
    <mergeCell ref="J103:N103"/>
    <mergeCell ref="Q103:U103"/>
    <mergeCell ref="B136:L136"/>
    <mergeCell ref="N136:X136"/>
    <mergeCell ref="Z136:AJ136"/>
    <mergeCell ref="AP64:AR64"/>
    <mergeCell ref="AT64:AV64"/>
    <mergeCell ref="AX64:AX65"/>
    <mergeCell ref="BL64:BL65"/>
    <mergeCell ref="B101:G101"/>
    <mergeCell ref="I101:N101"/>
    <mergeCell ref="P101:U101"/>
    <mergeCell ref="B64:B65"/>
    <mergeCell ref="J64:J65"/>
    <mergeCell ref="R64:R65"/>
    <mergeCell ref="Z64:Z65"/>
    <mergeCell ref="AH64:AJ64"/>
    <mergeCell ref="AL64:AN64"/>
    <mergeCell ref="B62:CA62"/>
    <mergeCell ref="B63:H63"/>
    <mergeCell ref="J63:P63"/>
    <mergeCell ref="R63:X63"/>
    <mergeCell ref="Z63:AF63"/>
    <mergeCell ref="AH63:AR63"/>
    <mergeCell ref="AT63:BE63"/>
    <mergeCell ref="BG63:BJ63"/>
    <mergeCell ref="BL63:BR63"/>
    <mergeCell ref="BV63:CA63"/>
    <mergeCell ref="B30:H30"/>
    <mergeCell ref="J30:P30"/>
    <mergeCell ref="R30:X30"/>
    <mergeCell ref="C32:H32"/>
    <mergeCell ref="K32:P32"/>
    <mergeCell ref="S32:X32"/>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64"/>
  <sheetViews>
    <sheetView zoomScale="70" zoomScaleNormal="70" workbookViewId="0">
      <selection activeCell="L5" sqref="L5"/>
    </sheetView>
  </sheetViews>
  <sheetFormatPr baseColWidth="10" defaultColWidth="11.5703125" defaultRowHeight="15" x14ac:dyDescent="0.25"/>
  <cols>
    <col min="1" max="1" width="11.5703125" style="26"/>
    <col min="2" max="2" width="46.42578125" style="26" customWidth="1"/>
    <col min="3" max="11" width="11.5703125" style="26"/>
    <col min="12" max="12" width="36.85546875" style="26" customWidth="1"/>
    <col min="13" max="13" width="15.85546875" style="26" customWidth="1"/>
    <col min="14" max="14" width="12.28515625" style="26" customWidth="1"/>
    <col min="15" max="18" width="11.5703125" style="26"/>
    <col min="19" max="19" width="11.42578125" style="26" customWidth="1"/>
    <col min="20" max="16384" width="11.5703125" style="26"/>
  </cols>
  <sheetData>
    <row r="1" spans="1:43" x14ac:dyDescent="0.25">
      <c r="I1" s="496"/>
      <c r="J1" s="496"/>
      <c r="R1" s="496"/>
      <c r="S1" s="496"/>
      <c r="T1" s="496"/>
      <c r="U1" s="496"/>
      <c r="V1" s="496"/>
      <c r="W1" s="496"/>
      <c r="X1" s="496"/>
      <c r="Y1" s="496"/>
      <c r="Z1" s="496"/>
      <c r="AA1" s="496"/>
      <c r="AB1" s="496"/>
      <c r="AC1" s="496"/>
      <c r="AD1" s="496"/>
      <c r="AE1" s="496"/>
      <c r="AF1" s="496"/>
      <c r="AG1" s="496"/>
      <c r="AH1" s="496"/>
      <c r="AI1" s="496"/>
      <c r="AJ1" s="496"/>
      <c r="AK1" s="496"/>
      <c r="AL1" s="496"/>
      <c r="AM1" s="496"/>
      <c r="AN1" s="496"/>
      <c r="AO1" s="496"/>
      <c r="AP1" s="496"/>
      <c r="AQ1" s="496"/>
    </row>
    <row r="2" spans="1:43" x14ac:dyDescent="0.25">
      <c r="A2" s="496"/>
      <c r="B2" s="496"/>
      <c r="C2" s="496"/>
      <c r="D2" s="496"/>
      <c r="E2" s="496"/>
      <c r="F2" s="496"/>
      <c r="G2" s="496"/>
      <c r="H2" s="496"/>
      <c r="I2" s="496"/>
      <c r="J2" s="496"/>
      <c r="K2" s="496"/>
      <c r="L2" s="496"/>
      <c r="M2" s="496"/>
      <c r="N2" s="496"/>
      <c r="O2" s="496"/>
      <c r="P2" s="496"/>
      <c r="Q2" s="496"/>
      <c r="R2" s="500"/>
      <c r="S2" s="500"/>
      <c r="T2" s="500"/>
      <c r="U2" s="500"/>
      <c r="V2" s="496"/>
      <c r="W2" s="496"/>
      <c r="X2" s="496"/>
      <c r="Y2" s="496"/>
      <c r="Z2" s="496"/>
      <c r="AA2" s="496"/>
      <c r="AB2" s="496"/>
      <c r="AC2" s="496"/>
      <c r="AD2" s="496"/>
      <c r="AE2" s="496"/>
      <c r="AF2" s="496"/>
      <c r="AG2" s="496"/>
      <c r="AH2" s="496"/>
      <c r="AI2" s="496"/>
      <c r="AJ2" s="496"/>
      <c r="AK2" s="496"/>
      <c r="AL2" s="496"/>
      <c r="AM2" s="496"/>
      <c r="AN2" s="496"/>
      <c r="AO2" s="496"/>
      <c r="AP2" s="496"/>
      <c r="AQ2" s="496"/>
    </row>
    <row r="3" spans="1:43" ht="23.25" x14ac:dyDescent="0.35">
      <c r="A3" s="851" t="s">
        <v>0</v>
      </c>
      <c r="B3" s="851"/>
      <c r="C3" s="851"/>
      <c r="D3" s="851"/>
      <c r="E3" s="851"/>
      <c r="F3" s="851"/>
      <c r="G3" s="851"/>
      <c r="H3" s="496"/>
      <c r="I3" s="496"/>
      <c r="J3" s="496"/>
      <c r="K3" s="851" t="s">
        <v>1</v>
      </c>
      <c r="L3" s="851"/>
      <c r="M3" s="851"/>
      <c r="N3" s="851"/>
      <c r="O3" s="851"/>
      <c r="P3" s="851"/>
      <c r="Q3" s="851"/>
      <c r="R3" s="500"/>
      <c r="S3" s="500"/>
      <c r="T3" s="500"/>
      <c r="U3" s="500"/>
      <c r="V3" s="496"/>
      <c r="W3" s="496"/>
      <c r="X3" s="496"/>
      <c r="Y3" s="496"/>
      <c r="Z3" s="496"/>
      <c r="AA3" s="496"/>
      <c r="AB3" s="496"/>
      <c r="AC3" s="496"/>
      <c r="AD3" s="496"/>
      <c r="AE3" s="496"/>
      <c r="AF3" s="496"/>
      <c r="AG3" s="496"/>
      <c r="AH3" s="496"/>
      <c r="AI3" s="496"/>
      <c r="AJ3" s="496"/>
      <c r="AK3" s="496"/>
      <c r="AL3" s="496"/>
      <c r="AM3" s="496"/>
      <c r="AN3" s="496"/>
      <c r="AO3" s="496"/>
      <c r="AP3" s="496"/>
      <c r="AQ3" s="496"/>
    </row>
    <row r="4" spans="1:43" x14ac:dyDescent="0.25">
      <c r="A4" s="496"/>
      <c r="B4" s="496"/>
      <c r="C4" s="496"/>
      <c r="D4" s="496"/>
      <c r="E4" s="496"/>
      <c r="F4" s="496"/>
      <c r="G4" s="496"/>
      <c r="H4" s="695"/>
      <c r="I4" s="496"/>
      <c r="J4" s="496"/>
      <c r="K4" s="496"/>
      <c r="L4" s="496"/>
      <c r="M4" s="496"/>
      <c r="N4" s="496"/>
      <c r="O4" s="496"/>
      <c r="P4" s="496"/>
      <c r="Q4" s="496"/>
      <c r="R4" s="500"/>
      <c r="S4" s="500"/>
      <c r="T4" s="500"/>
      <c r="U4" s="500"/>
      <c r="V4" s="496"/>
      <c r="W4" s="496"/>
      <c r="X4" s="496"/>
      <c r="Y4" s="496"/>
      <c r="Z4" s="496"/>
      <c r="AA4" s="496"/>
      <c r="AB4" s="496"/>
      <c r="AC4" s="496"/>
      <c r="AD4" s="496"/>
      <c r="AE4" s="496"/>
      <c r="AF4" s="496"/>
      <c r="AG4" s="496"/>
      <c r="AH4" s="496"/>
      <c r="AI4" s="496"/>
      <c r="AJ4" s="496"/>
      <c r="AK4" s="496"/>
      <c r="AL4" s="496"/>
      <c r="AM4" s="496"/>
      <c r="AN4" s="496"/>
      <c r="AO4" s="496"/>
      <c r="AP4" s="496"/>
      <c r="AQ4" s="496"/>
    </row>
    <row r="5" spans="1:43" x14ac:dyDescent="0.25">
      <c r="A5" s="496"/>
      <c r="B5" s="496"/>
      <c r="C5" s="496"/>
      <c r="D5" s="496"/>
      <c r="E5" s="496"/>
      <c r="F5" s="496"/>
      <c r="G5" s="496"/>
      <c r="H5" s="540"/>
      <c r="I5" s="496"/>
      <c r="J5" s="496"/>
      <c r="K5" s="496"/>
      <c r="L5" s="496"/>
      <c r="M5" s="496"/>
      <c r="N5" s="496"/>
      <c r="O5" s="496"/>
      <c r="P5" s="496"/>
      <c r="Q5" s="496"/>
      <c r="R5" s="496"/>
      <c r="S5" s="696"/>
      <c r="T5" s="696"/>
      <c r="U5" s="696"/>
      <c r="V5" s="696"/>
      <c r="W5" s="696"/>
      <c r="X5" s="696"/>
      <c r="Y5" s="696"/>
      <c r="Z5" s="696"/>
      <c r="AA5" s="496"/>
      <c r="AB5" s="496"/>
      <c r="AC5" s="496"/>
      <c r="AD5" s="496"/>
      <c r="AE5" s="496"/>
      <c r="AF5" s="496"/>
      <c r="AG5" s="496"/>
      <c r="AH5" s="496"/>
      <c r="AI5" s="496"/>
      <c r="AJ5" s="496"/>
      <c r="AK5" s="496"/>
      <c r="AL5" s="496"/>
      <c r="AM5" s="496"/>
      <c r="AN5" s="496"/>
      <c r="AO5" s="496"/>
      <c r="AP5" s="496"/>
      <c r="AQ5" s="496"/>
    </row>
    <row r="6" spans="1:43" ht="21" x14ac:dyDescent="0.35">
      <c r="A6" s="499" t="s">
        <v>269</v>
      </c>
      <c r="B6" s="499"/>
      <c r="C6" s="499"/>
      <c r="D6" s="499"/>
      <c r="E6" s="499"/>
      <c r="F6" s="499"/>
      <c r="G6" s="499"/>
      <c r="H6" s="496"/>
      <c r="I6" s="496"/>
      <c r="J6" s="496"/>
      <c r="K6" s="499" t="s">
        <v>269</v>
      </c>
      <c r="L6" s="499"/>
      <c r="M6" s="499"/>
      <c r="N6" s="499"/>
      <c r="O6" s="499"/>
      <c r="P6" s="499"/>
      <c r="Q6" s="499"/>
      <c r="R6" s="496"/>
      <c r="S6" s="696"/>
      <c r="T6" s="696"/>
      <c r="U6" s="696"/>
      <c r="V6" s="696"/>
      <c r="W6" s="696"/>
      <c r="X6" s="696"/>
      <c r="Y6" s="696"/>
      <c r="Z6" s="696"/>
      <c r="AA6" s="496"/>
      <c r="AB6" s="496"/>
      <c r="AC6" s="496"/>
      <c r="AD6" s="496"/>
      <c r="AE6" s="496"/>
      <c r="AF6" s="496"/>
      <c r="AG6" s="496"/>
      <c r="AH6" s="496"/>
      <c r="AI6" s="496"/>
      <c r="AJ6" s="496"/>
      <c r="AK6" s="496"/>
      <c r="AL6" s="496"/>
      <c r="AM6" s="496"/>
      <c r="AN6" s="496"/>
      <c r="AO6" s="496"/>
      <c r="AP6" s="496"/>
      <c r="AQ6" s="496"/>
    </row>
    <row r="7" spans="1:43" x14ac:dyDescent="0.25">
      <c r="A7" s="496"/>
      <c r="B7" s="496"/>
      <c r="C7" s="496"/>
      <c r="D7" s="496"/>
      <c r="E7" s="496"/>
      <c r="F7" s="496"/>
      <c r="G7" s="496"/>
      <c r="H7" s="496"/>
      <c r="I7" s="496"/>
      <c r="J7" s="496"/>
      <c r="K7" s="496"/>
      <c r="L7" s="496"/>
      <c r="M7" s="496"/>
      <c r="N7" s="496"/>
      <c r="O7" s="496"/>
      <c r="P7" s="496"/>
      <c r="Q7" s="496"/>
      <c r="R7" s="496"/>
      <c r="S7" s="696"/>
      <c r="T7" s="696"/>
      <c r="U7" s="696"/>
      <c r="V7" s="696"/>
      <c r="W7" s="696"/>
      <c r="X7" s="696"/>
      <c r="Y7" s="696"/>
      <c r="Z7" s="696"/>
      <c r="AA7" s="496"/>
      <c r="AB7" s="496"/>
      <c r="AC7" s="496"/>
      <c r="AD7" s="496"/>
      <c r="AE7" s="496"/>
      <c r="AF7" s="496"/>
      <c r="AG7" s="496"/>
      <c r="AH7" s="496"/>
      <c r="AI7" s="496"/>
      <c r="AJ7" s="496"/>
      <c r="AK7" s="496"/>
      <c r="AL7" s="496"/>
      <c r="AM7" s="496"/>
      <c r="AN7" s="496"/>
      <c r="AO7" s="496"/>
      <c r="AP7" s="496"/>
      <c r="AQ7" s="496"/>
    </row>
    <row r="8" spans="1:43" ht="21" x14ac:dyDescent="0.35">
      <c r="A8" s="501" t="s">
        <v>270</v>
      </c>
      <c r="B8" s="501"/>
      <c r="C8" s="501"/>
      <c r="D8" s="501"/>
      <c r="E8" s="501"/>
      <c r="F8" s="501"/>
      <c r="G8" s="501"/>
      <c r="H8" s="496"/>
      <c r="I8" s="496"/>
      <c r="J8" s="496"/>
      <c r="K8" s="501" t="s">
        <v>270</v>
      </c>
      <c r="L8" s="501"/>
      <c r="M8" s="501"/>
      <c r="N8" s="501"/>
      <c r="O8" s="501"/>
      <c r="P8" s="501"/>
      <c r="Q8" s="501"/>
      <c r="R8" s="500"/>
      <c r="S8" s="702"/>
      <c r="T8" s="702"/>
      <c r="U8" s="696"/>
      <c r="V8" s="696"/>
      <c r="W8" s="696"/>
      <c r="X8" s="696"/>
      <c r="Y8" s="696"/>
      <c r="Z8" s="696"/>
      <c r="AA8" s="496"/>
      <c r="AB8" s="496"/>
      <c r="AC8" s="496"/>
      <c r="AD8" s="496"/>
      <c r="AE8" s="496"/>
      <c r="AF8" s="496"/>
      <c r="AG8" s="496"/>
      <c r="AH8" s="496"/>
      <c r="AI8" s="496"/>
      <c r="AJ8" s="496"/>
      <c r="AK8" s="496"/>
      <c r="AL8" s="496"/>
      <c r="AM8" s="496"/>
      <c r="AN8" s="496"/>
      <c r="AO8" s="496"/>
      <c r="AP8" s="496"/>
      <c r="AQ8" s="496"/>
    </row>
    <row r="9" spans="1:43" ht="15.75" thickBot="1" x14ac:dyDescent="0.3"/>
    <row r="10" spans="1:43" ht="15.75" thickBot="1" x14ac:dyDescent="0.3">
      <c r="A10" s="496"/>
      <c r="B10" s="517"/>
      <c r="C10" s="518" t="s">
        <v>76</v>
      </c>
      <c r="D10" s="518" t="s">
        <v>77</v>
      </c>
      <c r="E10" s="518" t="s">
        <v>78</v>
      </c>
      <c r="F10" s="519" t="s">
        <v>79</v>
      </c>
      <c r="G10" s="496"/>
      <c r="H10" s="496"/>
      <c r="I10" s="496"/>
      <c r="J10" s="496"/>
      <c r="K10" s="496"/>
      <c r="L10" s="517"/>
      <c r="M10" s="518" t="s">
        <v>76</v>
      </c>
      <c r="N10" s="518" t="s">
        <v>77</v>
      </c>
      <c r="O10" s="518" t="s">
        <v>78</v>
      </c>
      <c r="P10" s="519" t="s">
        <v>79</v>
      </c>
      <c r="Q10" s="500"/>
      <c r="R10" s="500"/>
      <c r="S10" s="702"/>
      <c r="T10" s="702"/>
      <c r="U10" s="696"/>
      <c r="V10" s="696"/>
      <c r="W10" s="696"/>
      <c r="X10" s="696"/>
      <c r="Y10" s="696"/>
      <c r="Z10" s="696"/>
      <c r="AA10" s="496"/>
      <c r="AB10" s="496"/>
      <c r="AC10" s="496"/>
      <c r="AD10" s="496"/>
      <c r="AE10" s="496"/>
      <c r="AF10" s="496"/>
      <c r="AG10" s="496"/>
      <c r="AH10" s="496"/>
      <c r="AI10" s="496"/>
      <c r="AJ10" s="496"/>
      <c r="AK10" s="496"/>
      <c r="AL10" s="496"/>
      <c r="AM10" s="496"/>
      <c r="AN10" s="496"/>
      <c r="AO10" s="496"/>
      <c r="AP10" s="496"/>
      <c r="AQ10" s="496"/>
    </row>
    <row r="11" spans="1:43" ht="15.75" thickBot="1" x14ac:dyDescent="0.3">
      <c r="A11" s="496"/>
      <c r="B11" s="503" t="s">
        <v>271</v>
      </c>
      <c r="C11" s="504"/>
      <c r="D11" s="504"/>
      <c r="E11" s="504"/>
      <c r="F11" s="704"/>
      <c r="G11" s="496"/>
      <c r="H11" s="496"/>
      <c r="I11" s="496"/>
      <c r="J11" s="496"/>
      <c r="K11" s="496"/>
      <c r="L11" s="503" t="s">
        <v>271</v>
      </c>
      <c r="M11" s="705">
        <v>44.08056006868469</v>
      </c>
      <c r="N11" s="705">
        <v>48.974531725151508</v>
      </c>
      <c r="O11" s="705">
        <v>67.951822066708417</v>
      </c>
      <c r="P11" s="706">
        <v>73.575919742217962</v>
      </c>
      <c r="Q11" s="500"/>
      <c r="R11" s="500"/>
      <c r="S11" s="702"/>
      <c r="T11" s="702"/>
      <c r="U11" s="696"/>
      <c r="V11" s="696"/>
      <c r="W11" s="696"/>
      <c r="X11" s="696"/>
      <c r="Y11" s="696"/>
      <c r="Z11" s="696"/>
      <c r="AA11" s="496"/>
      <c r="AB11" s="496"/>
      <c r="AC11" s="496"/>
      <c r="AD11" s="496"/>
      <c r="AE11" s="496"/>
      <c r="AF11" s="496"/>
      <c r="AG11" s="496"/>
      <c r="AH11" s="496"/>
      <c r="AI11" s="496"/>
      <c r="AJ11" s="496"/>
      <c r="AK11" s="496"/>
      <c r="AL11" s="496"/>
      <c r="AM11" s="496"/>
      <c r="AN11" s="496"/>
      <c r="AO11" s="496"/>
      <c r="AP11" s="496"/>
      <c r="AQ11" s="496"/>
    </row>
    <row r="12" spans="1:43" x14ac:dyDescent="0.25">
      <c r="Q12" s="703"/>
      <c r="R12" s="703"/>
      <c r="S12" s="702"/>
      <c r="T12" s="702"/>
      <c r="U12" s="696"/>
      <c r="V12" s="696"/>
      <c r="W12" s="696"/>
      <c r="X12" s="696"/>
      <c r="Y12" s="696"/>
      <c r="Z12" s="696"/>
    </row>
    <row r="13" spans="1:43" x14ac:dyDescent="0.25">
      <c r="A13" s="496"/>
      <c r="B13" s="496"/>
      <c r="C13" s="496"/>
      <c r="D13" s="496"/>
      <c r="E13" s="496"/>
      <c r="F13" s="496"/>
      <c r="G13" s="496"/>
      <c r="H13" s="496"/>
      <c r="I13" s="496"/>
      <c r="J13" s="496"/>
      <c r="K13" s="496"/>
      <c r="L13" s="496"/>
      <c r="M13" s="496"/>
      <c r="N13" s="496"/>
      <c r="O13" s="496"/>
      <c r="P13" s="496"/>
      <c r="Q13" s="500"/>
      <c r="R13" s="500"/>
      <c r="S13" s="702"/>
      <c r="T13" s="702"/>
      <c r="U13" s="696"/>
      <c r="V13" s="696"/>
      <c r="W13" s="696"/>
      <c r="X13" s="696"/>
      <c r="Y13" s="696"/>
      <c r="Z13" s="696"/>
      <c r="AA13" s="496"/>
      <c r="AB13" s="496"/>
      <c r="AC13" s="496"/>
      <c r="AD13" s="496"/>
      <c r="AE13" s="496"/>
      <c r="AF13" s="496"/>
      <c r="AG13" s="496"/>
      <c r="AH13" s="496"/>
      <c r="AI13" s="496"/>
      <c r="AJ13" s="496"/>
      <c r="AK13" s="496"/>
      <c r="AL13" s="496"/>
      <c r="AM13" s="496"/>
      <c r="AN13" s="496"/>
      <c r="AO13" s="496"/>
      <c r="AP13" s="496"/>
      <c r="AQ13" s="496"/>
    </row>
    <row r="14" spans="1:43" ht="21" x14ac:dyDescent="0.35">
      <c r="A14" s="501" t="s">
        <v>272</v>
      </c>
      <c r="B14" s="501"/>
      <c r="C14" s="501"/>
      <c r="D14" s="501"/>
      <c r="E14" s="501"/>
      <c r="F14" s="501"/>
      <c r="G14" s="501"/>
      <c r="H14" s="496"/>
      <c r="I14" s="496"/>
      <c r="J14" s="496"/>
      <c r="K14" s="501" t="s">
        <v>272</v>
      </c>
      <c r="L14" s="501"/>
      <c r="M14" s="501"/>
      <c r="N14" s="501"/>
      <c r="O14" s="501"/>
      <c r="P14" s="501"/>
      <c r="Q14" s="501"/>
      <c r="R14" s="500"/>
      <c r="S14" s="702"/>
      <c r="T14" s="702"/>
      <c r="U14" s="696"/>
      <c r="V14" s="696"/>
      <c r="W14" s="696"/>
      <c r="X14" s="696"/>
      <c r="Y14" s="696"/>
      <c r="Z14" s="696"/>
      <c r="AA14" s="496"/>
      <c r="AB14" s="496"/>
      <c r="AC14" s="496"/>
      <c r="AD14" s="496"/>
      <c r="AE14" s="496"/>
      <c r="AF14" s="496"/>
      <c r="AG14" s="496"/>
      <c r="AH14" s="496"/>
      <c r="AI14" s="496"/>
      <c r="AJ14" s="496"/>
      <c r="AK14" s="496"/>
      <c r="AL14" s="496"/>
      <c r="AM14" s="496"/>
      <c r="AN14" s="496"/>
      <c r="AO14" s="496"/>
      <c r="AP14" s="496"/>
      <c r="AQ14" s="496"/>
    </row>
    <row r="15" spans="1:43" ht="15.75" thickBot="1" x14ac:dyDescent="0.3">
      <c r="A15" s="496"/>
      <c r="B15" s="502"/>
      <c r="C15" s="496"/>
      <c r="D15" s="496"/>
      <c r="E15" s="496"/>
      <c r="F15" s="496"/>
      <c r="G15" s="496"/>
      <c r="H15" s="496"/>
      <c r="I15" s="496"/>
      <c r="J15" s="496"/>
      <c r="K15" s="496"/>
      <c r="L15" s="502"/>
      <c r="M15" s="496"/>
      <c r="N15" s="496"/>
      <c r="O15" s="496"/>
      <c r="P15" s="496"/>
      <c r="Q15" s="496"/>
      <c r="R15" s="496"/>
      <c r="S15" s="696"/>
      <c r="T15" s="696"/>
      <c r="U15" s="696"/>
      <c r="V15" s="696"/>
      <c r="W15" s="696"/>
      <c r="X15" s="696"/>
      <c r="Y15" s="696"/>
      <c r="Z15" s="696"/>
      <c r="AA15" s="496"/>
      <c r="AB15" s="496"/>
      <c r="AC15" s="496"/>
      <c r="AD15" s="496"/>
      <c r="AE15" s="496"/>
      <c r="AF15" s="496"/>
      <c r="AG15" s="496"/>
      <c r="AH15" s="496"/>
      <c r="AI15" s="496"/>
      <c r="AJ15" s="496"/>
      <c r="AK15" s="496"/>
      <c r="AL15" s="496"/>
      <c r="AM15" s="496"/>
      <c r="AN15" s="496"/>
      <c r="AO15" s="496"/>
      <c r="AP15" s="496"/>
      <c r="AQ15" s="496"/>
    </row>
    <row r="16" spans="1:43" ht="15.75" thickBot="1" x14ac:dyDescent="0.3">
      <c r="A16" s="496"/>
      <c r="B16" s="710"/>
      <c r="C16" s="711" t="s">
        <v>222</v>
      </c>
      <c r="D16" s="711" t="s">
        <v>77</v>
      </c>
      <c r="E16" s="711" t="s">
        <v>78</v>
      </c>
      <c r="F16" s="712" t="s">
        <v>79</v>
      </c>
      <c r="G16" s="496"/>
      <c r="H16" s="496"/>
      <c r="I16" s="496"/>
      <c r="J16" s="496"/>
      <c r="K16" s="496"/>
      <c r="L16" s="710"/>
      <c r="M16" s="711" t="s">
        <v>222</v>
      </c>
      <c r="N16" s="711" t="s">
        <v>76</v>
      </c>
      <c r="O16" s="711" t="s">
        <v>77</v>
      </c>
      <c r="P16" s="711" t="s">
        <v>78</v>
      </c>
      <c r="Q16" s="712" t="s">
        <v>79</v>
      </c>
      <c r="R16" s="496"/>
      <c r="S16" s="696"/>
      <c r="T16" s="696"/>
      <c r="U16" s="696"/>
      <c r="V16" s="696"/>
      <c r="W16" s="696"/>
      <c r="X16" s="696"/>
      <c r="Y16" s="696"/>
      <c r="Z16" s="696"/>
      <c r="AA16" s="496"/>
      <c r="AB16" s="496"/>
      <c r="AC16" s="496"/>
      <c r="AD16" s="496"/>
      <c r="AE16" s="496"/>
      <c r="AF16" s="496"/>
      <c r="AG16" s="496"/>
      <c r="AH16" s="496"/>
      <c r="AI16" s="496"/>
      <c r="AJ16" s="496"/>
      <c r="AK16" s="496"/>
      <c r="AL16" s="496"/>
      <c r="AM16" s="496"/>
      <c r="AN16" s="496"/>
      <c r="AO16" s="496"/>
      <c r="AP16" s="496"/>
      <c r="AQ16" s="496"/>
    </row>
    <row r="17" spans="1:43" ht="15.75" thickBot="1" x14ac:dyDescent="0.3">
      <c r="A17" s="496"/>
      <c r="B17" s="707" t="s">
        <v>224</v>
      </c>
      <c r="C17" s="523">
        <v>0.6</v>
      </c>
      <c r="D17" s="523">
        <v>0</v>
      </c>
      <c r="E17" s="523">
        <v>0</v>
      </c>
      <c r="F17" s="704">
        <v>0</v>
      </c>
      <c r="G17" s="496"/>
      <c r="H17" s="496"/>
      <c r="I17" s="496"/>
      <c r="J17" s="496"/>
      <c r="K17" s="496"/>
      <c r="L17" s="707" t="s">
        <v>224</v>
      </c>
      <c r="M17" s="523">
        <v>0.6</v>
      </c>
      <c r="N17" s="523">
        <v>0</v>
      </c>
      <c r="O17" s="523">
        <v>0</v>
      </c>
      <c r="P17" s="523">
        <v>0</v>
      </c>
      <c r="Q17" s="704">
        <v>0</v>
      </c>
      <c r="R17" s="496"/>
      <c r="S17" s="696"/>
      <c r="T17" s="696"/>
      <c r="U17" s="696"/>
      <c r="V17" s="696"/>
      <c r="W17" s="696"/>
      <c r="X17" s="696"/>
      <c r="Y17" s="696"/>
      <c r="Z17" s="696"/>
      <c r="AA17" s="496"/>
      <c r="AB17" s="496"/>
      <c r="AC17" s="496"/>
      <c r="AD17" s="496"/>
      <c r="AE17" s="496"/>
      <c r="AF17" s="496"/>
      <c r="AG17" s="496"/>
      <c r="AH17" s="496"/>
      <c r="AI17" s="496"/>
      <c r="AJ17" s="496"/>
      <c r="AK17" s="496"/>
      <c r="AL17" s="496"/>
      <c r="AM17" s="496"/>
      <c r="AN17" s="496"/>
      <c r="AO17" s="496"/>
      <c r="AP17" s="496"/>
      <c r="AQ17" s="496"/>
    </row>
    <row r="18" spans="1:43" ht="15.75" thickBot="1" x14ac:dyDescent="0.3">
      <c r="A18" s="496"/>
      <c r="B18" s="707" t="s">
        <v>226</v>
      </c>
      <c r="C18" s="523">
        <v>0.4</v>
      </c>
      <c r="D18" s="523">
        <v>1</v>
      </c>
      <c r="E18" s="523">
        <v>1</v>
      </c>
      <c r="F18" s="524">
        <v>1</v>
      </c>
      <c r="G18" s="496"/>
      <c r="H18" s="496"/>
      <c r="I18" s="496"/>
      <c r="J18" s="496"/>
      <c r="K18" s="496"/>
      <c r="L18" s="707" t="s">
        <v>226</v>
      </c>
      <c r="M18" s="523">
        <v>0.4</v>
      </c>
      <c r="N18" s="523">
        <v>1</v>
      </c>
      <c r="O18" s="523">
        <v>1</v>
      </c>
      <c r="P18" s="523">
        <v>1</v>
      </c>
      <c r="Q18" s="524">
        <v>1</v>
      </c>
      <c r="R18" s="496"/>
      <c r="S18" s="696"/>
      <c r="T18" s="696"/>
      <c r="U18" s="696"/>
      <c r="V18" s="696"/>
      <c r="W18" s="696"/>
      <c r="X18" s="696"/>
      <c r="Y18" s="696"/>
      <c r="Z18" s="696"/>
      <c r="AA18" s="496"/>
      <c r="AB18" s="496"/>
      <c r="AC18" s="496"/>
      <c r="AD18" s="496"/>
      <c r="AE18" s="496"/>
      <c r="AF18" s="496"/>
      <c r="AG18" s="496"/>
      <c r="AH18" s="496"/>
      <c r="AI18" s="496"/>
      <c r="AJ18" s="496"/>
      <c r="AK18" s="496"/>
      <c r="AL18" s="496"/>
      <c r="AM18" s="496"/>
      <c r="AN18" s="496"/>
      <c r="AO18" s="496"/>
      <c r="AP18" s="496"/>
      <c r="AQ18" s="496"/>
    </row>
    <row r="19" spans="1:43" ht="15.75" thickBot="1" x14ac:dyDescent="0.3">
      <c r="A19" s="496"/>
      <c r="B19" s="707" t="s">
        <v>273</v>
      </c>
      <c r="C19" s="504">
        <v>0</v>
      </c>
      <c r="D19" s="504">
        <v>0</v>
      </c>
      <c r="E19" s="504">
        <v>0</v>
      </c>
      <c r="F19" s="704">
        <v>0</v>
      </c>
      <c r="G19" s="496"/>
      <c r="H19" s="496"/>
      <c r="I19" s="496"/>
      <c r="J19" s="496"/>
      <c r="K19" s="496"/>
      <c r="L19" s="707" t="s">
        <v>273</v>
      </c>
      <c r="M19" s="504">
        <v>0</v>
      </c>
      <c r="N19" s="504">
        <v>0</v>
      </c>
      <c r="O19" s="504">
        <v>0</v>
      </c>
      <c r="P19" s="504">
        <v>0</v>
      </c>
      <c r="Q19" s="704">
        <v>0</v>
      </c>
      <c r="R19" s="496"/>
      <c r="S19" s="696"/>
      <c r="T19" s="696"/>
      <c r="U19" s="696"/>
      <c r="V19" s="696"/>
      <c r="W19" s="696"/>
      <c r="X19" s="696"/>
      <c r="Y19" s="696"/>
      <c r="Z19" s="696"/>
      <c r="AA19" s="496"/>
      <c r="AB19" s="496"/>
      <c r="AC19" s="496"/>
      <c r="AD19" s="496"/>
      <c r="AE19" s="496"/>
      <c r="AF19" s="496"/>
      <c r="AG19" s="496"/>
      <c r="AH19" s="496"/>
      <c r="AI19" s="496"/>
      <c r="AJ19" s="496"/>
      <c r="AK19" s="496"/>
      <c r="AL19" s="496"/>
      <c r="AM19" s="496"/>
      <c r="AN19" s="496"/>
      <c r="AO19" s="496"/>
      <c r="AP19" s="496"/>
      <c r="AQ19" s="496"/>
    </row>
    <row r="20" spans="1:43" x14ac:dyDescent="0.25">
      <c r="S20" s="696"/>
      <c r="T20" s="696"/>
      <c r="U20" s="696"/>
      <c r="V20" s="696"/>
      <c r="W20" s="696"/>
      <c r="X20" s="696"/>
      <c r="Y20" s="696"/>
      <c r="Z20" s="696"/>
    </row>
    <row r="21" spans="1:43" x14ac:dyDescent="0.25">
      <c r="S21" s="696"/>
      <c r="T21" s="696"/>
      <c r="U21" s="696"/>
      <c r="V21" s="696"/>
      <c r="W21" s="696"/>
      <c r="X21" s="696"/>
      <c r="Y21" s="696"/>
      <c r="Z21" s="696"/>
    </row>
    <row r="22" spans="1:43" ht="21" x14ac:dyDescent="0.35">
      <c r="A22" s="501" t="s">
        <v>274</v>
      </c>
      <c r="B22" s="501"/>
      <c r="C22" s="501"/>
      <c r="D22" s="501"/>
      <c r="E22" s="501"/>
      <c r="F22" s="501"/>
      <c r="G22" s="501"/>
      <c r="H22" s="496"/>
      <c r="I22" s="496"/>
      <c r="J22" s="496"/>
      <c r="K22" s="501" t="s">
        <v>274</v>
      </c>
      <c r="L22" s="501"/>
      <c r="M22" s="501"/>
      <c r="N22" s="501"/>
      <c r="O22" s="501"/>
      <c r="P22" s="501"/>
      <c r="Q22" s="501"/>
      <c r="R22" s="496"/>
      <c r="S22" s="696"/>
      <c r="T22" s="696"/>
      <c r="U22" s="696"/>
      <c r="V22" s="696"/>
      <c r="W22" s="696"/>
      <c r="X22" s="696"/>
      <c r="Y22" s="696"/>
      <c r="Z22" s="696"/>
      <c r="AA22" s="496"/>
      <c r="AB22" s="496"/>
      <c r="AC22" s="496"/>
      <c r="AD22" s="496"/>
      <c r="AE22" s="496"/>
      <c r="AF22" s="496"/>
      <c r="AG22" s="496"/>
      <c r="AH22" s="496"/>
      <c r="AI22" s="496"/>
      <c r="AJ22" s="496"/>
      <c r="AK22" s="496"/>
      <c r="AL22" s="496"/>
      <c r="AM22" s="496"/>
      <c r="AN22" s="496"/>
      <c r="AO22" s="496"/>
      <c r="AP22" s="496"/>
      <c r="AQ22" s="496"/>
    </row>
    <row r="23" spans="1:43" ht="15.75" thickBot="1" x14ac:dyDescent="0.3">
      <c r="A23" s="496"/>
      <c r="B23" s="496"/>
      <c r="C23" s="496"/>
      <c r="D23" s="496"/>
      <c r="E23" s="496"/>
      <c r="F23" s="496"/>
      <c r="G23" s="496"/>
      <c r="H23" s="496"/>
      <c r="I23" s="496"/>
      <c r="J23" s="540"/>
      <c r="K23" s="496"/>
      <c r="R23" s="496"/>
      <c r="S23" s="696"/>
      <c r="T23" s="696"/>
      <c r="U23" s="696"/>
      <c r="V23" s="696"/>
      <c r="W23" s="696"/>
      <c r="X23" s="696"/>
      <c r="Y23" s="696"/>
      <c r="Z23" s="696"/>
      <c r="AA23" s="496"/>
      <c r="AB23" s="496"/>
      <c r="AC23" s="496"/>
      <c r="AD23" s="496"/>
      <c r="AE23" s="496"/>
      <c r="AF23" s="496"/>
      <c r="AG23" s="496"/>
      <c r="AH23" s="496"/>
      <c r="AI23" s="496"/>
      <c r="AJ23" s="496"/>
      <c r="AK23" s="496"/>
      <c r="AL23" s="496"/>
      <c r="AM23" s="496"/>
      <c r="AN23" s="496"/>
      <c r="AO23" s="496"/>
      <c r="AP23" s="496"/>
      <c r="AQ23" s="496"/>
    </row>
    <row r="24" spans="1:43" ht="15" customHeight="1" thickBot="1" x14ac:dyDescent="0.3">
      <c r="A24" s="496"/>
      <c r="B24" s="892" t="s">
        <v>224</v>
      </c>
      <c r="C24" s="523" t="s">
        <v>275</v>
      </c>
      <c r="D24" s="504"/>
      <c r="E24" s="892" t="s">
        <v>226</v>
      </c>
      <c r="F24" s="523" t="s">
        <v>275</v>
      </c>
      <c r="G24" s="524">
        <v>0.45</v>
      </c>
      <c r="H24" s="545"/>
      <c r="I24" s="496"/>
      <c r="J24" s="545"/>
      <c r="K24" s="496"/>
      <c r="L24" s="710"/>
      <c r="M24" s="713"/>
      <c r="N24" s="714">
        <v>2010</v>
      </c>
      <c r="O24" s="714">
        <v>2020</v>
      </c>
      <c r="P24" s="714">
        <v>2030</v>
      </c>
      <c r="Q24" s="715">
        <v>2035</v>
      </c>
      <c r="S24" s="696"/>
      <c r="T24" s="696"/>
      <c r="U24" s="696"/>
      <c r="V24" s="696"/>
      <c r="W24" s="696"/>
      <c r="X24" s="696"/>
      <c r="Y24" s="696"/>
      <c r="Z24" s="696"/>
      <c r="AA24" s="496"/>
      <c r="AB24" s="496"/>
      <c r="AC24" s="496"/>
      <c r="AD24" s="496"/>
      <c r="AE24" s="496"/>
      <c r="AF24" s="496"/>
      <c r="AG24" s="496"/>
      <c r="AH24" s="496"/>
      <c r="AI24" s="496"/>
      <c r="AJ24" s="496"/>
      <c r="AK24" s="496"/>
      <c r="AL24" s="496"/>
      <c r="AM24" s="496"/>
      <c r="AN24" s="496"/>
      <c r="AO24" s="496"/>
      <c r="AP24" s="496"/>
      <c r="AQ24" s="496"/>
    </row>
    <row r="25" spans="1:43" ht="15.75" thickBot="1" x14ac:dyDescent="0.3">
      <c r="A25" s="496"/>
      <c r="B25" s="892"/>
      <c r="C25" s="523" t="s">
        <v>276</v>
      </c>
      <c r="D25" s="504"/>
      <c r="E25" s="892"/>
      <c r="F25" s="523" t="s">
        <v>276</v>
      </c>
      <c r="G25" s="524">
        <v>0.48</v>
      </c>
      <c r="H25" s="545"/>
      <c r="I25" s="496"/>
      <c r="J25" s="545"/>
      <c r="K25" s="496"/>
      <c r="L25" s="884" t="s">
        <v>545</v>
      </c>
      <c r="M25" s="523" t="s">
        <v>275</v>
      </c>
      <c r="N25" s="708">
        <v>0.40345010545805071</v>
      </c>
      <c r="O25" s="708">
        <v>0.33</v>
      </c>
      <c r="P25" s="708">
        <v>0.33</v>
      </c>
      <c r="Q25" s="709">
        <v>0.33</v>
      </c>
      <c r="S25" s="696"/>
      <c r="T25" s="696"/>
      <c r="U25" s="696"/>
      <c r="V25" s="696"/>
      <c r="W25" s="696"/>
      <c r="X25" s="696"/>
      <c r="Y25" s="696"/>
      <c r="Z25" s="696"/>
      <c r="AA25" s="496"/>
      <c r="AB25" s="496"/>
      <c r="AC25" s="496"/>
      <c r="AD25" s="496"/>
      <c r="AE25" s="496"/>
      <c r="AF25" s="496"/>
      <c r="AG25" s="496"/>
      <c r="AH25" s="496"/>
      <c r="AI25" s="496"/>
      <c r="AJ25" s="496"/>
      <c r="AK25" s="496"/>
      <c r="AL25" s="496"/>
      <c r="AM25" s="496"/>
      <c r="AN25" s="496"/>
      <c r="AO25" s="496"/>
      <c r="AP25" s="496"/>
      <c r="AQ25" s="496"/>
    </row>
    <row r="26" spans="1:43" ht="15.75" thickBot="1" x14ac:dyDescent="0.3">
      <c r="A26" s="496"/>
      <c r="B26" s="892"/>
      <c r="C26" s="523" t="s">
        <v>277</v>
      </c>
      <c r="D26" s="504"/>
      <c r="E26" s="892"/>
      <c r="F26" s="523" t="s">
        <v>277</v>
      </c>
      <c r="G26" s="524"/>
      <c r="H26" s="545"/>
      <c r="I26" s="496"/>
      <c r="J26" s="545"/>
      <c r="K26" s="496"/>
      <c r="L26" s="885"/>
      <c r="M26" s="523" t="s">
        <v>276</v>
      </c>
      <c r="N26" s="716">
        <v>0.24</v>
      </c>
      <c r="O26" s="716">
        <v>0.11000000000000001</v>
      </c>
      <c r="P26" s="716">
        <v>0.11</v>
      </c>
      <c r="Q26" s="717">
        <v>0.11000000000000001</v>
      </c>
      <c r="S26" s="696"/>
      <c r="T26" s="696"/>
      <c r="U26" s="696"/>
      <c r="V26" s="696"/>
      <c r="W26" s="696"/>
      <c r="X26" s="696"/>
      <c r="Y26" s="696"/>
      <c r="Z26" s="696"/>
      <c r="AA26" s="496"/>
      <c r="AB26" s="496"/>
      <c r="AC26" s="496"/>
      <c r="AD26" s="496"/>
      <c r="AE26" s="496"/>
      <c r="AF26" s="496"/>
      <c r="AG26" s="496"/>
      <c r="AH26" s="496"/>
      <c r="AI26" s="496"/>
      <c r="AJ26" s="496"/>
      <c r="AK26" s="496"/>
      <c r="AL26" s="496"/>
      <c r="AM26" s="496"/>
      <c r="AN26" s="496"/>
      <c r="AO26" s="496"/>
      <c r="AP26" s="496"/>
      <c r="AQ26" s="496"/>
    </row>
    <row r="27" spans="1:43" ht="15.75" thickBot="1" x14ac:dyDescent="0.3">
      <c r="A27" s="496"/>
      <c r="B27" s="892"/>
      <c r="C27" s="523" t="s">
        <v>278</v>
      </c>
      <c r="D27" s="504"/>
      <c r="E27" s="892"/>
      <c r="F27" s="523" t="s">
        <v>278</v>
      </c>
      <c r="G27" s="524">
        <v>0.02</v>
      </c>
      <c r="H27" s="545"/>
      <c r="I27" s="496"/>
      <c r="J27" s="545"/>
      <c r="K27" s="496"/>
      <c r="L27" s="885"/>
      <c r="M27" s="523" t="s">
        <v>277</v>
      </c>
      <c r="N27" s="716">
        <v>0.24</v>
      </c>
      <c r="O27" s="716">
        <v>0.44000000000000006</v>
      </c>
      <c r="P27" s="716">
        <v>0.44</v>
      </c>
      <c r="Q27" s="717">
        <v>0.44000000000000006</v>
      </c>
      <c r="S27" s="696"/>
      <c r="T27" s="696"/>
      <c r="U27" s="696"/>
      <c r="V27" s="696"/>
      <c r="W27" s="696"/>
      <c r="X27" s="696"/>
      <c r="Y27" s="696"/>
      <c r="Z27" s="696"/>
      <c r="AA27" s="496"/>
      <c r="AB27" s="496"/>
      <c r="AC27" s="496"/>
      <c r="AD27" s="496"/>
      <c r="AE27" s="496"/>
      <c r="AF27" s="496"/>
      <c r="AG27" s="496"/>
      <c r="AH27" s="496"/>
      <c r="AI27" s="496"/>
      <c r="AJ27" s="496"/>
      <c r="AK27" s="496"/>
      <c r="AL27" s="496"/>
      <c r="AM27" s="496"/>
      <c r="AN27" s="496"/>
      <c r="AO27" s="496"/>
      <c r="AP27" s="496"/>
      <c r="AQ27" s="496"/>
    </row>
    <row r="28" spans="1:43" ht="15.75" thickBot="1" x14ac:dyDescent="0.3">
      <c r="A28" s="496"/>
      <c r="B28" s="892"/>
      <c r="C28" s="523" t="s">
        <v>219</v>
      </c>
      <c r="D28" s="504"/>
      <c r="E28" s="892"/>
      <c r="F28" s="523" t="s">
        <v>219</v>
      </c>
      <c r="G28" s="524">
        <v>0.05</v>
      </c>
      <c r="H28" s="545"/>
      <c r="I28" s="496"/>
      <c r="J28" s="545"/>
      <c r="K28" s="496"/>
      <c r="L28" s="885"/>
      <c r="M28" s="523" t="s">
        <v>219</v>
      </c>
      <c r="N28" s="708">
        <v>0.09</v>
      </c>
      <c r="O28" s="708">
        <v>0.09</v>
      </c>
      <c r="P28" s="708">
        <v>0.09</v>
      </c>
      <c r="Q28" s="709">
        <v>0.09</v>
      </c>
      <c r="S28" s="696"/>
      <c r="T28" s="696"/>
      <c r="U28" s="696"/>
      <c r="V28" s="696"/>
      <c r="W28" s="696"/>
      <c r="X28" s="696"/>
      <c r="Y28" s="696"/>
      <c r="Z28" s="696"/>
      <c r="AA28" s="496"/>
      <c r="AB28" s="496"/>
      <c r="AC28" s="496"/>
      <c r="AD28" s="496"/>
      <c r="AE28" s="496"/>
      <c r="AF28" s="496"/>
      <c r="AG28" s="496"/>
      <c r="AH28" s="496"/>
      <c r="AI28" s="496"/>
      <c r="AJ28" s="496"/>
      <c r="AK28" s="496"/>
      <c r="AL28" s="496"/>
      <c r="AM28" s="496"/>
      <c r="AN28" s="496"/>
      <c r="AO28" s="496"/>
      <c r="AP28" s="496"/>
      <c r="AQ28" s="496"/>
    </row>
    <row r="29" spans="1:43" ht="15.75" thickBot="1" x14ac:dyDescent="0.3">
      <c r="A29" s="496"/>
      <c r="B29" s="697"/>
      <c r="C29" s="698"/>
      <c r="D29" s="496"/>
      <c r="E29" s="697"/>
      <c r="F29" s="698"/>
      <c r="G29" s="698"/>
      <c r="H29" s="545"/>
      <c r="I29" s="496"/>
      <c r="J29" s="545"/>
      <c r="K29" s="496"/>
      <c r="L29" s="886"/>
      <c r="M29" s="523" t="s">
        <v>546</v>
      </c>
      <c r="N29" s="708">
        <v>2.6549894541949337E-2</v>
      </c>
      <c r="O29" s="708">
        <v>2.9999999999999916E-2</v>
      </c>
      <c r="P29" s="708">
        <v>3.0000000000000027E-2</v>
      </c>
      <c r="Q29" s="709">
        <v>2.9999999999999916E-2</v>
      </c>
      <c r="S29" s="696"/>
      <c r="T29" s="696"/>
      <c r="U29" s="696"/>
      <c r="V29" s="696"/>
      <c r="W29" s="696"/>
      <c r="X29" s="696"/>
      <c r="Y29" s="696"/>
      <c r="Z29" s="696"/>
      <c r="AA29" s="496"/>
      <c r="AB29" s="496"/>
      <c r="AC29" s="496"/>
      <c r="AD29" s="496"/>
      <c r="AE29" s="496"/>
      <c r="AF29" s="496"/>
      <c r="AG29" s="496"/>
      <c r="AH29" s="496"/>
      <c r="AI29" s="496"/>
      <c r="AJ29" s="496"/>
      <c r="AK29" s="496"/>
      <c r="AL29" s="496"/>
      <c r="AM29" s="496"/>
      <c r="AN29" s="496"/>
      <c r="AO29" s="496"/>
      <c r="AP29" s="496"/>
      <c r="AQ29" s="496"/>
    </row>
    <row r="30" spans="1:43" x14ac:dyDescent="0.25">
      <c r="A30" s="496"/>
      <c r="B30" s="697"/>
      <c r="C30" s="698"/>
      <c r="D30" s="496"/>
      <c r="E30" s="697"/>
      <c r="F30" s="698"/>
      <c r="G30" s="698"/>
      <c r="H30" s="545"/>
      <c r="I30" s="496"/>
      <c r="J30" s="545"/>
      <c r="K30" s="496"/>
      <c r="L30" s="699"/>
      <c r="M30" s="698"/>
      <c r="N30" s="700"/>
      <c r="O30" s="700"/>
      <c r="P30" s="700"/>
      <c r="Q30" s="700"/>
      <c r="S30" s="696"/>
      <c r="T30" s="696"/>
      <c r="U30" s="696"/>
      <c r="V30" s="696"/>
      <c r="W30" s="696"/>
      <c r="X30" s="696"/>
      <c r="Y30" s="696"/>
      <c r="Z30" s="696"/>
      <c r="AA30" s="496"/>
      <c r="AB30" s="496"/>
      <c r="AC30" s="496"/>
      <c r="AD30" s="496"/>
      <c r="AE30" s="496"/>
      <c r="AF30" s="496"/>
      <c r="AG30" s="496"/>
      <c r="AH30" s="496"/>
      <c r="AI30" s="496"/>
      <c r="AJ30" s="496"/>
      <c r="AK30" s="496"/>
      <c r="AL30" s="496"/>
      <c r="AM30" s="496"/>
      <c r="AN30" s="496"/>
      <c r="AO30" s="496"/>
      <c r="AP30" s="496"/>
      <c r="AQ30" s="496"/>
    </row>
    <row r="31" spans="1:43" ht="51" customHeight="1" x14ac:dyDescent="0.25">
      <c r="A31" s="496"/>
      <c r="B31" s="697"/>
      <c r="C31" s="698"/>
      <c r="D31" s="496"/>
      <c r="E31" s="697"/>
      <c r="F31" s="698"/>
      <c r="G31" s="698"/>
      <c r="H31" s="545"/>
      <c r="I31" s="496"/>
      <c r="J31" s="545"/>
      <c r="K31" s="496"/>
      <c r="L31" s="883" t="s">
        <v>547</v>
      </c>
      <c r="M31" s="883"/>
      <c r="N31" s="883"/>
      <c r="O31" s="883"/>
      <c r="P31" s="883"/>
      <c r="Q31" s="883"/>
      <c r="S31" s="696"/>
      <c r="T31" s="696"/>
      <c r="U31" s="696"/>
      <c r="V31" s="696"/>
      <c r="W31" s="696"/>
      <c r="X31" s="696"/>
      <c r="Y31" s="696"/>
      <c r="Z31" s="696"/>
      <c r="AA31" s="496"/>
      <c r="AB31" s="496"/>
      <c r="AC31" s="496"/>
      <c r="AD31" s="496"/>
      <c r="AE31" s="496"/>
      <c r="AF31" s="496"/>
      <c r="AG31" s="496"/>
      <c r="AH31" s="496"/>
      <c r="AI31" s="496"/>
      <c r="AJ31" s="496"/>
      <c r="AK31" s="496"/>
      <c r="AL31" s="496"/>
      <c r="AM31" s="496"/>
      <c r="AN31" s="496"/>
      <c r="AO31" s="496"/>
      <c r="AP31" s="496"/>
      <c r="AQ31" s="496"/>
    </row>
    <row r="32" spans="1:43" x14ac:dyDescent="0.25">
      <c r="A32" s="496"/>
      <c r="B32" s="496"/>
      <c r="C32" s="496"/>
      <c r="D32" s="701"/>
      <c r="E32" s="496"/>
      <c r="F32" s="496"/>
      <c r="G32" s="701"/>
      <c r="H32" s="545"/>
      <c r="I32" s="496"/>
      <c r="J32" s="545"/>
      <c r="K32" s="496"/>
      <c r="L32" s="496"/>
      <c r="O32" s="496"/>
      <c r="P32" s="496"/>
      <c r="Q32" s="701"/>
      <c r="R32" s="496"/>
      <c r="S32" s="696"/>
      <c r="T32" s="696"/>
      <c r="U32" s="696"/>
      <c r="V32" s="696"/>
      <c r="W32" s="696"/>
      <c r="X32" s="696"/>
      <c r="Y32" s="696"/>
      <c r="Z32" s="696"/>
      <c r="AA32" s="496"/>
      <c r="AB32" s="496"/>
      <c r="AC32" s="496"/>
      <c r="AD32" s="496"/>
      <c r="AE32" s="496"/>
      <c r="AF32" s="496"/>
      <c r="AG32" s="496"/>
      <c r="AH32" s="496"/>
      <c r="AI32" s="496"/>
      <c r="AJ32" s="496"/>
      <c r="AK32" s="496"/>
      <c r="AL32" s="496"/>
      <c r="AM32" s="496"/>
      <c r="AN32" s="496"/>
      <c r="AO32" s="496"/>
      <c r="AP32" s="496"/>
      <c r="AQ32" s="496"/>
    </row>
    <row r="33" spans="1:43" ht="51.6" customHeight="1" thickBot="1" x14ac:dyDescent="0.3">
      <c r="A33" s="496"/>
      <c r="B33" s="496"/>
      <c r="C33" s="496"/>
      <c r="D33" s="701"/>
      <c r="E33" s="496"/>
      <c r="F33" s="496"/>
      <c r="G33" s="701"/>
      <c r="H33" s="545"/>
      <c r="I33" s="496"/>
      <c r="J33" s="545"/>
      <c r="K33" s="496"/>
      <c r="L33" s="888" t="s">
        <v>548</v>
      </c>
      <c r="M33" s="888"/>
      <c r="N33" s="888"/>
      <c r="O33" s="888"/>
      <c r="P33" s="888"/>
      <c r="Q33" s="888"/>
      <c r="R33" s="496"/>
      <c r="S33" s="696"/>
      <c r="T33" s="696"/>
      <c r="U33" s="696"/>
      <c r="V33" s="696"/>
      <c r="W33" s="696"/>
      <c r="X33" s="696"/>
      <c r="Y33" s="696"/>
      <c r="Z33" s="696"/>
      <c r="AA33" s="496"/>
      <c r="AB33" s="496"/>
      <c r="AC33" s="496"/>
      <c r="AD33" s="496"/>
      <c r="AE33" s="496"/>
      <c r="AF33" s="496"/>
      <c r="AG33" s="496"/>
      <c r="AH33" s="496"/>
      <c r="AI33" s="496"/>
      <c r="AJ33" s="496"/>
      <c r="AK33" s="496"/>
      <c r="AL33" s="496"/>
      <c r="AM33" s="496"/>
      <c r="AN33" s="496"/>
      <c r="AO33" s="496"/>
      <c r="AP33" s="496"/>
      <c r="AQ33" s="496"/>
    </row>
    <row r="34" spans="1:43" ht="15.75" thickBot="1" x14ac:dyDescent="0.3">
      <c r="A34" s="496"/>
      <c r="B34" s="496"/>
      <c r="C34" s="496"/>
      <c r="D34" s="701"/>
      <c r="E34" s="496"/>
      <c r="F34" s="496"/>
      <c r="G34" s="701"/>
      <c r="H34" s="545"/>
      <c r="I34" s="496"/>
      <c r="J34" s="545"/>
      <c r="K34" s="496"/>
      <c r="L34" s="710"/>
      <c r="M34" s="721" t="s">
        <v>549</v>
      </c>
      <c r="N34" s="722" t="s">
        <v>550</v>
      </c>
      <c r="O34" s="496"/>
      <c r="P34" s="496"/>
      <c r="Q34" s="496"/>
      <c r="R34" s="496"/>
      <c r="S34" s="696"/>
      <c r="T34" s="696"/>
      <c r="U34" s="696"/>
      <c r="V34" s="696"/>
      <c r="W34" s="696"/>
      <c r="X34" s="696"/>
      <c r="Y34" s="696"/>
      <c r="Z34" s="696"/>
      <c r="AA34" s="496"/>
      <c r="AB34" s="496"/>
      <c r="AC34" s="496"/>
      <c r="AD34" s="496"/>
      <c r="AE34" s="496"/>
      <c r="AF34" s="496"/>
      <c r="AG34" s="496"/>
      <c r="AH34" s="496"/>
      <c r="AI34" s="496"/>
      <c r="AJ34" s="496"/>
      <c r="AK34" s="496"/>
      <c r="AL34" s="496"/>
      <c r="AM34" s="496"/>
      <c r="AN34" s="496"/>
      <c r="AO34" s="496"/>
      <c r="AP34" s="496"/>
      <c r="AQ34" s="496"/>
    </row>
    <row r="35" spans="1:43" ht="15.75" thickBot="1" x14ac:dyDescent="0.3">
      <c r="A35" s="496"/>
      <c r="B35" s="496"/>
      <c r="C35" s="496"/>
      <c r="D35" s="701"/>
      <c r="E35" s="496"/>
      <c r="F35" s="496"/>
      <c r="G35" s="701"/>
      <c r="H35" s="545"/>
      <c r="I35" s="496"/>
      <c r="J35" s="545"/>
      <c r="K35" s="496"/>
      <c r="L35" s="503" t="s">
        <v>551</v>
      </c>
      <c r="M35" s="720">
        <v>0.73</v>
      </c>
      <c r="N35" s="527">
        <v>0.96</v>
      </c>
      <c r="O35" s="496"/>
      <c r="P35" s="496"/>
      <c r="Q35" s="701"/>
      <c r="R35" s="496"/>
      <c r="S35" s="696"/>
      <c r="T35" s="696"/>
      <c r="U35" s="696"/>
      <c r="V35" s="696"/>
      <c r="W35" s="696"/>
      <c r="X35" s="696"/>
      <c r="Y35" s="696"/>
      <c r="Z35" s="696"/>
      <c r="AA35" s="496"/>
      <c r="AB35" s="496"/>
      <c r="AC35" s="496"/>
      <c r="AD35" s="496"/>
      <c r="AE35" s="496"/>
      <c r="AF35" s="496"/>
      <c r="AG35" s="496"/>
      <c r="AH35" s="496"/>
      <c r="AI35" s="496"/>
      <c r="AJ35" s="496"/>
      <c r="AK35" s="496"/>
      <c r="AL35" s="496"/>
      <c r="AM35" s="496"/>
      <c r="AN35" s="496"/>
      <c r="AO35" s="496"/>
      <c r="AP35" s="496"/>
      <c r="AQ35" s="496"/>
    </row>
    <row r="36" spans="1:43" ht="15.75" thickBot="1" x14ac:dyDescent="0.3">
      <c r="A36" s="496"/>
      <c r="B36" s="496"/>
      <c r="C36" s="496"/>
      <c r="D36" s="701"/>
      <c r="E36" s="496"/>
      <c r="F36" s="496"/>
      <c r="G36" s="701"/>
      <c r="H36" s="545"/>
      <c r="I36" s="496"/>
      <c r="J36" s="545"/>
      <c r="K36" s="496"/>
      <c r="L36" s="503" t="s">
        <v>217</v>
      </c>
      <c r="M36" s="504">
        <v>2.9</v>
      </c>
      <c r="N36" s="704">
        <v>3.4</v>
      </c>
      <c r="O36" s="496"/>
      <c r="P36" s="496"/>
      <c r="Q36" s="701"/>
      <c r="R36" s="496"/>
      <c r="S36" s="696"/>
      <c r="T36" s="696"/>
      <c r="U36" s="696"/>
      <c r="V36" s="696"/>
      <c r="W36" s="696"/>
      <c r="X36" s="696"/>
      <c r="Y36" s="696"/>
      <c r="Z36" s="696"/>
      <c r="AA36" s="496"/>
      <c r="AB36" s="496"/>
      <c r="AC36" s="496"/>
      <c r="AD36" s="496"/>
      <c r="AE36" s="496"/>
      <c r="AF36" s="496"/>
      <c r="AG36" s="496"/>
      <c r="AH36" s="496"/>
      <c r="AI36" s="496"/>
      <c r="AJ36" s="496"/>
      <c r="AK36" s="496"/>
      <c r="AL36" s="496"/>
      <c r="AM36" s="496"/>
      <c r="AN36" s="496"/>
      <c r="AO36" s="496"/>
      <c r="AP36" s="496"/>
      <c r="AQ36" s="496"/>
    </row>
    <row r="37" spans="1:43" x14ac:dyDescent="0.25">
      <c r="A37" s="496"/>
      <c r="B37" s="496"/>
      <c r="C37" s="496"/>
      <c r="D37" s="701"/>
      <c r="E37" s="496"/>
      <c r="F37" s="496"/>
      <c r="G37" s="701"/>
      <c r="H37" s="545"/>
      <c r="I37" s="496"/>
      <c r="J37" s="545"/>
      <c r="K37" s="496"/>
      <c r="L37" s="496"/>
      <c r="M37" s="496"/>
      <c r="N37" s="701"/>
      <c r="O37" s="496"/>
      <c r="P37" s="496"/>
      <c r="Q37" s="701"/>
      <c r="R37" s="496"/>
      <c r="S37" s="696"/>
      <c r="T37" s="696"/>
      <c r="U37" s="696"/>
      <c r="V37" s="696"/>
      <c r="W37" s="696"/>
      <c r="X37" s="696"/>
      <c r="Y37" s="696"/>
      <c r="Z37" s="696"/>
      <c r="AA37" s="496"/>
      <c r="AB37" s="496"/>
      <c r="AC37" s="496"/>
      <c r="AD37" s="496"/>
      <c r="AE37" s="496"/>
      <c r="AF37" s="496"/>
      <c r="AG37" s="496"/>
      <c r="AH37" s="496"/>
      <c r="AI37" s="496"/>
      <c r="AJ37" s="496"/>
      <c r="AK37" s="496"/>
      <c r="AL37" s="496"/>
      <c r="AM37" s="496"/>
      <c r="AN37" s="496"/>
      <c r="AO37" s="496"/>
      <c r="AP37" s="496"/>
      <c r="AQ37" s="496"/>
    </row>
    <row r="38" spans="1:43" ht="21" x14ac:dyDescent="0.35">
      <c r="A38" s="501" t="s">
        <v>279</v>
      </c>
      <c r="B38" s="501"/>
      <c r="C38" s="501"/>
      <c r="D38" s="501"/>
      <c r="E38" s="501"/>
      <c r="F38" s="501"/>
      <c r="G38" s="501"/>
      <c r="H38" s="545"/>
      <c r="I38" s="496"/>
      <c r="J38" s="545"/>
      <c r="K38" s="501" t="s">
        <v>279</v>
      </c>
      <c r="L38" s="501"/>
      <c r="M38" s="501"/>
      <c r="N38" s="501"/>
      <c r="O38" s="501"/>
      <c r="P38" s="501"/>
      <c r="Q38" s="501"/>
      <c r="R38" s="496"/>
      <c r="S38" s="696"/>
      <c r="T38" s="696"/>
      <c r="U38" s="696"/>
      <c r="V38" s="696"/>
      <c r="W38" s="696"/>
      <c r="X38" s="696"/>
      <c r="Y38" s="696"/>
      <c r="Z38" s="696"/>
      <c r="AA38" s="496"/>
      <c r="AB38" s="496"/>
      <c r="AC38" s="496"/>
      <c r="AD38" s="496"/>
      <c r="AE38" s="496"/>
      <c r="AF38" s="496"/>
      <c r="AG38" s="496"/>
      <c r="AH38" s="496"/>
      <c r="AI38" s="496"/>
      <c r="AJ38" s="496"/>
      <c r="AK38" s="496"/>
      <c r="AL38" s="496"/>
      <c r="AM38" s="496"/>
      <c r="AN38" s="496"/>
      <c r="AO38" s="496"/>
      <c r="AP38" s="496"/>
      <c r="AQ38" s="496"/>
    </row>
    <row r="39" spans="1:43" ht="15.75" thickBot="1" x14ac:dyDescent="0.3">
      <c r="A39" s="496"/>
      <c r="B39" s="496"/>
      <c r="C39" s="496"/>
      <c r="D39" s="496"/>
      <c r="E39" s="496"/>
      <c r="F39" s="496"/>
      <c r="G39" s="496"/>
      <c r="H39" s="545"/>
      <c r="I39" s="496"/>
      <c r="J39" s="545"/>
      <c r="K39" s="496"/>
      <c r="L39" s="496"/>
      <c r="M39" s="496"/>
      <c r="N39" s="496"/>
      <c r="O39" s="496"/>
      <c r="P39" s="496"/>
      <c r="Q39" s="496"/>
      <c r="R39" s="496"/>
      <c r="S39" s="696"/>
      <c r="T39" s="696"/>
      <c r="U39" s="696"/>
      <c r="V39" s="696"/>
      <c r="W39" s="696"/>
      <c r="X39" s="696"/>
      <c r="Y39" s="696"/>
      <c r="Z39" s="696"/>
      <c r="AA39" s="496"/>
      <c r="AB39" s="496"/>
      <c r="AC39" s="496"/>
      <c r="AD39" s="496"/>
      <c r="AE39" s="496"/>
      <c r="AF39" s="496"/>
      <c r="AG39" s="496"/>
      <c r="AH39" s="496"/>
      <c r="AI39" s="496"/>
      <c r="AJ39" s="496"/>
      <c r="AK39" s="496"/>
      <c r="AL39" s="496"/>
      <c r="AM39" s="496"/>
      <c r="AN39" s="496"/>
      <c r="AO39" s="496"/>
      <c r="AP39" s="496"/>
      <c r="AQ39" s="496"/>
    </row>
    <row r="40" spans="1:43" ht="15.75" thickBot="1" x14ac:dyDescent="0.3">
      <c r="A40" s="496"/>
      <c r="B40" s="710" t="s">
        <v>280</v>
      </c>
      <c r="C40" s="721">
        <v>2010</v>
      </c>
      <c r="D40" s="721">
        <v>2020</v>
      </c>
      <c r="E40" s="721">
        <v>2025</v>
      </c>
      <c r="F40" s="721">
        <v>2030</v>
      </c>
      <c r="G40" s="722">
        <v>2035</v>
      </c>
      <c r="H40" s="545"/>
      <c r="I40" s="496"/>
      <c r="J40" s="545"/>
      <c r="K40" s="496"/>
      <c r="L40" s="710" t="s">
        <v>280</v>
      </c>
      <c r="M40" s="721">
        <v>2010</v>
      </c>
      <c r="N40" s="721">
        <v>2020</v>
      </c>
      <c r="O40" s="721">
        <v>2025</v>
      </c>
      <c r="P40" s="721">
        <v>2030</v>
      </c>
      <c r="Q40" s="722">
        <v>2035</v>
      </c>
      <c r="R40" s="496"/>
      <c r="S40" s="696"/>
      <c r="T40" s="696"/>
      <c r="U40" s="696"/>
      <c r="V40" s="696"/>
      <c r="W40" s="696"/>
      <c r="X40" s="696"/>
      <c r="Y40" s="696"/>
      <c r="Z40" s="696"/>
      <c r="AA40" s="496"/>
      <c r="AB40" s="496"/>
      <c r="AC40" s="496"/>
      <c r="AD40" s="496"/>
      <c r="AE40" s="496"/>
      <c r="AF40" s="496"/>
      <c r="AG40" s="496"/>
      <c r="AH40" s="496"/>
      <c r="AI40" s="496"/>
      <c r="AJ40" s="496"/>
      <c r="AK40" s="496"/>
      <c r="AL40" s="496"/>
      <c r="AM40" s="496"/>
      <c r="AN40" s="496"/>
      <c r="AO40" s="496"/>
      <c r="AP40" s="496"/>
      <c r="AQ40" s="496"/>
    </row>
    <row r="41" spans="1:43" ht="15.75" thickBot="1" x14ac:dyDescent="0.3">
      <c r="A41" s="496"/>
      <c r="B41" s="235" t="s">
        <v>282</v>
      </c>
      <c r="C41" s="525">
        <v>0.43200000000000011</v>
      </c>
      <c r="D41" s="525">
        <v>0.49900000000000005</v>
      </c>
      <c r="E41" s="525">
        <v>0.56600000000000006</v>
      </c>
      <c r="F41" s="525">
        <v>0.62</v>
      </c>
      <c r="G41" s="526">
        <v>0.64</v>
      </c>
      <c r="H41" s="545"/>
      <c r="I41" s="496"/>
      <c r="J41" s="545"/>
      <c r="K41" s="496"/>
      <c r="L41" s="235" t="s">
        <v>282</v>
      </c>
      <c r="M41" s="525">
        <v>0.43200000000000011</v>
      </c>
      <c r="N41" s="525">
        <v>0.49900000000000005</v>
      </c>
      <c r="O41" s="525">
        <v>0.56600000000000006</v>
      </c>
      <c r="P41" s="525">
        <v>0.62</v>
      </c>
      <c r="Q41" s="526">
        <v>0.64</v>
      </c>
      <c r="R41" s="496"/>
      <c r="S41" s="696"/>
      <c r="T41" s="696"/>
      <c r="U41" s="696"/>
      <c r="V41" s="696"/>
      <c r="W41" s="696"/>
      <c r="X41" s="696"/>
      <c r="Y41" s="696"/>
      <c r="Z41" s="696"/>
      <c r="AA41" s="496"/>
      <c r="AB41" s="496"/>
      <c r="AC41" s="496"/>
      <c r="AD41" s="496"/>
      <c r="AE41" s="496"/>
      <c r="AF41" s="496"/>
      <c r="AG41" s="496"/>
      <c r="AH41" s="496"/>
      <c r="AI41" s="496"/>
      <c r="AJ41" s="496"/>
      <c r="AK41" s="496"/>
      <c r="AL41" s="496"/>
      <c r="AM41" s="496"/>
      <c r="AN41" s="496"/>
      <c r="AO41" s="496"/>
      <c r="AP41" s="496"/>
      <c r="AQ41" s="496"/>
    </row>
    <row r="42" spans="1:43" ht="15.75" thickBot="1" x14ac:dyDescent="0.3">
      <c r="A42" s="496"/>
      <c r="B42" s="235" t="s">
        <v>284</v>
      </c>
      <c r="C42" s="525">
        <v>0.31500000000000006</v>
      </c>
      <c r="D42" s="525">
        <v>0.37125000000000008</v>
      </c>
      <c r="E42" s="525">
        <v>0.4275000000000001</v>
      </c>
      <c r="F42" s="525">
        <v>0.46</v>
      </c>
      <c r="G42" s="526">
        <v>0.47</v>
      </c>
      <c r="H42" s="545"/>
      <c r="I42" s="496"/>
      <c r="J42" s="545"/>
      <c r="K42" s="496"/>
      <c r="L42" s="235" t="s">
        <v>284</v>
      </c>
      <c r="M42" s="525">
        <v>0.31500000000000006</v>
      </c>
      <c r="N42" s="525">
        <v>0.37125000000000008</v>
      </c>
      <c r="O42" s="525">
        <v>0.4275000000000001</v>
      </c>
      <c r="P42" s="525">
        <v>0.46</v>
      </c>
      <c r="Q42" s="526">
        <v>0.47</v>
      </c>
      <c r="R42" s="496"/>
      <c r="S42" s="696"/>
      <c r="T42" s="696"/>
      <c r="U42" s="696"/>
      <c r="V42" s="696"/>
      <c r="W42" s="696"/>
      <c r="X42" s="696"/>
      <c r="Y42" s="696"/>
      <c r="Z42" s="696"/>
      <c r="AA42" s="496"/>
      <c r="AB42" s="496"/>
      <c r="AC42" s="496"/>
      <c r="AD42" s="496"/>
      <c r="AE42" s="496"/>
      <c r="AF42" s="496"/>
      <c r="AG42" s="496"/>
      <c r="AH42" s="496"/>
      <c r="AI42" s="496"/>
      <c r="AJ42" s="496"/>
      <c r="AK42" s="496"/>
      <c r="AL42" s="496"/>
      <c r="AM42" s="496"/>
      <c r="AN42" s="496"/>
      <c r="AO42" s="496"/>
      <c r="AP42" s="496"/>
      <c r="AQ42" s="496"/>
    </row>
    <row r="43" spans="1:43" ht="15.75" thickBot="1" x14ac:dyDescent="0.3">
      <c r="A43" s="496"/>
      <c r="B43" s="235" t="s">
        <v>575</v>
      </c>
      <c r="C43" s="525">
        <v>0.26200000000000001</v>
      </c>
      <c r="D43" s="525">
        <v>0.309</v>
      </c>
      <c r="E43" s="525">
        <v>0.35599999999999998</v>
      </c>
      <c r="F43" s="525">
        <v>0.4</v>
      </c>
      <c r="G43" s="526">
        <v>0.42</v>
      </c>
      <c r="H43" s="545"/>
      <c r="I43" s="496"/>
      <c r="J43" s="545"/>
      <c r="K43" s="496"/>
      <c r="L43" s="235" t="s">
        <v>575</v>
      </c>
      <c r="M43" s="525">
        <v>0.26200000000000001</v>
      </c>
      <c r="N43" s="525">
        <v>0.309</v>
      </c>
      <c r="O43" s="525">
        <v>0.35599999999999998</v>
      </c>
      <c r="P43" s="525">
        <v>0.4</v>
      </c>
      <c r="Q43" s="526">
        <v>0.42</v>
      </c>
      <c r="R43" s="496"/>
      <c r="S43" s="696"/>
      <c r="T43" s="696"/>
      <c r="U43" s="696"/>
      <c r="V43" s="696"/>
      <c r="W43" s="696"/>
      <c r="X43" s="696"/>
      <c r="Y43" s="696"/>
      <c r="Z43" s="696"/>
      <c r="AA43" s="496"/>
      <c r="AB43" s="496"/>
      <c r="AC43" s="496"/>
      <c r="AD43" s="496"/>
      <c r="AE43" s="496"/>
      <c r="AF43" s="496"/>
      <c r="AG43" s="496"/>
      <c r="AH43" s="496"/>
      <c r="AI43" s="496"/>
      <c r="AJ43" s="496"/>
      <c r="AK43" s="496"/>
      <c r="AL43" s="496"/>
      <c r="AM43" s="496"/>
      <c r="AN43" s="496"/>
      <c r="AO43" s="496"/>
      <c r="AP43" s="496"/>
      <c r="AQ43" s="496"/>
    </row>
    <row r="44" spans="1:43" ht="15.75" thickBot="1" x14ac:dyDescent="0.3">
      <c r="A44" s="496"/>
      <c r="B44" s="235" t="s">
        <v>99</v>
      </c>
      <c r="C44" s="525">
        <v>0.15599458942562774</v>
      </c>
      <c r="D44" s="525">
        <v>0.1669959420692208</v>
      </c>
      <c r="E44" s="525">
        <v>0.17799729471281386</v>
      </c>
      <c r="F44" s="525">
        <v>0.19</v>
      </c>
      <c r="G44" s="526">
        <v>0.19500000000000001</v>
      </c>
      <c r="H44" s="545"/>
      <c r="I44" s="496"/>
      <c r="J44" s="545"/>
      <c r="K44" s="496"/>
      <c r="L44" s="235" t="s">
        <v>99</v>
      </c>
      <c r="M44" s="525">
        <v>0.15599458942562774</v>
      </c>
      <c r="N44" s="525">
        <v>0.1669959420692208</v>
      </c>
      <c r="O44" s="525">
        <v>0.17799729471281386</v>
      </c>
      <c r="P44" s="525">
        <v>0.19</v>
      </c>
      <c r="Q44" s="526">
        <v>0.19500000000000001</v>
      </c>
      <c r="R44" s="496"/>
      <c r="S44" s="696"/>
      <c r="T44" s="696"/>
      <c r="U44" s="696"/>
      <c r="V44" s="696"/>
      <c r="W44" s="696"/>
      <c r="X44" s="696"/>
      <c r="Y44" s="696"/>
      <c r="Z44" s="696"/>
      <c r="AA44" s="496"/>
      <c r="AB44" s="496"/>
      <c r="AC44" s="496"/>
      <c r="AD44" s="496"/>
      <c r="AE44" s="496"/>
      <c r="AF44" s="496"/>
      <c r="AG44" s="496"/>
      <c r="AH44" s="496"/>
      <c r="AI44" s="496"/>
      <c r="AJ44" s="496"/>
      <c r="AK44" s="496"/>
      <c r="AL44" s="496"/>
      <c r="AM44" s="496"/>
      <c r="AN44" s="496"/>
      <c r="AO44" s="496"/>
      <c r="AP44" s="496"/>
      <c r="AQ44" s="496"/>
    </row>
    <row r="45" spans="1:43" x14ac:dyDescent="0.25">
      <c r="A45" s="496"/>
      <c r="B45" s="718"/>
      <c r="C45" s="496"/>
      <c r="D45" s="496"/>
      <c r="E45" s="496"/>
      <c r="F45" s="496"/>
      <c r="G45" s="496"/>
      <c r="H45" s="545"/>
      <c r="I45" s="496"/>
      <c r="J45" s="545"/>
      <c r="K45" s="496"/>
      <c r="L45" s="496"/>
      <c r="M45" s="496"/>
      <c r="N45" s="496"/>
      <c r="O45" s="496"/>
      <c r="P45" s="496"/>
      <c r="Q45" s="496"/>
      <c r="R45" s="496"/>
      <c r="S45" s="696"/>
      <c r="T45" s="696"/>
      <c r="U45" s="696"/>
      <c r="V45" s="696"/>
      <c r="W45" s="696"/>
      <c r="X45" s="696"/>
      <c r="Y45" s="696"/>
      <c r="Z45" s="696"/>
      <c r="AA45" s="496"/>
      <c r="AB45" s="496"/>
      <c r="AC45" s="496"/>
      <c r="AD45" s="496"/>
      <c r="AE45" s="496"/>
      <c r="AF45" s="496"/>
      <c r="AG45" s="496"/>
      <c r="AH45" s="496"/>
      <c r="AI45" s="496"/>
      <c r="AJ45" s="496"/>
      <c r="AK45" s="496"/>
      <c r="AL45" s="496"/>
      <c r="AM45" s="496"/>
      <c r="AN45" s="496"/>
      <c r="AO45" s="496"/>
      <c r="AP45" s="496"/>
      <c r="AQ45" s="496"/>
    </row>
    <row r="46" spans="1:43" x14ac:dyDescent="0.25">
      <c r="A46" s="496"/>
      <c r="B46" s="496"/>
      <c r="C46" s="496"/>
      <c r="D46" s="496"/>
      <c r="E46" s="496"/>
      <c r="F46" s="496"/>
      <c r="G46" s="496"/>
      <c r="H46" s="545"/>
      <c r="I46" s="496"/>
      <c r="J46" s="540"/>
      <c r="K46" s="496"/>
      <c r="L46" s="496"/>
      <c r="M46" s="496"/>
      <c r="N46" s="496"/>
      <c r="O46" s="496"/>
      <c r="P46" s="496"/>
      <c r="Q46" s="496"/>
      <c r="R46" s="496"/>
      <c r="S46" s="696"/>
      <c r="T46" s="696"/>
      <c r="U46" s="696"/>
      <c r="V46" s="696"/>
      <c r="W46" s="696"/>
      <c r="X46" s="696"/>
      <c r="Y46" s="696"/>
      <c r="Z46" s="696"/>
      <c r="AA46" s="496"/>
      <c r="AB46" s="496"/>
      <c r="AC46" s="496"/>
      <c r="AD46" s="496"/>
      <c r="AE46" s="496"/>
      <c r="AF46" s="496"/>
      <c r="AG46" s="496"/>
      <c r="AH46" s="496"/>
      <c r="AI46" s="496"/>
      <c r="AJ46" s="496"/>
      <c r="AK46" s="496"/>
      <c r="AL46" s="496"/>
      <c r="AM46" s="496"/>
      <c r="AN46" s="496"/>
      <c r="AO46" s="496"/>
      <c r="AP46" s="496"/>
      <c r="AQ46" s="496"/>
    </row>
    <row r="47" spans="1:43" x14ac:dyDescent="0.25">
      <c r="A47" s="496"/>
      <c r="B47" s="496"/>
      <c r="C47" s="496"/>
      <c r="D47" s="496"/>
      <c r="E47" s="496"/>
      <c r="F47" s="496"/>
      <c r="G47" s="496"/>
      <c r="H47" s="545"/>
      <c r="I47" s="496"/>
      <c r="J47" s="540"/>
      <c r="K47" s="496"/>
      <c r="L47" s="496"/>
      <c r="M47" s="496"/>
      <c r="N47" s="496"/>
      <c r="O47" s="496"/>
      <c r="P47" s="496"/>
      <c r="Q47" s="496"/>
      <c r="R47" s="496"/>
      <c r="S47" s="696"/>
      <c r="T47" s="696"/>
      <c r="U47" s="696"/>
      <c r="V47" s="696"/>
      <c r="W47" s="696"/>
      <c r="X47" s="696"/>
      <c r="Y47" s="696"/>
      <c r="Z47" s="696"/>
      <c r="AA47" s="496"/>
      <c r="AB47" s="496"/>
      <c r="AC47" s="496"/>
      <c r="AD47" s="496"/>
      <c r="AE47" s="496"/>
      <c r="AF47" s="496"/>
      <c r="AG47" s="496"/>
      <c r="AH47" s="496"/>
      <c r="AI47" s="496"/>
      <c r="AJ47" s="496"/>
      <c r="AK47" s="496"/>
      <c r="AL47" s="496"/>
      <c r="AM47" s="496"/>
      <c r="AN47" s="496"/>
      <c r="AO47" s="496"/>
      <c r="AP47" s="496"/>
      <c r="AQ47" s="496"/>
    </row>
    <row r="48" spans="1:43" ht="21" x14ac:dyDescent="0.35">
      <c r="A48" s="723" t="s">
        <v>287</v>
      </c>
      <c r="B48" s="723"/>
      <c r="C48" s="723"/>
      <c r="D48" s="723"/>
      <c r="E48" s="723"/>
      <c r="F48" s="723"/>
      <c r="G48" s="723"/>
      <c r="H48" s="545"/>
      <c r="I48" s="496"/>
      <c r="J48" s="540"/>
      <c r="K48" s="499" t="s">
        <v>287</v>
      </c>
      <c r="L48" s="723"/>
      <c r="M48" s="723"/>
      <c r="N48" s="723"/>
      <c r="O48" s="723"/>
      <c r="P48" s="723"/>
      <c r="Q48" s="723"/>
      <c r="R48" s="496"/>
      <c r="S48" s="696"/>
      <c r="T48" s="696"/>
      <c r="U48" s="696"/>
      <c r="V48" s="696"/>
      <c r="W48" s="696"/>
      <c r="X48" s="696"/>
      <c r="Y48" s="696"/>
      <c r="Z48" s="696"/>
      <c r="AA48" s="496"/>
      <c r="AB48" s="496"/>
      <c r="AC48" s="496"/>
      <c r="AD48" s="496"/>
      <c r="AE48" s="496"/>
      <c r="AF48" s="496"/>
      <c r="AG48" s="496"/>
      <c r="AH48" s="496"/>
      <c r="AI48" s="496"/>
      <c r="AJ48" s="496"/>
      <c r="AK48" s="496"/>
      <c r="AL48" s="496"/>
      <c r="AM48" s="496"/>
      <c r="AN48" s="496"/>
      <c r="AO48" s="496"/>
      <c r="AP48" s="496"/>
      <c r="AQ48" s="496"/>
    </row>
    <row r="49" spans="1:43" x14ac:dyDescent="0.25">
      <c r="A49" s="496"/>
      <c r="B49" s="496"/>
      <c r="C49" s="496"/>
      <c r="D49" s="496"/>
      <c r="E49" s="496"/>
      <c r="F49" s="496"/>
      <c r="G49" s="496"/>
      <c r="H49" s="545"/>
      <c r="I49" s="496"/>
      <c r="J49" s="540"/>
      <c r="K49" s="496"/>
      <c r="L49" s="496"/>
      <c r="M49" s="496"/>
      <c r="N49" s="496"/>
      <c r="O49" s="496"/>
      <c r="P49" s="496"/>
      <c r="Q49" s="496"/>
      <c r="R49" s="496"/>
      <c r="S49" s="696"/>
      <c r="T49" s="696"/>
      <c r="U49" s="696"/>
      <c r="V49" s="696"/>
      <c r="W49" s="696"/>
      <c r="X49" s="696"/>
      <c r="Y49" s="696"/>
      <c r="Z49" s="696"/>
      <c r="AA49" s="496"/>
      <c r="AB49" s="496"/>
      <c r="AC49" s="496"/>
      <c r="AD49" s="496"/>
      <c r="AE49" s="496"/>
      <c r="AF49" s="496"/>
      <c r="AG49" s="496"/>
      <c r="AH49" s="496"/>
      <c r="AI49" s="496"/>
      <c r="AJ49" s="496"/>
      <c r="AK49" s="496"/>
      <c r="AL49" s="496"/>
      <c r="AM49" s="496"/>
      <c r="AN49" s="496"/>
      <c r="AO49" s="496"/>
      <c r="AP49" s="496"/>
      <c r="AQ49" s="496"/>
    </row>
    <row r="50" spans="1:43" ht="21" x14ac:dyDescent="0.35">
      <c r="A50" s="538" t="s">
        <v>288</v>
      </c>
      <c r="B50" s="538"/>
      <c r="C50" s="538"/>
      <c r="D50" s="538"/>
      <c r="E50" s="538"/>
      <c r="F50" s="538"/>
      <c r="G50" s="538"/>
      <c r="H50" s="496"/>
      <c r="I50" s="496"/>
      <c r="J50" s="496"/>
      <c r="K50" s="501" t="s">
        <v>288</v>
      </c>
      <c r="L50" s="538"/>
      <c r="M50" s="538"/>
      <c r="N50" s="538"/>
      <c r="O50" s="538"/>
      <c r="P50" s="538"/>
      <c r="Q50" s="538"/>
      <c r="R50" s="496"/>
      <c r="S50" s="696"/>
      <c r="T50" s="696"/>
      <c r="U50" s="696"/>
      <c r="V50" s="696"/>
      <c r="W50" s="696"/>
      <c r="X50" s="696"/>
      <c r="Y50" s="696"/>
      <c r="Z50" s="696"/>
      <c r="AA50" s="496"/>
      <c r="AB50" s="496"/>
      <c r="AC50" s="496"/>
      <c r="AD50" s="496"/>
      <c r="AE50" s="496"/>
      <c r="AF50" s="496"/>
      <c r="AG50" s="496"/>
      <c r="AH50" s="496"/>
      <c r="AI50" s="496"/>
      <c r="AJ50" s="496"/>
      <c r="AK50" s="496"/>
      <c r="AL50" s="496"/>
      <c r="AM50" s="496"/>
      <c r="AN50" s="496"/>
      <c r="AO50" s="496"/>
      <c r="AP50" s="496"/>
      <c r="AQ50" s="496"/>
    </row>
    <row r="51" spans="1:43" ht="93.75" customHeight="1" x14ac:dyDescent="0.35">
      <c r="A51" s="538"/>
      <c r="B51" s="538"/>
      <c r="C51" s="538"/>
      <c r="D51" s="538"/>
      <c r="E51" s="538"/>
      <c r="F51" s="538"/>
      <c r="G51" s="538"/>
      <c r="H51" s="496"/>
      <c r="I51" s="496"/>
      <c r="J51" s="496"/>
      <c r="K51" s="496"/>
      <c r="L51" s="888" t="s">
        <v>552</v>
      </c>
      <c r="M51" s="888"/>
      <c r="N51" s="888"/>
      <c r="O51" s="888"/>
      <c r="P51" s="888"/>
      <c r="Q51" s="888"/>
      <c r="R51" s="496"/>
      <c r="S51" s="696"/>
      <c r="T51" s="696"/>
      <c r="U51" s="696"/>
      <c r="V51" s="696"/>
      <c r="W51" s="696"/>
      <c r="X51" s="696"/>
      <c r="Y51" s="696"/>
      <c r="Z51" s="696"/>
      <c r="AA51" s="496"/>
      <c r="AB51" s="496"/>
      <c r="AC51" s="496"/>
      <c r="AD51" s="496"/>
      <c r="AE51" s="496"/>
      <c r="AF51" s="496"/>
      <c r="AG51" s="496"/>
      <c r="AH51" s="496"/>
      <c r="AI51" s="496"/>
      <c r="AJ51" s="496"/>
      <c r="AK51" s="496"/>
      <c r="AL51" s="496"/>
      <c r="AM51" s="496"/>
      <c r="AN51" s="496"/>
      <c r="AO51" s="496"/>
      <c r="AP51" s="496"/>
      <c r="AQ51" s="496"/>
    </row>
    <row r="52" spans="1:43" ht="15.75" thickBot="1" x14ac:dyDescent="0.3">
      <c r="A52" s="496"/>
      <c r="B52" s="502"/>
      <c r="C52" s="496"/>
      <c r="D52" s="496"/>
      <c r="E52" s="496"/>
      <c r="F52" s="496"/>
      <c r="G52" s="496"/>
      <c r="H52" s="496"/>
      <c r="I52" s="496"/>
      <c r="J52" s="496"/>
      <c r="K52" s="496"/>
      <c r="L52" s="502"/>
      <c r="M52" s="496"/>
      <c r="N52" s="496"/>
      <c r="O52" s="496"/>
      <c r="P52" s="496"/>
      <c r="Q52" s="496"/>
      <c r="R52" s="496"/>
      <c r="S52" s="696"/>
      <c r="T52" s="696"/>
      <c r="U52" s="696"/>
      <c r="V52" s="696"/>
      <c r="W52" s="696"/>
      <c r="X52" s="696"/>
      <c r="Y52" s="696"/>
      <c r="Z52" s="696"/>
      <c r="AA52" s="496"/>
      <c r="AB52" s="496"/>
      <c r="AC52" s="496"/>
      <c r="AD52" s="496"/>
      <c r="AE52" s="496"/>
      <c r="AF52" s="496"/>
      <c r="AG52" s="496"/>
      <c r="AH52" s="496"/>
      <c r="AI52" s="496"/>
      <c r="AJ52" s="496"/>
      <c r="AK52" s="496"/>
      <c r="AL52" s="496"/>
      <c r="AM52" s="496"/>
      <c r="AN52" s="496"/>
      <c r="AO52" s="496"/>
      <c r="AP52" s="496"/>
      <c r="AQ52" s="496"/>
    </row>
    <row r="53" spans="1:43" ht="15.75" thickBot="1" x14ac:dyDescent="0.3">
      <c r="A53" s="496"/>
      <c r="B53" s="520"/>
      <c r="C53" s="721">
        <v>2010</v>
      </c>
      <c r="D53" s="721">
        <v>2020</v>
      </c>
      <c r="E53" s="721">
        <v>2025</v>
      </c>
      <c r="F53" s="721">
        <v>2030</v>
      </c>
      <c r="G53" s="722">
        <v>2035</v>
      </c>
      <c r="H53" s="496"/>
      <c r="I53" s="496"/>
      <c r="J53" s="496"/>
      <c r="K53" s="496"/>
      <c r="L53" s="520"/>
      <c r="M53" s="721">
        <v>2010</v>
      </c>
      <c r="N53" s="721">
        <v>2020</v>
      </c>
      <c r="O53" s="721">
        <v>2025</v>
      </c>
      <c r="P53" s="721">
        <v>2030</v>
      </c>
      <c r="Q53" s="722">
        <v>2035</v>
      </c>
      <c r="R53" s="496"/>
      <c r="S53" s="696"/>
      <c r="T53" s="696"/>
      <c r="U53" s="696"/>
      <c r="V53" s="696"/>
      <c r="W53" s="696"/>
      <c r="X53" s="696"/>
      <c r="Y53" s="696"/>
      <c r="Z53" s="696"/>
      <c r="AA53" s="496"/>
      <c r="AB53" s="496"/>
      <c r="AC53" s="496"/>
      <c r="AD53" s="496"/>
      <c r="AE53" s="496"/>
      <c r="AF53" s="496"/>
      <c r="AG53" s="496"/>
      <c r="AH53" s="496"/>
      <c r="AI53" s="496"/>
      <c r="AJ53" s="496"/>
      <c r="AK53" s="496"/>
      <c r="AL53" s="496"/>
      <c r="AM53" s="496"/>
      <c r="AN53" s="496"/>
      <c r="AO53" s="496"/>
      <c r="AP53" s="496"/>
      <c r="AQ53" s="496"/>
    </row>
    <row r="54" spans="1:43" ht="15.75" thickBot="1" x14ac:dyDescent="0.3">
      <c r="A54" s="496"/>
      <c r="B54" s="707" t="s">
        <v>289</v>
      </c>
      <c r="C54" s="523">
        <v>1</v>
      </c>
      <c r="D54" s="523">
        <v>0.65</v>
      </c>
      <c r="E54" s="523">
        <v>0.47499999999999998</v>
      </c>
      <c r="F54" s="523">
        <v>0.3</v>
      </c>
      <c r="G54" s="524">
        <v>0.125</v>
      </c>
      <c r="H54" s="496"/>
      <c r="I54" s="496"/>
      <c r="J54" s="496"/>
      <c r="K54" s="496"/>
      <c r="L54" s="707" t="s">
        <v>289</v>
      </c>
      <c r="M54" s="523">
        <v>1</v>
      </c>
      <c r="N54" s="523">
        <v>0.68469014831978248</v>
      </c>
      <c r="O54" s="523">
        <v>0.58207111423439495</v>
      </c>
      <c r="P54" s="523">
        <v>0.4853493980482162</v>
      </c>
      <c r="Q54" s="524">
        <v>0.39402250996592081</v>
      </c>
      <c r="R54" s="496"/>
      <c r="S54" s="696"/>
      <c r="T54" s="696"/>
      <c r="U54" s="696"/>
      <c r="V54" s="696"/>
      <c r="W54" s="696"/>
      <c r="X54" s="696"/>
      <c r="Y54" s="696"/>
      <c r="Z54" s="696"/>
      <c r="AA54" s="496"/>
      <c r="AB54" s="496"/>
      <c r="AC54" s="496"/>
      <c r="AD54" s="496"/>
      <c r="AE54" s="496"/>
      <c r="AF54" s="496"/>
      <c r="AG54" s="496"/>
      <c r="AH54" s="496"/>
      <c r="AI54" s="496"/>
      <c r="AJ54" s="496"/>
      <c r="AK54" s="496"/>
      <c r="AL54" s="496"/>
      <c r="AM54" s="496"/>
      <c r="AN54" s="496"/>
      <c r="AO54" s="496"/>
      <c r="AP54" s="496"/>
      <c r="AQ54" s="496"/>
    </row>
    <row r="55" spans="1:43" ht="15.75" thickBot="1" x14ac:dyDescent="0.3">
      <c r="A55" s="496"/>
      <c r="B55" s="707" t="s">
        <v>290</v>
      </c>
      <c r="C55" s="523">
        <v>0</v>
      </c>
      <c r="D55" s="523">
        <v>0.25</v>
      </c>
      <c r="E55" s="523">
        <v>0.375</v>
      </c>
      <c r="F55" s="523">
        <v>0.5</v>
      </c>
      <c r="G55" s="524">
        <v>0.625</v>
      </c>
      <c r="H55" s="496"/>
      <c r="I55" s="496"/>
      <c r="J55" s="496"/>
      <c r="K55" s="496"/>
      <c r="L55" s="707" t="s">
        <v>290</v>
      </c>
      <c r="M55" s="523">
        <v>0</v>
      </c>
      <c r="N55" s="523">
        <v>0.27947755082429909</v>
      </c>
      <c r="O55" s="523">
        <v>0.34409015644159907</v>
      </c>
      <c r="P55" s="523">
        <v>0.40712321154271935</v>
      </c>
      <c r="Q55" s="524">
        <v>0.47266035253785182</v>
      </c>
      <c r="R55" s="496"/>
      <c r="S55" s="696"/>
      <c r="T55" s="696"/>
      <c r="U55" s="696"/>
      <c r="V55" s="696"/>
      <c r="W55" s="696"/>
      <c r="X55" s="696"/>
      <c r="Y55" s="696"/>
      <c r="Z55" s="696"/>
      <c r="AA55" s="496"/>
      <c r="AB55" s="496"/>
      <c r="AC55" s="496"/>
      <c r="AD55" s="496"/>
      <c r="AE55" s="496"/>
      <c r="AF55" s="496"/>
      <c r="AG55" s="496"/>
      <c r="AH55" s="496"/>
      <c r="AI55" s="496"/>
      <c r="AJ55" s="496"/>
      <c r="AK55" s="496"/>
      <c r="AL55" s="496"/>
      <c r="AM55" s="496"/>
      <c r="AN55" s="496"/>
      <c r="AO55" s="496"/>
      <c r="AP55" s="496"/>
      <c r="AQ55" s="496"/>
    </row>
    <row r="56" spans="1:43" ht="15.75" thickBot="1" x14ac:dyDescent="0.3">
      <c r="A56" s="496"/>
      <c r="B56" s="707" t="s">
        <v>291</v>
      </c>
      <c r="C56" s="523">
        <v>0</v>
      </c>
      <c r="D56" s="523">
        <v>0.1</v>
      </c>
      <c r="E56" s="523">
        <v>0.15</v>
      </c>
      <c r="F56" s="523">
        <v>0.2</v>
      </c>
      <c r="G56" s="524">
        <v>0.25</v>
      </c>
      <c r="H56" s="496"/>
      <c r="I56" s="496"/>
      <c r="J56" s="496"/>
      <c r="K56" s="496"/>
      <c r="L56" s="707" t="s">
        <v>291</v>
      </c>
      <c r="M56" s="523">
        <v>0</v>
      </c>
      <c r="N56" s="523">
        <v>3.5284584231719193E-2</v>
      </c>
      <c r="O56" s="523">
        <v>7.1986507361117003E-2</v>
      </c>
      <c r="P56" s="523">
        <v>0.10472959122041142</v>
      </c>
      <c r="Q56" s="524">
        <v>0.13029789719373647</v>
      </c>
      <c r="R56" s="496"/>
      <c r="S56" s="696"/>
      <c r="T56" s="696"/>
      <c r="U56" s="696"/>
      <c r="V56" s="696"/>
      <c r="W56" s="696"/>
      <c r="X56" s="696"/>
      <c r="Y56" s="696"/>
      <c r="Z56" s="696"/>
      <c r="AA56" s="496"/>
      <c r="AB56" s="496"/>
      <c r="AC56" s="496"/>
      <c r="AD56" s="496"/>
      <c r="AE56" s="496"/>
      <c r="AF56" s="496"/>
      <c r="AG56" s="496"/>
      <c r="AH56" s="496"/>
      <c r="AI56" s="496"/>
      <c r="AJ56" s="496"/>
      <c r="AK56" s="496"/>
      <c r="AL56" s="496"/>
      <c r="AM56" s="496"/>
      <c r="AN56" s="496"/>
      <c r="AO56" s="496"/>
      <c r="AP56" s="496"/>
      <c r="AQ56" s="496"/>
    </row>
    <row r="57" spans="1:43" ht="15.75" thickBot="1" x14ac:dyDescent="0.3">
      <c r="A57" s="496"/>
      <c r="B57" s="707" t="s">
        <v>292</v>
      </c>
      <c r="C57" s="523">
        <v>0</v>
      </c>
      <c r="D57" s="523">
        <v>0</v>
      </c>
      <c r="E57" s="523">
        <v>0</v>
      </c>
      <c r="F57" s="523">
        <v>0</v>
      </c>
      <c r="G57" s="524">
        <v>0</v>
      </c>
      <c r="H57" s="496"/>
      <c r="I57" s="496"/>
      <c r="J57" s="496"/>
      <c r="K57" s="496"/>
      <c r="L57" s="707" t="s">
        <v>292</v>
      </c>
      <c r="M57" s="726">
        <v>0</v>
      </c>
      <c r="N57" s="726">
        <v>5.4771662419919945E-4</v>
      </c>
      <c r="O57" s="726">
        <v>1.8522219628889969E-3</v>
      </c>
      <c r="P57" s="726">
        <v>2.797799188653007E-3</v>
      </c>
      <c r="Q57" s="727">
        <v>3.0192403024909206E-3</v>
      </c>
      <c r="R57" s="496"/>
      <c r="S57" s="696"/>
      <c r="T57" s="696"/>
      <c r="U57" s="696"/>
      <c r="V57" s="696"/>
      <c r="W57" s="696"/>
      <c r="X57" s="696"/>
      <c r="Y57" s="696"/>
      <c r="Z57" s="696"/>
      <c r="AA57" s="496"/>
      <c r="AB57" s="496"/>
      <c r="AC57" s="496"/>
      <c r="AD57" s="496"/>
      <c r="AE57" s="496"/>
      <c r="AF57" s="496"/>
      <c r="AG57" s="496"/>
      <c r="AH57" s="496"/>
      <c r="AI57" s="496"/>
      <c r="AJ57" s="496"/>
      <c r="AK57" s="496"/>
      <c r="AL57" s="496"/>
      <c r="AM57" s="496"/>
      <c r="AN57" s="496"/>
      <c r="AO57" s="496"/>
      <c r="AP57" s="496"/>
      <c r="AQ57" s="496"/>
    </row>
    <row r="58" spans="1:43" ht="15.75" thickBot="1" x14ac:dyDescent="0.3">
      <c r="A58" s="496"/>
      <c r="B58" s="496"/>
      <c r="C58" s="701">
        <v>1</v>
      </c>
      <c r="D58" s="701">
        <v>1</v>
      </c>
      <c r="E58" s="701">
        <v>1</v>
      </c>
      <c r="F58" s="701">
        <v>1</v>
      </c>
      <c r="G58" s="701">
        <v>1</v>
      </c>
      <c r="H58" s="496"/>
      <c r="I58" s="496"/>
      <c r="J58" s="496"/>
      <c r="K58" s="496"/>
      <c r="L58" s="496"/>
      <c r="M58" s="701"/>
      <c r="N58" s="701"/>
      <c r="O58" s="701"/>
      <c r="P58" s="701"/>
      <c r="Q58" s="701"/>
      <c r="R58" s="496"/>
      <c r="S58" s="696"/>
      <c r="T58" s="696"/>
      <c r="U58" s="696"/>
      <c r="V58" s="696"/>
      <c r="W58" s="696"/>
      <c r="X58" s="696"/>
      <c r="Y58" s="696"/>
      <c r="Z58" s="696"/>
      <c r="AA58" s="496"/>
      <c r="AB58" s="496"/>
      <c r="AC58" s="496"/>
      <c r="AD58" s="496"/>
      <c r="AE58" s="496"/>
      <c r="AF58" s="496"/>
      <c r="AG58" s="496"/>
      <c r="AH58" s="496"/>
      <c r="AI58" s="496"/>
      <c r="AJ58" s="496"/>
      <c r="AK58" s="496"/>
      <c r="AL58" s="496"/>
      <c r="AM58" s="496"/>
      <c r="AN58" s="496"/>
      <c r="AO58" s="496"/>
      <c r="AP58" s="496"/>
      <c r="AQ58" s="496"/>
    </row>
    <row r="59" spans="1:43" ht="15.75" thickBot="1" x14ac:dyDescent="0.3">
      <c r="L59" s="707" t="s">
        <v>553</v>
      </c>
      <c r="M59" s="523"/>
      <c r="N59" s="523">
        <v>0.11416720377878277</v>
      </c>
      <c r="O59" s="523">
        <v>0.18722515856247787</v>
      </c>
      <c r="P59" s="523">
        <v>0.25928006200300246</v>
      </c>
      <c r="Q59" s="524">
        <v>0.31257180057999639</v>
      </c>
      <c r="S59" s="696"/>
      <c r="T59" s="696"/>
      <c r="U59" s="696"/>
      <c r="V59" s="696"/>
      <c r="W59" s="696"/>
      <c r="X59" s="696"/>
      <c r="Y59" s="696"/>
      <c r="Z59" s="696"/>
    </row>
    <row r="60" spans="1:43" x14ac:dyDescent="0.25">
      <c r="L60" s="725"/>
      <c r="M60" s="698"/>
      <c r="N60" s="698"/>
      <c r="O60" s="698"/>
      <c r="P60" s="698"/>
      <c r="Q60" s="698"/>
      <c r="S60" s="696"/>
      <c r="T60" s="696"/>
      <c r="U60" s="696"/>
      <c r="V60" s="696"/>
      <c r="W60" s="696"/>
      <c r="X60" s="696"/>
      <c r="Y60" s="696"/>
      <c r="Z60" s="696"/>
    </row>
    <row r="61" spans="1:43" ht="21" x14ac:dyDescent="0.35">
      <c r="A61" s="501" t="s">
        <v>293</v>
      </c>
      <c r="B61" s="501"/>
      <c r="C61" s="501"/>
      <c r="D61" s="501"/>
      <c r="E61" s="501"/>
      <c r="F61" s="501"/>
      <c r="G61" s="501"/>
      <c r="H61" s="496"/>
      <c r="I61" s="496"/>
      <c r="J61" s="496"/>
      <c r="K61" s="501" t="s">
        <v>293</v>
      </c>
      <c r="L61" s="501"/>
      <c r="M61" s="501"/>
      <c r="N61" s="501"/>
      <c r="O61" s="501"/>
      <c r="P61" s="501"/>
      <c r="Q61" s="501"/>
      <c r="R61" s="496"/>
      <c r="S61" s="696"/>
      <c r="T61" s="696"/>
      <c r="U61" s="696"/>
      <c r="V61" s="696"/>
      <c r="W61" s="696"/>
      <c r="X61" s="696"/>
      <c r="Y61" s="696"/>
      <c r="Z61" s="696"/>
      <c r="AA61" s="496"/>
      <c r="AB61" s="496"/>
      <c r="AC61" s="496"/>
      <c r="AD61" s="496"/>
      <c r="AE61" s="496"/>
      <c r="AF61" s="496"/>
      <c r="AG61" s="496"/>
      <c r="AH61" s="496"/>
      <c r="AI61" s="496"/>
      <c r="AJ61" s="496"/>
      <c r="AK61" s="496"/>
      <c r="AL61" s="496"/>
      <c r="AM61" s="496"/>
      <c r="AN61" s="496"/>
      <c r="AO61" s="496"/>
      <c r="AP61" s="496"/>
      <c r="AQ61" s="496"/>
    </row>
    <row r="62" spans="1:43" x14ac:dyDescent="0.25">
      <c r="A62" s="496"/>
      <c r="B62" s="496"/>
      <c r="C62" s="496"/>
      <c r="D62" s="496"/>
      <c r="E62" s="496"/>
      <c r="F62" s="496"/>
      <c r="G62" s="496"/>
      <c r="H62" s="496"/>
      <c r="I62" s="496"/>
      <c r="J62" s="496"/>
      <c r="K62" s="496"/>
      <c r="L62" s="496"/>
      <c r="M62" s="496"/>
      <c r="N62" s="496"/>
      <c r="O62" s="496"/>
      <c r="P62" s="496"/>
      <c r="Q62" s="496"/>
      <c r="R62" s="496"/>
      <c r="S62" s="696"/>
      <c r="T62" s="696"/>
      <c r="U62" s="696"/>
      <c r="V62" s="696"/>
      <c r="W62" s="696"/>
      <c r="X62" s="696"/>
      <c r="Y62" s="696"/>
      <c r="Z62" s="696"/>
      <c r="AA62" s="496"/>
      <c r="AB62" s="496"/>
      <c r="AC62" s="496"/>
      <c r="AD62" s="496"/>
      <c r="AE62" s="496"/>
      <c r="AF62" s="496"/>
      <c r="AG62" s="496"/>
      <c r="AH62" s="496"/>
      <c r="AI62" s="496"/>
      <c r="AJ62" s="496"/>
      <c r="AK62" s="496"/>
      <c r="AL62" s="496"/>
      <c r="AM62" s="496"/>
      <c r="AN62" s="496"/>
      <c r="AO62" s="496"/>
      <c r="AP62" s="496"/>
      <c r="AQ62" s="496"/>
    </row>
    <row r="63" spans="1:43" ht="21.75" thickBot="1" x14ac:dyDescent="0.4">
      <c r="B63" s="501" t="s">
        <v>294</v>
      </c>
      <c r="C63" s="501"/>
      <c r="D63" s="501"/>
      <c r="E63" s="501"/>
      <c r="F63" s="496"/>
      <c r="G63" s="496"/>
      <c r="H63" s="496"/>
      <c r="I63" s="496"/>
      <c r="J63" s="496"/>
      <c r="K63" s="496"/>
      <c r="L63" s="501" t="s">
        <v>294</v>
      </c>
      <c r="M63" s="501"/>
      <c r="N63" s="501"/>
      <c r="O63" s="501"/>
      <c r="P63" s="496"/>
      <c r="Q63" s="496"/>
      <c r="R63" s="496"/>
      <c r="S63" s="696"/>
      <c r="T63" s="696"/>
      <c r="U63" s="696"/>
      <c r="V63" s="696"/>
      <c r="W63" s="696"/>
      <c r="X63" s="696"/>
      <c r="Y63" s="696"/>
      <c r="Z63" s="696"/>
      <c r="AA63" s="496"/>
      <c r="AB63" s="496"/>
      <c r="AC63" s="496"/>
      <c r="AD63" s="496"/>
      <c r="AE63" s="496"/>
      <c r="AF63" s="496"/>
      <c r="AG63" s="496"/>
      <c r="AH63" s="496"/>
      <c r="AI63" s="496"/>
      <c r="AJ63" s="496"/>
      <c r="AK63" s="496"/>
      <c r="AL63" s="496"/>
      <c r="AM63" s="496"/>
      <c r="AN63" s="496"/>
      <c r="AO63" s="496"/>
      <c r="AP63" s="496"/>
      <c r="AQ63" s="496"/>
    </row>
    <row r="64" spans="1:43" ht="30.75" thickBot="1" x14ac:dyDescent="0.3">
      <c r="B64" s="710"/>
      <c r="C64" s="731" t="s">
        <v>290</v>
      </c>
      <c r="D64" s="731" t="s">
        <v>295</v>
      </c>
      <c r="E64" s="732" t="s">
        <v>292</v>
      </c>
      <c r="F64" s="496"/>
      <c r="G64" s="496"/>
      <c r="H64" s="496"/>
      <c r="I64" s="496"/>
      <c r="J64" s="496"/>
      <c r="K64" s="496"/>
      <c r="L64" s="710"/>
      <c r="M64" s="731" t="s">
        <v>290</v>
      </c>
      <c r="N64" s="731" t="s">
        <v>295</v>
      </c>
      <c r="O64" s="732" t="s">
        <v>292</v>
      </c>
      <c r="P64" s="496"/>
      <c r="Q64" s="496"/>
      <c r="R64" s="496"/>
      <c r="S64" s="696"/>
      <c r="T64" s="696"/>
      <c r="U64" s="696"/>
      <c r="V64" s="696"/>
      <c r="W64" s="696"/>
      <c r="X64" s="696"/>
      <c r="Y64" s="696"/>
      <c r="Z64" s="696"/>
      <c r="AA64" s="496"/>
      <c r="AB64" s="496"/>
      <c r="AC64" s="496"/>
      <c r="AD64" s="496"/>
      <c r="AE64" s="496"/>
      <c r="AF64" s="496"/>
      <c r="AG64" s="496"/>
      <c r="AH64" s="496"/>
      <c r="AI64" s="496"/>
      <c r="AJ64" s="496"/>
      <c r="AK64" s="496"/>
      <c r="AL64" s="496"/>
      <c r="AM64" s="496"/>
      <c r="AN64" s="496"/>
      <c r="AO64" s="496"/>
      <c r="AP64" s="496"/>
      <c r="AQ64" s="496"/>
    </row>
    <row r="65" spans="1:43" ht="15.75" thickBot="1" x14ac:dyDescent="0.3">
      <c r="B65" s="728" t="s">
        <v>281</v>
      </c>
      <c r="C65" s="729">
        <v>0.1</v>
      </c>
      <c r="D65" s="729">
        <v>0.1</v>
      </c>
      <c r="E65" s="730">
        <v>0.85</v>
      </c>
      <c r="F65" s="496"/>
      <c r="G65" s="496"/>
      <c r="H65" s="496"/>
      <c r="I65" s="496"/>
      <c r="J65" s="496"/>
      <c r="K65" s="496"/>
      <c r="L65" s="728" t="s">
        <v>281</v>
      </c>
      <c r="M65" s="889">
        <v>8.8689349702247178E-2</v>
      </c>
      <c r="N65" s="889">
        <v>0.30413994408297956</v>
      </c>
      <c r="O65" s="890">
        <v>0.52622655149566389</v>
      </c>
      <c r="P65" s="891" t="s">
        <v>554</v>
      </c>
      <c r="Q65" s="887"/>
      <c r="R65" s="496"/>
      <c r="S65" s="696"/>
      <c r="T65" s="696"/>
      <c r="U65" s="696"/>
      <c r="V65" s="696"/>
      <c r="W65" s="696"/>
      <c r="X65" s="696"/>
      <c r="Y65" s="696"/>
      <c r="Z65" s="696"/>
      <c r="AA65" s="496"/>
      <c r="AB65" s="496"/>
      <c r="AC65" s="496"/>
      <c r="AD65" s="496"/>
      <c r="AE65" s="496"/>
      <c r="AF65" s="496"/>
      <c r="AG65" s="496"/>
      <c r="AH65" s="496"/>
      <c r="AI65" s="496"/>
      <c r="AJ65" s="496"/>
      <c r="AK65" s="496"/>
      <c r="AL65" s="496"/>
      <c r="AM65" s="496"/>
      <c r="AN65" s="496"/>
      <c r="AO65" s="496"/>
      <c r="AP65" s="496"/>
      <c r="AQ65" s="496"/>
    </row>
    <row r="66" spans="1:43" ht="15.75" thickBot="1" x14ac:dyDescent="0.3">
      <c r="B66" s="728" t="s">
        <v>282</v>
      </c>
      <c r="C66" s="729">
        <v>0.1</v>
      </c>
      <c r="D66" s="729">
        <v>0.1</v>
      </c>
      <c r="E66" s="730">
        <v>0.75</v>
      </c>
      <c r="F66" s="496"/>
      <c r="G66" s="496"/>
      <c r="H66" s="496"/>
      <c r="I66" s="496"/>
      <c r="J66" s="496"/>
      <c r="K66" s="496"/>
      <c r="L66" s="728" t="s">
        <v>282</v>
      </c>
      <c r="M66" s="889"/>
      <c r="N66" s="889"/>
      <c r="O66" s="890"/>
      <c r="P66" s="891"/>
      <c r="Q66" s="887"/>
      <c r="R66" s="496"/>
      <c r="S66" s="696"/>
      <c r="T66" s="696"/>
      <c r="U66" s="696"/>
      <c r="V66" s="696"/>
      <c r="W66" s="696"/>
      <c r="X66" s="696"/>
      <c r="Y66" s="696"/>
      <c r="Z66" s="696"/>
      <c r="AA66" s="496"/>
      <c r="AB66" s="496"/>
      <c r="AC66" s="496"/>
      <c r="AD66" s="496"/>
      <c r="AE66" s="496"/>
      <c r="AF66" s="496"/>
      <c r="AG66" s="496"/>
      <c r="AH66" s="496"/>
      <c r="AI66" s="496"/>
      <c r="AJ66" s="496"/>
      <c r="AK66" s="496"/>
      <c r="AL66" s="496"/>
      <c r="AM66" s="496"/>
      <c r="AN66" s="496"/>
      <c r="AO66" s="496"/>
      <c r="AP66" s="496"/>
      <c r="AQ66" s="496"/>
    </row>
    <row r="67" spans="1:43" ht="15.75" thickBot="1" x14ac:dyDescent="0.3">
      <c r="B67" s="728" t="s">
        <v>283</v>
      </c>
      <c r="C67" s="729">
        <v>0.1</v>
      </c>
      <c r="D67" s="729">
        <v>0.1</v>
      </c>
      <c r="E67" s="730">
        <v>0.65</v>
      </c>
      <c r="F67" s="496"/>
      <c r="G67" s="496"/>
      <c r="H67" s="496"/>
      <c r="I67" s="496"/>
      <c r="J67" s="496"/>
      <c r="K67" s="496"/>
      <c r="L67" s="728" t="s">
        <v>283</v>
      </c>
      <c r="M67" s="889"/>
      <c r="N67" s="889"/>
      <c r="O67" s="890"/>
      <c r="P67" s="891"/>
      <c r="Q67" s="887"/>
      <c r="R67" s="496"/>
      <c r="S67" s="696"/>
      <c r="T67" s="696"/>
      <c r="U67" s="696"/>
      <c r="V67" s="696"/>
      <c r="W67" s="696"/>
      <c r="X67" s="696"/>
      <c r="Y67" s="696"/>
      <c r="Z67" s="696"/>
      <c r="AA67" s="496"/>
      <c r="AB67" s="496"/>
      <c r="AC67" s="496"/>
      <c r="AD67" s="496"/>
      <c r="AE67" s="496"/>
      <c r="AF67" s="496"/>
      <c r="AG67" s="496"/>
      <c r="AH67" s="496"/>
      <c r="AI67" s="496"/>
      <c r="AJ67" s="496"/>
      <c r="AK67" s="496"/>
      <c r="AL67" s="496"/>
      <c r="AM67" s="496"/>
      <c r="AN67" s="496"/>
      <c r="AO67" s="496"/>
      <c r="AP67" s="496"/>
      <c r="AQ67" s="496"/>
    </row>
    <row r="68" spans="1:43" ht="15.75" thickBot="1" x14ac:dyDescent="0.3">
      <c r="B68" s="728" t="s">
        <v>284</v>
      </c>
      <c r="C68" s="729">
        <v>0.1</v>
      </c>
      <c r="D68" s="729">
        <v>0.1</v>
      </c>
      <c r="E68" s="730">
        <v>0.65</v>
      </c>
      <c r="F68" s="496"/>
      <c r="G68" s="496"/>
      <c r="H68" s="496"/>
      <c r="I68" s="496"/>
      <c r="J68" s="496"/>
      <c r="K68" s="496"/>
      <c r="L68" s="728" t="s">
        <v>284</v>
      </c>
      <c r="M68" s="889"/>
      <c r="N68" s="889"/>
      <c r="O68" s="890"/>
      <c r="P68" s="891"/>
      <c r="Q68" s="887"/>
      <c r="R68" s="496"/>
      <c r="S68" s="696"/>
      <c r="T68" s="696"/>
      <c r="U68" s="696"/>
      <c r="V68" s="696"/>
      <c r="W68" s="696"/>
      <c r="X68" s="696"/>
      <c r="Y68" s="696"/>
      <c r="Z68" s="696"/>
      <c r="AA68" s="496"/>
      <c r="AB68" s="496"/>
      <c r="AC68" s="496"/>
      <c r="AD68" s="496"/>
      <c r="AE68" s="496"/>
      <c r="AF68" s="496"/>
      <c r="AG68" s="496"/>
      <c r="AH68" s="496"/>
      <c r="AI68" s="496"/>
      <c r="AJ68" s="496"/>
      <c r="AK68" s="496"/>
      <c r="AL68" s="496"/>
      <c r="AM68" s="496"/>
      <c r="AN68" s="496"/>
      <c r="AO68" s="496"/>
      <c r="AP68" s="496"/>
      <c r="AQ68" s="496"/>
    </row>
    <row r="69" spans="1:43" ht="15.75" thickBot="1" x14ac:dyDescent="0.3">
      <c r="B69" s="728" t="s">
        <v>285</v>
      </c>
      <c r="C69" s="729">
        <v>0.1</v>
      </c>
      <c r="D69" s="729">
        <v>0.1</v>
      </c>
      <c r="E69" s="730">
        <v>0.85</v>
      </c>
      <c r="F69" s="496"/>
      <c r="G69" s="496"/>
      <c r="H69" s="496"/>
      <c r="I69" s="496"/>
      <c r="J69" s="496"/>
      <c r="K69" s="496"/>
      <c r="L69" s="728" t="s">
        <v>285</v>
      </c>
      <c r="M69" s="889"/>
      <c r="N69" s="889"/>
      <c r="O69" s="890"/>
      <c r="P69" s="891"/>
      <c r="Q69" s="887"/>
      <c r="R69" s="496"/>
      <c r="S69" s="696"/>
      <c r="T69" s="696"/>
      <c r="U69" s="696"/>
      <c r="V69" s="696"/>
      <c r="W69" s="696"/>
      <c r="X69" s="696"/>
      <c r="Y69" s="696"/>
      <c r="Z69" s="696"/>
      <c r="AA69" s="496"/>
      <c r="AB69" s="496"/>
      <c r="AC69" s="496"/>
      <c r="AD69" s="496"/>
      <c r="AE69" s="496"/>
      <c r="AF69" s="496"/>
      <c r="AG69" s="496"/>
      <c r="AH69" s="496"/>
      <c r="AI69" s="496"/>
      <c r="AJ69" s="496"/>
      <c r="AK69" s="496"/>
      <c r="AL69" s="496"/>
      <c r="AM69" s="496"/>
      <c r="AN69" s="496"/>
      <c r="AO69" s="496"/>
      <c r="AP69" s="496"/>
      <c r="AQ69" s="496"/>
    </row>
    <row r="70" spans="1:43" ht="15.75" thickBot="1" x14ac:dyDescent="0.3">
      <c r="B70" s="728" t="s">
        <v>296</v>
      </c>
      <c r="C70" s="729">
        <v>0.1</v>
      </c>
      <c r="D70" s="729">
        <v>0.1</v>
      </c>
      <c r="E70" s="730">
        <v>0.8</v>
      </c>
      <c r="F70" s="496"/>
      <c r="G70" s="496"/>
      <c r="H70" s="496"/>
      <c r="I70" s="496"/>
      <c r="J70" s="496"/>
      <c r="K70" s="496"/>
      <c r="L70" s="728" t="s">
        <v>296</v>
      </c>
      <c r="M70" s="889"/>
      <c r="N70" s="889"/>
      <c r="O70" s="890"/>
      <c r="P70" s="891"/>
      <c r="Q70" s="887"/>
      <c r="R70" s="496"/>
      <c r="S70" s="696"/>
      <c r="T70" s="696"/>
      <c r="U70" s="696"/>
      <c r="V70" s="696"/>
      <c r="W70" s="696"/>
      <c r="X70" s="696"/>
      <c r="Y70" s="696"/>
      <c r="Z70" s="696"/>
      <c r="AA70" s="496"/>
      <c r="AB70" s="496"/>
      <c r="AC70" s="496"/>
      <c r="AD70" s="496"/>
      <c r="AE70" s="496"/>
      <c r="AF70" s="496"/>
      <c r="AG70" s="496"/>
      <c r="AH70" s="496"/>
      <c r="AI70" s="496"/>
      <c r="AJ70" s="496"/>
      <c r="AK70" s="496"/>
      <c r="AL70" s="496"/>
      <c r="AM70" s="496"/>
      <c r="AN70" s="496"/>
      <c r="AO70" s="496"/>
      <c r="AP70" s="496"/>
      <c r="AQ70" s="496"/>
    </row>
    <row r="71" spans="1:43" ht="15.75" thickBot="1" x14ac:dyDescent="0.3">
      <c r="B71" s="728" t="s">
        <v>99</v>
      </c>
      <c r="C71" s="729">
        <v>0.1</v>
      </c>
      <c r="D71" s="729">
        <v>0.1</v>
      </c>
      <c r="E71" s="730">
        <v>0.75</v>
      </c>
      <c r="F71" s="496"/>
      <c r="G71" s="496"/>
      <c r="H71" s="496"/>
      <c r="I71" s="496"/>
      <c r="J71" s="496"/>
      <c r="K71" s="496"/>
      <c r="L71" s="728" t="s">
        <v>99</v>
      </c>
      <c r="M71" s="889"/>
      <c r="N71" s="889"/>
      <c r="O71" s="890"/>
      <c r="P71" s="891"/>
      <c r="Q71" s="887"/>
      <c r="R71" s="496"/>
      <c r="S71" s="696"/>
      <c r="T71" s="696"/>
      <c r="U71" s="696"/>
      <c r="V71" s="696"/>
      <c r="W71" s="696"/>
      <c r="X71" s="696"/>
      <c r="Y71" s="696"/>
      <c r="Z71" s="696"/>
      <c r="AA71" s="496"/>
      <c r="AB71" s="496"/>
      <c r="AC71" s="496"/>
      <c r="AD71" s="496"/>
      <c r="AE71" s="496"/>
      <c r="AF71" s="496"/>
      <c r="AG71" s="496"/>
      <c r="AH71" s="496"/>
      <c r="AI71" s="496"/>
      <c r="AJ71" s="496"/>
      <c r="AK71" s="496"/>
      <c r="AL71" s="496"/>
      <c r="AM71" s="496"/>
      <c r="AN71" s="496"/>
      <c r="AO71" s="496"/>
      <c r="AP71" s="496"/>
      <c r="AQ71" s="496"/>
    </row>
    <row r="72" spans="1:43" x14ac:dyDescent="0.25">
      <c r="B72" s="724"/>
      <c r="C72" s="724"/>
      <c r="D72" s="724"/>
      <c r="E72" s="724"/>
      <c r="F72" s="496"/>
      <c r="G72" s="496"/>
      <c r="H72" s="496"/>
      <c r="I72" s="496"/>
      <c r="J72" s="496"/>
      <c r="K72" s="496"/>
      <c r="L72" s="724"/>
      <c r="M72" s="724"/>
      <c r="N72" s="724"/>
      <c r="O72" s="724"/>
      <c r="P72" s="496"/>
      <c r="Q72" s="496"/>
      <c r="R72" s="496"/>
      <c r="S72" s="696"/>
      <c r="T72" s="696"/>
      <c r="U72" s="696"/>
      <c r="V72" s="696"/>
      <c r="W72" s="696"/>
      <c r="X72" s="696"/>
      <c r="Y72" s="696"/>
      <c r="Z72" s="696"/>
      <c r="AA72" s="496"/>
      <c r="AB72" s="496"/>
      <c r="AC72" s="496"/>
      <c r="AD72" s="496"/>
      <c r="AE72" s="496"/>
      <c r="AF72" s="496"/>
      <c r="AG72" s="496"/>
      <c r="AH72" s="496"/>
      <c r="AI72" s="496"/>
      <c r="AJ72" s="496"/>
      <c r="AK72" s="496"/>
      <c r="AL72" s="496"/>
      <c r="AM72" s="496"/>
      <c r="AN72" s="496"/>
      <c r="AO72" s="496"/>
      <c r="AP72" s="496"/>
      <c r="AQ72" s="496"/>
    </row>
    <row r="73" spans="1:43" ht="21" x14ac:dyDescent="0.35">
      <c r="B73" s="501" t="s">
        <v>297</v>
      </c>
      <c r="C73" s="501"/>
      <c r="D73" s="501"/>
      <c r="E73" s="501"/>
      <c r="F73" s="496"/>
      <c r="G73" s="496"/>
      <c r="H73" s="496"/>
      <c r="I73" s="496"/>
      <c r="J73" s="496"/>
      <c r="K73" s="496"/>
      <c r="L73" s="501" t="s">
        <v>297</v>
      </c>
      <c r="M73" s="501"/>
      <c r="N73" s="501"/>
      <c r="O73" s="501"/>
      <c r="P73" s="496"/>
      <c r="Q73" s="496"/>
      <c r="R73" s="496"/>
      <c r="S73" s="696"/>
      <c r="T73" s="696"/>
      <c r="U73" s="696"/>
      <c r="V73" s="696"/>
      <c r="W73" s="696"/>
      <c r="X73" s="696"/>
      <c r="Y73" s="696"/>
      <c r="Z73" s="696"/>
      <c r="AA73" s="496"/>
      <c r="AB73" s="496"/>
      <c r="AC73" s="496"/>
      <c r="AD73" s="496"/>
      <c r="AE73" s="496"/>
      <c r="AF73" s="496"/>
      <c r="AG73" s="496"/>
      <c r="AH73" s="496"/>
      <c r="AI73" s="496"/>
      <c r="AJ73" s="496"/>
      <c r="AK73" s="496"/>
      <c r="AL73" s="496"/>
      <c r="AM73" s="496"/>
      <c r="AN73" s="496"/>
      <c r="AO73" s="496"/>
      <c r="AP73" s="496"/>
      <c r="AQ73" s="496"/>
    </row>
    <row r="74" spans="1:43" x14ac:dyDescent="0.25">
      <c r="B74" s="496"/>
      <c r="C74" s="496"/>
      <c r="D74" s="496"/>
      <c r="E74" s="496"/>
      <c r="F74" s="496"/>
      <c r="G74" s="496"/>
      <c r="H74" s="496"/>
      <c r="I74" s="496"/>
      <c r="J74" s="496"/>
      <c r="K74" s="496"/>
      <c r="L74" s="496"/>
      <c r="M74" s="496"/>
      <c r="N74" s="496"/>
      <c r="O74" s="496"/>
      <c r="P74" s="496"/>
      <c r="Q74" s="496"/>
      <c r="R74" s="496"/>
      <c r="S74" s="696"/>
      <c r="T74" s="696"/>
      <c r="U74" s="696"/>
      <c r="V74" s="696"/>
      <c r="W74" s="696"/>
      <c r="X74" s="696"/>
      <c r="Y74" s="696"/>
      <c r="Z74" s="696"/>
      <c r="AA74" s="496"/>
      <c r="AB74" s="496"/>
      <c r="AC74" s="496"/>
      <c r="AD74" s="496"/>
      <c r="AE74" s="496"/>
      <c r="AF74" s="496"/>
      <c r="AG74" s="496"/>
      <c r="AH74" s="496"/>
      <c r="AI74" s="496"/>
      <c r="AJ74" s="496"/>
      <c r="AK74" s="496"/>
      <c r="AL74" s="496"/>
      <c r="AM74" s="496"/>
      <c r="AN74" s="496"/>
      <c r="AO74" s="496"/>
      <c r="AP74" s="496"/>
      <c r="AQ74" s="496"/>
    </row>
    <row r="75" spans="1:43" ht="101.25" customHeight="1" x14ac:dyDescent="0.25">
      <c r="B75" s="496"/>
      <c r="C75" s="496"/>
      <c r="D75" s="496"/>
      <c r="E75" s="496"/>
      <c r="F75" s="496"/>
      <c r="G75" s="496"/>
      <c r="H75" s="496"/>
      <c r="I75" s="496"/>
      <c r="J75" s="496"/>
      <c r="K75" s="496"/>
      <c r="L75" s="887" t="s">
        <v>555</v>
      </c>
      <c r="M75" s="887"/>
      <c r="N75" s="887"/>
      <c r="O75" s="887"/>
      <c r="P75" s="887"/>
      <c r="Q75" s="887"/>
      <c r="R75" s="496"/>
      <c r="S75" s="696"/>
      <c r="T75" s="696"/>
      <c r="U75" s="696"/>
      <c r="V75" s="696"/>
      <c r="W75" s="696"/>
      <c r="X75" s="696"/>
      <c r="Y75" s="696"/>
      <c r="Z75" s="696"/>
      <c r="AA75" s="496"/>
      <c r="AB75" s="496"/>
      <c r="AC75" s="496"/>
      <c r="AD75" s="496"/>
      <c r="AE75" s="496"/>
      <c r="AF75" s="496"/>
      <c r="AG75" s="496"/>
      <c r="AH75" s="496"/>
      <c r="AI75" s="496"/>
      <c r="AJ75" s="496"/>
      <c r="AK75" s="496"/>
      <c r="AL75" s="496"/>
      <c r="AM75" s="496"/>
      <c r="AN75" s="496"/>
      <c r="AO75" s="496"/>
      <c r="AP75" s="496"/>
      <c r="AQ75" s="496"/>
    </row>
    <row r="76" spans="1:43" x14ac:dyDescent="0.25">
      <c r="B76" s="496"/>
      <c r="C76" s="496"/>
      <c r="D76" s="496"/>
      <c r="E76" s="496"/>
      <c r="F76" s="496"/>
      <c r="G76" s="496"/>
      <c r="H76" s="496"/>
      <c r="I76" s="496"/>
      <c r="J76" s="496"/>
      <c r="K76" s="496"/>
      <c r="L76" s="496"/>
      <c r="M76" s="496"/>
      <c r="N76" s="496"/>
      <c r="O76" s="496"/>
      <c r="P76" s="496"/>
      <c r="Q76" s="496"/>
      <c r="R76" s="496"/>
      <c r="S76" s="696"/>
      <c r="T76" s="696"/>
      <c r="U76" s="696"/>
      <c r="V76" s="696"/>
      <c r="W76" s="696"/>
      <c r="X76" s="696"/>
      <c r="Y76" s="696"/>
      <c r="Z76" s="696"/>
      <c r="AA76" s="496"/>
      <c r="AB76" s="496"/>
      <c r="AC76" s="496"/>
      <c r="AD76" s="496"/>
      <c r="AE76" s="496"/>
      <c r="AF76" s="496"/>
      <c r="AG76" s="496"/>
      <c r="AH76" s="496"/>
      <c r="AI76" s="496"/>
      <c r="AJ76" s="496"/>
      <c r="AK76" s="496"/>
      <c r="AL76" s="496"/>
      <c r="AM76" s="496"/>
      <c r="AN76" s="496"/>
      <c r="AO76" s="496"/>
      <c r="AP76" s="496"/>
      <c r="AQ76" s="496"/>
    </row>
    <row r="77" spans="1:43" ht="21" x14ac:dyDescent="0.35">
      <c r="A77" s="501" t="s">
        <v>298</v>
      </c>
      <c r="B77" s="501"/>
      <c r="C77" s="501"/>
      <c r="D77" s="501"/>
      <c r="E77" s="501"/>
      <c r="F77" s="501"/>
      <c r="G77" s="501"/>
      <c r="H77" s="496"/>
      <c r="I77" s="496"/>
      <c r="J77" s="496"/>
      <c r="K77" s="501" t="s">
        <v>556</v>
      </c>
      <c r="L77" s="501"/>
      <c r="M77" s="501"/>
      <c r="N77" s="501"/>
      <c r="O77" s="501"/>
      <c r="P77" s="501"/>
      <c r="Q77" s="501"/>
      <c r="R77" s="496"/>
      <c r="S77" s="696"/>
      <c r="T77" s="696"/>
      <c r="U77" s="696"/>
      <c r="V77" s="696"/>
      <c r="W77" s="696"/>
      <c r="X77" s="696"/>
      <c r="Y77" s="696"/>
      <c r="Z77" s="696"/>
      <c r="AA77" s="496"/>
      <c r="AB77" s="496"/>
      <c r="AC77" s="496"/>
      <c r="AD77" s="496"/>
      <c r="AE77" s="496"/>
      <c r="AF77" s="496"/>
      <c r="AG77" s="496"/>
      <c r="AH77" s="496"/>
      <c r="AI77" s="496"/>
      <c r="AJ77" s="496"/>
      <c r="AK77" s="496"/>
      <c r="AL77" s="496"/>
      <c r="AM77" s="496"/>
      <c r="AN77" s="496"/>
      <c r="AO77" s="496"/>
      <c r="AP77" s="496"/>
      <c r="AQ77" s="496"/>
    </row>
    <row r="78" spans="1:43" x14ac:dyDescent="0.25">
      <c r="A78" s="496"/>
      <c r="B78" s="496"/>
      <c r="C78" s="496"/>
      <c r="D78" s="496"/>
      <c r="E78" s="496"/>
      <c r="F78" s="496"/>
      <c r="G78" s="496"/>
      <c r="H78" s="496"/>
      <c r="I78" s="496"/>
      <c r="J78" s="496"/>
      <c r="K78" s="496"/>
      <c r="L78" s="821" t="s">
        <v>721</v>
      </c>
      <c r="M78" s="496"/>
      <c r="N78" s="496"/>
      <c r="O78" s="496"/>
      <c r="P78" s="496"/>
      <c r="Q78" s="496"/>
      <c r="R78" s="496"/>
      <c r="S78" s="696"/>
      <c r="T78" s="696"/>
      <c r="U78" s="696"/>
      <c r="V78" s="696"/>
      <c r="W78" s="696"/>
      <c r="X78" s="696"/>
      <c r="Y78" s="696"/>
      <c r="Z78" s="696"/>
      <c r="AA78" s="496"/>
      <c r="AB78" s="496"/>
      <c r="AC78" s="496"/>
      <c r="AD78" s="496"/>
      <c r="AE78" s="496"/>
      <c r="AF78" s="496"/>
      <c r="AG78" s="496"/>
      <c r="AH78" s="496"/>
      <c r="AI78" s="496"/>
      <c r="AJ78" s="496"/>
      <c r="AK78" s="496"/>
      <c r="AL78" s="496"/>
      <c r="AM78" s="496"/>
      <c r="AN78" s="496"/>
      <c r="AO78" s="496"/>
      <c r="AP78" s="496"/>
      <c r="AQ78" s="496"/>
    </row>
    <row r="79" spans="1:43" x14ac:dyDescent="0.25">
      <c r="A79" s="496"/>
      <c r="B79" s="733" t="s">
        <v>299</v>
      </c>
      <c r="C79" s="496"/>
      <c r="D79" s="496"/>
      <c r="E79" s="496"/>
      <c r="F79" s="496"/>
      <c r="G79" s="496"/>
      <c r="H79" s="496"/>
      <c r="I79" s="496"/>
      <c r="J79" s="496"/>
      <c r="K79" s="496"/>
      <c r="L79" s="733" t="s">
        <v>299</v>
      </c>
      <c r="M79" s="496"/>
      <c r="N79" s="496"/>
      <c r="O79" s="496"/>
      <c r="P79" s="496"/>
      <c r="Q79" s="496"/>
      <c r="R79" s="496"/>
      <c r="S79" s="696"/>
      <c r="T79" s="696"/>
      <c r="U79" s="696"/>
      <c r="V79" s="696"/>
      <c r="W79" s="696"/>
      <c r="X79" s="696"/>
      <c r="Y79" s="696"/>
      <c r="Z79" s="696"/>
      <c r="AA79" s="496"/>
      <c r="AB79" s="496"/>
      <c r="AC79" s="496"/>
      <c r="AD79" s="496"/>
      <c r="AE79" s="496"/>
      <c r="AF79" s="496"/>
      <c r="AG79" s="496"/>
      <c r="AH79" s="496"/>
      <c r="AI79" s="496"/>
      <c r="AJ79" s="496"/>
      <c r="AK79" s="496"/>
      <c r="AL79" s="496"/>
      <c r="AM79" s="496"/>
      <c r="AN79" s="496"/>
      <c r="AO79" s="496"/>
      <c r="AP79" s="496"/>
      <c r="AQ79" s="496"/>
    </row>
    <row r="80" spans="1:43" ht="15.75" thickBot="1" x14ac:dyDescent="0.3">
      <c r="A80" s="496"/>
      <c r="B80" s="502"/>
      <c r="C80" s="496"/>
      <c r="D80" s="496"/>
      <c r="E80" s="496"/>
      <c r="F80" s="496"/>
      <c r="G80" s="496"/>
      <c r="H80" s="496"/>
      <c r="I80" s="496"/>
      <c r="J80" s="496"/>
      <c r="K80" s="496"/>
      <c r="L80" s="502" t="s">
        <v>557</v>
      </c>
      <c r="M80" s="496"/>
      <c r="N80" s="496"/>
      <c r="O80" s="496"/>
      <c r="P80" s="496"/>
      <c r="Q80" s="496"/>
      <c r="R80" s="496"/>
      <c r="S80" s="696"/>
      <c r="T80" s="696"/>
      <c r="U80" s="696"/>
      <c r="V80" s="696"/>
      <c r="W80" s="696"/>
      <c r="X80" s="696"/>
      <c r="Y80" s="696"/>
      <c r="Z80" s="696"/>
      <c r="AA80" s="496"/>
      <c r="AB80" s="496"/>
      <c r="AC80" s="496"/>
      <c r="AD80" s="496"/>
      <c r="AE80" s="496"/>
      <c r="AF80" s="496"/>
      <c r="AG80" s="496"/>
      <c r="AH80" s="496"/>
      <c r="AI80" s="496"/>
      <c r="AJ80" s="496"/>
      <c r="AK80" s="496"/>
      <c r="AL80" s="496"/>
      <c r="AM80" s="496"/>
      <c r="AN80" s="496"/>
      <c r="AO80" s="496"/>
      <c r="AP80" s="496"/>
      <c r="AQ80" s="496"/>
    </row>
    <row r="81" spans="1:43" ht="15.75" thickBot="1" x14ac:dyDescent="0.3">
      <c r="A81" s="496"/>
      <c r="B81" s="710"/>
      <c r="C81" s="721">
        <v>2010</v>
      </c>
      <c r="D81" s="721">
        <v>2020</v>
      </c>
      <c r="E81" s="721">
        <v>2025</v>
      </c>
      <c r="F81" s="721">
        <v>2030</v>
      </c>
      <c r="G81" s="722">
        <v>2035</v>
      </c>
      <c r="H81" s="496"/>
      <c r="I81" s="496"/>
      <c r="J81" s="496"/>
      <c r="K81" s="496"/>
      <c r="L81" s="710"/>
      <c r="M81" s="721">
        <v>2010</v>
      </c>
      <c r="N81" s="721">
        <v>2020</v>
      </c>
      <c r="O81" s="721">
        <v>2025</v>
      </c>
      <c r="P81" s="721">
        <v>2030</v>
      </c>
      <c r="Q81" s="722">
        <v>2035</v>
      </c>
      <c r="R81" s="496"/>
      <c r="S81" s="696"/>
      <c r="T81" s="696"/>
      <c r="U81" s="696"/>
      <c r="V81" s="696"/>
      <c r="W81" s="696"/>
      <c r="X81" s="696"/>
      <c r="Y81" s="696"/>
      <c r="Z81" s="696"/>
      <c r="AA81" s="496"/>
      <c r="AB81" s="496"/>
      <c r="AC81" s="496"/>
      <c r="AD81" s="496"/>
      <c r="AE81" s="496"/>
      <c r="AF81" s="496"/>
      <c r="AG81" s="496"/>
      <c r="AH81" s="496"/>
      <c r="AI81" s="496"/>
      <c r="AJ81" s="496"/>
      <c r="AK81" s="496"/>
      <c r="AL81" s="496"/>
      <c r="AM81" s="496"/>
      <c r="AN81" s="496"/>
      <c r="AO81" s="496"/>
      <c r="AP81" s="496"/>
      <c r="AQ81" s="496"/>
    </row>
    <row r="82" spans="1:43" ht="15.75" thickBot="1" x14ac:dyDescent="0.3">
      <c r="A82" s="496"/>
      <c r="B82" s="707" t="s">
        <v>300</v>
      </c>
      <c r="C82" s="523">
        <v>0.47803895167195198</v>
      </c>
      <c r="D82" s="523">
        <v>0.47051548345805</v>
      </c>
      <c r="E82" s="523">
        <v>0.47026914033766198</v>
      </c>
      <c r="F82" s="736">
        <v>0.46460656836718001</v>
      </c>
      <c r="G82" s="524">
        <v>0.45894399639669797</v>
      </c>
      <c r="H82" s="496"/>
      <c r="I82" s="496"/>
      <c r="J82" s="496"/>
      <c r="K82" s="496"/>
      <c r="L82" s="707" t="s">
        <v>558</v>
      </c>
      <c r="M82" s="523">
        <v>0.23959333293280607</v>
      </c>
      <c r="N82" s="523">
        <v>0.24660123823223573</v>
      </c>
      <c r="O82" s="523">
        <v>0.27600098970779885</v>
      </c>
      <c r="P82" s="736">
        <v>0.32423324869662701</v>
      </c>
      <c r="Q82" s="524">
        <v>0.36287274811471681</v>
      </c>
      <c r="R82" s="496"/>
      <c r="S82" s="696"/>
      <c r="T82" s="696"/>
      <c r="U82" s="696"/>
      <c r="V82" s="696"/>
      <c r="W82" s="696"/>
      <c r="X82" s="696"/>
      <c r="Y82" s="696"/>
      <c r="Z82" s="696"/>
      <c r="AA82" s="496"/>
      <c r="AB82" s="496"/>
      <c r="AC82" s="496"/>
      <c r="AD82" s="496"/>
      <c r="AE82" s="496"/>
      <c r="AF82" s="496"/>
      <c r="AG82" s="496"/>
      <c r="AH82" s="496"/>
      <c r="AI82" s="496"/>
      <c r="AJ82" s="496"/>
      <c r="AK82" s="496"/>
      <c r="AL82" s="496"/>
      <c r="AM82" s="496"/>
      <c r="AN82" s="496"/>
      <c r="AO82" s="496"/>
      <c r="AP82" s="496"/>
      <c r="AQ82" s="496"/>
    </row>
    <row r="83" spans="1:43" ht="15.75" thickBot="1" x14ac:dyDescent="0.3">
      <c r="A83" s="496"/>
      <c r="B83" s="707" t="s">
        <v>219</v>
      </c>
      <c r="C83" s="523">
        <v>5.9443890706329598E-2</v>
      </c>
      <c r="D83" s="523">
        <v>6.4801868498545107E-2</v>
      </c>
      <c r="E83" s="523">
        <v>6.4801868498545107E-2</v>
      </c>
      <c r="F83" s="736">
        <v>6.4801868498545107E-2</v>
      </c>
      <c r="G83" s="524">
        <v>6.4801868498545107E-2</v>
      </c>
      <c r="H83" s="496"/>
      <c r="I83" s="496"/>
      <c r="J83" s="496"/>
      <c r="K83" s="496"/>
      <c r="L83" s="707" t="s">
        <v>88</v>
      </c>
      <c r="M83" s="523">
        <v>0.4653432451214024</v>
      </c>
      <c r="N83" s="523">
        <v>0.55848331282428665</v>
      </c>
      <c r="O83" s="523">
        <v>0.58350816527160365</v>
      </c>
      <c r="P83" s="736">
        <v>0.57524274036708234</v>
      </c>
      <c r="Q83" s="524">
        <v>0.55135763882846733</v>
      </c>
      <c r="R83" s="496"/>
      <c r="S83" s="696"/>
      <c r="T83" s="696"/>
      <c r="U83" s="696"/>
      <c r="V83" s="696"/>
      <c r="W83" s="696"/>
      <c r="X83" s="696"/>
      <c r="Y83" s="696"/>
      <c r="Z83" s="696"/>
      <c r="AA83" s="496"/>
      <c r="AB83" s="496"/>
      <c r="AC83" s="496"/>
      <c r="AD83" s="496"/>
      <c r="AE83" s="496"/>
      <c r="AF83" s="496"/>
      <c r="AG83" s="496"/>
      <c r="AH83" s="496"/>
      <c r="AI83" s="496"/>
      <c r="AJ83" s="496"/>
      <c r="AK83" s="496"/>
      <c r="AL83" s="496"/>
      <c r="AM83" s="496"/>
      <c r="AN83" s="496"/>
      <c r="AO83" s="496"/>
      <c r="AP83" s="496"/>
      <c r="AQ83" s="496"/>
    </row>
    <row r="84" spans="1:43" ht="15.75" thickBot="1" x14ac:dyDescent="0.3">
      <c r="A84" s="496"/>
      <c r="B84" s="707" t="s">
        <v>259</v>
      </c>
      <c r="C84" s="523">
        <v>9.7201866996383696E-2</v>
      </c>
      <c r="D84" s="523">
        <v>0.132857041218436</v>
      </c>
      <c r="E84" s="523">
        <v>0.150684628329461</v>
      </c>
      <c r="F84" s="736">
        <v>0.163512215440487</v>
      </c>
      <c r="G84" s="524">
        <v>0.17633980255151299</v>
      </c>
      <c r="H84" s="496"/>
      <c r="I84" s="496"/>
      <c r="J84" s="496"/>
      <c r="K84" s="496"/>
      <c r="L84" s="707" t="s">
        <v>219</v>
      </c>
      <c r="M84" s="523">
        <v>6.0874392265295667E-2</v>
      </c>
      <c r="N84" s="523">
        <v>8.0358351870932723E-2</v>
      </c>
      <c r="O84" s="523">
        <v>8.5650513140802548E-2</v>
      </c>
      <c r="P84" s="736">
        <v>8.7726071043027945E-2</v>
      </c>
      <c r="Q84" s="524">
        <v>8.5140931312794987E-2</v>
      </c>
      <c r="R84" s="496"/>
      <c r="S84" s="696"/>
      <c r="T84" s="696"/>
      <c r="U84" s="696"/>
      <c r="V84" s="696"/>
      <c r="W84" s="696"/>
      <c r="X84" s="696"/>
      <c r="Y84" s="696"/>
      <c r="Z84" s="696"/>
      <c r="AA84" s="496"/>
      <c r="AB84" s="496"/>
      <c r="AC84" s="496"/>
      <c r="AD84" s="496"/>
      <c r="AE84" s="496"/>
      <c r="AF84" s="496"/>
      <c r="AG84" s="496"/>
      <c r="AH84" s="496"/>
      <c r="AI84" s="496"/>
      <c r="AJ84" s="496"/>
      <c r="AK84" s="496"/>
      <c r="AL84" s="496"/>
      <c r="AM84" s="496"/>
      <c r="AN84" s="496"/>
      <c r="AO84" s="496"/>
      <c r="AP84" s="496"/>
      <c r="AQ84" s="496"/>
    </row>
    <row r="85" spans="1:43" ht="15.75" thickBot="1" x14ac:dyDescent="0.3">
      <c r="A85" s="496"/>
      <c r="B85" s="707" t="s">
        <v>260</v>
      </c>
      <c r="C85" s="523">
        <v>0.12771439148730299</v>
      </c>
      <c r="D85" s="523">
        <v>0.14299518043961101</v>
      </c>
      <c r="E85" s="523">
        <v>0.140635574915765</v>
      </c>
      <c r="F85" s="736">
        <v>0.143275969391919</v>
      </c>
      <c r="G85" s="524">
        <v>0.145916363868073</v>
      </c>
      <c r="H85" s="496"/>
      <c r="I85" s="496"/>
      <c r="J85" s="496"/>
      <c r="K85" s="496"/>
      <c r="L85" s="707" t="s">
        <v>89</v>
      </c>
      <c r="M85" s="523">
        <v>0.2016138495677931</v>
      </c>
      <c r="N85" s="523">
        <v>9.5677499449125819E-2</v>
      </c>
      <c r="O85" s="523">
        <v>4.2807611965294347E-2</v>
      </c>
      <c r="P85" s="736">
        <v>6.185057731182646E-4</v>
      </c>
      <c r="Q85" s="524">
        <v>6.1208669923120914E-4</v>
      </c>
      <c r="R85" s="496"/>
      <c r="S85" s="696"/>
      <c r="T85" s="696"/>
      <c r="U85" s="696"/>
      <c r="V85" s="696"/>
      <c r="W85" s="696"/>
      <c r="X85" s="696"/>
      <c r="Y85" s="696"/>
      <c r="Z85" s="696"/>
      <c r="AA85" s="496"/>
      <c r="AB85" s="496"/>
      <c r="AC85" s="496"/>
      <c r="AD85" s="496"/>
      <c r="AE85" s="496"/>
      <c r="AF85" s="496"/>
      <c r="AG85" s="496"/>
      <c r="AH85" s="496"/>
      <c r="AI85" s="496"/>
      <c r="AJ85" s="496"/>
      <c r="AK85" s="496"/>
      <c r="AL85" s="496"/>
      <c r="AM85" s="496"/>
      <c r="AN85" s="496"/>
      <c r="AO85" s="496"/>
      <c r="AP85" s="496"/>
      <c r="AQ85" s="496"/>
    </row>
    <row r="86" spans="1:43" ht="15.75" thickBot="1" x14ac:dyDescent="0.3">
      <c r="A86" s="496"/>
      <c r="B86" s="707" t="s">
        <v>218</v>
      </c>
      <c r="C86" s="523">
        <v>2.2803918046778199E-2</v>
      </c>
      <c r="D86" s="523">
        <v>6.0287149451774498E-2</v>
      </c>
      <c r="E86" s="523">
        <v>6.0287149451774498E-2</v>
      </c>
      <c r="F86" s="736">
        <v>6.0287149451774498E-2</v>
      </c>
      <c r="G86" s="524">
        <v>6.0287149451774498E-2</v>
      </c>
      <c r="H86" s="496"/>
      <c r="I86" s="496"/>
      <c r="J86" s="496"/>
      <c r="K86" s="496"/>
      <c r="L86" s="707" t="s">
        <v>99</v>
      </c>
      <c r="M86" s="523">
        <v>3.2575180112702683E-2</v>
      </c>
      <c r="N86" s="523">
        <v>1.8879597623419134E-2</v>
      </c>
      <c r="O86" s="523">
        <v>1.2032719914500667E-2</v>
      </c>
      <c r="P86" s="736">
        <v>3.9428780389466562E-3</v>
      </c>
      <c r="Q86" s="524">
        <v>1.6595044789670653E-5</v>
      </c>
      <c r="R86" s="496"/>
      <c r="S86" s="696"/>
      <c r="T86" s="696"/>
      <c r="U86" s="696"/>
      <c r="V86" s="696"/>
      <c r="W86" s="696"/>
      <c r="X86" s="696"/>
      <c r="Y86" s="696"/>
      <c r="Z86" s="696"/>
      <c r="AA86" s="496"/>
      <c r="AB86" s="496"/>
      <c r="AC86" s="496"/>
      <c r="AD86" s="496"/>
      <c r="AE86" s="496"/>
      <c r="AF86" s="496"/>
      <c r="AG86" s="496"/>
      <c r="AH86" s="496"/>
      <c r="AI86" s="496"/>
      <c r="AJ86" s="496"/>
      <c r="AK86" s="496"/>
      <c r="AL86" s="496"/>
      <c r="AM86" s="496"/>
      <c r="AN86" s="496"/>
      <c r="AO86" s="496"/>
      <c r="AP86" s="496"/>
      <c r="AQ86" s="496"/>
    </row>
    <row r="87" spans="1:43" ht="15.75" thickBot="1" x14ac:dyDescent="0.3">
      <c r="A87" s="496"/>
      <c r="B87" s="707" t="s">
        <v>258</v>
      </c>
      <c r="C87" s="523">
        <v>0</v>
      </c>
      <c r="D87" s="523">
        <v>0</v>
      </c>
      <c r="E87" s="523">
        <v>0</v>
      </c>
      <c r="F87" s="736">
        <v>0</v>
      </c>
      <c r="G87" s="524">
        <v>0</v>
      </c>
      <c r="H87" s="496"/>
      <c r="I87" s="496"/>
      <c r="J87" s="496"/>
      <c r="K87" s="496"/>
      <c r="R87" s="496"/>
      <c r="S87" s="696"/>
      <c r="T87" s="696"/>
      <c r="U87" s="696"/>
      <c r="V87" s="696"/>
      <c r="W87" s="696"/>
      <c r="X87" s="696"/>
      <c r="Y87" s="696"/>
      <c r="Z87" s="696"/>
      <c r="AA87" s="496"/>
      <c r="AB87" s="496"/>
      <c r="AC87" s="496"/>
      <c r="AD87" s="496"/>
      <c r="AE87" s="496"/>
      <c r="AF87" s="496"/>
      <c r="AG87" s="496"/>
      <c r="AH87" s="496"/>
      <c r="AI87" s="496"/>
      <c r="AJ87" s="496"/>
      <c r="AK87" s="496"/>
      <c r="AL87" s="496"/>
      <c r="AM87" s="496"/>
      <c r="AN87" s="496"/>
      <c r="AO87" s="496"/>
      <c r="AP87" s="496"/>
      <c r="AQ87" s="496"/>
    </row>
    <row r="88" spans="1:43" ht="15" customHeight="1" thickBot="1" x14ac:dyDescent="0.3">
      <c r="A88" s="496"/>
      <c r="B88" s="707" t="s">
        <v>261</v>
      </c>
      <c r="C88" s="523">
        <v>0</v>
      </c>
      <c r="D88" s="523">
        <v>1.1000000000000001E-3</v>
      </c>
      <c r="E88" s="523">
        <v>2.0999999999999999E-3</v>
      </c>
      <c r="F88" s="736">
        <v>2.5999999999999999E-3</v>
      </c>
      <c r="G88" s="524">
        <v>3.0999999999999999E-3</v>
      </c>
      <c r="H88" s="496"/>
      <c r="I88" s="496"/>
      <c r="J88" s="496"/>
      <c r="K88" s="496"/>
      <c r="L88" s="819"/>
      <c r="M88" s="819"/>
      <c r="N88" s="819"/>
      <c r="O88" s="819"/>
      <c r="P88" s="819"/>
      <c r="Q88" s="819"/>
      <c r="R88" s="496"/>
      <c r="S88" s="696"/>
      <c r="T88" s="696"/>
      <c r="U88" s="696"/>
      <c r="V88" s="696"/>
      <c r="W88" s="696"/>
      <c r="X88" s="696"/>
      <c r="Y88" s="696"/>
      <c r="Z88" s="696"/>
      <c r="AA88" s="496"/>
      <c r="AB88" s="496"/>
      <c r="AC88" s="496"/>
      <c r="AD88" s="496"/>
      <c r="AE88" s="496"/>
      <c r="AF88" s="496"/>
      <c r="AG88" s="496"/>
      <c r="AH88" s="496"/>
      <c r="AI88" s="496"/>
      <c r="AJ88" s="496"/>
      <c r="AK88" s="496"/>
      <c r="AL88" s="496"/>
      <c r="AM88" s="496"/>
      <c r="AN88" s="496"/>
      <c r="AO88" s="496"/>
      <c r="AP88" s="496"/>
      <c r="AQ88" s="496"/>
    </row>
    <row r="89" spans="1:43" ht="15.75" thickBot="1" x14ac:dyDescent="0.3">
      <c r="A89" s="496"/>
      <c r="B89" s="707" t="s">
        <v>89</v>
      </c>
      <c r="C89" s="523">
        <v>0.20502387335691999</v>
      </c>
      <c r="D89" s="523">
        <v>0.125</v>
      </c>
      <c r="E89" s="523">
        <v>0.11</v>
      </c>
      <c r="F89" s="736">
        <v>0.1</v>
      </c>
      <c r="G89" s="524">
        <v>0.09</v>
      </c>
      <c r="H89" s="496"/>
      <c r="I89" s="496"/>
      <c r="J89" s="496"/>
      <c r="K89" s="496"/>
      <c r="L89" s="821" t="s">
        <v>722</v>
      </c>
      <c r="M89" s="822"/>
      <c r="N89" s="822"/>
      <c r="O89" s="822"/>
      <c r="P89" s="822"/>
      <c r="Q89" s="822"/>
      <c r="R89" s="496"/>
      <c r="S89" s="696"/>
      <c r="T89" s="696"/>
      <c r="U89" s="696"/>
      <c r="V89" s="696"/>
      <c r="W89" s="696"/>
      <c r="X89" s="696"/>
      <c r="Y89" s="696"/>
      <c r="Z89" s="696"/>
      <c r="AA89" s="496"/>
      <c r="AB89" s="496"/>
      <c r="AC89" s="496"/>
      <c r="AD89" s="496"/>
      <c r="AE89" s="496"/>
      <c r="AF89" s="496"/>
      <c r="AG89" s="496"/>
      <c r="AH89" s="496"/>
      <c r="AI89" s="496"/>
      <c r="AJ89" s="496"/>
      <c r="AK89" s="496"/>
      <c r="AL89" s="496"/>
      <c r="AM89" s="496"/>
      <c r="AN89" s="496"/>
      <c r="AO89" s="496"/>
      <c r="AP89" s="496"/>
      <c r="AQ89" s="496"/>
    </row>
    <row r="90" spans="1:43" ht="15.75" thickBot="1" x14ac:dyDescent="0.3">
      <c r="A90" s="496"/>
      <c r="B90" s="707" t="s">
        <v>112</v>
      </c>
      <c r="C90" s="523">
        <v>9.7731077343335103E-3</v>
      </c>
      <c r="D90" s="523">
        <v>2.4432769335833802E-3</v>
      </c>
      <c r="E90" s="523">
        <v>1.2216384667916901E-3</v>
      </c>
      <c r="F90" s="736">
        <v>9.1622885009376605E-4</v>
      </c>
      <c r="G90" s="524">
        <v>6.1081923339584396E-4</v>
      </c>
      <c r="H90" s="496"/>
      <c r="I90" s="496"/>
      <c r="J90" s="496"/>
      <c r="K90" s="496"/>
      <c r="L90" s="881" t="s">
        <v>559</v>
      </c>
      <c r="M90" s="881"/>
      <c r="N90" s="881"/>
      <c r="O90" s="881"/>
      <c r="P90" s="881"/>
      <c r="Q90" s="881"/>
      <c r="R90" s="496"/>
      <c r="S90" s="696"/>
      <c r="T90" s="696"/>
      <c r="U90" s="696"/>
      <c r="V90" s="696"/>
      <c r="W90" s="696"/>
      <c r="X90" s="696"/>
      <c r="Y90" s="696"/>
      <c r="Z90" s="696"/>
      <c r="AA90" s="496"/>
      <c r="AB90" s="496"/>
      <c r="AC90" s="496"/>
      <c r="AD90" s="496"/>
      <c r="AE90" s="496"/>
      <c r="AF90" s="496"/>
      <c r="AG90" s="496"/>
      <c r="AH90" s="496"/>
      <c r="AI90" s="496"/>
      <c r="AJ90" s="496"/>
      <c r="AK90" s="496"/>
      <c r="AL90" s="496"/>
      <c r="AM90" s="496"/>
      <c r="AN90" s="496"/>
      <c r="AO90" s="496"/>
      <c r="AP90" s="496"/>
      <c r="AQ90" s="496"/>
    </row>
    <row r="91" spans="1:43" ht="15.75" thickBot="1" x14ac:dyDescent="0.3">
      <c r="A91" s="496"/>
      <c r="B91" s="707" t="s">
        <v>90</v>
      </c>
      <c r="C91" s="523">
        <v>0</v>
      </c>
      <c r="D91" s="523">
        <v>0</v>
      </c>
      <c r="E91" s="523">
        <v>0</v>
      </c>
      <c r="F91" s="736">
        <v>0</v>
      </c>
      <c r="G91" s="524">
        <v>0</v>
      </c>
      <c r="H91" s="496"/>
      <c r="I91" s="496"/>
      <c r="J91" s="496"/>
      <c r="K91" s="496"/>
      <c r="L91" s="882"/>
      <c r="M91" s="882"/>
      <c r="N91" s="882"/>
      <c r="O91" s="882"/>
      <c r="P91" s="882"/>
      <c r="Q91" s="882"/>
      <c r="S91" s="696"/>
      <c r="T91" s="696"/>
      <c r="U91" s="696"/>
      <c r="V91" s="696"/>
      <c r="W91" s="696"/>
      <c r="X91" s="696"/>
      <c r="Y91" s="696"/>
      <c r="Z91" s="696"/>
      <c r="AA91" s="496"/>
      <c r="AB91" s="496"/>
      <c r="AC91" s="496"/>
      <c r="AD91" s="496"/>
      <c r="AE91" s="496"/>
      <c r="AF91" s="496"/>
      <c r="AG91" s="496"/>
      <c r="AH91" s="496"/>
      <c r="AI91" s="496"/>
      <c r="AJ91" s="496"/>
      <c r="AK91" s="496"/>
      <c r="AL91" s="496"/>
      <c r="AM91" s="496"/>
      <c r="AN91" s="496"/>
      <c r="AO91" s="496"/>
      <c r="AP91" s="496"/>
      <c r="AQ91" s="496"/>
    </row>
    <row r="92" spans="1:43" ht="15.75" thickBot="1" x14ac:dyDescent="0.3">
      <c r="A92" s="496"/>
      <c r="B92" s="725"/>
      <c r="C92" s="698"/>
      <c r="D92" s="698"/>
      <c r="E92" s="698"/>
      <c r="F92" s="544"/>
      <c r="G92" s="698"/>
      <c r="H92" s="496"/>
      <c r="I92" s="496"/>
      <c r="J92" s="496"/>
      <c r="K92" s="496"/>
      <c r="L92" s="710"/>
      <c r="M92" s="721">
        <v>2010</v>
      </c>
      <c r="N92" s="721">
        <v>2020</v>
      </c>
      <c r="O92" s="721">
        <v>2025</v>
      </c>
      <c r="P92" s="721">
        <v>2030</v>
      </c>
      <c r="Q92" s="722">
        <v>2035</v>
      </c>
      <c r="S92" s="696"/>
      <c r="T92" s="696"/>
      <c r="U92" s="696"/>
      <c r="V92" s="696"/>
      <c r="W92" s="696"/>
      <c r="X92" s="696"/>
      <c r="Y92" s="696"/>
      <c r="Z92" s="696"/>
      <c r="AA92" s="496"/>
      <c r="AB92" s="496"/>
      <c r="AC92" s="496"/>
      <c r="AD92" s="496"/>
      <c r="AE92" s="496"/>
      <c r="AF92" s="496"/>
      <c r="AG92" s="496"/>
      <c r="AH92" s="496"/>
      <c r="AI92" s="496"/>
      <c r="AJ92" s="496"/>
      <c r="AK92" s="496"/>
      <c r="AL92" s="496"/>
      <c r="AM92" s="496"/>
      <c r="AN92" s="496"/>
      <c r="AO92" s="496"/>
      <c r="AP92" s="496"/>
      <c r="AQ92" s="496"/>
    </row>
    <row r="93" spans="1:43" ht="15.75" thickBot="1" x14ac:dyDescent="0.3">
      <c r="A93" s="496"/>
      <c r="B93" s="725"/>
      <c r="C93" s="698"/>
      <c r="D93" s="698"/>
      <c r="E93" s="698"/>
      <c r="F93" s="544"/>
      <c r="G93" s="698"/>
      <c r="H93" s="496"/>
      <c r="I93" s="496"/>
      <c r="J93" s="496"/>
      <c r="K93" s="496"/>
      <c r="L93" s="707" t="s">
        <v>558</v>
      </c>
      <c r="M93" s="523">
        <v>0.21274016796297399</v>
      </c>
      <c r="N93" s="523">
        <v>0.22461943082180158</v>
      </c>
      <c r="O93" s="523">
        <v>0.24035707298292106</v>
      </c>
      <c r="P93" s="736">
        <v>0.26425490737445423</v>
      </c>
      <c r="Q93" s="524">
        <v>0.28401405085296555</v>
      </c>
      <c r="S93" s="696"/>
      <c r="T93" s="696"/>
      <c r="U93" s="696"/>
      <c r="V93" s="696"/>
      <c r="W93" s="696"/>
      <c r="X93" s="696"/>
      <c r="Y93" s="696"/>
      <c r="Z93" s="696"/>
      <c r="AA93" s="496"/>
      <c r="AB93" s="496"/>
      <c r="AC93" s="496"/>
      <c r="AD93" s="496"/>
      <c r="AE93" s="496"/>
      <c r="AF93" s="496"/>
      <c r="AG93" s="496"/>
      <c r="AH93" s="496"/>
      <c r="AI93" s="496"/>
      <c r="AJ93" s="496"/>
      <c r="AK93" s="496"/>
      <c r="AL93" s="496"/>
      <c r="AM93" s="496"/>
      <c r="AN93" s="496"/>
      <c r="AO93" s="496"/>
      <c r="AP93" s="496"/>
      <c r="AQ93" s="496"/>
    </row>
    <row r="94" spans="1:43" ht="15.75" thickBot="1" x14ac:dyDescent="0.3">
      <c r="A94" s="496"/>
      <c r="B94" s="725"/>
      <c r="C94" s="698"/>
      <c r="D94" s="698"/>
      <c r="E94" s="698"/>
      <c r="F94" s="544"/>
      <c r="G94" s="698"/>
      <c r="H94" s="496"/>
      <c r="I94" s="496"/>
      <c r="J94" s="496"/>
      <c r="K94" s="496"/>
      <c r="L94" s="707" t="s">
        <v>88</v>
      </c>
      <c r="M94" s="523">
        <v>0.46949247165870439</v>
      </c>
      <c r="N94" s="523">
        <v>0.48202041846765975</v>
      </c>
      <c r="O94" s="523">
        <v>0.48920150160185039</v>
      </c>
      <c r="P94" s="736">
        <v>0.48445653017787538</v>
      </c>
      <c r="Q94" s="524">
        <v>0.46068934956152652</v>
      </c>
      <c r="S94" s="696"/>
      <c r="T94" s="696"/>
      <c r="U94" s="696"/>
      <c r="V94" s="696"/>
      <c r="W94" s="696"/>
      <c r="X94" s="696"/>
      <c r="Y94" s="696"/>
      <c r="Z94" s="696"/>
      <c r="AA94" s="496"/>
      <c r="AB94" s="496"/>
      <c r="AC94" s="496"/>
      <c r="AD94" s="496"/>
      <c r="AE94" s="496"/>
      <c r="AF94" s="496"/>
      <c r="AG94" s="496"/>
      <c r="AH94" s="496"/>
      <c r="AI94" s="496"/>
      <c r="AJ94" s="496"/>
      <c r="AK94" s="496"/>
      <c r="AL94" s="496"/>
      <c r="AM94" s="496"/>
      <c r="AN94" s="496"/>
      <c r="AO94" s="496"/>
      <c r="AP94" s="496"/>
      <c r="AQ94" s="496"/>
    </row>
    <row r="95" spans="1:43" ht="15.75" thickBot="1" x14ac:dyDescent="0.3">
      <c r="A95" s="496"/>
      <c r="B95" s="725"/>
      <c r="C95" s="698"/>
      <c r="D95" s="698"/>
      <c r="E95" s="698"/>
      <c r="F95" s="544"/>
      <c r="G95" s="698"/>
      <c r="H95" s="496"/>
      <c r="I95" s="496"/>
      <c r="J95" s="496"/>
      <c r="K95" s="496"/>
      <c r="L95" s="707" t="s">
        <v>371</v>
      </c>
      <c r="M95" s="523">
        <v>6.3105305322652225E-2</v>
      </c>
      <c r="N95" s="523">
        <v>8.7530199884009161E-2</v>
      </c>
      <c r="O95" s="523">
        <v>9.5132794947462476E-2</v>
      </c>
      <c r="P95" s="736">
        <v>0.10133734922286798</v>
      </c>
      <c r="Q95" s="524">
        <v>0.10160731246694671</v>
      </c>
      <c r="S95" s="696"/>
      <c r="T95" s="696"/>
      <c r="U95" s="696"/>
      <c r="V95" s="696"/>
      <c r="W95" s="696"/>
      <c r="X95" s="696"/>
      <c r="Y95" s="696"/>
      <c r="Z95" s="696"/>
      <c r="AA95" s="496"/>
      <c r="AB95" s="496"/>
      <c r="AC95" s="496"/>
      <c r="AD95" s="496"/>
      <c r="AE95" s="496"/>
      <c r="AF95" s="496"/>
      <c r="AG95" s="496"/>
      <c r="AH95" s="496"/>
      <c r="AI95" s="496"/>
      <c r="AJ95" s="496"/>
      <c r="AK95" s="496"/>
      <c r="AL95" s="496"/>
      <c r="AM95" s="496"/>
      <c r="AN95" s="496"/>
      <c r="AO95" s="496"/>
      <c r="AP95" s="496"/>
      <c r="AQ95" s="496"/>
    </row>
    <row r="96" spans="1:43" ht="15.75" thickBot="1" x14ac:dyDescent="0.3">
      <c r="A96" s="496"/>
      <c r="B96" s="725"/>
      <c r="C96" s="698"/>
      <c r="D96" s="698"/>
      <c r="E96" s="698"/>
      <c r="F96" s="544"/>
      <c r="G96" s="698"/>
      <c r="H96" s="496"/>
      <c r="I96" s="496"/>
      <c r="J96" s="496"/>
      <c r="K96" s="496"/>
      <c r="L96" s="707" t="s">
        <v>278</v>
      </c>
      <c r="M96" s="523">
        <v>2.4237998945476093E-2</v>
      </c>
      <c r="N96" s="523">
        <v>6.7146721558344086E-2</v>
      </c>
      <c r="O96" s="523">
        <v>8.4991123264992599E-2</v>
      </c>
      <c r="P96" s="736">
        <v>9.1879316612797912E-2</v>
      </c>
      <c r="Q96" s="524">
        <v>9.6029907373598192E-2</v>
      </c>
      <c r="S96" s="696"/>
      <c r="T96" s="696"/>
      <c r="U96" s="696"/>
      <c r="V96" s="696"/>
      <c r="W96" s="696"/>
      <c r="X96" s="696"/>
      <c r="Y96" s="696"/>
      <c r="Z96" s="696"/>
      <c r="AA96" s="496"/>
      <c r="AB96" s="496"/>
      <c r="AC96" s="496"/>
      <c r="AD96" s="496"/>
      <c r="AE96" s="496"/>
      <c r="AF96" s="496"/>
      <c r="AG96" s="496"/>
      <c r="AH96" s="496"/>
      <c r="AI96" s="496"/>
      <c r="AJ96" s="496"/>
      <c r="AK96" s="496"/>
      <c r="AL96" s="496"/>
      <c r="AM96" s="496"/>
      <c r="AN96" s="496"/>
      <c r="AO96" s="496"/>
      <c r="AP96" s="496"/>
      <c r="AQ96" s="496"/>
    </row>
    <row r="97" spans="1:43" ht="15.75" thickBot="1" x14ac:dyDescent="0.3">
      <c r="L97" s="707" t="s">
        <v>99</v>
      </c>
      <c r="M97" s="523">
        <v>0.23042405611019337</v>
      </c>
      <c r="N97" s="523">
        <v>0.13868322926818533</v>
      </c>
      <c r="O97" s="523">
        <v>9.0317507202773442E-2</v>
      </c>
      <c r="P97" s="736">
        <v>5.8071896612004542E-2</v>
      </c>
      <c r="Q97" s="524">
        <v>5.7659379744963005E-2</v>
      </c>
      <c r="S97" s="696"/>
      <c r="T97" s="696"/>
      <c r="U97" s="696"/>
      <c r="V97" s="696"/>
      <c r="W97" s="696"/>
      <c r="X97" s="696"/>
      <c r="Y97" s="696"/>
      <c r="Z97" s="696"/>
    </row>
    <row r="98" spans="1:43" x14ac:dyDescent="0.25">
      <c r="S98" s="696"/>
      <c r="T98" s="696"/>
      <c r="U98" s="696"/>
      <c r="V98" s="696"/>
      <c r="W98" s="696"/>
      <c r="X98" s="696"/>
      <c r="Y98" s="696"/>
      <c r="Z98" s="696"/>
    </row>
    <row r="99" spans="1:43" ht="21" x14ac:dyDescent="0.35">
      <c r="A99" s="501" t="s">
        <v>301</v>
      </c>
      <c r="B99" s="501"/>
      <c r="C99" s="501"/>
      <c r="D99" s="501"/>
      <c r="E99" s="501"/>
      <c r="F99" s="501"/>
      <c r="G99" s="501"/>
      <c r="H99" s="496"/>
      <c r="I99" s="496"/>
      <c r="J99" s="496"/>
      <c r="K99" s="501" t="s">
        <v>301</v>
      </c>
      <c r="L99" s="501"/>
      <c r="M99" s="501"/>
      <c r="N99" s="501"/>
      <c r="O99" s="501"/>
      <c r="P99" s="501"/>
      <c r="Q99" s="501"/>
      <c r="R99" s="496"/>
      <c r="S99" s="696"/>
      <c r="T99" s="696"/>
      <c r="U99" s="696"/>
      <c r="V99" s="696"/>
      <c r="W99" s="696"/>
      <c r="X99" s="696"/>
      <c r="Y99" s="696"/>
      <c r="Z99" s="696"/>
      <c r="AA99" s="496"/>
      <c r="AB99" s="496"/>
      <c r="AC99" s="496"/>
      <c r="AD99" s="496"/>
      <c r="AE99" s="496"/>
      <c r="AF99" s="496"/>
      <c r="AG99" s="496"/>
      <c r="AH99" s="496"/>
      <c r="AI99" s="496"/>
      <c r="AJ99" s="496"/>
      <c r="AK99" s="496"/>
      <c r="AL99" s="496"/>
      <c r="AM99" s="496"/>
      <c r="AN99" s="496"/>
      <c r="AO99" s="496"/>
      <c r="AP99" s="496"/>
      <c r="AQ99" s="496"/>
    </row>
    <row r="100" spans="1:43" ht="15.75" thickBot="1" x14ac:dyDescent="0.3">
      <c r="A100" s="496"/>
      <c r="B100" s="496"/>
      <c r="C100" s="496"/>
      <c r="D100" s="496"/>
      <c r="E100" s="496"/>
      <c r="F100" s="496"/>
      <c r="G100" s="496"/>
      <c r="H100" s="496"/>
      <c r="I100" s="496"/>
      <c r="J100" s="496"/>
      <c r="K100" s="496"/>
      <c r="L100" s="496"/>
      <c r="M100" s="496"/>
      <c r="N100" s="496"/>
      <c r="O100" s="496"/>
      <c r="P100" s="496"/>
      <c r="Q100" s="496"/>
      <c r="R100" s="496"/>
      <c r="S100" s="696"/>
      <c r="T100" s="696"/>
      <c r="U100" s="696"/>
      <c r="V100" s="696"/>
      <c r="W100" s="696"/>
      <c r="X100" s="696"/>
      <c r="Y100" s="696"/>
      <c r="Z100" s="696"/>
      <c r="AA100" s="496"/>
      <c r="AB100" s="496"/>
      <c r="AC100" s="496"/>
      <c r="AD100" s="496"/>
      <c r="AE100" s="496"/>
      <c r="AF100" s="496"/>
      <c r="AG100" s="496"/>
      <c r="AH100" s="496"/>
      <c r="AI100" s="496"/>
      <c r="AJ100" s="496"/>
      <c r="AK100" s="496"/>
      <c r="AL100" s="496"/>
      <c r="AM100" s="496"/>
      <c r="AN100" s="496"/>
      <c r="AO100" s="496"/>
      <c r="AP100" s="496"/>
      <c r="AQ100" s="496"/>
    </row>
    <row r="101" spans="1:43" ht="15.75" thickBot="1" x14ac:dyDescent="0.3">
      <c r="A101" s="496"/>
      <c r="B101" s="710" t="s">
        <v>280</v>
      </c>
      <c r="C101" s="721">
        <v>2010</v>
      </c>
      <c r="D101" s="721">
        <v>2020</v>
      </c>
      <c r="E101" s="721">
        <v>2025</v>
      </c>
      <c r="F101" s="721">
        <v>2030</v>
      </c>
      <c r="G101" s="722">
        <v>2035</v>
      </c>
      <c r="H101" s="496"/>
      <c r="I101" s="496"/>
      <c r="J101" s="496"/>
      <c r="K101" s="496"/>
      <c r="L101" s="710" t="s">
        <v>280</v>
      </c>
      <c r="M101" s="721">
        <v>2010</v>
      </c>
      <c r="N101" s="721">
        <v>2020</v>
      </c>
      <c r="O101" s="721">
        <v>2025</v>
      </c>
      <c r="P101" s="721">
        <v>2030</v>
      </c>
      <c r="Q101" s="722">
        <v>2035</v>
      </c>
      <c r="R101" s="496"/>
      <c r="S101" s="696"/>
      <c r="T101" s="696"/>
      <c r="U101" s="696"/>
      <c r="V101" s="696"/>
      <c r="W101" s="696"/>
      <c r="X101" s="696"/>
      <c r="Y101" s="696"/>
      <c r="Z101" s="696"/>
      <c r="AA101" s="496"/>
      <c r="AB101" s="496"/>
      <c r="AC101" s="496"/>
      <c r="AD101" s="496"/>
      <c r="AE101" s="496"/>
      <c r="AF101" s="496"/>
      <c r="AG101" s="496"/>
      <c r="AH101" s="496"/>
      <c r="AI101" s="496"/>
      <c r="AJ101" s="496"/>
      <c r="AK101" s="496"/>
      <c r="AL101" s="496"/>
      <c r="AM101" s="496"/>
      <c r="AN101" s="496"/>
      <c r="AO101" s="496"/>
      <c r="AP101" s="496"/>
      <c r="AQ101" s="496"/>
    </row>
    <row r="102" spans="1:43" ht="15.75" thickBot="1" x14ac:dyDescent="0.3">
      <c r="A102" s="496"/>
      <c r="B102" s="235" t="s">
        <v>282</v>
      </c>
      <c r="C102" s="525">
        <v>0.43200000000000011</v>
      </c>
      <c r="D102" s="525">
        <v>0.49900000000000005</v>
      </c>
      <c r="E102" s="525">
        <v>0.56600000000000006</v>
      </c>
      <c r="F102" s="525">
        <v>0.62</v>
      </c>
      <c r="G102" s="526">
        <v>0.64</v>
      </c>
      <c r="H102" s="496"/>
      <c r="I102" s="496"/>
      <c r="J102" s="496"/>
      <c r="K102" s="496"/>
      <c r="L102" s="235" t="s">
        <v>282</v>
      </c>
      <c r="M102" s="525">
        <v>0.43200000000000011</v>
      </c>
      <c r="N102" s="525">
        <v>0.49900000000000005</v>
      </c>
      <c r="O102" s="525">
        <v>0.56600000000000006</v>
      </c>
      <c r="P102" s="525">
        <v>0.62</v>
      </c>
      <c r="Q102" s="526">
        <v>0.64</v>
      </c>
      <c r="R102" s="496"/>
      <c r="S102" s="696"/>
      <c r="T102" s="696"/>
      <c r="U102" s="696"/>
      <c r="V102" s="696"/>
      <c r="W102" s="696"/>
      <c r="X102" s="696"/>
      <c r="Y102" s="696"/>
      <c r="Z102" s="696"/>
      <c r="AA102" s="496"/>
      <c r="AB102" s="496"/>
      <c r="AC102" s="496"/>
      <c r="AD102" s="496"/>
      <c r="AE102" s="496"/>
      <c r="AF102" s="496"/>
      <c r="AG102" s="496"/>
      <c r="AH102" s="496"/>
      <c r="AI102" s="496"/>
      <c r="AJ102" s="496"/>
      <c r="AK102" s="496"/>
      <c r="AL102" s="496"/>
      <c r="AM102" s="496"/>
      <c r="AN102" s="496"/>
      <c r="AO102" s="496"/>
      <c r="AP102" s="496"/>
      <c r="AQ102" s="496"/>
    </row>
    <row r="103" spans="1:43" ht="15.75" thickBot="1" x14ac:dyDescent="0.3">
      <c r="A103" s="496"/>
      <c r="B103" s="235" t="s">
        <v>284</v>
      </c>
      <c r="C103" s="525">
        <v>0.31500000000000006</v>
      </c>
      <c r="D103" s="525">
        <v>0.37125000000000008</v>
      </c>
      <c r="E103" s="525">
        <v>0.4275000000000001</v>
      </c>
      <c r="F103" s="525">
        <v>0.46</v>
      </c>
      <c r="G103" s="526">
        <v>0.47</v>
      </c>
      <c r="H103" s="496"/>
      <c r="I103" s="496"/>
      <c r="J103" s="496"/>
      <c r="K103" s="496"/>
      <c r="L103" s="235" t="s">
        <v>284</v>
      </c>
      <c r="M103" s="525">
        <v>0.31500000000000006</v>
      </c>
      <c r="N103" s="525">
        <v>0.37125000000000008</v>
      </c>
      <c r="O103" s="525">
        <v>0.4275000000000001</v>
      </c>
      <c r="P103" s="525">
        <v>0.46</v>
      </c>
      <c r="Q103" s="526">
        <v>0.47</v>
      </c>
      <c r="R103" s="496"/>
      <c r="S103" s="696"/>
      <c r="T103" s="696"/>
      <c r="U103" s="696"/>
      <c r="V103" s="696"/>
      <c r="W103" s="696"/>
      <c r="X103" s="696"/>
      <c r="Y103" s="696"/>
      <c r="Z103" s="696"/>
      <c r="AA103" s="496"/>
      <c r="AB103" s="496"/>
      <c r="AC103" s="496"/>
      <c r="AD103" s="496"/>
      <c r="AE103" s="496"/>
      <c r="AF103" s="496"/>
      <c r="AG103" s="496"/>
      <c r="AH103" s="496"/>
      <c r="AI103" s="496"/>
      <c r="AJ103" s="496"/>
      <c r="AK103" s="496"/>
      <c r="AL103" s="496"/>
      <c r="AM103" s="496"/>
      <c r="AN103" s="496"/>
      <c r="AO103" s="496"/>
      <c r="AP103" s="496"/>
      <c r="AQ103" s="496"/>
    </row>
    <row r="104" spans="1:43" ht="15.75" thickBot="1" x14ac:dyDescent="0.3">
      <c r="A104" s="496"/>
      <c r="B104" s="235" t="s">
        <v>575</v>
      </c>
      <c r="C104" s="525">
        <v>0.26200000000000001</v>
      </c>
      <c r="D104" s="525">
        <v>0.309</v>
      </c>
      <c r="E104" s="525">
        <v>0.35599999999999998</v>
      </c>
      <c r="F104" s="525">
        <v>0.4</v>
      </c>
      <c r="G104" s="526">
        <v>0.42</v>
      </c>
      <c r="H104" s="496"/>
      <c r="I104" s="496"/>
      <c r="J104" s="496"/>
      <c r="K104" s="496"/>
      <c r="L104" s="235" t="s">
        <v>575</v>
      </c>
      <c r="M104" s="525">
        <v>0.26200000000000001</v>
      </c>
      <c r="N104" s="525">
        <v>0.309</v>
      </c>
      <c r="O104" s="525">
        <v>0.35599999999999998</v>
      </c>
      <c r="P104" s="525">
        <v>0.4</v>
      </c>
      <c r="Q104" s="526">
        <v>0.42</v>
      </c>
      <c r="R104" s="496"/>
      <c r="S104" s="696"/>
      <c r="T104" s="696"/>
      <c r="U104" s="696"/>
      <c r="V104" s="696"/>
      <c r="W104" s="696"/>
      <c r="X104" s="696"/>
      <c r="Y104" s="696"/>
      <c r="Z104" s="696"/>
      <c r="AA104" s="496"/>
      <c r="AB104" s="496"/>
      <c r="AC104" s="496"/>
      <c r="AD104" s="496"/>
      <c r="AE104" s="496"/>
      <c r="AF104" s="496"/>
      <c r="AG104" s="496"/>
      <c r="AH104" s="496"/>
      <c r="AI104" s="496"/>
      <c r="AJ104" s="496"/>
      <c r="AK104" s="496"/>
      <c r="AL104" s="496"/>
      <c r="AM104" s="496"/>
      <c r="AN104" s="496"/>
      <c r="AO104" s="496"/>
      <c r="AP104" s="496"/>
      <c r="AQ104" s="496"/>
    </row>
    <row r="105" spans="1:43" ht="15.75" thickBot="1" x14ac:dyDescent="0.3">
      <c r="A105" s="496"/>
      <c r="B105" s="235" t="s">
        <v>99</v>
      </c>
      <c r="C105" s="525">
        <v>0.15599458942562774</v>
      </c>
      <c r="D105" s="525">
        <v>0.1669959420692208</v>
      </c>
      <c r="E105" s="525">
        <v>0.17799729471281386</v>
      </c>
      <c r="F105" s="525">
        <v>0.19</v>
      </c>
      <c r="G105" s="526">
        <v>0.19500000000000001</v>
      </c>
      <c r="H105" s="496"/>
      <c r="I105" s="496"/>
      <c r="J105" s="496"/>
      <c r="K105" s="496"/>
      <c r="L105" s="235" t="s">
        <v>99</v>
      </c>
      <c r="M105" s="525">
        <v>0.15599458942562774</v>
      </c>
      <c r="N105" s="525">
        <v>0.1669959420692208</v>
      </c>
      <c r="O105" s="525">
        <v>0.17799729471281386</v>
      </c>
      <c r="P105" s="525">
        <v>0.19</v>
      </c>
      <c r="Q105" s="526">
        <v>0.19500000000000001</v>
      </c>
      <c r="R105" s="496"/>
      <c r="S105" s="696"/>
      <c r="T105" s="696"/>
      <c r="U105" s="696"/>
      <c r="V105" s="696"/>
      <c r="W105" s="696"/>
      <c r="X105" s="696"/>
      <c r="Y105" s="696"/>
      <c r="Z105" s="696"/>
      <c r="AA105" s="496"/>
      <c r="AB105" s="496"/>
      <c r="AC105" s="496"/>
      <c r="AD105" s="496"/>
      <c r="AE105" s="496"/>
      <c r="AF105" s="496"/>
      <c r="AG105" s="496"/>
      <c r="AH105" s="496"/>
      <c r="AI105" s="496"/>
      <c r="AJ105" s="496"/>
      <c r="AK105" s="496"/>
      <c r="AL105" s="496"/>
      <c r="AM105" s="496"/>
      <c r="AN105" s="496"/>
      <c r="AO105" s="496"/>
      <c r="AP105" s="496"/>
      <c r="AQ105" s="496"/>
    </row>
    <row r="106" spans="1:43" x14ac:dyDescent="0.25">
      <c r="A106" s="496"/>
      <c r="B106" s="718"/>
      <c r="C106" s="496"/>
      <c r="D106" s="496"/>
      <c r="E106" s="496"/>
      <c r="F106" s="496"/>
      <c r="G106" s="496"/>
      <c r="H106" s="496"/>
      <c r="I106" s="496"/>
      <c r="J106" s="496"/>
      <c r="K106" s="496"/>
      <c r="L106" s="734"/>
      <c r="M106" s="735"/>
      <c r="N106" s="735"/>
      <c r="O106" s="735"/>
      <c r="P106" s="735"/>
      <c r="Q106" s="735"/>
      <c r="R106" s="496"/>
      <c r="S106" s="696"/>
      <c r="T106" s="696"/>
      <c r="U106" s="696"/>
      <c r="V106" s="696"/>
      <c r="W106" s="696"/>
      <c r="X106" s="696"/>
      <c r="Y106" s="696"/>
      <c r="Z106" s="696"/>
      <c r="AA106" s="496"/>
      <c r="AB106" s="496"/>
      <c r="AC106" s="496"/>
      <c r="AD106" s="496"/>
      <c r="AE106" s="496"/>
      <c r="AF106" s="496"/>
      <c r="AG106" s="496"/>
      <c r="AH106" s="496"/>
      <c r="AI106" s="496"/>
      <c r="AJ106" s="496"/>
      <c r="AK106" s="496"/>
      <c r="AL106" s="496"/>
      <c r="AM106" s="496"/>
      <c r="AN106" s="496"/>
      <c r="AO106" s="496"/>
      <c r="AP106" s="496"/>
      <c r="AQ106" s="496"/>
    </row>
    <row r="107" spans="1:43" x14ac:dyDescent="0.25">
      <c r="A107" s="496"/>
      <c r="B107" s="719"/>
      <c r="C107" s="496"/>
      <c r="D107" s="496"/>
      <c r="E107" s="496"/>
      <c r="F107" s="496"/>
      <c r="G107" s="496"/>
      <c r="H107" s="496"/>
      <c r="I107" s="496"/>
      <c r="J107" s="496"/>
      <c r="K107" s="496"/>
      <c r="L107" s="734"/>
      <c r="M107" s="496"/>
      <c r="N107" s="496"/>
      <c r="O107" s="496"/>
      <c r="P107" s="496"/>
      <c r="Q107" s="496"/>
      <c r="R107" s="496"/>
      <c r="S107" s="696"/>
      <c r="T107" s="696"/>
      <c r="U107" s="696"/>
      <c r="V107" s="696"/>
      <c r="W107" s="696"/>
      <c r="X107" s="696"/>
      <c r="Y107" s="696"/>
      <c r="Z107" s="696"/>
      <c r="AA107" s="496"/>
      <c r="AB107" s="496"/>
      <c r="AC107" s="496"/>
      <c r="AD107" s="496"/>
      <c r="AE107" s="496"/>
      <c r="AF107" s="496"/>
      <c r="AG107" s="496"/>
      <c r="AH107" s="496"/>
      <c r="AI107" s="496"/>
      <c r="AJ107" s="496"/>
      <c r="AK107" s="496"/>
      <c r="AL107" s="496"/>
      <c r="AM107" s="496"/>
      <c r="AN107" s="496"/>
      <c r="AO107" s="496"/>
      <c r="AP107" s="496"/>
      <c r="AQ107" s="496"/>
    </row>
    <row r="108" spans="1:43" x14ac:dyDescent="0.25">
      <c r="S108" s="696"/>
      <c r="T108" s="696"/>
      <c r="U108" s="696"/>
      <c r="V108" s="696"/>
      <c r="W108" s="696"/>
      <c r="X108" s="696"/>
      <c r="Y108" s="696"/>
      <c r="Z108" s="696"/>
    </row>
    <row r="110" spans="1:43" ht="21" x14ac:dyDescent="0.35">
      <c r="A110" s="499" t="s">
        <v>312</v>
      </c>
      <c r="B110" s="499"/>
      <c r="C110" s="499"/>
      <c r="D110" s="499"/>
      <c r="E110" s="499"/>
      <c r="F110" s="499"/>
      <c r="G110" s="499"/>
      <c r="H110" s="545"/>
      <c r="J110" s="540"/>
      <c r="K110" s="499" t="s">
        <v>302</v>
      </c>
      <c r="L110" s="499"/>
      <c r="M110" s="499"/>
      <c r="N110" s="499"/>
      <c r="O110" s="499"/>
      <c r="P110" s="499"/>
      <c r="Q110" s="499"/>
      <c r="R110" s="496"/>
      <c r="S110" s="737"/>
      <c r="T110" s="499" t="s">
        <v>302</v>
      </c>
      <c r="U110" s="499"/>
      <c r="V110" s="499"/>
      <c r="W110" s="499"/>
      <c r="X110" s="499"/>
      <c r="Y110" s="499"/>
      <c r="Z110" s="499"/>
      <c r="AA110" s="496"/>
      <c r="AB110" s="496"/>
      <c r="AC110" s="496"/>
      <c r="AD110" s="496"/>
      <c r="AE110" s="496"/>
      <c r="AF110" s="496"/>
      <c r="AG110" s="496"/>
      <c r="AH110" s="496"/>
      <c r="AI110" s="496"/>
      <c r="AJ110" s="496"/>
      <c r="AK110" s="496"/>
      <c r="AL110" s="496"/>
      <c r="AM110" s="496"/>
      <c r="AN110" s="496"/>
      <c r="AO110" s="496"/>
      <c r="AP110" s="496"/>
      <c r="AQ110" s="496"/>
    </row>
    <row r="111" spans="1:43" ht="15.75" thickBot="1" x14ac:dyDescent="0.3"/>
    <row r="112" spans="1:43" ht="15.75" thickBot="1" x14ac:dyDescent="0.3">
      <c r="A112" s="496"/>
      <c r="B112" s="710"/>
      <c r="C112" s="721">
        <v>2010</v>
      </c>
      <c r="D112" s="721">
        <v>2020</v>
      </c>
      <c r="E112" s="721">
        <v>2025</v>
      </c>
      <c r="F112" s="721">
        <v>2030</v>
      </c>
      <c r="G112" s="722">
        <v>2035</v>
      </c>
      <c r="H112" s="496"/>
      <c r="I112" s="496"/>
      <c r="J112" s="496"/>
      <c r="K112" s="496"/>
      <c r="L112" s="710"/>
      <c r="M112" s="721">
        <v>2010</v>
      </c>
      <c r="N112" s="721">
        <v>2020</v>
      </c>
      <c r="O112" s="721">
        <v>2025</v>
      </c>
      <c r="P112" s="721">
        <v>2030</v>
      </c>
      <c r="Q112" s="722">
        <v>2035</v>
      </c>
      <c r="R112" s="496"/>
      <c r="S112" s="496"/>
      <c r="T112" s="496"/>
      <c r="U112" s="710"/>
      <c r="V112" s="721">
        <v>2010</v>
      </c>
      <c r="W112" s="721">
        <v>2020</v>
      </c>
      <c r="X112" s="721">
        <v>2025</v>
      </c>
      <c r="Y112" s="721">
        <v>2030</v>
      </c>
      <c r="Z112" s="722">
        <v>2035</v>
      </c>
      <c r="AA112" s="496"/>
      <c r="AB112" s="496"/>
      <c r="AC112" s="496"/>
      <c r="AD112" s="496"/>
      <c r="AE112" s="496"/>
      <c r="AF112" s="496"/>
      <c r="AG112" s="496"/>
      <c r="AH112" s="496"/>
      <c r="AI112" s="496"/>
      <c r="AJ112" s="496"/>
      <c r="AK112" s="496"/>
      <c r="AL112" s="496"/>
      <c r="AM112" s="496"/>
      <c r="AN112" s="496"/>
      <c r="AO112" s="496"/>
      <c r="AP112" s="496"/>
      <c r="AQ112" s="496"/>
    </row>
    <row r="113" spans="1:43" ht="15.75" thickBot="1" x14ac:dyDescent="0.3">
      <c r="A113" s="496"/>
      <c r="B113" s="707" t="s">
        <v>303</v>
      </c>
      <c r="C113" s="739">
        <v>1401363.361</v>
      </c>
      <c r="D113" s="739">
        <v>1563851</v>
      </c>
      <c r="E113" s="739">
        <v>1712298.2</v>
      </c>
      <c r="F113" s="739">
        <v>1855007</v>
      </c>
      <c r="G113" s="740">
        <v>1998880</v>
      </c>
      <c r="H113" s="496"/>
      <c r="I113" s="496"/>
      <c r="J113" s="496"/>
      <c r="K113" s="496"/>
      <c r="L113" s="707" t="s">
        <v>303</v>
      </c>
      <c r="M113" s="739">
        <f t="shared" ref="M113:Q114" si="0">C113*V113</f>
        <v>1401363.361</v>
      </c>
      <c r="N113" s="739">
        <f t="shared" si="0"/>
        <v>1564495.9135651814</v>
      </c>
      <c r="O113" s="739">
        <f t="shared" si="0"/>
        <v>1658958.639575009</v>
      </c>
      <c r="P113" s="739">
        <f t="shared" si="0"/>
        <v>1793934.4828909109</v>
      </c>
      <c r="Q113" s="740">
        <f t="shared" si="0"/>
        <v>1988322.0858507422</v>
      </c>
      <c r="R113" s="496"/>
      <c r="S113" s="496"/>
      <c r="T113" s="496"/>
      <c r="U113" s="707" t="s">
        <v>303</v>
      </c>
      <c r="V113" s="745">
        <v>1</v>
      </c>
      <c r="W113" s="745">
        <v>1.0004123881144569</v>
      </c>
      <c r="X113" s="745">
        <v>0.96884914063158456</v>
      </c>
      <c r="Y113" s="745">
        <v>0.96707693442176279</v>
      </c>
      <c r="Z113" s="746">
        <v>0.99471808505300074</v>
      </c>
      <c r="AA113" s="496"/>
      <c r="AB113" s="496"/>
      <c r="AC113" s="496"/>
      <c r="AD113" s="496"/>
      <c r="AE113" s="496"/>
      <c r="AF113" s="496"/>
      <c r="AG113" s="496"/>
      <c r="AH113" s="496"/>
      <c r="AI113" s="496"/>
      <c r="AJ113" s="496"/>
      <c r="AK113" s="496"/>
      <c r="AL113" s="496"/>
      <c r="AM113" s="496"/>
      <c r="AN113" s="496"/>
      <c r="AO113" s="496"/>
      <c r="AP113" s="496"/>
      <c r="AQ113" s="496"/>
    </row>
    <row r="114" spans="1:43" ht="15.75" thickBot="1" x14ac:dyDescent="0.3">
      <c r="A114" s="496"/>
      <c r="B114" s="707" t="s">
        <v>304</v>
      </c>
      <c r="C114" s="741">
        <v>19.559632000000001</v>
      </c>
      <c r="D114" s="741">
        <v>20.746803</v>
      </c>
      <c r="E114" s="741">
        <v>21.681702999999999</v>
      </c>
      <c r="F114" s="741">
        <v>22.524003</v>
      </c>
      <c r="G114" s="742">
        <v>23.291744000000001</v>
      </c>
      <c r="H114" s="496"/>
      <c r="I114" s="496"/>
      <c r="J114" s="496"/>
      <c r="K114" s="496"/>
      <c r="L114" s="707" t="s">
        <v>304</v>
      </c>
      <c r="M114" s="743">
        <f t="shared" si="0"/>
        <v>19.559632000000001</v>
      </c>
      <c r="N114" s="743">
        <f t="shared" si="0"/>
        <v>20.713270773600385</v>
      </c>
      <c r="O114" s="743">
        <f t="shared" si="0"/>
        <v>21.40700562389241</v>
      </c>
      <c r="P114" s="743">
        <f t="shared" si="0"/>
        <v>22.682571333997139</v>
      </c>
      <c r="Q114" s="744">
        <f t="shared" si="0"/>
        <v>24.047091822498732</v>
      </c>
      <c r="R114" s="496"/>
      <c r="S114" s="496"/>
      <c r="T114" s="496"/>
      <c r="U114" s="707" t="s">
        <v>304</v>
      </c>
      <c r="V114" s="747">
        <v>1</v>
      </c>
      <c r="W114" s="747">
        <v>0.99838374006830766</v>
      </c>
      <c r="X114" s="747">
        <v>0.9873304520356363</v>
      </c>
      <c r="Y114" s="747">
        <v>1.0070399712696334</v>
      </c>
      <c r="Z114" s="748">
        <v>1.0324298525047644</v>
      </c>
      <c r="AA114" s="496"/>
      <c r="AB114" s="496"/>
      <c r="AC114" s="496"/>
      <c r="AD114" s="496"/>
      <c r="AE114" s="496"/>
      <c r="AF114" s="496"/>
      <c r="AG114" s="496"/>
      <c r="AH114" s="496"/>
      <c r="AI114" s="496"/>
      <c r="AJ114" s="496"/>
      <c r="AK114" s="496"/>
      <c r="AL114" s="496"/>
      <c r="AM114" s="496"/>
      <c r="AN114" s="496"/>
      <c r="AO114" s="496"/>
      <c r="AP114" s="496"/>
      <c r="AQ114" s="496"/>
    </row>
    <row r="117" spans="1:43" ht="21" x14ac:dyDescent="0.35">
      <c r="K117" s="499" t="s">
        <v>560</v>
      </c>
      <c r="L117" s="499"/>
      <c r="M117" s="499"/>
      <c r="N117" s="499"/>
      <c r="O117" s="499"/>
      <c r="P117" s="499"/>
      <c r="Q117" s="499"/>
    </row>
    <row r="119" spans="1:43" ht="21" x14ac:dyDescent="0.35">
      <c r="K119" s="501" t="s">
        <v>561</v>
      </c>
      <c r="L119" s="501"/>
      <c r="M119" s="501"/>
      <c r="N119" s="501"/>
      <c r="O119" s="501"/>
      <c r="P119" s="501"/>
      <c r="Q119" s="501"/>
    </row>
    <row r="121" spans="1:43" ht="15.75" thickBot="1" x14ac:dyDescent="0.3">
      <c r="L121" s="29" t="s">
        <v>562</v>
      </c>
    </row>
    <row r="122" spans="1:43" ht="15.75" thickBot="1" x14ac:dyDescent="0.3">
      <c r="L122" s="764"/>
      <c r="M122" s="765" t="s">
        <v>563</v>
      </c>
      <c r="N122" s="766" t="s">
        <v>77</v>
      </c>
    </row>
    <row r="123" spans="1:43" ht="15.75" thickBot="1" x14ac:dyDescent="0.3">
      <c r="L123" s="749" t="s">
        <v>564</v>
      </c>
      <c r="M123" s="750">
        <v>0.57648210423910973</v>
      </c>
      <c r="N123" s="751">
        <v>0.11498806949273978</v>
      </c>
    </row>
    <row r="126" spans="1:43" ht="21" x14ac:dyDescent="0.35">
      <c r="K126" s="501" t="s">
        <v>565</v>
      </c>
      <c r="L126" s="501"/>
      <c r="M126" s="501"/>
      <c r="N126" s="501"/>
      <c r="O126" s="501"/>
      <c r="P126" s="501"/>
      <c r="Q126" s="501"/>
    </row>
    <row r="128" spans="1:43" ht="33.75" customHeight="1" x14ac:dyDescent="0.25">
      <c r="K128" s="880" t="s">
        <v>566</v>
      </c>
      <c r="L128" s="880"/>
      <c r="M128" s="880"/>
      <c r="N128" s="880"/>
      <c r="O128" s="880"/>
      <c r="P128" s="880"/>
      <c r="Q128" s="880"/>
      <c r="R128" s="738"/>
      <c r="S128" s="738"/>
    </row>
    <row r="129" spans="11:19" x14ac:dyDescent="0.25">
      <c r="K129" s="880" t="s">
        <v>567</v>
      </c>
      <c r="L129" s="880"/>
      <c r="M129" s="880"/>
      <c r="N129" s="880"/>
      <c r="O129" s="880"/>
      <c r="P129" s="880"/>
      <c r="Q129" s="880"/>
      <c r="R129" s="738"/>
      <c r="S129" s="738"/>
    </row>
    <row r="130" spans="11:19" x14ac:dyDescent="0.25">
      <c r="K130" s="880" t="s">
        <v>568</v>
      </c>
      <c r="L130" s="880"/>
      <c r="M130" s="880"/>
      <c r="N130" s="880"/>
      <c r="O130" s="880"/>
      <c r="P130" s="880"/>
      <c r="Q130" s="880"/>
    </row>
    <row r="131" spans="11:19" ht="33" customHeight="1" thickBot="1" x14ac:dyDescent="0.3">
      <c r="K131" s="880" t="s">
        <v>569</v>
      </c>
      <c r="L131" s="880"/>
      <c r="M131" s="880"/>
      <c r="N131" s="880"/>
      <c r="O131" s="880"/>
      <c r="P131" s="880"/>
      <c r="Q131" s="880"/>
    </row>
    <row r="132" spans="11:19" ht="15.75" thickBot="1" x14ac:dyDescent="0.3">
      <c r="L132" s="298" t="s">
        <v>570</v>
      </c>
      <c r="M132" s="762" t="s">
        <v>571</v>
      </c>
      <c r="N132" s="762" t="s">
        <v>572</v>
      </c>
      <c r="O132" s="762" t="s">
        <v>573</v>
      </c>
      <c r="P132" s="763" t="s">
        <v>574</v>
      </c>
    </row>
    <row r="133" spans="11:19" ht="15.75" thickBot="1" x14ac:dyDescent="0.3">
      <c r="L133" s="752" t="s">
        <v>282</v>
      </c>
      <c r="M133" s="246">
        <v>1.6296288113897576E-3</v>
      </c>
      <c r="N133" s="246">
        <v>3.2592576227795152E-3</v>
      </c>
      <c r="O133" s="246">
        <v>4.8888864341692729E-3</v>
      </c>
      <c r="P133" s="247">
        <v>6.5185152455590305E-3</v>
      </c>
    </row>
    <row r="134" spans="11:19" ht="15.75" thickBot="1" x14ac:dyDescent="0.3">
      <c r="L134" s="752" t="s">
        <v>284</v>
      </c>
      <c r="M134" s="246">
        <v>1.8468123766029305E-3</v>
      </c>
      <c r="N134" s="246">
        <v>3.6936247532058609E-3</v>
      </c>
      <c r="O134" s="246">
        <v>5.5404371298087909E-3</v>
      </c>
      <c r="P134" s="247">
        <v>7.3872495064117218E-3</v>
      </c>
    </row>
    <row r="135" spans="11:19" ht="15.75" thickBot="1" x14ac:dyDescent="0.3">
      <c r="L135" s="752" t="s">
        <v>575</v>
      </c>
      <c r="M135" s="246">
        <v>1.9271261462954705E-3</v>
      </c>
      <c r="N135" s="246">
        <v>3.8542522925909409E-3</v>
      </c>
      <c r="O135" s="246">
        <v>5.7813784388864109E-3</v>
      </c>
      <c r="P135" s="247">
        <v>7.7085045851818818E-3</v>
      </c>
    </row>
    <row r="136" spans="11:19" ht="15.75" thickBot="1" x14ac:dyDescent="0.3">
      <c r="L136" s="752" t="s">
        <v>99</v>
      </c>
      <c r="M136" s="246">
        <v>1.7150098198064931E-3</v>
      </c>
      <c r="N136" s="246">
        <v>3.4300196396129861E-3</v>
      </c>
      <c r="O136" s="246">
        <v>5.1450294594194788E-3</v>
      </c>
      <c r="P136" s="247">
        <v>6.8600392792259723E-3</v>
      </c>
    </row>
    <row r="137" spans="11:19" ht="15.75" thickBot="1" x14ac:dyDescent="0.3">
      <c r="L137" s="768" t="s">
        <v>576</v>
      </c>
      <c r="M137" s="753">
        <v>1.7447954153119337E-3</v>
      </c>
      <c r="N137" s="753">
        <v>3.4895908306238673E-3</v>
      </c>
      <c r="O137" s="753">
        <v>5.234386245935801E-3</v>
      </c>
      <c r="P137" s="754">
        <v>6.9791816612477346E-3</v>
      </c>
    </row>
    <row r="140" spans="11:19" ht="21" x14ac:dyDescent="0.35">
      <c r="K140" s="501" t="s">
        <v>577</v>
      </c>
      <c r="L140" s="501"/>
      <c r="M140" s="501"/>
      <c r="N140" s="501"/>
      <c r="O140" s="501"/>
      <c r="P140" s="501"/>
      <c r="Q140" s="501"/>
    </row>
    <row r="142" spans="11:19" x14ac:dyDescent="0.25">
      <c r="K142" s="26" t="s">
        <v>578</v>
      </c>
    </row>
    <row r="143" spans="11:19" ht="34.5" customHeight="1" thickBot="1" x14ac:dyDescent="0.3">
      <c r="K143" s="880" t="s">
        <v>579</v>
      </c>
      <c r="L143" s="880"/>
      <c r="M143" s="880"/>
      <c r="N143" s="880"/>
      <c r="O143" s="880"/>
      <c r="P143" s="880"/>
      <c r="Q143" s="880"/>
    </row>
    <row r="144" spans="11:19" ht="15.75" thickBot="1" x14ac:dyDescent="0.3">
      <c r="K144" s="26" t="s">
        <v>580</v>
      </c>
      <c r="N144" s="235" t="s">
        <v>581</v>
      </c>
      <c r="O144" s="755">
        <v>0.59</v>
      </c>
    </row>
    <row r="145" spans="11:17" ht="15.75" thickBot="1" x14ac:dyDescent="0.3">
      <c r="N145" s="235" t="s">
        <v>582</v>
      </c>
      <c r="O145" s="755">
        <v>0.37</v>
      </c>
    </row>
    <row r="146" spans="11:17" ht="15.75" thickBot="1" x14ac:dyDescent="0.3">
      <c r="N146" s="235" t="s">
        <v>583</v>
      </c>
      <c r="O146" s="755">
        <v>0.04</v>
      </c>
    </row>
    <row r="148" spans="11:17" x14ac:dyDescent="0.25">
      <c r="K148" s="26" t="s">
        <v>584</v>
      </c>
    </row>
    <row r="149" spans="11:17" x14ac:dyDescent="0.25">
      <c r="K149" s="26" t="s">
        <v>585</v>
      </c>
    </row>
    <row r="150" spans="11:17" x14ac:dyDescent="0.25">
      <c r="K150" s="26" t="s">
        <v>586</v>
      </c>
    </row>
    <row r="151" spans="11:17" ht="33.75" customHeight="1" x14ac:dyDescent="0.25">
      <c r="K151" s="880" t="s">
        <v>587</v>
      </c>
      <c r="L151" s="880"/>
      <c r="M151" s="880"/>
      <c r="N151" s="880"/>
      <c r="O151" s="880"/>
      <c r="P151" s="880"/>
      <c r="Q151" s="880"/>
    </row>
    <row r="152" spans="11:17" ht="15.75" thickBot="1" x14ac:dyDescent="0.3"/>
    <row r="153" spans="11:17" ht="15.75" thickBot="1" x14ac:dyDescent="0.3">
      <c r="L153" s="759" t="s">
        <v>588</v>
      </c>
      <c r="M153" s="760">
        <v>2020</v>
      </c>
      <c r="N153" s="760">
        <v>2025</v>
      </c>
      <c r="O153" s="760">
        <v>2030</v>
      </c>
      <c r="P153" s="761">
        <v>2035</v>
      </c>
    </row>
    <row r="154" spans="11:17" ht="15.75" thickBot="1" x14ac:dyDescent="0.3">
      <c r="L154" s="756" t="s">
        <v>589</v>
      </c>
      <c r="M154" s="757">
        <v>7.1926319374545873</v>
      </c>
      <c r="N154" s="757">
        <v>7.2499838065964965</v>
      </c>
      <c r="O154" s="757">
        <v>7.3078065038768791</v>
      </c>
      <c r="P154" s="758">
        <v>7.3634805521727458</v>
      </c>
    </row>
    <row r="155" spans="11:17" ht="15.75" thickBot="1" x14ac:dyDescent="0.3">
      <c r="L155" s="756" t="s">
        <v>590</v>
      </c>
      <c r="M155" s="757">
        <v>4.5106335878952502</v>
      </c>
      <c r="N155" s="757">
        <v>4.5466000143062768</v>
      </c>
      <c r="O155" s="757">
        <v>4.5828617058210934</v>
      </c>
      <c r="P155" s="758">
        <v>4.6177759394981619</v>
      </c>
    </row>
    <row r="156" spans="11:17" ht="15.75" thickBot="1" x14ac:dyDescent="0.3"/>
    <row r="157" spans="11:17" ht="15.75" thickBot="1" x14ac:dyDescent="0.3">
      <c r="L157" s="756" t="s">
        <v>591</v>
      </c>
      <c r="M157" s="757">
        <v>0.42859879221279557</v>
      </c>
      <c r="N157" s="757">
        <v>0.42859879221279557</v>
      </c>
      <c r="O157" s="757">
        <v>0.42859879221279557</v>
      </c>
      <c r="P157" s="758">
        <v>0.42859879221279557</v>
      </c>
    </row>
    <row r="160" spans="11:17" ht="21" x14ac:dyDescent="0.35">
      <c r="K160" s="501" t="s">
        <v>723</v>
      </c>
    </row>
    <row r="161" spans="11:17" ht="15.75" thickBot="1" x14ac:dyDescent="0.3"/>
    <row r="162" spans="11:17" ht="15.75" thickBot="1" x14ac:dyDescent="0.3">
      <c r="K162" s="496"/>
      <c r="L162" s="710"/>
      <c r="M162" s="721">
        <v>2010</v>
      </c>
      <c r="N162" s="721">
        <v>2020</v>
      </c>
      <c r="O162" s="721">
        <v>2025</v>
      </c>
      <c r="P162" s="721">
        <v>2030</v>
      </c>
      <c r="Q162" s="722">
        <v>2035</v>
      </c>
    </row>
    <row r="163" spans="11:17" ht="15.75" thickBot="1" x14ac:dyDescent="0.3">
      <c r="K163" s="496"/>
      <c r="L163" s="767" t="s">
        <v>286</v>
      </c>
      <c r="M163" s="739">
        <v>4637.6295856023171</v>
      </c>
      <c r="N163" s="739">
        <v>4500.7716431915496</v>
      </c>
      <c r="O163" s="739">
        <v>4260.4461176499253</v>
      </c>
      <c r="P163" s="739">
        <v>4129.4173524377347</v>
      </c>
      <c r="Q163" s="740">
        <v>4155.6353364605493</v>
      </c>
    </row>
    <row r="164" spans="11:17" x14ac:dyDescent="0.25">
      <c r="M164" s="823"/>
      <c r="N164" s="823"/>
      <c r="O164" s="823"/>
      <c r="P164" s="823"/>
      <c r="Q164" s="824"/>
    </row>
  </sheetData>
  <mergeCells count="20">
    <mergeCell ref="L90:Q91"/>
    <mergeCell ref="A3:G3"/>
    <mergeCell ref="K3:Q3"/>
    <mergeCell ref="L31:Q31"/>
    <mergeCell ref="L25:L29"/>
    <mergeCell ref="L75:Q75"/>
    <mergeCell ref="L33:Q33"/>
    <mergeCell ref="L51:Q51"/>
    <mergeCell ref="M65:M71"/>
    <mergeCell ref="N65:N71"/>
    <mergeCell ref="O65:O71"/>
    <mergeCell ref="P65:Q71"/>
    <mergeCell ref="B24:B28"/>
    <mergeCell ref="E24:E28"/>
    <mergeCell ref="K143:Q143"/>
    <mergeCell ref="K151:Q151"/>
    <mergeCell ref="K128:Q128"/>
    <mergeCell ref="K129:Q129"/>
    <mergeCell ref="K130:Q130"/>
    <mergeCell ref="K131:Q131"/>
  </mergeCells>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2:N57"/>
  <sheetViews>
    <sheetView tabSelected="1" zoomScale="80" zoomScaleNormal="80" workbookViewId="0">
      <selection activeCell="D4" sqref="D4"/>
    </sheetView>
  </sheetViews>
  <sheetFormatPr baseColWidth="10" defaultColWidth="11.5703125" defaultRowHeight="15" x14ac:dyDescent="0.25"/>
  <cols>
    <col min="1" max="1" width="77.85546875" style="26" customWidth="1"/>
    <col min="2" max="2" width="20.85546875" style="790" customWidth="1"/>
    <col min="3" max="3" width="11.85546875" style="26" bestFit="1" customWidth="1"/>
    <col min="4" max="4" width="16.42578125" style="26" customWidth="1"/>
    <col min="5" max="5" width="19.28515625" style="26" customWidth="1"/>
    <col min="6" max="6" width="19" style="26" customWidth="1"/>
    <col min="7" max="7" width="11.5703125" style="26"/>
    <col min="8" max="8" width="18.5703125" style="26" customWidth="1"/>
    <col min="9" max="16384" width="11.5703125" style="26"/>
  </cols>
  <sheetData>
    <row r="2" spans="1:14" ht="18.75" x14ac:dyDescent="0.3">
      <c r="A2" s="693" t="s">
        <v>366</v>
      </c>
      <c r="B2" s="802"/>
      <c r="C2" s="693"/>
      <c r="D2" s="693"/>
      <c r="E2" s="693"/>
      <c r="F2" s="693"/>
      <c r="H2" s="693" t="s">
        <v>367</v>
      </c>
      <c r="I2" s="693"/>
      <c r="J2" s="693"/>
      <c r="K2" s="693"/>
      <c r="L2" s="693"/>
      <c r="M2" s="693"/>
    </row>
    <row r="4" spans="1:14" x14ac:dyDescent="0.25">
      <c r="C4" s="26">
        <v>2035</v>
      </c>
      <c r="D4" s="26">
        <v>2035</v>
      </c>
    </row>
    <row r="5" spans="1:14" ht="16.5" thickBot="1" x14ac:dyDescent="0.3">
      <c r="A5" s="6"/>
      <c r="B5" s="800">
        <v>2010</v>
      </c>
      <c r="C5" s="801" t="s">
        <v>325</v>
      </c>
      <c r="D5" s="801" t="s">
        <v>326</v>
      </c>
      <c r="E5" s="801" t="s">
        <v>327</v>
      </c>
      <c r="F5" s="801" t="s">
        <v>328</v>
      </c>
      <c r="H5" s="791" t="s">
        <v>373</v>
      </c>
      <c r="I5" s="792"/>
      <c r="J5" s="792"/>
      <c r="K5" s="792"/>
      <c r="L5" s="792"/>
      <c r="M5" s="792"/>
      <c r="N5" s="792"/>
    </row>
    <row r="6" spans="1:14" ht="15.75" thickBot="1" x14ac:dyDescent="0.3">
      <c r="A6" s="893" t="s">
        <v>329</v>
      </c>
      <c r="B6" s="893"/>
      <c r="C6" s="893"/>
      <c r="D6" s="893"/>
      <c r="E6" s="893"/>
      <c r="F6" s="893"/>
      <c r="H6" s="810" t="s">
        <v>368</v>
      </c>
      <c r="I6" s="808">
        <v>2010</v>
      </c>
      <c r="J6" s="808">
        <v>2020</v>
      </c>
      <c r="K6" s="808">
        <v>2025</v>
      </c>
      <c r="L6" s="808">
        <v>2030</v>
      </c>
      <c r="M6" s="809">
        <v>2035</v>
      </c>
    </row>
    <row r="7" spans="1:14" ht="15.75" thickBot="1" x14ac:dyDescent="0.3">
      <c r="A7" s="794" t="s">
        <v>330</v>
      </c>
      <c r="B7" s="795">
        <v>5340</v>
      </c>
      <c r="C7" s="795">
        <v>4498</v>
      </c>
      <c r="D7" s="795">
        <v>4556</v>
      </c>
      <c r="E7" s="770">
        <f>-(B7-C7)/B7</f>
        <v>-0.15767790262172285</v>
      </c>
      <c r="F7" s="770">
        <f>-(B7-D7)/B7</f>
        <v>-0.14681647940074907</v>
      </c>
      <c r="H7" s="803" t="s">
        <v>369</v>
      </c>
      <c r="I7" s="804">
        <v>3.44</v>
      </c>
      <c r="J7" s="804">
        <f>I7+($M7-$I7)/25*(J$6-I$6)</f>
        <v>3.2771390391345849</v>
      </c>
      <c r="K7" s="804">
        <f t="shared" ref="K7:L8" si="0">J7+($M7-$I7)/25*(K$6-J$6)</f>
        <v>3.1957085587018774</v>
      </c>
      <c r="L7" s="804">
        <f t="shared" si="0"/>
        <v>3.1142780782691699</v>
      </c>
      <c r="M7" s="805">
        <f>I7*(1+F8)</f>
        <v>3.032847597836462</v>
      </c>
    </row>
    <row r="8" spans="1:14" ht="15.75" thickBot="1" x14ac:dyDescent="0.3">
      <c r="A8" s="796" t="s">
        <v>331</v>
      </c>
      <c r="B8" s="795">
        <v>3143</v>
      </c>
      <c r="C8" s="795">
        <v>2730</v>
      </c>
      <c r="D8" s="795">
        <v>2771</v>
      </c>
      <c r="E8" s="770">
        <f t="shared" ref="E8:E12" si="1">-(B8-C8)/B8</f>
        <v>-0.13140311804008908</v>
      </c>
      <c r="F8" s="770">
        <f t="shared" ref="F8:F12" si="2">-(B8-D8)/B8</f>
        <v>-0.11835825644288896</v>
      </c>
      <c r="H8" s="803" t="s">
        <v>88</v>
      </c>
      <c r="I8" s="804">
        <v>0.23</v>
      </c>
      <c r="J8" s="804">
        <f>I8+($M8-$I8)/25*(J$6-I$6)</f>
        <v>0.20959873284054911</v>
      </c>
      <c r="K8" s="804">
        <f t="shared" si="0"/>
        <v>0.19939809926082366</v>
      </c>
      <c r="L8" s="804">
        <f t="shared" si="0"/>
        <v>0.18919746568109821</v>
      </c>
      <c r="M8" s="805">
        <f>I8*(1+F10)</f>
        <v>0.17899683210137277</v>
      </c>
    </row>
    <row r="9" spans="1:14" ht="15.75" thickBot="1" x14ac:dyDescent="0.3">
      <c r="A9" s="796" t="s">
        <v>332</v>
      </c>
      <c r="B9" s="795">
        <v>1226</v>
      </c>
      <c r="C9" s="795">
        <v>1011</v>
      </c>
      <c r="D9" s="795">
        <v>1031</v>
      </c>
      <c r="E9" s="770">
        <f t="shared" si="1"/>
        <v>-0.17536704730831973</v>
      </c>
      <c r="F9" s="770">
        <f t="shared" si="2"/>
        <v>-0.15905383360522024</v>
      </c>
      <c r="H9" s="803" t="s">
        <v>90</v>
      </c>
      <c r="I9" s="804">
        <v>0</v>
      </c>
      <c r="J9" s="804">
        <f t="shared" ref="J9:L9" si="3">I9+($M9-$I9)/25*(J$6-I$6)</f>
        <v>0</v>
      </c>
      <c r="K9" s="804">
        <f t="shared" si="3"/>
        <v>0</v>
      </c>
      <c r="L9" s="804">
        <f t="shared" si="3"/>
        <v>0</v>
      </c>
      <c r="M9" s="805">
        <v>0</v>
      </c>
    </row>
    <row r="10" spans="1:14" ht="15.75" thickBot="1" x14ac:dyDescent="0.3">
      <c r="A10" s="796" t="s">
        <v>333</v>
      </c>
      <c r="B10" s="795">
        <v>947</v>
      </c>
      <c r="C10" s="795">
        <v>740</v>
      </c>
      <c r="D10" s="795">
        <v>737</v>
      </c>
      <c r="E10" s="770">
        <f t="shared" si="1"/>
        <v>-0.21858500527983105</v>
      </c>
      <c r="F10" s="770">
        <f t="shared" si="2"/>
        <v>-0.22175290390707497</v>
      </c>
      <c r="H10" s="803" t="s">
        <v>370</v>
      </c>
      <c r="I10" s="804">
        <v>0.66</v>
      </c>
      <c r="J10" s="804">
        <f t="shared" ref="J10:L10" si="4">I10+($M10-$I10)/25*(J$6-I$6)</f>
        <v>0.61800978792822192</v>
      </c>
      <c r="K10" s="804">
        <f t="shared" si="4"/>
        <v>0.59701468189233287</v>
      </c>
      <c r="L10" s="804">
        <f t="shared" si="4"/>
        <v>0.57601957585644381</v>
      </c>
      <c r="M10" s="805">
        <f>I10*(1+F9)</f>
        <v>0.55502446982055464</v>
      </c>
    </row>
    <row r="11" spans="1:14" ht="15.75" thickBot="1" x14ac:dyDescent="0.3">
      <c r="A11" s="796" t="s">
        <v>334</v>
      </c>
      <c r="B11" s="795">
        <v>11</v>
      </c>
      <c r="C11" s="795">
        <v>8</v>
      </c>
      <c r="D11" s="795">
        <v>8</v>
      </c>
      <c r="E11" s="770">
        <f t="shared" si="1"/>
        <v>-0.27272727272727271</v>
      </c>
      <c r="F11" s="770">
        <f t="shared" si="2"/>
        <v>-0.27272727272727271</v>
      </c>
      <c r="H11" s="803" t="s">
        <v>371</v>
      </c>
      <c r="I11" s="804">
        <v>0</v>
      </c>
      <c r="J11" s="804">
        <f t="shared" ref="J11:L11" si="5">I11+($M11-$I11)/25*(J$6-I$6)</f>
        <v>0</v>
      </c>
      <c r="K11" s="804">
        <f t="shared" si="5"/>
        <v>0</v>
      </c>
      <c r="L11" s="804">
        <f t="shared" si="5"/>
        <v>0</v>
      </c>
      <c r="M11" s="805">
        <v>0</v>
      </c>
    </row>
    <row r="12" spans="1:14" ht="15.75" thickBot="1" x14ac:dyDescent="0.3">
      <c r="A12" s="796" t="s">
        <v>335</v>
      </c>
      <c r="B12" s="795">
        <v>12</v>
      </c>
      <c r="C12" s="795">
        <v>9</v>
      </c>
      <c r="D12" s="795">
        <v>9</v>
      </c>
      <c r="E12" s="770">
        <f t="shared" si="1"/>
        <v>-0.25</v>
      </c>
      <c r="F12" s="770">
        <f t="shared" si="2"/>
        <v>-0.25</v>
      </c>
      <c r="H12" s="803" t="s">
        <v>372</v>
      </c>
      <c r="I12" s="804">
        <v>0.13</v>
      </c>
      <c r="J12" s="804">
        <f t="shared" ref="J12:L12" si="6">I12+($M12-$I12)/25*(J$6-I$6)</f>
        <v>0.11581818181818182</v>
      </c>
      <c r="K12" s="804">
        <f t="shared" si="6"/>
        <v>0.10872727272727273</v>
      </c>
      <c r="L12" s="804">
        <f t="shared" si="6"/>
        <v>0.10163636363636364</v>
      </c>
      <c r="M12" s="805">
        <f>I12*(1+F11)</f>
        <v>9.4545454545454558E-2</v>
      </c>
    </row>
    <row r="13" spans="1:14" ht="15.75" thickBot="1" x14ac:dyDescent="0.3">
      <c r="A13" s="537"/>
      <c r="B13" s="797"/>
      <c r="C13" s="797"/>
      <c r="D13" s="797"/>
      <c r="E13" s="770"/>
      <c r="F13" s="770"/>
      <c r="H13" s="803"/>
      <c r="I13" s="804"/>
      <c r="J13" s="806"/>
      <c r="K13" s="806"/>
      <c r="L13" s="806"/>
      <c r="M13" s="807"/>
    </row>
    <row r="14" spans="1:14" ht="15.75" thickBot="1" x14ac:dyDescent="0.3">
      <c r="A14" s="893" t="s">
        <v>336</v>
      </c>
      <c r="B14" s="893"/>
      <c r="C14" s="893"/>
      <c r="D14" s="893"/>
      <c r="E14" s="893"/>
      <c r="F14" s="893"/>
      <c r="H14" s="803" t="s">
        <v>87</v>
      </c>
      <c r="I14" s="804">
        <f t="shared" ref="I14:L14" si="7">SUM(I7:I12)</f>
        <v>4.46</v>
      </c>
      <c r="J14" s="804">
        <f t="shared" si="7"/>
        <v>4.2205657417215381</v>
      </c>
      <c r="K14" s="804">
        <f t="shared" si="7"/>
        <v>4.1008486125823067</v>
      </c>
      <c r="L14" s="804">
        <f t="shared" si="7"/>
        <v>3.9811314834430758</v>
      </c>
      <c r="M14" s="805">
        <f>SUM(M7:M12)</f>
        <v>3.8614143543038439</v>
      </c>
    </row>
    <row r="15" spans="1:14" x14ac:dyDescent="0.25">
      <c r="A15" s="7" t="s">
        <v>337</v>
      </c>
      <c r="B15" s="8">
        <v>28</v>
      </c>
      <c r="C15" s="8">
        <v>26</v>
      </c>
      <c r="D15" s="8">
        <v>26.2</v>
      </c>
      <c r="E15" s="770">
        <f>-(B15-C15)/B15</f>
        <v>-7.1428571428571425E-2</v>
      </c>
      <c r="F15" s="770">
        <f>-(B15-D15)/B15</f>
        <v>-6.4285714285714307E-2</v>
      </c>
    </row>
    <row r="16" spans="1:14" x14ac:dyDescent="0.25">
      <c r="A16" s="9" t="s">
        <v>338</v>
      </c>
      <c r="B16" s="10">
        <v>13.8</v>
      </c>
      <c r="C16" s="10">
        <v>12.9</v>
      </c>
      <c r="D16" s="10">
        <v>13.1</v>
      </c>
      <c r="E16" s="770">
        <f t="shared" ref="E16:E20" si="8">-(B16-C16)/B16</f>
        <v>-6.5217391304347852E-2</v>
      </c>
      <c r="F16" s="770">
        <f t="shared" ref="F16:F20" si="9">-(B16-D16)/B16</f>
        <v>-5.0724637681159493E-2</v>
      </c>
      <c r="H16" s="21" t="s">
        <v>374</v>
      </c>
    </row>
    <row r="17" spans="1:6" x14ac:dyDescent="0.25">
      <c r="A17" s="9" t="s">
        <v>339</v>
      </c>
      <c r="B17" s="10">
        <v>12.4</v>
      </c>
      <c r="C17" s="10">
        <v>11.2</v>
      </c>
      <c r="D17" s="10">
        <v>11.4</v>
      </c>
      <c r="E17" s="770">
        <f t="shared" si="8"/>
        <v>-9.6774193548387177E-2</v>
      </c>
      <c r="F17" s="770">
        <f t="shared" si="9"/>
        <v>-8.0645161290322578E-2</v>
      </c>
    </row>
    <row r="18" spans="1:6" x14ac:dyDescent="0.25">
      <c r="A18" s="796" t="s">
        <v>340</v>
      </c>
      <c r="B18" s="11">
        <v>0.98050000000000004</v>
      </c>
      <c r="C18" s="12">
        <f>1-C19-C20</f>
        <v>0.91669999999999996</v>
      </c>
      <c r="D18" s="12">
        <f>1-D19-D20</f>
        <v>0.84670000000000001</v>
      </c>
      <c r="E18" s="770">
        <f t="shared" si="8"/>
        <v>-6.5068842427333073E-2</v>
      </c>
      <c r="F18" s="770">
        <f t="shared" si="9"/>
        <v>-0.136460989291178</v>
      </c>
    </row>
    <row r="19" spans="1:6" x14ac:dyDescent="0.25">
      <c r="A19" s="796" t="s">
        <v>341</v>
      </c>
      <c r="B19" s="11">
        <v>1.2999999999999999E-2</v>
      </c>
      <c r="C19" s="12">
        <v>0.06</v>
      </c>
      <c r="D19" s="12">
        <v>0.13</v>
      </c>
      <c r="E19" s="770">
        <f t="shared" si="8"/>
        <v>3.6153846153846154</v>
      </c>
      <c r="F19" s="770">
        <f t="shared" si="9"/>
        <v>9.0000000000000018</v>
      </c>
    </row>
    <row r="20" spans="1:6" x14ac:dyDescent="0.25">
      <c r="A20" s="796" t="s">
        <v>342</v>
      </c>
      <c r="B20" s="11">
        <v>6.4999999999999997E-3</v>
      </c>
      <c r="C20" s="12">
        <v>2.3300000000000001E-2</v>
      </c>
      <c r="D20" s="12">
        <f>C20</f>
        <v>2.3300000000000001E-2</v>
      </c>
      <c r="E20" s="770">
        <f t="shared" si="8"/>
        <v>2.5846153846153852</v>
      </c>
      <c r="F20" s="770">
        <f t="shared" si="9"/>
        <v>2.5846153846153852</v>
      </c>
    </row>
    <row r="21" spans="1:6" x14ac:dyDescent="0.25">
      <c r="A21" s="796"/>
      <c r="B21" s="11"/>
      <c r="C21" s="12"/>
      <c r="D21" s="12"/>
      <c r="E21" s="770"/>
      <c r="F21" s="770"/>
    </row>
    <row r="22" spans="1:6" x14ac:dyDescent="0.25">
      <c r="A22" s="893" t="s">
        <v>343</v>
      </c>
      <c r="B22" s="893"/>
      <c r="C22" s="893"/>
      <c r="D22" s="893"/>
      <c r="E22" s="893"/>
      <c r="F22" s="893"/>
    </row>
    <row r="23" spans="1:6" x14ac:dyDescent="0.25">
      <c r="A23" s="798" t="s">
        <v>43</v>
      </c>
      <c r="B23" s="8">
        <v>3712082</v>
      </c>
      <c r="C23" s="8">
        <v>3691721</v>
      </c>
      <c r="D23" s="8">
        <v>3691721</v>
      </c>
      <c r="E23" s="770">
        <f>-(B23-C23)/B23</f>
        <v>-5.4850620217980102E-3</v>
      </c>
      <c r="F23" s="770">
        <f>-(B23-D23)/B23</f>
        <v>-5.4850620217980102E-3</v>
      </c>
    </row>
    <row r="24" spans="1:6" x14ac:dyDescent="0.25">
      <c r="A24" s="798" t="s">
        <v>44</v>
      </c>
      <c r="B24" s="8">
        <v>4178610</v>
      </c>
      <c r="C24" s="8">
        <v>3613119</v>
      </c>
      <c r="D24" s="8">
        <v>3677177</v>
      </c>
      <c r="E24" s="770">
        <f t="shared" ref="E24:E34" si="10">-(B24-C24)/B24</f>
        <v>-0.13532993028782297</v>
      </c>
      <c r="F24" s="770">
        <f t="shared" ref="F24:F34" si="11">-(B24-D24)/B24</f>
        <v>-0.11999995213719394</v>
      </c>
    </row>
    <row r="25" spans="1:6" x14ac:dyDescent="0.25">
      <c r="A25" s="798" t="s">
        <v>45</v>
      </c>
      <c r="B25" s="8">
        <v>11552851</v>
      </c>
      <c r="C25" s="8">
        <v>10320003</v>
      </c>
      <c r="D25" s="8">
        <v>10458076</v>
      </c>
      <c r="E25" s="770">
        <f t="shared" si="10"/>
        <v>-0.10671374537765613</v>
      </c>
      <c r="F25" s="770">
        <f t="shared" si="11"/>
        <v>-9.4762323170272E-2</v>
      </c>
    </row>
    <row r="26" spans="1:6" x14ac:dyDescent="0.25">
      <c r="A26" s="798" t="s">
        <v>46</v>
      </c>
      <c r="B26" s="8">
        <v>1105264</v>
      </c>
      <c r="C26" s="8">
        <v>856768</v>
      </c>
      <c r="D26" s="8">
        <v>856768</v>
      </c>
      <c r="E26" s="770">
        <f t="shared" si="10"/>
        <v>-0.22482954298701488</v>
      </c>
      <c r="F26" s="770">
        <f t="shared" si="11"/>
        <v>-0.22482954298701488</v>
      </c>
    </row>
    <row r="27" spans="1:6" x14ac:dyDescent="0.25">
      <c r="A27" s="798" t="s">
        <v>47</v>
      </c>
      <c r="B27" s="8">
        <v>13075463</v>
      </c>
      <c r="C27" s="8">
        <v>12524205</v>
      </c>
      <c r="D27" s="8">
        <v>12524205</v>
      </c>
      <c r="E27" s="770">
        <f t="shared" si="10"/>
        <v>-4.2159730787353383E-2</v>
      </c>
      <c r="F27" s="770">
        <f t="shared" si="11"/>
        <v>-4.2159730787353383E-2</v>
      </c>
    </row>
    <row r="28" spans="1:6" x14ac:dyDescent="0.25">
      <c r="A28" s="798" t="s">
        <v>48</v>
      </c>
      <c r="B28" s="8">
        <v>1471730</v>
      </c>
      <c r="C28" s="8">
        <v>1016881</v>
      </c>
      <c r="D28" s="8">
        <v>1016881</v>
      </c>
      <c r="E28" s="770">
        <f t="shared" si="10"/>
        <v>-0.30905736785959381</v>
      </c>
      <c r="F28" s="770">
        <f t="shared" si="11"/>
        <v>-0.30905736785959381</v>
      </c>
    </row>
    <row r="29" spans="1:6" x14ac:dyDescent="0.25">
      <c r="A29" s="798" t="s">
        <v>49</v>
      </c>
      <c r="B29" s="8">
        <v>8881165</v>
      </c>
      <c r="C29" s="8">
        <v>6136375</v>
      </c>
      <c r="D29" s="8">
        <v>6136375</v>
      </c>
      <c r="E29" s="770">
        <f t="shared" si="10"/>
        <v>-0.30905742658761548</v>
      </c>
      <c r="F29" s="770">
        <f t="shared" si="11"/>
        <v>-0.30905742658761548</v>
      </c>
    </row>
    <row r="30" spans="1:6" x14ac:dyDescent="0.25">
      <c r="A30" s="798" t="s">
        <v>50</v>
      </c>
      <c r="B30" s="8">
        <v>580143</v>
      </c>
      <c r="C30" s="8">
        <v>580143</v>
      </c>
      <c r="D30" s="8">
        <v>580143</v>
      </c>
      <c r="E30" s="770">
        <f t="shared" si="10"/>
        <v>0</v>
      </c>
      <c r="F30" s="770">
        <f t="shared" si="11"/>
        <v>0</v>
      </c>
    </row>
    <row r="31" spans="1:6" x14ac:dyDescent="0.25">
      <c r="A31" s="798" t="s">
        <v>51</v>
      </c>
      <c r="B31" s="8">
        <v>48786</v>
      </c>
      <c r="C31" s="8">
        <v>33708</v>
      </c>
      <c r="D31" s="8">
        <v>33708</v>
      </c>
      <c r="E31" s="770">
        <f t="shared" si="10"/>
        <v>-0.30906407575943917</v>
      </c>
      <c r="F31" s="770">
        <f t="shared" si="11"/>
        <v>-0.30906407575943917</v>
      </c>
    </row>
    <row r="32" spans="1:6" x14ac:dyDescent="0.25">
      <c r="A32" s="798" t="s">
        <v>52</v>
      </c>
      <c r="B32" s="8">
        <v>76828000</v>
      </c>
      <c r="C32" s="8">
        <v>70421385</v>
      </c>
      <c r="D32" s="8">
        <v>70421385</v>
      </c>
      <c r="E32" s="770">
        <f t="shared" si="10"/>
        <v>-8.3389063882959344E-2</v>
      </c>
      <c r="F32" s="770">
        <f t="shared" si="11"/>
        <v>-8.3389063882959344E-2</v>
      </c>
    </row>
    <row r="33" spans="1:6" x14ac:dyDescent="0.25">
      <c r="A33" s="798" t="s">
        <v>53</v>
      </c>
      <c r="B33" s="8">
        <v>141679000</v>
      </c>
      <c r="C33" s="8">
        <v>141941140</v>
      </c>
      <c r="D33" s="8">
        <v>141941140</v>
      </c>
      <c r="E33" s="770">
        <f t="shared" si="10"/>
        <v>1.8502389203763436E-3</v>
      </c>
      <c r="F33" s="770">
        <f t="shared" si="11"/>
        <v>1.8502389203763436E-3</v>
      </c>
    </row>
    <row r="34" spans="1:6" x14ac:dyDescent="0.25">
      <c r="A34" s="798" t="s">
        <v>54</v>
      </c>
      <c r="B34" s="8">
        <v>70375000</v>
      </c>
      <c r="C34" s="8">
        <v>70505211</v>
      </c>
      <c r="D34" s="8">
        <v>70505211</v>
      </c>
      <c r="E34" s="770">
        <f t="shared" si="10"/>
        <v>1.8502451154529308E-3</v>
      </c>
      <c r="F34" s="770">
        <f t="shared" si="11"/>
        <v>1.8502451154529308E-3</v>
      </c>
    </row>
    <row r="35" spans="1:6" x14ac:dyDescent="0.25">
      <c r="A35" s="33"/>
      <c r="B35" s="13"/>
      <c r="C35" s="14"/>
      <c r="D35" s="14"/>
    </row>
    <row r="36" spans="1:6" s="793" customFormat="1" x14ac:dyDescent="0.25">
      <c r="A36" s="893" t="s">
        <v>344</v>
      </c>
      <c r="B36" s="893"/>
      <c r="C36" s="893"/>
      <c r="D36" s="893"/>
      <c r="E36" s="893"/>
      <c r="F36" s="893"/>
    </row>
    <row r="37" spans="1:6" x14ac:dyDescent="0.25">
      <c r="A37" s="799" t="s">
        <v>345</v>
      </c>
      <c r="B37" s="8">
        <v>321</v>
      </c>
      <c r="C37" s="15">
        <v>288.90000000000003</v>
      </c>
      <c r="D37" s="15">
        <v>288.90000000000003</v>
      </c>
      <c r="E37" s="770">
        <f>-(B37-C37)/B37</f>
        <v>-9.9999999999999895E-2</v>
      </c>
      <c r="F37" s="770">
        <f>-(B37-D37)/B37</f>
        <v>-9.9999999999999895E-2</v>
      </c>
    </row>
    <row r="38" spans="1:6" x14ac:dyDescent="0.25">
      <c r="A38" s="796" t="s">
        <v>346</v>
      </c>
      <c r="B38" s="10">
        <v>160</v>
      </c>
      <c r="C38" s="16">
        <v>144</v>
      </c>
      <c r="D38" s="16">
        <v>144</v>
      </c>
      <c r="E38" s="770">
        <f t="shared" ref="E38:E56" si="12">-(B38-C38)/B38</f>
        <v>-0.1</v>
      </c>
      <c r="F38" s="770">
        <f t="shared" ref="F38:F56" si="13">-(B38-D38)/B38</f>
        <v>-0.1</v>
      </c>
    </row>
    <row r="39" spans="1:6" x14ac:dyDescent="0.25">
      <c r="A39" s="796" t="s">
        <v>347</v>
      </c>
      <c r="B39" s="10">
        <v>25</v>
      </c>
      <c r="C39" s="16">
        <v>22.5</v>
      </c>
      <c r="D39" s="16">
        <v>22.5</v>
      </c>
      <c r="E39" s="770">
        <f t="shared" si="12"/>
        <v>-0.1</v>
      </c>
      <c r="F39" s="770">
        <f t="shared" si="13"/>
        <v>-0.1</v>
      </c>
    </row>
    <row r="40" spans="1:6" x14ac:dyDescent="0.25">
      <c r="A40" s="796" t="s">
        <v>348</v>
      </c>
      <c r="B40" s="10">
        <v>100</v>
      </c>
      <c r="C40" s="16">
        <v>95</v>
      </c>
      <c r="D40" s="16">
        <v>95</v>
      </c>
      <c r="E40" s="770">
        <f t="shared" si="12"/>
        <v>-0.05</v>
      </c>
      <c r="F40" s="770">
        <f t="shared" si="13"/>
        <v>-0.05</v>
      </c>
    </row>
    <row r="41" spans="1:6" x14ac:dyDescent="0.25">
      <c r="A41" s="796" t="s">
        <v>349</v>
      </c>
      <c r="B41" s="10">
        <v>100</v>
      </c>
      <c r="C41" s="16">
        <v>95</v>
      </c>
      <c r="D41" s="16">
        <v>95</v>
      </c>
      <c r="E41" s="770">
        <f t="shared" si="12"/>
        <v>-0.05</v>
      </c>
      <c r="F41" s="770">
        <f t="shared" si="13"/>
        <v>-0.05</v>
      </c>
    </row>
    <row r="42" spans="1:6" x14ac:dyDescent="0.25">
      <c r="A42" s="796" t="s">
        <v>350</v>
      </c>
      <c r="B42" s="10">
        <v>60</v>
      </c>
      <c r="C42" s="16">
        <v>57</v>
      </c>
      <c r="D42" s="16">
        <v>57</v>
      </c>
      <c r="E42" s="770">
        <f t="shared" si="12"/>
        <v>-0.05</v>
      </c>
      <c r="F42" s="770">
        <f t="shared" si="13"/>
        <v>-0.05</v>
      </c>
    </row>
    <row r="43" spans="1:6" x14ac:dyDescent="0.25">
      <c r="A43" s="796" t="s">
        <v>351</v>
      </c>
      <c r="B43" s="17">
        <v>65</v>
      </c>
      <c r="C43" s="18">
        <v>61.75</v>
      </c>
      <c r="D43" s="18">
        <v>61.75</v>
      </c>
      <c r="E43" s="770">
        <f t="shared" si="12"/>
        <v>-0.05</v>
      </c>
      <c r="F43" s="770">
        <f t="shared" si="13"/>
        <v>-0.05</v>
      </c>
    </row>
    <row r="44" spans="1:6" x14ac:dyDescent="0.25">
      <c r="A44" s="796" t="s">
        <v>352</v>
      </c>
      <c r="B44" s="10">
        <v>65</v>
      </c>
      <c r="C44" s="16">
        <v>61.75</v>
      </c>
      <c r="D44" s="16">
        <v>61.75</v>
      </c>
      <c r="E44" s="770">
        <f t="shared" si="12"/>
        <v>-0.05</v>
      </c>
      <c r="F44" s="770">
        <f t="shared" si="13"/>
        <v>-0.05</v>
      </c>
    </row>
    <row r="45" spans="1:6" x14ac:dyDescent="0.25">
      <c r="A45" s="796" t="s">
        <v>353</v>
      </c>
      <c r="B45" s="10">
        <v>5</v>
      </c>
      <c r="C45" s="16">
        <v>4.75</v>
      </c>
      <c r="D45" s="16">
        <v>4.75</v>
      </c>
      <c r="E45" s="770">
        <f t="shared" si="12"/>
        <v>-0.05</v>
      </c>
      <c r="F45" s="770">
        <f t="shared" si="13"/>
        <v>-0.05</v>
      </c>
    </row>
    <row r="46" spans="1:6" x14ac:dyDescent="0.25">
      <c r="A46" s="796" t="s">
        <v>354</v>
      </c>
      <c r="B46" s="10">
        <v>190</v>
      </c>
      <c r="C46" s="16">
        <v>180.5</v>
      </c>
      <c r="D46" s="16">
        <v>180.5</v>
      </c>
      <c r="E46" s="770">
        <f t="shared" si="12"/>
        <v>-0.05</v>
      </c>
      <c r="F46" s="770">
        <f t="shared" si="13"/>
        <v>-0.05</v>
      </c>
    </row>
    <row r="47" spans="1:6" x14ac:dyDescent="0.25">
      <c r="A47" s="796" t="s">
        <v>355</v>
      </c>
      <c r="B47" s="10">
        <v>442</v>
      </c>
      <c r="C47" s="16">
        <v>397.8</v>
      </c>
      <c r="D47" s="16">
        <v>397.8</v>
      </c>
      <c r="E47" s="770">
        <f t="shared" si="12"/>
        <v>-9.9999999999999978E-2</v>
      </c>
      <c r="F47" s="770">
        <f t="shared" si="13"/>
        <v>-9.9999999999999978E-2</v>
      </c>
    </row>
    <row r="48" spans="1:6" x14ac:dyDescent="0.25">
      <c r="A48" s="796" t="s">
        <v>356</v>
      </c>
      <c r="B48" s="10">
        <v>93</v>
      </c>
      <c r="C48" s="16">
        <v>83.7</v>
      </c>
      <c r="D48" s="16">
        <v>83.7</v>
      </c>
      <c r="E48" s="770">
        <f t="shared" si="12"/>
        <v>-9.9999999999999964E-2</v>
      </c>
      <c r="F48" s="770">
        <f t="shared" si="13"/>
        <v>-9.9999999999999964E-2</v>
      </c>
    </row>
    <row r="49" spans="1:6" x14ac:dyDescent="0.25">
      <c r="A49" s="796" t="s">
        <v>357</v>
      </c>
      <c r="B49" s="10">
        <v>403</v>
      </c>
      <c r="C49" s="19">
        <v>362.7</v>
      </c>
      <c r="D49" s="19">
        <v>362.7</v>
      </c>
      <c r="E49" s="770">
        <f t="shared" si="12"/>
        <v>-0.10000000000000003</v>
      </c>
      <c r="F49" s="770">
        <f t="shared" si="13"/>
        <v>-0.10000000000000003</v>
      </c>
    </row>
    <row r="50" spans="1:6" x14ac:dyDescent="0.25">
      <c r="A50" s="796" t="s">
        <v>358</v>
      </c>
      <c r="B50" s="10">
        <v>25</v>
      </c>
      <c r="C50" s="19">
        <v>22.5</v>
      </c>
      <c r="D50" s="19">
        <v>22.5</v>
      </c>
      <c r="E50" s="770">
        <f t="shared" si="12"/>
        <v>-0.1</v>
      </c>
      <c r="F50" s="770">
        <f t="shared" si="13"/>
        <v>-0.1</v>
      </c>
    </row>
    <row r="51" spans="1:6" x14ac:dyDescent="0.25">
      <c r="A51" s="796" t="s">
        <v>359</v>
      </c>
      <c r="B51" s="10">
        <v>3.15</v>
      </c>
      <c r="C51" s="19">
        <v>2.835</v>
      </c>
      <c r="D51" s="19">
        <v>2.835</v>
      </c>
      <c r="E51" s="770">
        <f t="shared" si="12"/>
        <v>-9.9999999999999992E-2</v>
      </c>
      <c r="F51" s="770">
        <f t="shared" si="13"/>
        <v>-9.9999999999999992E-2</v>
      </c>
    </row>
    <row r="52" spans="1:6" x14ac:dyDescent="0.25">
      <c r="A52" s="796" t="s">
        <v>360</v>
      </c>
      <c r="B52" s="10">
        <v>0.52</v>
      </c>
      <c r="C52" s="19">
        <v>0.46800000000000003</v>
      </c>
      <c r="D52" s="19">
        <v>0.46800000000000003</v>
      </c>
      <c r="E52" s="770">
        <f t="shared" si="12"/>
        <v>-9.9999999999999978E-2</v>
      </c>
      <c r="F52" s="770">
        <f t="shared" si="13"/>
        <v>-9.9999999999999978E-2</v>
      </c>
    </row>
    <row r="53" spans="1:6" x14ac:dyDescent="0.25">
      <c r="A53" s="796" t="s">
        <v>361</v>
      </c>
      <c r="B53" s="10">
        <v>108</v>
      </c>
      <c r="C53" s="16">
        <v>97.2</v>
      </c>
      <c r="D53" s="16">
        <v>97.2</v>
      </c>
      <c r="E53" s="770">
        <f t="shared" si="12"/>
        <v>-9.9999999999999978E-2</v>
      </c>
      <c r="F53" s="770">
        <f t="shared" si="13"/>
        <v>-9.9999999999999978E-2</v>
      </c>
    </row>
    <row r="54" spans="1:6" x14ac:dyDescent="0.25">
      <c r="A54" s="796" t="s">
        <v>362</v>
      </c>
      <c r="B54" s="10">
        <v>41.21</v>
      </c>
      <c r="C54" s="16">
        <v>37.088999999999999</v>
      </c>
      <c r="D54" s="16">
        <v>37.088999999999999</v>
      </c>
      <c r="E54" s="770">
        <f t="shared" si="12"/>
        <v>-0.10000000000000005</v>
      </c>
      <c r="F54" s="770">
        <f t="shared" si="13"/>
        <v>-0.10000000000000005</v>
      </c>
    </row>
    <row r="55" spans="1:6" x14ac:dyDescent="0.25">
      <c r="A55" s="796" t="s">
        <v>363</v>
      </c>
      <c r="B55" s="10">
        <v>0.12</v>
      </c>
      <c r="C55" s="16">
        <v>0.108</v>
      </c>
      <c r="D55" s="16">
        <v>0.108</v>
      </c>
      <c r="E55" s="770">
        <f t="shared" si="12"/>
        <v>-9.9999999999999978E-2</v>
      </c>
      <c r="F55" s="770">
        <f t="shared" si="13"/>
        <v>-9.9999999999999978E-2</v>
      </c>
    </row>
    <row r="56" spans="1:6" x14ac:dyDescent="0.25">
      <c r="A56" s="796" t="s">
        <v>364</v>
      </c>
      <c r="B56" s="10">
        <v>0.08</v>
      </c>
      <c r="C56" s="16">
        <v>7.2000000000000008E-2</v>
      </c>
      <c r="D56" s="16">
        <v>7.2000000000000008E-2</v>
      </c>
      <c r="E56" s="770">
        <f t="shared" si="12"/>
        <v>-9.9999999999999908E-2</v>
      </c>
      <c r="F56" s="770">
        <f t="shared" si="13"/>
        <v>-9.9999999999999908E-2</v>
      </c>
    </row>
    <row r="57" spans="1:6" x14ac:dyDescent="0.25">
      <c r="A57" s="796" t="s">
        <v>365</v>
      </c>
      <c r="B57" s="11">
        <v>0</v>
      </c>
      <c r="C57" s="20">
        <v>0.1</v>
      </c>
      <c r="D57" s="20">
        <v>0.1</v>
      </c>
      <c r="E57" s="770">
        <v>-0.1</v>
      </c>
      <c r="F57" s="770">
        <v>-0.1</v>
      </c>
    </row>
  </sheetData>
  <mergeCells count="4">
    <mergeCell ref="A6:F6"/>
    <mergeCell ref="A14:F14"/>
    <mergeCell ref="A22:F22"/>
    <mergeCell ref="A36:F3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Intro</vt:lpstr>
      <vt:lpstr>Cadrage macro</vt:lpstr>
      <vt:lpstr>Industrie</vt:lpstr>
      <vt:lpstr>Transport</vt:lpstr>
      <vt:lpstr>Détail Transport</vt:lpstr>
      <vt:lpstr>Résidentiel</vt:lpstr>
      <vt:lpstr>Détail résidentiel</vt:lpstr>
      <vt:lpstr>Tertiaire</vt:lpstr>
      <vt:lpstr>Agriculture</vt:lpstr>
      <vt:lpstr>CEE</vt:lpstr>
      <vt:lpstr>Mix énergétique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VERGEZ Antonin</dc:creator>
  <cp:lastModifiedBy>VERGEZ Antonin</cp:lastModifiedBy>
  <dcterms:created xsi:type="dcterms:W3CDTF">2016-03-16T09:46:02Z</dcterms:created>
  <dcterms:modified xsi:type="dcterms:W3CDTF">2017-01-13T13:54:31Z</dcterms:modified>
</cp:coreProperties>
</file>