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/development/crea/studies/202012_jakarta_emission/data/"/>
    </mc:Choice>
  </mc:AlternateContent>
  <xr:revisionPtr revIDLastSave="0" documentId="13_ncr:1_{07C1BD77-FDBE-4B4F-B036-DB921D4CC6BB}" xr6:coauthVersionLast="47" xr6:coauthVersionMax="47" xr10:uidLastSave="{00000000-0000-0000-0000-000000000000}"/>
  <bookViews>
    <workbookView xWindow="0" yWindow="460" windowWidth="19420" windowHeight="10420" firstSheet="4" activeTab="4" xr2:uid="{00000000-000D-0000-FFFF-FFFF00000000}"/>
  </bookViews>
  <sheets>
    <sheet name="Power-generation" sheetId="3" r:id="rId1"/>
    <sheet name="Manufacturing Industry" sheetId="4" r:id="rId2"/>
    <sheet name="Shipping" sheetId="6" r:id="rId3"/>
    <sheet name="Residential and commercial " sheetId="7" r:id="rId4"/>
    <sheet name="Gasoline distribution" sheetId="8" r:id="rId5"/>
    <sheet name="Agro-residual-OB" sheetId="9" r:id="rId6"/>
    <sheet name="Forest Fire" sheetId="10" r:id="rId7"/>
    <sheet name="Solid Waste OB" sheetId="11" r:id="rId8"/>
    <sheet name="Ammonia Livestock" sheetId="12" r:id="rId9"/>
    <sheet name="Methane-landfill" sheetId="13" r:id="rId10"/>
    <sheet name="On-road-transportation" sheetId="2" r:id="rId11"/>
    <sheet name="Air-transportation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7" l="1"/>
  <c r="B9" i="3"/>
  <c r="G103" i="5"/>
  <c r="G101" i="5"/>
  <c r="J106" i="5"/>
  <c r="I106" i="5"/>
  <c r="H106" i="5"/>
  <c r="F106" i="5"/>
  <c r="E106" i="5"/>
  <c r="D106" i="5"/>
  <c r="C106" i="5"/>
  <c r="B106" i="5"/>
  <c r="G106" i="5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J106" i="2"/>
  <c r="I106" i="2"/>
  <c r="H106" i="2"/>
  <c r="F106" i="2"/>
  <c r="E106" i="2"/>
  <c r="D106" i="2"/>
  <c r="C106" i="2"/>
  <c r="B106" i="2"/>
  <c r="J106" i="13"/>
  <c r="I106" i="13"/>
  <c r="H106" i="13"/>
  <c r="G106" i="13"/>
  <c r="F106" i="13"/>
  <c r="E106" i="13"/>
  <c r="D106" i="13"/>
  <c r="C106" i="13"/>
  <c r="B106" i="13"/>
  <c r="G106" i="12"/>
  <c r="H106" i="12"/>
  <c r="I106" i="12"/>
  <c r="J106" i="12"/>
  <c r="F106" i="12"/>
  <c r="E106" i="12"/>
  <c r="D106" i="12"/>
  <c r="C106" i="12"/>
  <c r="B106" i="12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106" i="11" s="1"/>
  <c r="G75" i="11"/>
  <c r="G74" i="11"/>
  <c r="G73" i="11"/>
  <c r="G72" i="11"/>
  <c r="G71" i="11"/>
  <c r="J106" i="11"/>
  <c r="I106" i="11"/>
  <c r="H106" i="11"/>
  <c r="F106" i="11"/>
  <c r="E106" i="11"/>
  <c r="D106" i="11"/>
  <c r="C106" i="11"/>
  <c r="B106" i="11"/>
  <c r="C106" i="10"/>
  <c r="D106" i="10"/>
  <c r="E106" i="10"/>
  <c r="F106" i="10"/>
  <c r="J106" i="10"/>
  <c r="I106" i="10"/>
  <c r="H106" i="10"/>
  <c r="B106" i="10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J106" i="9"/>
  <c r="I106" i="9"/>
  <c r="H106" i="9"/>
  <c r="F106" i="9"/>
  <c r="E106" i="9"/>
  <c r="D106" i="9"/>
  <c r="C106" i="9"/>
  <c r="B106" i="9"/>
  <c r="J106" i="8"/>
  <c r="I106" i="8"/>
  <c r="H106" i="8"/>
  <c r="F106" i="8"/>
  <c r="E106" i="8"/>
  <c r="D106" i="8"/>
  <c r="C106" i="8"/>
  <c r="B106" i="8"/>
  <c r="G106" i="8"/>
  <c r="J106" i="7"/>
  <c r="I106" i="7"/>
  <c r="H106" i="7"/>
  <c r="F106" i="7"/>
  <c r="E106" i="7"/>
  <c r="D106" i="7"/>
  <c r="C106" i="7"/>
  <c r="B106" i="7"/>
  <c r="J106" i="6"/>
  <c r="I106" i="6"/>
  <c r="H106" i="6"/>
  <c r="F106" i="6"/>
  <c r="E106" i="6"/>
  <c r="D106" i="6"/>
  <c r="C106" i="6"/>
  <c r="B106" i="6"/>
  <c r="G106" i="6"/>
  <c r="H106" i="4"/>
  <c r="I106" i="4"/>
  <c r="J106" i="4"/>
  <c r="B106" i="4"/>
  <c r="F106" i="4"/>
  <c r="E106" i="4"/>
  <c r="D106" i="4"/>
  <c r="C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106" i="4" s="1"/>
  <c r="B106" i="3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5" i="6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E68" i="10"/>
  <c r="C68" i="10"/>
  <c r="D68" i="10"/>
  <c r="F68" i="10"/>
  <c r="G60" i="10"/>
  <c r="G59" i="10"/>
  <c r="G58" i="10"/>
  <c r="G57" i="10"/>
  <c r="G56" i="10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5" i="5"/>
  <c r="E50" i="5"/>
  <c r="D50" i="5"/>
  <c r="G46" i="5"/>
  <c r="G49" i="2"/>
  <c r="G48" i="2"/>
  <c r="G47" i="2"/>
  <c r="G46" i="2"/>
  <c r="G45" i="2"/>
  <c r="G44" i="2"/>
  <c r="G43" i="2"/>
  <c r="G42" i="2"/>
  <c r="G49" i="11"/>
  <c r="G48" i="11"/>
  <c r="G47" i="11"/>
  <c r="G46" i="11"/>
  <c r="G45" i="11"/>
  <c r="G44" i="11"/>
  <c r="G43" i="11"/>
  <c r="G42" i="11"/>
  <c r="G47" i="10"/>
  <c r="G45" i="10"/>
  <c r="G44" i="10"/>
  <c r="G43" i="10"/>
  <c r="G42" i="10"/>
  <c r="G49" i="9"/>
  <c r="G48" i="9"/>
  <c r="G47" i="9"/>
  <c r="G46" i="9"/>
  <c r="G45" i="9"/>
  <c r="G44" i="9"/>
  <c r="G43" i="9"/>
  <c r="G42" i="9"/>
  <c r="G47" i="6"/>
  <c r="B50" i="4"/>
  <c r="J50" i="4"/>
  <c r="G49" i="4"/>
  <c r="G48" i="4"/>
  <c r="G47" i="4"/>
  <c r="G46" i="4"/>
  <c r="G45" i="4"/>
  <c r="G44" i="4"/>
  <c r="G43" i="4"/>
  <c r="G42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2" i="10"/>
  <c r="G38" i="10"/>
  <c r="G37" i="10"/>
  <c r="G31" i="10"/>
  <c r="G29" i="10"/>
  <c r="G28" i="10"/>
  <c r="G27" i="10"/>
  <c r="G26" i="10"/>
  <c r="G25" i="10"/>
  <c r="G24" i="10"/>
  <c r="G21" i="10"/>
  <c r="G20" i="10"/>
  <c r="G19" i="10"/>
  <c r="G18" i="10"/>
  <c r="G16" i="10"/>
  <c r="G15" i="10"/>
  <c r="G14" i="10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2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2" i="5"/>
  <c r="G21" i="5"/>
  <c r="G5" i="5"/>
  <c r="G8" i="2"/>
  <c r="G7" i="2"/>
  <c r="G6" i="2"/>
  <c r="G5" i="2"/>
  <c r="G4" i="2"/>
  <c r="G8" i="11"/>
  <c r="G7" i="11"/>
  <c r="G6" i="11"/>
  <c r="G5" i="11"/>
  <c r="G4" i="11"/>
  <c r="G8" i="9"/>
  <c r="G7" i="9"/>
  <c r="G5" i="9"/>
  <c r="G8" i="6"/>
  <c r="G8" i="4"/>
  <c r="G7" i="4"/>
  <c r="G6" i="4"/>
  <c r="G5" i="4"/>
  <c r="G4" i="4"/>
  <c r="G106" i="2" l="1"/>
  <c r="I108" i="13"/>
  <c r="H108" i="9"/>
  <c r="D108" i="4"/>
  <c r="C108" i="2"/>
  <c r="G106" i="9"/>
  <c r="F108" i="4"/>
  <c r="E108" i="2"/>
  <c r="I108" i="9"/>
  <c r="E108" i="12"/>
  <c r="G106" i="10"/>
  <c r="G106" i="7"/>
  <c r="J68" i="11"/>
  <c r="I68" i="11"/>
  <c r="H68" i="11"/>
  <c r="H108" i="11" s="1"/>
  <c r="G68" i="11"/>
  <c r="F68" i="11"/>
  <c r="E68" i="11"/>
  <c r="D68" i="11"/>
  <c r="C68" i="11"/>
  <c r="B68" i="11"/>
  <c r="J50" i="11"/>
  <c r="I50" i="11"/>
  <c r="H50" i="11"/>
  <c r="G50" i="11"/>
  <c r="F50" i="11"/>
  <c r="E50" i="11"/>
  <c r="D50" i="11"/>
  <c r="C50" i="11"/>
  <c r="B50" i="11"/>
  <c r="J39" i="11"/>
  <c r="I39" i="11"/>
  <c r="H39" i="11"/>
  <c r="G39" i="11"/>
  <c r="F39" i="11"/>
  <c r="E39" i="11"/>
  <c r="D39" i="11"/>
  <c r="D108" i="11" s="1"/>
  <c r="C39" i="11"/>
  <c r="B39" i="11"/>
  <c r="B108" i="11" s="1"/>
  <c r="J9" i="11"/>
  <c r="J108" i="11" s="1"/>
  <c r="I9" i="11"/>
  <c r="I108" i="11" s="1"/>
  <c r="H9" i="11"/>
  <c r="G9" i="11"/>
  <c r="G108" i="11" s="1"/>
  <c r="F9" i="11"/>
  <c r="F108" i="11" s="1"/>
  <c r="E9" i="11"/>
  <c r="E108" i="11" s="1"/>
  <c r="D9" i="11"/>
  <c r="C9" i="11"/>
  <c r="C108" i="11" s="1"/>
  <c r="B9" i="11"/>
  <c r="J68" i="5"/>
  <c r="I68" i="5"/>
  <c r="H68" i="5"/>
  <c r="G68" i="5"/>
  <c r="F68" i="5"/>
  <c r="E68" i="5"/>
  <c r="D68" i="5"/>
  <c r="C68" i="5"/>
  <c r="B68" i="5"/>
  <c r="J50" i="5"/>
  <c r="I50" i="5"/>
  <c r="H50" i="5"/>
  <c r="G50" i="5"/>
  <c r="F50" i="5"/>
  <c r="C50" i="5"/>
  <c r="B50" i="5"/>
  <c r="J39" i="5"/>
  <c r="I39" i="5"/>
  <c r="H39" i="5"/>
  <c r="G39" i="5"/>
  <c r="F39" i="5"/>
  <c r="E39" i="5"/>
  <c r="D39" i="5"/>
  <c r="D108" i="5" s="1"/>
  <c r="C39" i="5"/>
  <c r="B39" i="5"/>
  <c r="J9" i="5"/>
  <c r="I9" i="5"/>
  <c r="H9" i="5"/>
  <c r="H108" i="5" s="1"/>
  <c r="G9" i="5"/>
  <c r="G108" i="5" s="1"/>
  <c r="F9" i="5"/>
  <c r="F108" i="5" s="1"/>
  <c r="E9" i="5"/>
  <c r="E108" i="5" s="1"/>
  <c r="D9" i="5"/>
  <c r="C9" i="5"/>
  <c r="C108" i="5" s="1"/>
  <c r="B9" i="5"/>
  <c r="B108" i="5" s="1"/>
  <c r="J68" i="2"/>
  <c r="I68" i="2"/>
  <c r="H68" i="2"/>
  <c r="G68" i="2"/>
  <c r="F68" i="2"/>
  <c r="E68" i="2"/>
  <c r="D68" i="2"/>
  <c r="C68" i="2"/>
  <c r="B68" i="2"/>
  <c r="J50" i="2"/>
  <c r="I50" i="2"/>
  <c r="H50" i="2"/>
  <c r="G50" i="2"/>
  <c r="F50" i="2"/>
  <c r="E50" i="2"/>
  <c r="D50" i="2"/>
  <c r="C50" i="2"/>
  <c r="B50" i="2"/>
  <c r="J39" i="2"/>
  <c r="I39" i="2"/>
  <c r="H39" i="2"/>
  <c r="G39" i="2"/>
  <c r="F39" i="2"/>
  <c r="E39" i="2"/>
  <c r="D39" i="2"/>
  <c r="C39" i="2"/>
  <c r="B39" i="2"/>
  <c r="B108" i="2" s="1"/>
  <c r="J9" i="2"/>
  <c r="J108" i="2" s="1"/>
  <c r="I9" i="2"/>
  <c r="I108" i="2" s="1"/>
  <c r="H9" i="2"/>
  <c r="H108" i="2" s="1"/>
  <c r="G9" i="2"/>
  <c r="F9" i="2"/>
  <c r="F108" i="2" s="1"/>
  <c r="E9" i="2"/>
  <c r="D9" i="2"/>
  <c r="D108" i="2" s="1"/>
  <c r="C9" i="2"/>
  <c r="B9" i="2"/>
  <c r="J68" i="13"/>
  <c r="J108" i="13" s="1"/>
  <c r="I68" i="13"/>
  <c r="H68" i="13"/>
  <c r="G68" i="13"/>
  <c r="F68" i="13"/>
  <c r="E68" i="13"/>
  <c r="D68" i="13"/>
  <c r="C68" i="13"/>
  <c r="B68" i="13"/>
  <c r="J50" i="13"/>
  <c r="I50" i="13"/>
  <c r="H50" i="13"/>
  <c r="G50" i="13"/>
  <c r="F50" i="13"/>
  <c r="E50" i="13"/>
  <c r="D50" i="13"/>
  <c r="C50" i="13"/>
  <c r="C108" i="13" s="1"/>
  <c r="B50" i="13"/>
  <c r="J39" i="13"/>
  <c r="I39" i="13"/>
  <c r="H39" i="13"/>
  <c r="G39" i="13"/>
  <c r="F39" i="13"/>
  <c r="E39" i="13"/>
  <c r="D39" i="13"/>
  <c r="C39" i="13"/>
  <c r="B39" i="13"/>
  <c r="J9" i="13"/>
  <c r="I9" i="13"/>
  <c r="H9" i="13"/>
  <c r="H108" i="13" s="1"/>
  <c r="G9" i="13"/>
  <c r="G108" i="13" s="1"/>
  <c r="F9" i="13"/>
  <c r="F108" i="13" s="1"/>
  <c r="E9" i="13"/>
  <c r="E108" i="13" s="1"/>
  <c r="D9" i="13"/>
  <c r="D108" i="13" s="1"/>
  <c r="C9" i="13"/>
  <c r="B9" i="13"/>
  <c r="B108" i="13" s="1"/>
  <c r="J68" i="12"/>
  <c r="I68" i="12"/>
  <c r="H68" i="12"/>
  <c r="G68" i="12"/>
  <c r="F68" i="12"/>
  <c r="E68" i="12"/>
  <c r="D68" i="12"/>
  <c r="C68" i="12"/>
  <c r="B68" i="12"/>
  <c r="J50" i="12"/>
  <c r="I50" i="12"/>
  <c r="H50" i="12"/>
  <c r="G50" i="12"/>
  <c r="F50" i="12"/>
  <c r="E50" i="12"/>
  <c r="D50" i="12"/>
  <c r="C50" i="12"/>
  <c r="B50" i="12"/>
  <c r="J39" i="12"/>
  <c r="I39" i="12"/>
  <c r="H39" i="12"/>
  <c r="G39" i="12"/>
  <c r="F39" i="12"/>
  <c r="E39" i="12"/>
  <c r="D39" i="12"/>
  <c r="C39" i="12"/>
  <c r="B39" i="12"/>
  <c r="J9" i="12"/>
  <c r="I9" i="12"/>
  <c r="I108" i="12" s="1"/>
  <c r="H9" i="12"/>
  <c r="G9" i="12"/>
  <c r="F9" i="12"/>
  <c r="F108" i="12" s="1"/>
  <c r="E9" i="12"/>
  <c r="D9" i="12"/>
  <c r="D108" i="12" s="1"/>
  <c r="C9" i="12"/>
  <c r="C108" i="12" s="1"/>
  <c r="B9" i="12"/>
  <c r="B108" i="12" s="1"/>
  <c r="J68" i="10"/>
  <c r="I68" i="10"/>
  <c r="H68" i="10"/>
  <c r="G68" i="10"/>
  <c r="B68" i="10"/>
  <c r="J50" i="10"/>
  <c r="I50" i="10"/>
  <c r="H50" i="10"/>
  <c r="G50" i="10"/>
  <c r="F50" i="10"/>
  <c r="E50" i="10"/>
  <c r="D50" i="10"/>
  <c r="C50" i="10"/>
  <c r="B50" i="10"/>
  <c r="J39" i="10"/>
  <c r="I39" i="10"/>
  <c r="H39" i="10"/>
  <c r="G39" i="10"/>
  <c r="F39" i="10"/>
  <c r="E39" i="10"/>
  <c r="D39" i="10"/>
  <c r="C39" i="10"/>
  <c r="B39" i="10"/>
  <c r="J9" i="10"/>
  <c r="I9" i="10"/>
  <c r="I108" i="10" s="1"/>
  <c r="H9" i="10"/>
  <c r="G9" i="10"/>
  <c r="F9" i="10"/>
  <c r="F108" i="10" s="1"/>
  <c r="E9" i="10"/>
  <c r="E108" i="10" s="1"/>
  <c r="D9" i="10"/>
  <c r="C9" i="10"/>
  <c r="C108" i="10" s="1"/>
  <c r="B9" i="10"/>
  <c r="J68" i="9"/>
  <c r="I68" i="9"/>
  <c r="H68" i="9"/>
  <c r="G68" i="9"/>
  <c r="F68" i="9"/>
  <c r="E68" i="9"/>
  <c r="D68" i="9"/>
  <c r="C68" i="9"/>
  <c r="B68" i="9"/>
  <c r="J50" i="9"/>
  <c r="I50" i="9"/>
  <c r="H50" i="9"/>
  <c r="G50" i="9"/>
  <c r="F50" i="9"/>
  <c r="E50" i="9"/>
  <c r="D50" i="9"/>
  <c r="C50" i="9"/>
  <c r="B50" i="9"/>
  <c r="J39" i="9"/>
  <c r="I39" i="9"/>
  <c r="H39" i="9"/>
  <c r="G39" i="9"/>
  <c r="F39" i="9"/>
  <c r="E39" i="9"/>
  <c r="D39" i="9"/>
  <c r="D108" i="9" s="1"/>
  <c r="C39" i="9"/>
  <c r="B39" i="9"/>
  <c r="J9" i="9"/>
  <c r="I9" i="9"/>
  <c r="H9" i="9"/>
  <c r="G9" i="9"/>
  <c r="F9" i="9"/>
  <c r="F108" i="9" s="1"/>
  <c r="E9" i="9"/>
  <c r="E108" i="9" s="1"/>
  <c r="D9" i="9"/>
  <c r="C9" i="9"/>
  <c r="C108" i="9" s="1"/>
  <c r="B9" i="9"/>
  <c r="B108" i="9" s="1"/>
  <c r="J68" i="8"/>
  <c r="I68" i="8"/>
  <c r="H68" i="8"/>
  <c r="G68" i="8"/>
  <c r="F68" i="8"/>
  <c r="E68" i="8"/>
  <c r="D68" i="8"/>
  <c r="C68" i="8"/>
  <c r="B68" i="8"/>
  <c r="J50" i="8"/>
  <c r="I50" i="8"/>
  <c r="H50" i="8"/>
  <c r="G50" i="8"/>
  <c r="F50" i="8"/>
  <c r="E50" i="8"/>
  <c r="D50" i="8"/>
  <c r="C50" i="8"/>
  <c r="B50" i="8"/>
  <c r="J39" i="8"/>
  <c r="I39" i="8"/>
  <c r="H39" i="8"/>
  <c r="G39" i="8"/>
  <c r="F39" i="8"/>
  <c r="E39" i="8"/>
  <c r="D39" i="8"/>
  <c r="C39" i="8"/>
  <c r="B39" i="8"/>
  <c r="J9" i="8"/>
  <c r="I9" i="8"/>
  <c r="H9" i="8"/>
  <c r="G9" i="8"/>
  <c r="F9" i="8"/>
  <c r="E9" i="8"/>
  <c r="D9" i="8"/>
  <c r="D108" i="8" s="1"/>
  <c r="C9" i="8"/>
  <c r="B9" i="8"/>
  <c r="J68" i="7"/>
  <c r="I68" i="7"/>
  <c r="H68" i="7"/>
  <c r="G68" i="7"/>
  <c r="F68" i="7"/>
  <c r="E68" i="7"/>
  <c r="D68" i="7"/>
  <c r="C68" i="7"/>
  <c r="B68" i="7"/>
  <c r="J50" i="7"/>
  <c r="I50" i="7"/>
  <c r="H50" i="7"/>
  <c r="G50" i="7"/>
  <c r="F50" i="7"/>
  <c r="E50" i="7"/>
  <c r="D50" i="7"/>
  <c r="C50" i="7"/>
  <c r="J39" i="7"/>
  <c r="I39" i="7"/>
  <c r="H39" i="7"/>
  <c r="G39" i="7"/>
  <c r="F39" i="7"/>
  <c r="E39" i="7"/>
  <c r="D39" i="7"/>
  <c r="C39" i="7"/>
  <c r="B39" i="7"/>
  <c r="J9" i="7"/>
  <c r="I9" i="7"/>
  <c r="H9" i="7"/>
  <c r="G9" i="7"/>
  <c r="F9" i="7"/>
  <c r="E9" i="7"/>
  <c r="E108" i="7" s="1"/>
  <c r="D9" i="7"/>
  <c r="C9" i="7"/>
  <c r="B9" i="7"/>
  <c r="J68" i="6"/>
  <c r="I68" i="6"/>
  <c r="H68" i="6"/>
  <c r="G68" i="6"/>
  <c r="F68" i="6"/>
  <c r="F108" i="6" s="1"/>
  <c r="E68" i="6"/>
  <c r="D68" i="6"/>
  <c r="C68" i="6"/>
  <c r="B68" i="6"/>
  <c r="J50" i="6"/>
  <c r="I50" i="6"/>
  <c r="H50" i="6"/>
  <c r="G50" i="6"/>
  <c r="F50" i="6"/>
  <c r="E50" i="6"/>
  <c r="D50" i="6"/>
  <c r="C50" i="6"/>
  <c r="B50" i="6"/>
  <c r="J39" i="6"/>
  <c r="I39" i="6"/>
  <c r="H39" i="6"/>
  <c r="H108" i="6" s="1"/>
  <c r="G39" i="6"/>
  <c r="F39" i="6"/>
  <c r="E39" i="6"/>
  <c r="D39" i="6"/>
  <c r="C39" i="6"/>
  <c r="B39" i="6"/>
  <c r="J9" i="6"/>
  <c r="J108" i="6" s="1"/>
  <c r="I9" i="6"/>
  <c r="I108" i="6" s="1"/>
  <c r="H9" i="6"/>
  <c r="G9" i="6"/>
  <c r="G108" i="6" s="1"/>
  <c r="F9" i="6"/>
  <c r="E9" i="6"/>
  <c r="E108" i="6" s="1"/>
  <c r="D9" i="6"/>
  <c r="D108" i="6" s="1"/>
  <c r="C9" i="6"/>
  <c r="C108" i="6" s="1"/>
  <c r="B9" i="6"/>
  <c r="B108" i="6" s="1"/>
  <c r="J68" i="4"/>
  <c r="I68" i="4"/>
  <c r="H68" i="4"/>
  <c r="G68" i="4"/>
  <c r="F68" i="4"/>
  <c r="E68" i="4"/>
  <c r="D68" i="4"/>
  <c r="C68" i="4"/>
  <c r="B68" i="4"/>
  <c r="I50" i="4"/>
  <c r="H50" i="4"/>
  <c r="G50" i="4"/>
  <c r="F50" i="4"/>
  <c r="E50" i="4"/>
  <c r="D50" i="4"/>
  <c r="C50" i="4"/>
  <c r="J39" i="4"/>
  <c r="J108" i="4" s="1"/>
  <c r="I39" i="4"/>
  <c r="H39" i="4"/>
  <c r="G39" i="4"/>
  <c r="F39" i="4"/>
  <c r="E39" i="4"/>
  <c r="D39" i="4"/>
  <c r="C39" i="4"/>
  <c r="B39" i="4"/>
  <c r="B108" i="4" s="1"/>
  <c r="J9" i="4"/>
  <c r="I9" i="4"/>
  <c r="I108" i="4" s="1"/>
  <c r="H9" i="4"/>
  <c r="H108" i="4" s="1"/>
  <c r="G9" i="4"/>
  <c r="G108" i="4" s="1"/>
  <c r="F9" i="4"/>
  <c r="E9" i="4"/>
  <c r="E108" i="4" s="1"/>
  <c r="D9" i="4"/>
  <c r="C9" i="4"/>
  <c r="C108" i="4" s="1"/>
  <c r="B9" i="4"/>
  <c r="C106" i="3"/>
  <c r="D106" i="3"/>
  <c r="E106" i="3"/>
  <c r="F106" i="3"/>
  <c r="G106" i="3"/>
  <c r="H106" i="3"/>
  <c r="I106" i="3"/>
  <c r="J106" i="3"/>
  <c r="C68" i="3"/>
  <c r="D68" i="3"/>
  <c r="E68" i="3"/>
  <c r="F68" i="3"/>
  <c r="G68" i="3"/>
  <c r="H68" i="3"/>
  <c r="I68" i="3"/>
  <c r="J68" i="3"/>
  <c r="B68" i="3"/>
  <c r="C50" i="3"/>
  <c r="D50" i="3"/>
  <c r="E50" i="3"/>
  <c r="F50" i="3"/>
  <c r="G50" i="3"/>
  <c r="H50" i="3"/>
  <c r="I50" i="3"/>
  <c r="J50" i="3"/>
  <c r="B50" i="3"/>
  <c r="C39" i="3"/>
  <c r="D39" i="3"/>
  <c r="E39" i="3"/>
  <c r="F39" i="3"/>
  <c r="G39" i="3"/>
  <c r="H39" i="3"/>
  <c r="I39" i="3"/>
  <c r="J39" i="3"/>
  <c r="B39" i="3"/>
  <c r="C9" i="3"/>
  <c r="D9" i="3"/>
  <c r="E9" i="3"/>
  <c r="F9" i="3"/>
  <c r="G9" i="3"/>
  <c r="H9" i="3"/>
  <c r="I9" i="3"/>
  <c r="J9" i="3"/>
  <c r="H108" i="8" l="1"/>
  <c r="E108" i="8"/>
  <c r="I108" i="8"/>
  <c r="B108" i="8"/>
  <c r="F108" i="8"/>
  <c r="J108" i="8"/>
  <c r="C108" i="8"/>
  <c r="G108" i="8"/>
  <c r="I108" i="7"/>
  <c r="J108" i="7"/>
  <c r="H108" i="7"/>
  <c r="F108" i="7"/>
  <c r="D108" i="7"/>
  <c r="C108" i="7"/>
  <c r="B108" i="7"/>
  <c r="I108" i="5"/>
  <c r="J108" i="5"/>
  <c r="B108" i="10"/>
  <c r="J108" i="12"/>
  <c r="J108" i="10"/>
  <c r="J108" i="9"/>
  <c r="G108" i="2"/>
  <c r="G108" i="12"/>
  <c r="G108" i="7"/>
  <c r="H108" i="10"/>
  <c r="H108" i="12"/>
  <c r="G108" i="9"/>
  <c r="G108" i="10"/>
  <c r="B108" i="3"/>
  <c r="F108" i="3"/>
  <c r="E108" i="3"/>
  <c r="G108" i="3"/>
  <c r="C108" i="3"/>
  <c r="D108" i="3"/>
  <c r="H108" i="3"/>
  <c r="I108" i="3"/>
  <c r="J108" i="3"/>
  <c r="D108" i="10"/>
</calcChain>
</file>

<file path=xl/sharedStrings.xml><?xml version="1.0" encoding="utf-8"?>
<sst xmlns="http://schemas.openxmlformats.org/spreadsheetml/2006/main" count="1344" uniqueCount="112">
  <si>
    <t>SO2</t>
  </si>
  <si>
    <t>South Jakarta</t>
  </si>
  <si>
    <t>East Jakarta</t>
  </si>
  <si>
    <t>Central Jakarta</t>
  </si>
  <si>
    <t>West Jakarta</t>
  </si>
  <si>
    <t>North Jakarta</t>
  </si>
  <si>
    <t>CO</t>
  </si>
  <si>
    <t>NOx</t>
  </si>
  <si>
    <t>NMVOC</t>
  </si>
  <si>
    <t>NH3</t>
  </si>
  <si>
    <t>PM</t>
  </si>
  <si>
    <t>CH4</t>
  </si>
  <si>
    <t>BC</t>
  </si>
  <si>
    <t>OC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</si>
  <si>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</si>
  <si>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</si>
  <si>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</si>
  <si>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</si>
  <si>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</si>
  <si>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</si>
  <si>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</si>
  <si>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</si>
  <si>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Emission (Tonnes/year)</t>
  </si>
  <si>
    <t>DKI Jakarta Province</t>
  </si>
  <si>
    <t>West Java Province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</si>
  <si>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</si>
  <si>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</si>
  <si>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</si>
  <si>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</si>
  <si>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</si>
  <si>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</si>
  <si>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</si>
  <si>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</si>
  <si>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</si>
  <si>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</si>
  <si>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</si>
  <si>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</si>
  <si>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</si>
  <si>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</si>
  <si>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</si>
  <si>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Kota Surakarta</t>
  </si>
  <si>
    <t>Banten Province</t>
  </si>
  <si>
    <t>Sub-total 1</t>
  </si>
  <si>
    <t>Sub-total 2</t>
  </si>
  <si>
    <t>Sub-total 3</t>
  </si>
  <si>
    <t>Lampung Province</t>
  </si>
  <si>
    <t>Province/Cities</t>
  </si>
  <si>
    <t>Central Java Province</t>
  </si>
  <si>
    <t>Sub-total 4</t>
  </si>
  <si>
    <t>Sub-total 5</t>
  </si>
  <si>
    <t>Grand total domain</t>
  </si>
  <si>
    <t>Bogor Regency</t>
  </si>
  <si>
    <t>Sukabumi  Regency</t>
  </si>
  <si>
    <t>Cianjur  Regency</t>
  </si>
  <si>
    <t>Bandung  Regency</t>
  </si>
  <si>
    <t>Garut  Regency</t>
  </si>
  <si>
    <t>Tasikmalaya  Regency</t>
  </si>
  <si>
    <t>Ciamis  Regency</t>
  </si>
  <si>
    <t>Kuningan  Regency</t>
  </si>
  <si>
    <t>Cirebon  Regency</t>
  </si>
  <si>
    <t>Majalengka  Regency</t>
  </si>
  <si>
    <t>Sumedang  Regency</t>
  </si>
  <si>
    <t>Indramayu  Regency</t>
  </si>
  <si>
    <t>Subang  Regency</t>
  </si>
  <si>
    <t>Purwakarta  Regency</t>
  </si>
  <si>
    <t>Karawang  Regency</t>
  </si>
  <si>
    <t>Bekasi  Regency</t>
  </si>
  <si>
    <t>Bandung Barat  Regency</t>
  </si>
  <si>
    <t>Pangandaran  Regency</t>
  </si>
  <si>
    <t>Bogor City</t>
  </si>
  <si>
    <t>Sukabumi City</t>
  </si>
  <si>
    <t>Bandung City</t>
  </si>
  <si>
    <t>Cirebon City</t>
  </si>
  <si>
    <t>Bekasi City</t>
  </si>
  <si>
    <t>Depok City</t>
  </si>
  <si>
    <t>Cimahi City</t>
  </si>
  <si>
    <t>Tasikmalaya City</t>
  </si>
  <si>
    <t>Banjar City</t>
  </si>
  <si>
    <t>Kab. Cilacap</t>
  </si>
  <si>
    <t xml:space="preserve">Kab. Banyumas 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</si>
  <si>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</si>
  <si>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</si>
  <si>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</si>
  <si>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</si>
  <si>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</si>
  <si>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</si>
  <si>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</si>
  <si>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</si>
  <si>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</si>
  <si>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</si>
  <si>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</si>
  <si>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</si>
  <si>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</si>
  <si>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</si>
  <si>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</si>
  <si>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</si>
  <si>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</si>
  <si>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</si>
  <si>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</si>
  <si>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</si>
  <si>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</si>
  <si>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</si>
  <si>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 Batang</t>
  </si>
  <si>
    <t>Kab. Pekalongan</t>
  </si>
  <si>
    <t>Kab. Pemalang</t>
  </si>
  <si>
    <t>Kab. Tegal</t>
  </si>
  <si>
    <t xml:space="preserve">Kab. Brebes </t>
  </si>
  <si>
    <t>Kota Magelang</t>
  </si>
  <si>
    <t xml:space="preserve">Kota Salatiga </t>
  </si>
  <si>
    <t>Kota Semarang</t>
  </si>
  <si>
    <t>Kota Pekalongan</t>
  </si>
  <si>
    <t xml:space="preserve">Kota Tegal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</si>
</sst>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3" borderId="2" xfId="1" applyFont="1" applyFill="1" applyBorder="1"/>
    <xf numFmtId="0" fontId="0" fillId="4" borderId="2" xfId="0" applyFill="1" applyBorder="1"/>
    <xf numFmtId="164" fontId="0" fillId="4" borderId="2" xfId="1" applyFont="1" applyFill="1" applyBorder="1"/>
    <xf numFmtId="2" fontId="0" fillId="0" borderId="0" xfId="0" applyNumberFormat="1"/>
    <xf numFmtId="165" fontId="0" fillId="3" borderId="2" xfId="1" applyNumberFormat="1" applyFont="1" applyFill="1" applyBorder="1"/>
    <xf numFmtId="165" fontId="0" fillId="4" borderId="2" xfId="1" applyNumberFormat="1" applyFont="1" applyFill="1" applyBorder="1"/>
    <xf numFmtId="2" fontId="0" fillId="3" borderId="2" xfId="1" applyNumberFormat="1" applyFont="1" applyFill="1" applyBorder="1"/>
    <xf numFmtId="2" fontId="3" fillId="0" borderId="0" xfId="0" applyNumberFormat="1" applyFont="1"/>
    <xf numFmtId="0" fontId="3" fillId="0" borderId="0" xfId="0" applyFont="1"/>
    <xf numFmtId="164" fontId="3" fillId="3" borderId="2" xfId="1" applyFont="1" applyFill="1" applyBorder="1"/>
    <xf numFmtId="2" fontId="3" fillId="3" borderId="2" xfId="1" applyNumberFormat="1" applyFont="1" applyFill="1" applyBorder="1"/>
    <xf numFmtId="165" fontId="3" fillId="3" borderId="2" xfId="1" applyNumberFormat="1" applyFont="1" applyFill="1" applyBorder="1"/>
    <xf numFmtId="0" fontId="2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08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L60" sqref="L60"/>
    </sheetView>
  </sheetViews>
  <sheetFormatPr baseColWidth="10" defaultColWidth="8.83203125" defaultRowHeight="15" x14ac:dyDescent="0.2"/>
  <cols>
    <col min="1" max="1" width="25.5" customWidth="1"/>
    <col min="2" max="2" width="15.33203125" customWidth="1"/>
    <col min="3" max="3" width="13.33203125" bestFit="1" customWidth="1"/>
    <col min="4" max="5" width="11.33203125" bestFit="1" customWidth="1"/>
    <col min="6" max="6" width="9.33203125" bestFit="1" customWidth="1"/>
    <col min="7" max="8" width="11.33203125" bestFit="1" customWidth="1"/>
    <col min="9" max="10" width="9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</row>
    <row r="5" spans="1:10" x14ac:dyDescent="0.2">
      <c r="A5" t="s">
        <v>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</row>
    <row r="6" spans="1:10" x14ac:dyDescent="0.2">
      <c r="A6" t="s">
        <v>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</row>
    <row r="7" spans="1:10" x14ac:dyDescent="0.2">
      <c r="A7" t="s">
        <v>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1:10" x14ac:dyDescent="0.2">
      <c r="A8" t="s">
        <v>5</v>
      </c>
      <c r="B8" s="15">
        <v>535.87526399855051</v>
      </c>
      <c r="C8" s="15">
        <v>28356.646320248827</v>
      </c>
      <c r="D8" s="15">
        <v>13461.149673531449</v>
      </c>
      <c r="E8" s="15">
        <v>3365.9948911771503</v>
      </c>
      <c r="F8" s="15">
        <v>882.56417558857504</v>
      </c>
      <c r="G8" s="15">
        <v>16821.621570085801</v>
      </c>
      <c r="H8" s="15">
        <v>674.33093470629001</v>
      </c>
      <c r="I8" s="15">
        <v>1.566155019373388</v>
      </c>
      <c r="J8" s="15">
        <v>12.890410818862653</v>
      </c>
    </row>
    <row r="9" spans="1:10" x14ac:dyDescent="0.2">
      <c r="A9" s="6" t="s">
        <v>42</v>
      </c>
      <c r="B9" s="19">
        <f>SUM(B4:B8)</f>
        <v>535.87526399855051</v>
      </c>
      <c r="C9" s="19">
        <f t="shared" ref="C9:J9" si="0">SUM(C4:C8)</f>
        <v>28356.646320248827</v>
      </c>
      <c r="D9" s="19">
        <f t="shared" si="0"/>
        <v>13461.149673531449</v>
      </c>
      <c r="E9" s="19">
        <f t="shared" si="0"/>
        <v>3365.9948911771503</v>
      </c>
      <c r="F9" s="19">
        <f t="shared" si="0"/>
        <v>882.56417558857504</v>
      </c>
      <c r="G9" s="19">
        <f t="shared" si="0"/>
        <v>16821.621570085801</v>
      </c>
      <c r="H9" s="19">
        <f t="shared" si="0"/>
        <v>674.33093470629001</v>
      </c>
      <c r="I9" s="19">
        <f t="shared" si="0"/>
        <v>1.566155019373388</v>
      </c>
      <c r="J9" s="19">
        <f t="shared" si="0"/>
        <v>12.890410818862653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</row>
    <row r="13" spans="1:10" x14ac:dyDescent="0.2">
      <c r="A13" t="s">
        <v>52</v>
      </c>
      <c r="B13" s="15">
        <v>6363.7917743112384</v>
      </c>
      <c r="C13" s="15">
        <v>9907.9221428571418</v>
      </c>
      <c r="D13" s="15">
        <v>1155.5184948979593</v>
      </c>
      <c r="E13" s="15">
        <v>289.00350765306121</v>
      </c>
      <c r="F13" s="15">
        <v>10.137526147959184</v>
      </c>
      <c r="G13" s="15">
        <v>313.02686862244894</v>
      </c>
      <c r="H13" s="15">
        <v>512.84043367346931</v>
      </c>
      <c r="I13" s="15">
        <v>0.79717327806122451</v>
      </c>
      <c r="J13" s="15">
        <v>7.2123137755102045</v>
      </c>
    </row>
    <row r="14" spans="1:10" x14ac:dyDescent="0.2">
      <c r="A14" t="s">
        <v>53</v>
      </c>
      <c r="B14" s="15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</row>
    <row r="15" spans="1:10" x14ac:dyDescent="0.2">
      <c r="A15" t="s">
        <v>54</v>
      </c>
      <c r="B15" s="15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</row>
    <row r="16" spans="1:10" x14ac:dyDescent="0.2">
      <c r="A16" t="s">
        <v>55</v>
      </c>
      <c r="B16" s="15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x14ac:dyDescent="0.2">
      <c r="A17" t="s">
        <v>56</v>
      </c>
      <c r="B17" s="15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</row>
    <row r="18" spans="1:10" x14ac:dyDescent="0.2">
      <c r="A18" t="s">
        <v>57</v>
      </c>
      <c r="B18" s="15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</row>
    <row r="19" spans="1:10" x14ac:dyDescent="0.2">
      <c r="A19" t="s">
        <v>58</v>
      </c>
      <c r="B19" s="15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</row>
    <row r="20" spans="1:10" x14ac:dyDescent="0.2">
      <c r="A20" t="s">
        <v>59</v>
      </c>
      <c r="B20" s="15">
        <v>4000.0976867099216</v>
      </c>
      <c r="C20" s="15">
        <v>6227.8367755102036</v>
      </c>
      <c r="D20" s="15">
        <v>726.32591107871724</v>
      </c>
      <c r="E20" s="15">
        <v>181.65934766763849</v>
      </c>
      <c r="F20" s="15">
        <v>6.3721592930029169</v>
      </c>
      <c r="G20" s="15">
        <v>196.75974599125365</v>
      </c>
      <c r="H20" s="15">
        <v>322.35684402332362</v>
      </c>
      <c r="I20" s="15">
        <v>0.5010803462099126</v>
      </c>
      <c r="J20" s="15">
        <v>4.5334543731778432</v>
      </c>
    </row>
    <row r="21" spans="1:10" x14ac:dyDescent="0.2">
      <c r="A21" t="s">
        <v>60</v>
      </c>
      <c r="B21" s="15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</row>
    <row r="22" spans="1:10" x14ac:dyDescent="0.2">
      <c r="A22" t="s">
        <v>61</v>
      </c>
      <c r="B22" s="15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</row>
    <row r="23" spans="1:10" x14ac:dyDescent="0.2">
      <c r="A23" t="s">
        <v>62</v>
      </c>
      <c r="B23" s="15">
        <v>12121.508141545215</v>
      </c>
      <c r="C23" s="15">
        <v>18872.232653061219</v>
      </c>
      <c r="D23" s="15">
        <v>2200.9876093294461</v>
      </c>
      <c r="E23" s="15">
        <v>550.48287172011658</v>
      </c>
      <c r="F23" s="15">
        <v>19.30957361516035</v>
      </c>
      <c r="G23" s="15">
        <v>596.24165451895044</v>
      </c>
      <c r="H23" s="15">
        <v>976.83892128279876</v>
      </c>
      <c r="I23" s="15">
        <v>1.5184252915451895</v>
      </c>
      <c r="J23" s="15">
        <v>13.737740524781342</v>
      </c>
    </row>
    <row r="24" spans="1:10" x14ac:dyDescent="0.2">
      <c r="A24" t="s">
        <v>63</v>
      </c>
      <c r="B24" s="15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</row>
    <row r="25" spans="1:10" x14ac:dyDescent="0.2">
      <c r="A25" t="s">
        <v>64</v>
      </c>
      <c r="B25" s="15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</row>
    <row r="26" spans="1:10" x14ac:dyDescent="0.2">
      <c r="A26" t="s">
        <v>65</v>
      </c>
      <c r="B26" s="15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</row>
    <row r="27" spans="1:10" x14ac:dyDescent="0.2">
      <c r="A27" t="s">
        <v>66</v>
      </c>
      <c r="B27" s="15">
        <v>10776.020737833696</v>
      </c>
      <c r="C27" s="15">
        <v>16777.414828571425</v>
      </c>
      <c r="D27" s="15">
        <v>1956.6779846938775</v>
      </c>
      <c r="E27" s="15">
        <v>489.37927295918365</v>
      </c>
      <c r="F27" s="15">
        <v>17.166210943877552</v>
      </c>
      <c r="G27" s="15">
        <v>530.05883086734696</v>
      </c>
      <c r="H27" s="15">
        <v>868.40980102040817</v>
      </c>
      <c r="I27" s="15">
        <v>1.3498800841836736</v>
      </c>
      <c r="J27" s="15">
        <v>12.212851326530615</v>
      </c>
    </row>
    <row r="28" spans="1:10" x14ac:dyDescent="0.2">
      <c r="A28" t="s">
        <v>67</v>
      </c>
      <c r="B28" s="15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</row>
    <row r="29" spans="1:10" x14ac:dyDescent="0.2">
      <c r="A29" t="s">
        <v>68</v>
      </c>
      <c r="B29" s="15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</row>
    <row r="30" spans="1:10" x14ac:dyDescent="0.2">
      <c r="A30" t="s">
        <v>69</v>
      </c>
      <c r="B30" s="15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</row>
    <row r="31" spans="1:10" x14ac:dyDescent="0.2">
      <c r="A31" t="s">
        <v>70</v>
      </c>
      <c r="B31" s="15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</row>
    <row r="32" spans="1:10" x14ac:dyDescent="0.2">
      <c r="A32" t="s">
        <v>71</v>
      </c>
      <c r="B32" s="15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1:10" x14ac:dyDescent="0.2">
      <c r="A33" t="s">
        <v>72</v>
      </c>
      <c r="B33" s="15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</row>
    <row r="34" spans="1:10" x14ac:dyDescent="0.2">
      <c r="A34" t="s">
        <v>73</v>
      </c>
      <c r="B34" s="15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</row>
    <row r="35" spans="1:10" x14ac:dyDescent="0.2">
      <c r="A35" t="s">
        <v>74</v>
      </c>
      <c r="B35" s="15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</row>
    <row r="36" spans="1:10" x14ac:dyDescent="0.2">
      <c r="A36" t="s">
        <v>75</v>
      </c>
      <c r="B36" s="15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</row>
    <row r="37" spans="1:10" x14ac:dyDescent="0.2">
      <c r="A37" t="s">
        <v>76</v>
      </c>
      <c r="B37" s="15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</row>
    <row r="38" spans="1:10" x14ac:dyDescent="0.2">
      <c r="A38" t="s">
        <v>77</v>
      </c>
      <c r="B38" s="15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</row>
    <row r="39" spans="1:10" x14ac:dyDescent="0.2">
      <c r="A39" s="6" t="s">
        <v>43</v>
      </c>
      <c r="B39" s="18">
        <f>SUM(B12:B38)</f>
        <v>33261.418340400072</v>
      </c>
      <c r="C39" s="18">
        <f t="shared" ref="C39:J39" si="1">SUM(C12:C38)</f>
        <v>51785.406399999985</v>
      </c>
      <c r="D39" s="18">
        <f t="shared" si="1"/>
        <v>6039.51</v>
      </c>
      <c r="E39" s="18">
        <f t="shared" si="1"/>
        <v>1510.5249999999999</v>
      </c>
      <c r="F39" s="18">
        <f t="shared" si="1"/>
        <v>52.985469999999999</v>
      </c>
      <c r="G39" s="18">
        <f t="shared" si="1"/>
        <v>1636.0870999999997</v>
      </c>
      <c r="H39" s="18">
        <f t="shared" si="1"/>
        <v>2680.4459999999999</v>
      </c>
      <c r="I39" s="18">
        <f t="shared" si="1"/>
        <v>4.1665589999999995</v>
      </c>
      <c r="J39" s="18">
        <f t="shared" si="1"/>
        <v>37.696359999999999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</row>
    <row r="43" spans="1:10" x14ac:dyDescent="0.2">
      <c r="A43" t="s">
        <v>15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</row>
    <row r="44" spans="1:10" x14ac:dyDescent="0.2">
      <c r="A44" t="s">
        <v>16</v>
      </c>
      <c r="B44" s="15">
        <v>50020.446135260121</v>
      </c>
      <c r="C44" s="15">
        <v>15841.855024730292</v>
      </c>
      <c r="D44" s="15">
        <v>1671.4710373443982</v>
      </c>
      <c r="E44" s="15">
        <v>417.90383402489624</v>
      </c>
      <c r="F44" s="15">
        <v>1.0134247966804979</v>
      </c>
      <c r="G44" s="15">
        <v>220.74885470539419</v>
      </c>
      <c r="H44" s="15">
        <v>834.87349045643157</v>
      </c>
      <c r="I44" s="15">
        <v>1.2525817892116184</v>
      </c>
      <c r="J44" s="15">
        <v>11.687683249792531</v>
      </c>
    </row>
    <row r="45" spans="1:10" x14ac:dyDescent="0.2">
      <c r="A45" t="s">
        <v>17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</row>
    <row r="46" spans="1:10" x14ac:dyDescent="0.2">
      <c r="A46" t="s">
        <v>18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</row>
    <row r="47" spans="1:10" x14ac:dyDescent="0.2">
      <c r="A47" t="s">
        <v>19</v>
      </c>
      <c r="B47" s="15">
        <v>189164.62367818606</v>
      </c>
      <c r="C47" s="15">
        <v>59909.872375269711</v>
      </c>
      <c r="D47" s="15">
        <v>6321.0789626556007</v>
      </c>
      <c r="E47" s="15">
        <v>1580.4061659751037</v>
      </c>
      <c r="F47" s="15">
        <v>3.8325152033195016</v>
      </c>
      <c r="G47" s="15">
        <v>834.81610529460568</v>
      </c>
      <c r="H47" s="15">
        <v>3157.2795095435686</v>
      </c>
      <c r="I47" s="15">
        <v>4.736946210788382</v>
      </c>
      <c r="J47" s="15">
        <v>44.199849750207463</v>
      </c>
    </row>
    <row r="48" spans="1:10" x14ac:dyDescent="0.2">
      <c r="A48" t="s">
        <v>20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</row>
    <row r="49" spans="1:10" x14ac:dyDescent="0.2">
      <c r="A49" t="s">
        <v>21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</row>
    <row r="50" spans="1:10" x14ac:dyDescent="0.2">
      <c r="A50" s="6" t="s">
        <v>44</v>
      </c>
      <c r="B50" s="19">
        <f>SUM(B42:B49)</f>
        <v>239185.0698134462</v>
      </c>
      <c r="C50" s="19">
        <f t="shared" ref="C50:J50" si="2">SUM(C42:C49)</f>
        <v>75751.727400000003</v>
      </c>
      <c r="D50" s="19">
        <f t="shared" si="2"/>
        <v>7992.5499999999993</v>
      </c>
      <c r="E50" s="19">
        <f t="shared" si="2"/>
        <v>1998.31</v>
      </c>
      <c r="F50" s="19">
        <f t="shared" si="2"/>
        <v>4.8459399999999997</v>
      </c>
      <c r="G50" s="19">
        <f t="shared" si="2"/>
        <v>1055.5649599999999</v>
      </c>
      <c r="H50" s="19">
        <f t="shared" si="2"/>
        <v>3992.1530000000002</v>
      </c>
      <c r="I50" s="19">
        <f t="shared" si="2"/>
        <v>5.989528</v>
      </c>
      <c r="J50" s="19">
        <f t="shared" si="2"/>
        <v>55.887532999999991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</row>
    <row r="54" spans="1:10" x14ac:dyDescent="0.2">
      <c r="A54" t="s">
        <v>26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</row>
    <row r="55" spans="1:10" x14ac:dyDescent="0.2">
      <c r="A55" t="s">
        <v>27</v>
      </c>
      <c r="B55" s="15">
        <v>1214122.1515157167</v>
      </c>
      <c r="C55" s="15">
        <v>755912.20860839996</v>
      </c>
      <c r="D55" s="15">
        <v>79737.686830000006</v>
      </c>
      <c r="E55" s="15">
        <v>19934.427332499999</v>
      </c>
      <c r="F55" s="15">
        <v>39.887729664999995</v>
      </c>
      <c r="G55" s="15">
        <v>10445.765214229998</v>
      </c>
      <c r="H55" s="15">
        <v>39868.770064999997</v>
      </c>
      <c r="I55" s="15">
        <v>59.80335829749999</v>
      </c>
      <c r="J55" s="15">
        <v>558.16270465999992</v>
      </c>
    </row>
    <row r="56" spans="1:10" x14ac:dyDescent="0.2">
      <c r="A56" t="s">
        <v>28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</row>
    <row r="57" spans="1:10" x14ac:dyDescent="0.2">
      <c r="A57" t="s">
        <v>29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</row>
    <row r="58" spans="1:10" x14ac:dyDescent="0.2">
      <c r="A58" t="s">
        <v>30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</row>
    <row r="59" spans="1:10" x14ac:dyDescent="0.2">
      <c r="A59" t="s">
        <v>31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</row>
    <row r="60" spans="1:10" x14ac:dyDescent="0.2">
      <c r="A60" t="s">
        <v>32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</row>
    <row r="61" spans="1:10" x14ac:dyDescent="0.2">
      <c r="A61" t="s">
        <v>33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</row>
    <row r="62" spans="1:10" x14ac:dyDescent="0.2">
      <c r="A62" t="s">
        <v>34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</row>
    <row r="63" spans="1:10" x14ac:dyDescent="0.2">
      <c r="A63" t="s">
        <v>35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</row>
    <row r="64" spans="1:10" x14ac:dyDescent="0.2">
      <c r="A64" t="s">
        <v>36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</row>
    <row r="65" spans="1:10" x14ac:dyDescent="0.2">
      <c r="A65" t="s">
        <v>37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</row>
    <row r="66" spans="1:10" x14ac:dyDescent="0.2">
      <c r="A66" t="s">
        <v>38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</row>
    <row r="67" spans="1:10" x14ac:dyDescent="0.2">
      <c r="A67" t="s">
        <v>39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</row>
    <row r="68" spans="1:10" x14ac:dyDescent="0.2">
      <c r="A68" s="6" t="s">
        <v>48</v>
      </c>
      <c r="B68" s="19">
        <f>SUM(B53:B67)</f>
        <v>1214122.1515157167</v>
      </c>
      <c r="C68" s="19">
        <f t="shared" ref="C68:J68" si="3">SUM(C53:C67)</f>
        <v>755912.20860839996</v>
      </c>
      <c r="D68" s="19">
        <f t="shared" si="3"/>
        <v>79737.686830000006</v>
      </c>
      <c r="E68" s="19">
        <f t="shared" si="3"/>
        <v>19934.427332499999</v>
      </c>
      <c r="F68" s="19">
        <f t="shared" si="3"/>
        <v>39.887729664999995</v>
      </c>
      <c r="G68" s="19">
        <f t="shared" si="3"/>
        <v>10445.765214229998</v>
      </c>
      <c r="H68" s="19">
        <f t="shared" si="3"/>
        <v>39868.770064999997</v>
      </c>
      <c r="I68" s="19">
        <f t="shared" si="3"/>
        <v>59.80335829749999</v>
      </c>
      <c r="J68" s="19">
        <f t="shared" si="3"/>
        <v>558.16270465999992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5">
        <v>1865.7067097990059</v>
      </c>
      <c r="C71" s="16">
        <v>9514.9250744802739</v>
      </c>
      <c r="D71" s="16">
        <v>1224.5886397119002</v>
      </c>
      <c r="E71" s="16">
        <v>306.20330659682435</v>
      </c>
      <c r="F71" s="16">
        <v>19.212638402357179</v>
      </c>
      <c r="G71" s="16">
        <v>479.30928007857256</v>
      </c>
      <c r="H71" s="16">
        <v>484.09566213782944</v>
      </c>
      <c r="I71" s="16">
        <v>0.74428161728597142</v>
      </c>
      <c r="J71" s="16">
        <v>6.8546470453429356</v>
      </c>
    </row>
    <row r="72" spans="1:10" x14ac:dyDescent="0.2">
      <c r="A72" t="s">
        <v>79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</row>
    <row r="73" spans="1:10" x14ac:dyDescent="0.2">
      <c r="A73" t="s">
        <v>80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</row>
    <row r="74" spans="1:10" x14ac:dyDescent="0.2">
      <c r="A74" t="s">
        <v>81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</row>
    <row r="75" spans="1:10" x14ac:dyDescent="0.2">
      <c r="A75" t="s">
        <v>82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</row>
    <row r="76" spans="1:10" x14ac:dyDescent="0.2">
      <c r="A76" t="s">
        <v>83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</row>
    <row r="77" spans="1:10" x14ac:dyDescent="0.2">
      <c r="A77" t="s">
        <v>84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</row>
    <row r="78" spans="1:10" x14ac:dyDescent="0.2">
      <c r="A78" t="s">
        <v>85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</row>
    <row r="79" spans="1:10" x14ac:dyDescent="0.2">
      <c r="A79" t="s">
        <v>86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</row>
    <row r="80" spans="1:10" x14ac:dyDescent="0.2">
      <c r="A80" t="s">
        <v>87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</row>
    <row r="81" spans="1:10" x14ac:dyDescent="0.2">
      <c r="A81" t="s">
        <v>88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</row>
    <row r="82" spans="1:10" x14ac:dyDescent="0.2">
      <c r="A82" t="s">
        <v>89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</row>
    <row r="83" spans="1:10" x14ac:dyDescent="0.2">
      <c r="A83" t="s">
        <v>90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</row>
    <row r="84" spans="1:10" x14ac:dyDescent="0.2">
      <c r="A84" t="s">
        <v>91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</row>
    <row r="85" spans="1:10" x14ac:dyDescent="0.2">
      <c r="A85" t="s">
        <v>92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</row>
    <row r="86" spans="1:10" x14ac:dyDescent="0.2">
      <c r="A86" t="s">
        <v>93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</row>
    <row r="87" spans="1:10" x14ac:dyDescent="0.2">
      <c r="A87" t="s">
        <v>94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</row>
    <row r="88" spans="1:10" x14ac:dyDescent="0.2">
      <c r="A88" t="s">
        <v>95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</row>
    <row r="89" spans="1:10" x14ac:dyDescent="0.2">
      <c r="A89" t="s">
        <v>96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</row>
    <row r="90" spans="1:10" x14ac:dyDescent="0.2">
      <c r="A90" t="s">
        <v>97</v>
      </c>
      <c r="B90" s="16">
        <v>10661.181198851462</v>
      </c>
      <c r="C90" s="16">
        <v>54371.000425601567</v>
      </c>
      <c r="D90" s="16">
        <v>6997.6493697822871</v>
      </c>
      <c r="E90" s="16">
        <v>1749.733180553282</v>
      </c>
      <c r="F90" s="16">
        <v>109.78650515632674</v>
      </c>
      <c r="G90" s="16">
        <v>2738.9101718775573</v>
      </c>
      <c r="H90" s="16">
        <v>2766.2609265018823</v>
      </c>
      <c r="I90" s="16">
        <v>4.2530378130626936</v>
      </c>
      <c r="J90" s="16">
        <v>39.169411687673914</v>
      </c>
    </row>
    <row r="91" spans="1:10" x14ac:dyDescent="0.2">
      <c r="A91" t="s">
        <v>98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</row>
    <row r="92" spans="1:10" x14ac:dyDescent="0.2">
      <c r="A92" t="s">
        <v>99</v>
      </c>
      <c r="B92" s="16">
        <v>3755.4010772954275</v>
      </c>
      <c r="C92" s="16">
        <v>19152.184899918153</v>
      </c>
      <c r="D92" s="16">
        <v>2464.9219905058108</v>
      </c>
      <c r="E92" s="16">
        <v>616.3435128498935</v>
      </c>
      <c r="F92" s="16">
        <v>38.672296441316092</v>
      </c>
      <c r="G92" s="16">
        <v>964.78110804386961</v>
      </c>
      <c r="H92" s="16">
        <v>974.41541136028809</v>
      </c>
      <c r="I92" s="16">
        <v>1.4981325696513339</v>
      </c>
      <c r="J92" s="16">
        <v>13.797425266983138</v>
      </c>
    </row>
    <row r="93" spans="1:10" x14ac:dyDescent="0.2">
      <c r="A93" t="s">
        <v>100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</row>
    <row r="94" spans="1:10" x14ac:dyDescent="0.2">
      <c r="A94" t="s">
        <v>101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</row>
    <row r="95" spans="1:10" x14ac:dyDescent="0.2">
      <c r="A95" t="s">
        <v>102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</row>
    <row r="96" spans="1:10" x14ac:dyDescent="0.2">
      <c r="A96" t="s">
        <v>103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</row>
    <row r="97" spans="1:10" x14ac:dyDescent="0.2">
      <c r="A97" t="s">
        <v>104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</row>
    <row r="98" spans="1:10" x14ac:dyDescent="0.2">
      <c r="A98" t="s">
        <v>105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</row>
    <row r="99" spans="1:10" x14ac:dyDescent="0.2">
      <c r="A99" t="s">
        <v>106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</row>
    <row r="100" spans="1:10" x14ac:dyDescent="0.2">
      <c r="A100" t="s">
        <v>107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</row>
    <row r="101" spans="1:10" x14ac:dyDescent="0.2">
      <c r="A101" t="s">
        <v>40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</row>
    <row r="102" spans="1:10" x14ac:dyDescent="0.2">
      <c r="A102" t="s">
        <v>108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</row>
    <row r="103" spans="1:10" x14ac:dyDescent="0.2">
      <c r="A103" t="s">
        <v>109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</row>
    <row r="104" spans="1:10" x14ac:dyDescent="0.2">
      <c r="A104" t="s">
        <v>110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</row>
    <row r="105" spans="1:10" x14ac:dyDescent="0.2">
      <c r="A105" t="s">
        <v>111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</row>
    <row r="106" spans="1:10" x14ac:dyDescent="0.2">
      <c r="A106" s="6" t="s">
        <v>49</v>
      </c>
      <c r="B106" s="17">
        <f t="shared" ref="B106:J106" si="4">SUM(B71:B105)</f>
        <v>16282.288985945896</v>
      </c>
      <c r="C106" s="17">
        <f t="shared" si="4"/>
        <v>83038.11039999999</v>
      </c>
      <c r="D106" s="17">
        <f t="shared" si="4"/>
        <v>10687.159999999998</v>
      </c>
      <c r="E106" s="17">
        <f t="shared" si="4"/>
        <v>2672.2799999999997</v>
      </c>
      <c r="F106" s="17">
        <f t="shared" si="4"/>
        <v>167.67144000000002</v>
      </c>
      <c r="G106" s="17">
        <f t="shared" si="4"/>
        <v>4183.0005599999995</v>
      </c>
      <c r="H106" s="17">
        <f t="shared" si="4"/>
        <v>4224.7719999999999</v>
      </c>
      <c r="I106" s="17">
        <f t="shared" si="4"/>
        <v>6.4954519999999993</v>
      </c>
      <c r="J106" s="17">
        <f t="shared" si="4"/>
        <v>59.821483999999991</v>
      </c>
    </row>
    <row r="108" spans="1:10" x14ac:dyDescent="0.2">
      <c r="A108" s="9" t="s">
        <v>50</v>
      </c>
      <c r="B108" s="13">
        <f t="shared" ref="B108:J108" si="5">B9+B39+B50+B68+B106</f>
        <v>1503386.8039195074</v>
      </c>
      <c r="C108" s="13">
        <f t="shared" si="5"/>
        <v>994844.09912864876</v>
      </c>
      <c r="D108" s="13">
        <f t="shared" si="5"/>
        <v>117918.05650353146</v>
      </c>
      <c r="E108" s="13">
        <f t="shared" si="5"/>
        <v>29481.537223677151</v>
      </c>
      <c r="F108" s="13">
        <f t="shared" si="5"/>
        <v>1147.9547552535751</v>
      </c>
      <c r="G108" s="13">
        <f t="shared" si="5"/>
        <v>34142.039404315801</v>
      </c>
      <c r="H108" s="13">
        <f t="shared" si="5"/>
        <v>51440.471999706286</v>
      </c>
      <c r="I108" s="13">
        <f t="shared" si="5"/>
        <v>78.02105231687338</v>
      </c>
      <c r="J108" s="13">
        <f t="shared" si="5"/>
        <v>724.45849247886247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workbookViewId="0">
      <selection activeCell="M8" sqref="M8"/>
    </sheetView>
  </sheetViews>
  <sheetFormatPr baseColWidth="10" defaultColWidth="8.83203125" defaultRowHeight="15" x14ac:dyDescent="0.2"/>
  <cols>
    <col min="1" max="1" width="25.5" customWidth="1"/>
    <col min="8" max="8" width="10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1">
        <v>0</v>
      </c>
      <c r="I4" s="2">
        <v>0</v>
      </c>
      <c r="J4" s="2">
        <v>0</v>
      </c>
    </row>
    <row r="5" spans="1:10" x14ac:dyDescent="0.2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1">
        <v>0</v>
      </c>
      <c r="I5" s="2">
        <v>0</v>
      </c>
      <c r="J5" s="2">
        <v>0</v>
      </c>
    </row>
    <row r="6" spans="1:10" x14ac:dyDescent="0.2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1">
        <v>0</v>
      </c>
      <c r="I6" s="2">
        <v>0</v>
      </c>
      <c r="J6" s="2">
        <v>0</v>
      </c>
    </row>
    <row r="7" spans="1:10" x14ac:dyDescent="0.2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1">
        <v>0</v>
      </c>
      <c r="I7" s="2">
        <v>0</v>
      </c>
      <c r="J7" s="2">
        <v>0</v>
      </c>
    </row>
    <row r="8" spans="1:10" x14ac:dyDescent="0.2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1">
        <v>0</v>
      </c>
      <c r="I8" s="2">
        <v>0</v>
      </c>
      <c r="J8" s="2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14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1">
        <v>164.96429840351999</v>
      </c>
      <c r="I12" s="1">
        <v>0</v>
      </c>
      <c r="J12" s="1">
        <v>0</v>
      </c>
    </row>
    <row r="13" spans="1:10" x14ac:dyDescent="0.2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1">
        <v>64.790934511564799</v>
      </c>
      <c r="I13" s="1">
        <v>0</v>
      </c>
      <c r="J13" s="1">
        <v>0</v>
      </c>
    </row>
    <row r="14" spans="1:10" x14ac:dyDescent="0.2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1">
        <v>62.513991872640005</v>
      </c>
      <c r="I14" s="1">
        <v>0</v>
      </c>
      <c r="J14" s="1">
        <v>0</v>
      </c>
    </row>
    <row r="15" spans="1:10" x14ac:dyDescent="0.2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1">
        <v>32.363867356793286</v>
      </c>
      <c r="I15" s="1">
        <v>0</v>
      </c>
      <c r="J15" s="1">
        <v>0</v>
      </c>
    </row>
    <row r="16" spans="1:10" x14ac:dyDescent="0.2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1">
        <v>95.362690547123989</v>
      </c>
      <c r="I16" s="1">
        <v>0</v>
      </c>
      <c r="J16" s="1">
        <v>0</v>
      </c>
    </row>
    <row r="17" spans="1:10" x14ac:dyDescent="0.2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1">
        <v>0</v>
      </c>
      <c r="I17" s="1">
        <v>0</v>
      </c>
      <c r="J17" s="1">
        <v>0</v>
      </c>
    </row>
    <row r="18" spans="1:10" x14ac:dyDescent="0.2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1">
        <v>41.313457563839997</v>
      </c>
      <c r="I18" s="1">
        <v>0</v>
      </c>
      <c r="J18" s="1">
        <v>0</v>
      </c>
    </row>
    <row r="19" spans="1:10" x14ac:dyDescent="0.2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1">
        <v>41.095976833296007</v>
      </c>
      <c r="I19" s="1">
        <v>0</v>
      </c>
      <c r="J19" s="1">
        <v>0</v>
      </c>
    </row>
    <row r="20" spans="1:10" x14ac:dyDescent="0.2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1">
        <v>75.801727136520014</v>
      </c>
      <c r="I20" s="1">
        <v>0</v>
      </c>
      <c r="J20" s="1">
        <v>0</v>
      </c>
    </row>
    <row r="21" spans="1:10" x14ac:dyDescent="0.2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1">
        <v>38.988347554316164</v>
      </c>
      <c r="I21" s="1">
        <v>0</v>
      </c>
      <c r="J21" s="1">
        <v>0</v>
      </c>
    </row>
    <row r="22" spans="1:10" x14ac:dyDescent="0.2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1">
        <v>39.834826415999999</v>
      </c>
      <c r="I22" s="1">
        <v>0</v>
      </c>
      <c r="J22" s="1">
        <v>0</v>
      </c>
    </row>
    <row r="23" spans="1:10" x14ac:dyDescent="0.2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1">
        <v>59.747711367960008</v>
      </c>
      <c r="I23" s="1">
        <v>0</v>
      </c>
      <c r="J23" s="1">
        <v>0</v>
      </c>
    </row>
    <row r="24" spans="1:10" x14ac:dyDescent="0.2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1">
        <v>55.162627443000012</v>
      </c>
      <c r="I24" s="1">
        <v>0</v>
      </c>
      <c r="J24" s="1">
        <v>0</v>
      </c>
    </row>
    <row r="25" spans="1:10" x14ac:dyDescent="0.2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1">
        <v>33.284168268119998</v>
      </c>
      <c r="I25" s="1">
        <v>0</v>
      </c>
      <c r="J25" s="1">
        <v>0</v>
      </c>
    </row>
    <row r="26" spans="1:10" x14ac:dyDescent="0.2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v>76.159889375169598</v>
      </c>
      <c r="I26" s="1">
        <v>0</v>
      </c>
      <c r="J26" s="1">
        <v>0</v>
      </c>
    </row>
    <row r="27" spans="1:10" x14ac:dyDescent="0.2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1">
        <v>156.12677416828799</v>
      </c>
      <c r="I27" s="1">
        <v>0</v>
      </c>
      <c r="J27" s="1">
        <v>0</v>
      </c>
    </row>
    <row r="28" spans="1:10" x14ac:dyDescent="0.2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1">
        <v>58.760033048640018</v>
      </c>
      <c r="I28" s="1">
        <v>0</v>
      </c>
      <c r="J28" s="1">
        <v>0</v>
      </c>
    </row>
    <row r="29" spans="1:10" x14ac:dyDescent="0.2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1">
        <v>0</v>
      </c>
      <c r="I29" s="1">
        <v>0</v>
      </c>
      <c r="J29" s="1">
        <v>0</v>
      </c>
    </row>
    <row r="30" spans="1:10" x14ac:dyDescent="0.2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1">
        <v>64.581091669987202</v>
      </c>
      <c r="I30" s="1">
        <v>0</v>
      </c>
      <c r="J30" s="1">
        <v>0</v>
      </c>
    </row>
    <row r="31" spans="1:10" x14ac:dyDescent="0.2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1">
        <v>11.361428971199999</v>
      </c>
      <c r="I31" s="1">
        <v>0</v>
      </c>
      <c r="J31" s="1">
        <v>0</v>
      </c>
    </row>
    <row r="32" spans="1:10" x14ac:dyDescent="0.2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1">
        <v>86.689763233920019</v>
      </c>
      <c r="I32" s="1">
        <v>0</v>
      </c>
      <c r="J32" s="1">
        <v>0</v>
      </c>
    </row>
    <row r="33" spans="1:10" x14ac:dyDescent="0.2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1">
        <v>0</v>
      </c>
      <c r="I33" s="1">
        <v>0</v>
      </c>
      <c r="J33" s="1">
        <v>0</v>
      </c>
    </row>
    <row r="34" spans="1:10" x14ac:dyDescent="0.2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1">
        <v>100.09802518764049</v>
      </c>
      <c r="I34" s="1">
        <v>0</v>
      </c>
      <c r="J34" s="1">
        <v>0</v>
      </c>
    </row>
    <row r="35" spans="1:10" x14ac:dyDescent="0.2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1">
        <v>0</v>
      </c>
      <c r="I35" s="1">
        <v>0</v>
      </c>
      <c r="J35" s="1">
        <v>0</v>
      </c>
    </row>
    <row r="36" spans="1:10" x14ac:dyDescent="0.2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1">
        <v>42.299219774085124</v>
      </c>
      <c r="I36" s="1">
        <v>0</v>
      </c>
      <c r="J36" s="1">
        <v>0</v>
      </c>
    </row>
    <row r="37" spans="1:10" x14ac:dyDescent="0.2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1">
        <v>23.486142439710719</v>
      </c>
      <c r="I37" s="1">
        <v>0</v>
      </c>
      <c r="J37" s="1">
        <v>0</v>
      </c>
    </row>
    <row r="38" spans="1:10" x14ac:dyDescent="0.2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1">
        <v>5.6965806651599991</v>
      </c>
      <c r="I38" s="1">
        <v>0</v>
      </c>
      <c r="J38" s="1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12">
        <f t="shared" si="1"/>
        <v>1430.4835738084953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1">
        <v>36.057686095200005</v>
      </c>
      <c r="I42" s="1">
        <v>0</v>
      </c>
      <c r="J42" s="1">
        <v>0</v>
      </c>
    </row>
    <row r="43" spans="1:10" x14ac:dyDescent="0.2">
      <c r="A43" t="s">
        <v>15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1">
        <v>38.756235302400007</v>
      </c>
      <c r="I43" s="1">
        <v>0</v>
      </c>
      <c r="J43" s="1">
        <v>0</v>
      </c>
    </row>
    <row r="44" spans="1:10" x14ac:dyDescent="0.2">
      <c r="A44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1">
        <v>113.08405545360003</v>
      </c>
      <c r="I44" s="1">
        <v>0</v>
      </c>
      <c r="J44" s="1">
        <v>0</v>
      </c>
    </row>
    <row r="45" spans="1:10" x14ac:dyDescent="0.2">
      <c r="A45" t="s">
        <v>17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1">
        <v>44.879034261600012</v>
      </c>
      <c r="I45" s="1">
        <v>0</v>
      </c>
      <c r="J45" s="1">
        <v>0</v>
      </c>
    </row>
    <row r="46" spans="1:10" x14ac:dyDescent="0.2">
      <c r="A46" t="s">
        <v>18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1">
        <v>66.345798472800013</v>
      </c>
      <c r="I46" s="1">
        <v>0</v>
      </c>
      <c r="J46" s="1">
        <v>0</v>
      </c>
    </row>
    <row r="47" spans="1:10" x14ac:dyDescent="0.2">
      <c r="A47" t="s">
        <v>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1">
        <v>13.008072924000002</v>
      </c>
      <c r="I47" s="1">
        <v>0</v>
      </c>
      <c r="J47" s="1">
        <v>0</v>
      </c>
    </row>
    <row r="48" spans="1:10" x14ac:dyDescent="0.2">
      <c r="A48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1">
        <v>20.487867338400005</v>
      </c>
      <c r="I48" s="1">
        <v>0</v>
      </c>
      <c r="J48" s="1">
        <v>0</v>
      </c>
    </row>
    <row r="49" spans="1:10" x14ac:dyDescent="0.2">
      <c r="A49" t="s">
        <v>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1">
        <v>52.005097636800016</v>
      </c>
      <c r="I49" s="1">
        <v>0</v>
      </c>
      <c r="J49" s="1">
        <v>0</v>
      </c>
    </row>
    <row r="50" spans="1:10" x14ac:dyDescent="0.2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8">
        <f t="shared" si="2"/>
        <v>0</v>
      </c>
      <c r="G50" s="8">
        <f t="shared" si="2"/>
        <v>0</v>
      </c>
      <c r="H50" s="14">
        <f t="shared" si="2"/>
        <v>384.62384748480008</v>
      </c>
      <c r="I50" s="8">
        <f t="shared" si="2"/>
        <v>0</v>
      </c>
      <c r="J50" s="8">
        <f t="shared" si="2"/>
        <v>0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>
        <v>0</v>
      </c>
      <c r="I53" s="1">
        <v>0</v>
      </c>
      <c r="J53" s="1">
        <v>0</v>
      </c>
    </row>
    <row r="54" spans="1:10" x14ac:dyDescent="0.2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 s="1">
        <v>0</v>
      </c>
      <c r="J54" s="1">
        <v>0</v>
      </c>
    </row>
    <row r="55" spans="1:10" x14ac:dyDescent="0.2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 s="1">
        <v>0</v>
      </c>
      <c r="J55" s="1">
        <v>0</v>
      </c>
    </row>
    <row r="56" spans="1:10" x14ac:dyDescent="0.2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</row>
    <row r="57" spans="1:10" x14ac:dyDescent="0.2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>
        <v>0</v>
      </c>
      <c r="I57" s="1">
        <v>0</v>
      </c>
      <c r="J57" s="1">
        <v>0</v>
      </c>
    </row>
    <row r="58" spans="1:10" x14ac:dyDescent="0.2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>
        <v>0</v>
      </c>
      <c r="I58" s="1">
        <v>0</v>
      </c>
      <c r="J58" s="1">
        <v>0</v>
      </c>
    </row>
    <row r="59" spans="1:10" x14ac:dyDescent="0.2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 s="1">
        <v>0</v>
      </c>
      <c r="J59" s="1">
        <v>0</v>
      </c>
    </row>
    <row r="60" spans="1:10" x14ac:dyDescent="0.2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>
        <v>0</v>
      </c>
      <c r="I60" s="1">
        <v>0</v>
      </c>
      <c r="J60" s="1">
        <v>0</v>
      </c>
    </row>
    <row r="61" spans="1:10" x14ac:dyDescent="0.2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 s="1">
        <v>0</v>
      </c>
      <c r="J61" s="1">
        <v>0</v>
      </c>
    </row>
    <row r="62" spans="1:10" x14ac:dyDescent="0.2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>
        <v>0</v>
      </c>
      <c r="I62" s="1">
        <v>0</v>
      </c>
      <c r="J62" s="1">
        <v>0</v>
      </c>
    </row>
    <row r="63" spans="1:10" x14ac:dyDescent="0.2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>
        <v>0</v>
      </c>
      <c r="I63" s="1">
        <v>0</v>
      </c>
      <c r="J63" s="1">
        <v>0</v>
      </c>
    </row>
    <row r="64" spans="1:10" x14ac:dyDescent="0.2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>
        <v>0</v>
      </c>
      <c r="I64" s="1">
        <v>0</v>
      </c>
      <c r="J64" s="1">
        <v>0</v>
      </c>
    </row>
    <row r="65" spans="1:10" x14ac:dyDescent="0.2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0</v>
      </c>
      <c r="I65" s="1">
        <v>0</v>
      </c>
      <c r="J65" s="1">
        <v>0</v>
      </c>
    </row>
    <row r="66" spans="1:10" x14ac:dyDescent="0.2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1">
        <v>40.655412151200004</v>
      </c>
      <c r="I66" s="1">
        <v>0</v>
      </c>
      <c r="J66" s="1">
        <v>0</v>
      </c>
    </row>
    <row r="67" spans="1:10" x14ac:dyDescent="0.2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>
        <v>0</v>
      </c>
      <c r="I67" s="1">
        <v>0</v>
      </c>
      <c r="J67" s="1">
        <v>0</v>
      </c>
    </row>
    <row r="68" spans="1:10" x14ac:dyDescent="0.2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8">
        <f t="shared" si="3"/>
        <v>0</v>
      </c>
      <c r="G68" s="8">
        <f t="shared" si="3"/>
        <v>0</v>
      </c>
      <c r="H68" s="12">
        <f t="shared" si="3"/>
        <v>40.655412151200004</v>
      </c>
      <c r="I68" s="8">
        <f t="shared" si="3"/>
        <v>0</v>
      </c>
      <c r="J68" s="8">
        <f t="shared" si="3"/>
        <v>0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1">
        <v>59.700320230320017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11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1">
        <v>38.742057989712009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1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1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1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1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1">
        <v>53.533983122928007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1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1">
        <v>81.231106128480022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1">
        <v>29.104066951787527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1">
        <v>13.266642578112004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1">
        <v>24.515328343968012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1">
        <v>49.251829156992017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1">
        <v>57.150932819904014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1">
        <v>35.880919162704004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1">
        <v>26.472170983104004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1">
        <v>104.49611038944003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1">
        <v>12.047387170896004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1">
        <v>46.612749922421784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11">
        <v>48.233393263440007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11">
        <v>80.137314523728037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1">
        <v>32.023467219744006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1">
        <v>40.280849265888008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1">
        <v>31.880982705264003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1">
        <v>37.237239003888014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1">
        <v>54.040954225104009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1">
        <v>79.680603606912015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1">
        <v>78.043345506846734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1">
        <v>6.7535862387840027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1">
        <v>14.368384556064004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1">
        <v>2.6835482298240003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1">
        <v>125.41610022480006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1">
        <v>12.738447436176001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1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12">
        <f t="shared" ref="H106:J106" si="5">SUM(H71:H105)</f>
        <v>1275.5238209572326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0">
        <f t="shared" si="6"/>
        <v>0</v>
      </c>
      <c r="G108" s="10">
        <f t="shared" si="6"/>
        <v>0</v>
      </c>
      <c r="H108" s="13">
        <f t="shared" si="6"/>
        <v>3131.2866544017279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workbookViewId="0">
      <selection sqref="A1:J109"/>
    </sheetView>
  </sheetViews>
  <sheetFormatPr baseColWidth="10" defaultColWidth="8.83203125" defaultRowHeight="15" x14ac:dyDescent="0.2"/>
  <cols>
    <col min="1" max="1" width="25.5" customWidth="1"/>
    <col min="2" max="3" width="14.33203125" bestFit="1" customWidth="1"/>
    <col min="4" max="5" width="16.33203125" bestFit="1" customWidth="1"/>
    <col min="6" max="6" width="13.33203125" bestFit="1" customWidth="1"/>
    <col min="7" max="7" width="15.33203125" bestFit="1" customWidth="1"/>
    <col min="8" max="8" width="11.6640625" bestFit="1" customWidth="1"/>
    <col min="9" max="9" width="13.33203125" bestFit="1" customWidth="1"/>
    <col min="10" max="10" width="14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830.5141970808836</v>
      </c>
      <c r="C4" s="11">
        <v>9930.0348804658697</v>
      </c>
      <c r="D4" s="11">
        <v>86265.814007499896</v>
      </c>
      <c r="E4" s="11">
        <v>36476.002975108466</v>
      </c>
      <c r="F4" s="11">
        <v>1311.6395177070747</v>
      </c>
      <c r="G4" s="11">
        <f>22237.2613301368+22237.2613301368</f>
        <v>44474.5226602736</v>
      </c>
      <c r="H4" s="11">
        <v>5192.9792181465455</v>
      </c>
      <c r="I4" s="11">
        <v>6671.1783990410295</v>
      </c>
      <c r="J4" s="11">
        <v>11118.630665068378</v>
      </c>
    </row>
    <row r="5" spans="1:10" x14ac:dyDescent="0.2">
      <c r="A5" t="s">
        <v>2</v>
      </c>
      <c r="B5" s="11">
        <v>642.87044068981379</v>
      </c>
      <c r="C5" s="11">
        <v>7686.474141089976</v>
      </c>
      <c r="D5" s="11">
        <v>66775.188265765377</v>
      </c>
      <c r="E5" s="11">
        <v>28234.729989723717</v>
      </c>
      <c r="F5" s="11">
        <v>1015.2918249179568</v>
      </c>
      <c r="G5" s="11">
        <f>17213.0446912123+17213.0446912123</f>
        <v>34426.089382424601</v>
      </c>
      <c r="H5" s="11">
        <v>4019.6938838575766</v>
      </c>
      <c r="I5" s="11">
        <v>5163.9134073636997</v>
      </c>
      <c r="J5" s="11">
        <v>8606.5223456061631</v>
      </c>
    </row>
    <row r="6" spans="1:10" x14ac:dyDescent="0.2">
      <c r="A6" t="s">
        <v>3</v>
      </c>
      <c r="B6" s="11">
        <v>284.39283460885065</v>
      </c>
      <c r="C6" s="11">
        <v>3400.3401475211822</v>
      </c>
      <c r="D6" s="11">
        <v>29539.987951637017</v>
      </c>
      <c r="E6" s="11">
        <v>12490.471466656567</v>
      </c>
      <c r="F6" s="11">
        <v>449.14449594817978</v>
      </c>
      <c r="G6" s="11">
        <f>7614.70159793002+7614.70159793002</f>
        <v>15229.403195860041</v>
      </c>
      <c r="H6" s="11">
        <v>1778.2309864231247</v>
      </c>
      <c r="I6" s="11">
        <v>2284.410479379007</v>
      </c>
      <c r="J6" s="11">
        <v>3807.3507989650107</v>
      </c>
    </row>
    <row r="7" spans="1:10" x14ac:dyDescent="0.2">
      <c r="A7" t="s">
        <v>4</v>
      </c>
      <c r="B7" s="11">
        <v>496.37533803803444</v>
      </c>
      <c r="C7" s="11">
        <v>5934.9068779864365</v>
      </c>
      <c r="D7" s="11">
        <v>51558.688267587459</v>
      </c>
      <c r="E7" s="11">
        <v>21800.696930509541</v>
      </c>
      <c r="F7" s="11">
        <v>783.93061945753414</v>
      </c>
      <c r="G7" s="11">
        <f>13290.5953306801+13290.5953306801</f>
        <v>26581.1906613602</v>
      </c>
      <c r="H7" s="11">
        <v>3103.6998812206225</v>
      </c>
      <c r="I7" s="11">
        <v>3987.1785992040386</v>
      </c>
      <c r="J7" s="11">
        <v>6645.2976653400628</v>
      </c>
    </row>
    <row r="8" spans="1:10" x14ac:dyDescent="0.2">
      <c r="A8" t="s">
        <v>5</v>
      </c>
      <c r="B8" s="11">
        <v>469.44919181941799</v>
      </c>
      <c r="C8" s="11">
        <v>5612.9646738830361</v>
      </c>
      <c r="D8" s="11">
        <v>48761.85959229427</v>
      </c>
      <c r="E8" s="11">
        <v>20618.106442555716</v>
      </c>
      <c r="F8" s="11">
        <v>741.40588289790526</v>
      </c>
      <c r="G8" s="11">
        <f>12569.6398645588+12569.6398645588</f>
        <v>25139.279729117599</v>
      </c>
      <c r="H8" s="11">
        <v>2935.3380178960479</v>
      </c>
      <c r="I8" s="11">
        <v>3770.8919593676333</v>
      </c>
      <c r="J8" s="11">
        <v>6284.8199322793871</v>
      </c>
    </row>
    <row r="9" spans="1:10" x14ac:dyDescent="0.2">
      <c r="A9" s="6" t="s">
        <v>42</v>
      </c>
      <c r="B9" s="14">
        <f>SUM(B4:B8)</f>
        <v>2723.6020022370003</v>
      </c>
      <c r="C9" s="14">
        <f t="shared" ref="C9:J9" si="0">SUM(C4:C8)</f>
        <v>32564.720720946498</v>
      </c>
      <c r="D9" s="14">
        <f t="shared" si="0"/>
        <v>282901.538084784</v>
      </c>
      <c r="E9" s="14">
        <f t="shared" si="0"/>
        <v>119620.007804554</v>
      </c>
      <c r="F9" s="14">
        <f t="shared" si="0"/>
        <v>4301.4123409286503</v>
      </c>
      <c r="G9" s="14">
        <f t="shared" si="0"/>
        <v>145850.48562903603</v>
      </c>
      <c r="H9" s="14">
        <f t="shared" si="0"/>
        <v>17029.941987543916</v>
      </c>
      <c r="I9" s="14">
        <f t="shared" si="0"/>
        <v>21877.572844355407</v>
      </c>
      <c r="J9" s="14">
        <f t="shared" si="0"/>
        <v>36462.621407259001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4686.3963815289644</v>
      </c>
      <c r="C12" s="11">
        <v>186249.46125583467</v>
      </c>
      <c r="D12" s="11">
        <v>106845.69624451573</v>
      </c>
      <c r="E12" s="11">
        <v>30.125044856149319</v>
      </c>
      <c r="F12" s="11">
        <v>5046.7370910291811</v>
      </c>
      <c r="G12" s="11">
        <f>5046.73709102918+5046.73709102918</f>
        <v>10093.47418205836</v>
      </c>
      <c r="H12" s="11">
        <v>341.25477543273399</v>
      </c>
      <c r="I12" s="11">
        <v>679.97565766542277</v>
      </c>
      <c r="J12" s="11">
        <v>3982.3512932492622</v>
      </c>
    </row>
    <row r="13" spans="1:10" x14ac:dyDescent="0.2">
      <c r="A13" t="s">
        <v>52</v>
      </c>
      <c r="B13" s="11">
        <v>1549.3957235192233</v>
      </c>
      <c r="C13" s="11">
        <v>61576.976270069681</v>
      </c>
      <c r="D13" s="11">
        <v>35324.853332973114</v>
      </c>
      <c r="E13" s="11">
        <v>9.9598096001675245</v>
      </c>
      <c r="F13" s="11">
        <v>1668.5299812422898</v>
      </c>
      <c r="G13" s="11">
        <f>1668.52998124229+1668.52998124229</f>
        <v>3337.05996248458</v>
      </c>
      <c r="H13" s="11">
        <v>112.82415029380994</v>
      </c>
      <c r="I13" s="11">
        <v>224.81055598208917</v>
      </c>
      <c r="J13" s="11">
        <v>1316.627438436733</v>
      </c>
    </row>
    <row r="14" spans="1:10" x14ac:dyDescent="0.2">
      <c r="A14" t="s">
        <v>53</v>
      </c>
      <c r="B14" s="11">
        <v>1309.5622110901247</v>
      </c>
      <c r="C14" s="11">
        <v>52045.37483382057</v>
      </c>
      <c r="D14" s="11">
        <v>29856.861184623431</v>
      </c>
      <c r="E14" s="11">
        <v>8.4181142906518485</v>
      </c>
      <c r="F14" s="11">
        <v>1410.2554811128648</v>
      </c>
      <c r="G14" s="11">
        <f>1410.25548111286+1410.25548111286</f>
        <v>2820.51096222572</v>
      </c>
      <c r="H14" s="11">
        <v>95.359914501076233</v>
      </c>
      <c r="I14" s="11">
        <v>190.01176026200145</v>
      </c>
      <c r="J14" s="11">
        <v>1112.8245117037352</v>
      </c>
    </row>
    <row r="15" spans="1:10" x14ac:dyDescent="0.2">
      <c r="A15" t="s">
        <v>54</v>
      </c>
      <c r="B15" s="11">
        <v>3220.0255685360617</v>
      </c>
      <c r="C15" s="11">
        <v>127972.10874727361</v>
      </c>
      <c r="D15" s="11">
        <v>73413.737504451361</v>
      </c>
      <c r="E15" s="11">
        <v>20.698935129010284</v>
      </c>
      <c r="F15" s="11">
        <v>3467.6158710867317</v>
      </c>
      <c r="G15" s="11">
        <f>3467.61587108673+3467.61587108673</f>
        <v>6935.2317421734597</v>
      </c>
      <c r="H15" s="11">
        <v>234.47634660385455</v>
      </c>
      <c r="I15" s="11">
        <v>467.21165377616546</v>
      </c>
      <c r="J15" s="11">
        <v>2736.2757955552206</v>
      </c>
    </row>
    <row r="16" spans="1:10" x14ac:dyDescent="0.2">
      <c r="A16" t="s">
        <v>55</v>
      </c>
      <c r="B16" s="11">
        <v>1238.4076325173953</v>
      </c>
      <c r="C16" s="11">
        <v>49217.508634262544</v>
      </c>
      <c r="D16" s="11">
        <v>28234.599670733311</v>
      </c>
      <c r="E16" s="11">
        <v>7.9607191629856455</v>
      </c>
      <c r="F16" s="11">
        <v>1333.6297709414205</v>
      </c>
      <c r="G16" s="11">
        <f>1333.62977094142+1333.62977094142</f>
        <v>2667.25954188284</v>
      </c>
      <c r="H16" s="11">
        <v>90.178568802801024</v>
      </c>
      <c r="I16" s="11">
        <v>179.68754151866241</v>
      </c>
      <c r="J16" s="11">
        <v>1052.3596032899773</v>
      </c>
    </row>
    <row r="17" spans="1:10" x14ac:dyDescent="0.2">
      <c r="A17" t="s">
        <v>56</v>
      </c>
      <c r="B17" s="11">
        <v>877.54223803712284</v>
      </c>
      <c r="C17" s="11">
        <v>34875.788507315658</v>
      </c>
      <c r="D17" s="11">
        <v>20007.187564543281</v>
      </c>
      <c r="E17" s="11">
        <v>5.6410079583172363</v>
      </c>
      <c r="F17" s="11">
        <v>945.01715200663591</v>
      </c>
      <c r="G17" s="11">
        <f>945.017152006636+945.017152006636</f>
        <v>1890.034304013272</v>
      </c>
      <c r="H17" s="11">
        <v>63.901013698801712</v>
      </c>
      <c r="I17" s="11">
        <v>127.32754804744029</v>
      </c>
      <c r="J17" s="11">
        <v>745.70761455475247</v>
      </c>
    </row>
    <row r="18" spans="1:10" x14ac:dyDescent="0.2">
      <c r="A18" t="s">
        <v>57</v>
      </c>
      <c r="B18" s="11">
        <v>818.91526961891634</v>
      </c>
      <c r="C18" s="11">
        <v>32545.801798126682</v>
      </c>
      <c r="D18" s="11">
        <v>18670.544491832301</v>
      </c>
      <c r="E18" s="11">
        <v>5.2641426849614419</v>
      </c>
      <c r="F18" s="11">
        <v>881.8823098031628</v>
      </c>
      <c r="G18" s="11">
        <f>881.882309803163+881.882309803163</f>
        <v>1763.7646196063261</v>
      </c>
      <c r="H18" s="11">
        <v>59.631905558331162</v>
      </c>
      <c r="I18" s="11">
        <v>118.82103085136526</v>
      </c>
      <c r="J18" s="11">
        <v>695.88827267839247</v>
      </c>
    </row>
    <row r="19" spans="1:10" x14ac:dyDescent="0.2">
      <c r="A19" t="s">
        <v>58</v>
      </c>
      <c r="B19" s="11">
        <v>970.41789493382646</v>
      </c>
      <c r="C19" s="11">
        <v>38566.906298583075</v>
      </c>
      <c r="D19" s="11">
        <v>22124.670469832123</v>
      </c>
      <c r="E19" s="11">
        <v>6.2380302975041539</v>
      </c>
      <c r="F19" s="11">
        <v>1045.0340913252371</v>
      </c>
      <c r="G19" s="11">
        <f>1045.03409132524+1045.03409132524</f>
        <v>2090.0681826504801</v>
      </c>
      <c r="H19" s="11">
        <v>70.664048418266006</v>
      </c>
      <c r="I19" s="11">
        <v>140.80340043763869</v>
      </c>
      <c r="J19" s="11">
        <v>824.63040772942895</v>
      </c>
    </row>
    <row r="20" spans="1:10" x14ac:dyDescent="0.2">
      <c r="A20" t="s">
        <v>59</v>
      </c>
      <c r="B20" s="11">
        <v>2062.1794577320898</v>
      </c>
      <c r="C20" s="11">
        <v>81956.322459036775</v>
      </c>
      <c r="D20" s="11">
        <v>47015.869338529446</v>
      </c>
      <c r="E20" s="11">
        <v>13.256080708508229</v>
      </c>
      <c r="F20" s="11">
        <v>2220.7420607258882</v>
      </c>
      <c r="G20" s="11">
        <f>2220.74206072589+2220.74206072589</f>
        <v>4441.4841214517801</v>
      </c>
      <c r="H20" s="11">
        <v>150.16411981795824</v>
      </c>
      <c r="I20" s="11">
        <v>299.21323738689301</v>
      </c>
      <c r="J20" s="11">
        <v>1752.3748231753564</v>
      </c>
    </row>
    <row r="21" spans="1:10" x14ac:dyDescent="0.2">
      <c r="A21" t="s">
        <v>60</v>
      </c>
      <c r="B21" s="11">
        <v>1069.1360247277069</v>
      </c>
      <c r="C21" s="11">
        <v>42490.219009125743</v>
      </c>
      <c r="D21" s="11">
        <v>24375.356594325589</v>
      </c>
      <c r="E21" s="11">
        <v>6.8726091606744024</v>
      </c>
      <c r="F21" s="11">
        <v>1151.3427358845065</v>
      </c>
      <c r="G21" s="11">
        <f>1151.34273588451+1151.34273588451</f>
        <v>2302.6854717690198</v>
      </c>
      <c r="H21" s="11">
        <v>77.852521281280474</v>
      </c>
      <c r="I21" s="11">
        <v>155.12697014135935</v>
      </c>
      <c r="J21" s="11">
        <v>908.51794942378876</v>
      </c>
    </row>
    <row r="22" spans="1:10" x14ac:dyDescent="0.2">
      <c r="A22" t="s">
        <v>61</v>
      </c>
      <c r="B22" s="11">
        <v>891.61754173315751</v>
      </c>
      <c r="C22" s="11">
        <v>35435.177324858108</v>
      </c>
      <c r="D22" s="11">
        <v>20328.092050809802</v>
      </c>
      <c r="E22" s="11">
        <v>5.7314866802789979</v>
      </c>
      <c r="F22" s="11">
        <v>960.17471689172635</v>
      </c>
      <c r="G22" s="11">
        <f>960.174716891726+960.174716891726</f>
        <v>1920.349433783452</v>
      </c>
      <c r="H22" s="11">
        <v>64.925951457133351</v>
      </c>
      <c r="I22" s="11">
        <v>129.36981317150756</v>
      </c>
      <c r="J22" s="11">
        <v>757.66836207020106</v>
      </c>
    </row>
    <row r="23" spans="1:10" x14ac:dyDescent="0.2">
      <c r="A23" t="s">
        <v>62</v>
      </c>
      <c r="B23" s="11">
        <v>1527.0033225883139</v>
      </c>
      <c r="C23" s="11">
        <v>60687.044589078192</v>
      </c>
      <c r="D23" s="11">
        <v>34814.326379367718</v>
      </c>
      <c r="E23" s="11">
        <v>9.8158669995929557</v>
      </c>
      <c r="F23" s="11">
        <v>1644.4158109641139</v>
      </c>
      <c r="G23" s="11">
        <f>1644.41581096411+1644.41581096411</f>
        <v>3288.8316219282201</v>
      </c>
      <c r="H23" s="11">
        <v>111.19357679362638</v>
      </c>
      <c r="I23" s="11">
        <v>221.56151635545493</v>
      </c>
      <c r="J23" s="11">
        <v>1297.5990849757163</v>
      </c>
    </row>
    <row r="24" spans="1:10" x14ac:dyDescent="0.2">
      <c r="A24" t="s">
        <v>63</v>
      </c>
      <c r="B24" s="11">
        <v>1185.9068339976225</v>
      </c>
      <c r="C24" s="11">
        <v>47130.991693794393</v>
      </c>
      <c r="D24" s="11">
        <v>27037.627858159478</v>
      </c>
      <c r="E24" s="11">
        <v>7.6232340717489082</v>
      </c>
      <c r="F24" s="11">
        <v>1277.0921446657824</v>
      </c>
      <c r="G24" s="11">
        <f>1277.09214466578+1277.09214466578</f>
        <v>2554.1842893315602</v>
      </c>
      <c r="H24" s="11">
        <v>86.355557100351078</v>
      </c>
      <c r="I24" s="11">
        <v>172.06990483258352</v>
      </c>
      <c r="J24" s="11">
        <v>1007.7460866643042</v>
      </c>
    </row>
    <row r="25" spans="1:10" x14ac:dyDescent="0.2">
      <c r="A25" t="s">
        <v>64</v>
      </c>
      <c r="B25" s="11">
        <v>907.28828995111326</v>
      </c>
      <c r="C25" s="11">
        <v>36057.973216510334</v>
      </c>
      <c r="D25" s="11">
        <v>20685.371262320656</v>
      </c>
      <c r="E25" s="11">
        <v>5.8322212222515919</v>
      </c>
      <c r="F25" s="11">
        <v>977.05040128484518</v>
      </c>
      <c r="G25" s="11">
        <f>977.050401284845+977.050401284845</f>
        <v>1954.1008025696899</v>
      </c>
      <c r="H25" s="11">
        <v>66.067066554665217</v>
      </c>
      <c r="I25" s="11">
        <v>131.64357033119052</v>
      </c>
      <c r="J25" s="11">
        <v>770.98486783525527</v>
      </c>
    </row>
    <row r="26" spans="1:10" x14ac:dyDescent="0.2">
      <c r="A26" t="s">
        <v>65</v>
      </c>
      <c r="B26" s="11">
        <v>2491.4130206341306</v>
      </c>
      <c r="C26" s="11">
        <v>99015.169670195028</v>
      </c>
      <c r="D26" s="11">
        <v>56802.015269450472</v>
      </c>
      <c r="E26" s="11">
        <v>16.015275467866179</v>
      </c>
      <c r="F26" s="11">
        <v>2682.9797304096446</v>
      </c>
      <c r="G26" s="11">
        <f>2682.97973040964+2682.97973040964</f>
        <v>5365.9594608192801</v>
      </c>
      <c r="H26" s="11">
        <v>181.42011935177038</v>
      </c>
      <c r="I26" s="11">
        <v>361.4931536519282</v>
      </c>
      <c r="J26" s="11">
        <v>2117.1239171841826</v>
      </c>
    </row>
    <row r="27" spans="1:10" x14ac:dyDescent="0.2">
      <c r="A27" t="s">
        <v>66</v>
      </c>
      <c r="B27" s="11">
        <v>4362.7402363125857</v>
      </c>
      <c r="C27" s="11">
        <v>173386.53252102205</v>
      </c>
      <c r="D27" s="11">
        <v>99466.62214063514</v>
      </c>
      <c r="E27" s="11">
        <v>28.044521763599739</v>
      </c>
      <c r="F27" s="11">
        <v>4698.1947698459016</v>
      </c>
      <c r="G27" s="11">
        <f>4698.1947698459+4698.1947698459</f>
        <v>9396.3895396917997</v>
      </c>
      <c r="H27" s="11">
        <v>317.68672950546971</v>
      </c>
      <c r="I27" s="11">
        <v>633.01456383469542</v>
      </c>
      <c r="J27" s="11">
        <v>3707.3185466487703</v>
      </c>
    </row>
    <row r="28" spans="1:10" x14ac:dyDescent="0.2">
      <c r="A28" t="s">
        <v>67</v>
      </c>
      <c r="B28" s="11">
        <v>1821.00049120792</v>
      </c>
      <c r="C28" s="11">
        <v>72371.249212050709</v>
      </c>
      <c r="D28" s="11">
        <v>41517.202025757164</v>
      </c>
      <c r="E28" s="11">
        <v>11.705736564863701</v>
      </c>
      <c r="F28" s="11">
        <v>1961.0186534761365</v>
      </c>
      <c r="G28" s="11">
        <f>1961.01865347614+1961.01865347614</f>
        <v>3922.0373069522798</v>
      </c>
      <c r="H28" s="11">
        <v>132.60191052966658</v>
      </c>
      <c r="I28" s="11">
        <v>264.21922215085476</v>
      </c>
      <c r="J28" s="11">
        <v>1547.4285721438353</v>
      </c>
    </row>
    <row r="29" spans="1:10" x14ac:dyDescent="0.2">
      <c r="A29" t="s">
        <v>68</v>
      </c>
      <c r="B29" s="11">
        <v>263.70900263390672</v>
      </c>
      <c r="C29" s="11">
        <v>10480.474904441253</v>
      </c>
      <c r="D29" s="11">
        <v>6012.3322268301072</v>
      </c>
      <c r="E29" s="11">
        <v>1.6951714892552434</v>
      </c>
      <c r="F29" s="11">
        <v>283.98579558407835</v>
      </c>
      <c r="G29" s="11">
        <f>283.985795584078+283.985795584078</f>
        <v>567.97159116815601</v>
      </c>
      <c r="H29" s="11">
        <v>19.202805129356918</v>
      </c>
      <c r="I29" s="11">
        <v>38.263025126308378</v>
      </c>
      <c r="J29" s="11">
        <v>224.09156251054964</v>
      </c>
    </row>
    <row r="30" spans="1:10" x14ac:dyDescent="0.2">
      <c r="A30" t="s">
        <v>69</v>
      </c>
      <c r="B30" s="11">
        <v>1372.5429453692082</v>
      </c>
      <c r="C30" s="11">
        <v>54548.391410738703</v>
      </c>
      <c r="D30" s="11">
        <v>31292.766271645552</v>
      </c>
      <c r="E30" s="11">
        <v>8.8229663967836824</v>
      </c>
      <c r="F30" s="11">
        <v>1478.0788536639513</v>
      </c>
      <c r="G30" s="11">
        <f>1478.07885366395+1478.07885366395</f>
        <v>2956.1577073279</v>
      </c>
      <c r="H30" s="11">
        <v>99.946055873519256</v>
      </c>
      <c r="I30" s="11">
        <v>199.14998987921086</v>
      </c>
      <c r="J30" s="11">
        <v>1166.34354598659</v>
      </c>
    </row>
    <row r="31" spans="1:10" x14ac:dyDescent="0.2">
      <c r="A31" t="s">
        <v>70</v>
      </c>
      <c r="B31" s="11">
        <v>363.99448813770266</v>
      </c>
      <c r="C31" s="11">
        <v>14466.078367366419</v>
      </c>
      <c r="D31" s="11">
        <v>8298.7526764755785</v>
      </c>
      <c r="E31" s="11">
        <v>2.3398256122248653</v>
      </c>
      <c r="F31" s="11">
        <v>391.9823110684884</v>
      </c>
      <c r="G31" s="11">
        <f>391.982311068488+391.982311068488</f>
        <v>783.964622136976</v>
      </c>
      <c r="H31" s="11">
        <v>26.505409955881461</v>
      </c>
      <c r="I31" s="11">
        <v>52.814011301637386</v>
      </c>
      <c r="J31" s="11">
        <v>309.31099347124746</v>
      </c>
    </row>
    <row r="32" spans="1:10" x14ac:dyDescent="0.2">
      <c r="A32" t="s">
        <v>71</v>
      </c>
      <c r="B32" s="11">
        <v>4908.826066039358</v>
      </c>
      <c r="C32" s="11">
        <v>195089.38974985806</v>
      </c>
      <c r="D32" s="11">
        <v>111916.8964956578</v>
      </c>
      <c r="E32" s="11">
        <v>31.554865058645422</v>
      </c>
      <c r="F32" s="11">
        <v>5286.2695692013085</v>
      </c>
      <c r="G32" s="11">
        <f>5286.26956920131+5286.26956920131</f>
        <v>10572.539138402621</v>
      </c>
      <c r="H32" s="11">
        <v>357.45169644785386</v>
      </c>
      <c r="I32" s="11">
        <v>712.24923392657604</v>
      </c>
      <c r="J32" s="11">
        <v>4171.3649979495885</v>
      </c>
    </row>
    <row r="33" spans="1:10" x14ac:dyDescent="0.2">
      <c r="A33" t="s">
        <v>72</v>
      </c>
      <c r="B33" s="11">
        <v>533.10318081775836</v>
      </c>
      <c r="C33" s="11">
        <v>21186.893326484966</v>
      </c>
      <c r="D33" s="11">
        <v>12154.281432347789</v>
      </c>
      <c r="E33" s="11">
        <v>3.42688836530965</v>
      </c>
      <c r="F33" s="11">
        <v>574.09390434465308</v>
      </c>
      <c r="G33" s="11">
        <f>574.093904344653+574.093904344653</f>
        <v>1148.1878086893059</v>
      </c>
      <c r="H33" s="11">
        <v>38.819594298399174</v>
      </c>
      <c r="I33" s="11">
        <v>77.350944407698009</v>
      </c>
      <c r="J33" s="11">
        <v>453.01420723448337</v>
      </c>
    </row>
    <row r="34" spans="1:10" x14ac:dyDescent="0.2">
      <c r="A34" t="s">
        <v>73</v>
      </c>
      <c r="B34" s="11">
        <v>4537.2475986601294</v>
      </c>
      <c r="C34" s="11">
        <v>180321.90451612475</v>
      </c>
      <c r="D34" s="11">
        <v>103445.23579425315</v>
      </c>
      <c r="E34" s="11">
        <v>29.166288189326817</v>
      </c>
      <c r="F34" s="11">
        <v>4886.1201407531071</v>
      </c>
      <c r="G34" s="11">
        <f>4886.12014075311+4886.12014075311</f>
        <v>9772.2402815062196</v>
      </c>
      <c r="H34" s="11">
        <v>330.39403505563331</v>
      </c>
      <c r="I34" s="11">
        <v>658.33482034296264</v>
      </c>
      <c r="J34" s="11">
        <v>3855.6093789960601</v>
      </c>
    </row>
    <row r="35" spans="1:10" x14ac:dyDescent="0.2">
      <c r="A35" t="s">
        <v>74</v>
      </c>
      <c r="B35" s="11">
        <v>3361.9246290262377</v>
      </c>
      <c r="C35" s="11">
        <v>133611.5428491713</v>
      </c>
      <c r="D35" s="11">
        <v>76648.910690883582</v>
      </c>
      <c r="E35" s="11">
        <v>21.6110892052554</v>
      </c>
      <c r="F35" s="11">
        <v>3620.4256621194581</v>
      </c>
      <c r="G35" s="11">
        <f>3620.42566211946+3620.42566211946</f>
        <v>7240.8513242389199</v>
      </c>
      <c r="H35" s="11">
        <v>244.80917551532883</v>
      </c>
      <c r="I35" s="11">
        <v>487.80058802833673</v>
      </c>
      <c r="J35" s="11">
        <v>2856.8571252270281</v>
      </c>
    </row>
    <row r="36" spans="1:10" x14ac:dyDescent="0.2">
      <c r="A36" t="s">
        <v>75</v>
      </c>
      <c r="B36" s="11">
        <v>902.84744877301898</v>
      </c>
      <c r="C36" s="11">
        <v>35881.4827514266</v>
      </c>
      <c r="D36" s="11">
        <v>20584.124007723298</v>
      </c>
      <c r="E36" s="11">
        <v>5.8036746528200327</v>
      </c>
      <c r="F36" s="11">
        <v>972.26810033027971</v>
      </c>
      <c r="G36" s="11">
        <f>972.26810033028+972.26810033028</f>
        <v>1944.5362006605601</v>
      </c>
      <c r="H36" s="11">
        <v>65.743692658053305</v>
      </c>
      <c r="I36" s="11">
        <v>130.99922366163349</v>
      </c>
      <c r="J36" s="11">
        <v>767.21118158063075</v>
      </c>
    </row>
    <row r="37" spans="1:10" x14ac:dyDescent="0.2">
      <c r="A37" t="s">
        <v>76</v>
      </c>
      <c r="B37" s="11">
        <v>714.63274616671549</v>
      </c>
      <c r="C37" s="11">
        <v>28401.345753408881</v>
      </c>
      <c r="D37" s="11">
        <v>16292.995109048285</v>
      </c>
      <c r="E37" s="11">
        <v>4.5937948439013017</v>
      </c>
      <c r="F37" s="11">
        <v>769.58142097381494</v>
      </c>
      <c r="G37" s="11">
        <f>769.581420973815+769.581420973815</f>
        <v>1539.1628419476301</v>
      </c>
      <c r="H37" s="11">
        <v>52.03824377109899</v>
      </c>
      <c r="I37" s="11">
        <v>103.69009191779485</v>
      </c>
      <c r="J37" s="11">
        <v>607.27228539869975</v>
      </c>
    </row>
    <row r="38" spans="1:10" x14ac:dyDescent="0.2">
      <c r="A38" t="s">
        <v>77</v>
      </c>
      <c r="B38" s="11">
        <v>201.07656962369359</v>
      </c>
      <c r="C38" s="11">
        <v>7991.3007169414559</v>
      </c>
      <c r="D38" s="11">
        <v>4584.3681009528791</v>
      </c>
      <c r="E38" s="11">
        <v>1.292558329745493</v>
      </c>
      <c r="F38" s="11">
        <v>216.53750546080093</v>
      </c>
      <c r="G38" s="11">
        <f>216.537505460801+216.537505460801</f>
        <v>433.07501092160197</v>
      </c>
      <c r="H38" s="11">
        <v>14.642026415471692</v>
      </c>
      <c r="I38" s="11">
        <v>29.175332502789736</v>
      </c>
      <c r="J38" s="11">
        <v>170.86850362021437</v>
      </c>
    </row>
    <row r="39" spans="1:10" x14ac:dyDescent="0.2">
      <c r="A39" s="6" t="s">
        <v>43</v>
      </c>
      <c r="B39" s="14">
        <f>SUM(B12:B38)</f>
        <v>48148.852813914003</v>
      </c>
      <c r="C39" s="14">
        <f t="shared" ref="C39:J39" si="1">SUM(C12:C38)</f>
        <v>1913559.4103869207</v>
      </c>
      <c r="D39" s="14">
        <f t="shared" si="1"/>
        <v>1097751.2961886781</v>
      </c>
      <c r="E39" s="14">
        <f t="shared" si="1"/>
        <v>309.5099587624</v>
      </c>
      <c r="F39" s="14">
        <f t="shared" si="1"/>
        <v>51851.056036196009</v>
      </c>
      <c r="G39" s="14">
        <f t="shared" si="1"/>
        <v>103702.11207239202</v>
      </c>
      <c r="H39" s="14">
        <f t="shared" si="1"/>
        <v>3506.1110108221919</v>
      </c>
      <c r="I39" s="14">
        <f t="shared" si="1"/>
        <v>6986.1883614922017</v>
      </c>
      <c r="J39" s="14">
        <f t="shared" si="1"/>
        <v>40915.370929293997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694.30705333960577</v>
      </c>
      <c r="C42" s="11">
        <v>746.9100755310119</v>
      </c>
      <c r="D42" s="11">
        <v>28875.587336803132</v>
      </c>
      <c r="E42" s="11">
        <v>15200.528154180192</v>
      </c>
      <c r="F42" s="11">
        <v>48.836876447823272</v>
      </c>
      <c r="G42" s="11">
        <f>698.596749701492+698.596749701492</f>
        <v>1397.1934994029839</v>
      </c>
      <c r="H42" s="11">
        <v>123.48665645215588</v>
      </c>
      <c r="I42" s="11">
        <v>80.223791683453712</v>
      </c>
      <c r="J42" s="11">
        <v>560.67979175581877</v>
      </c>
    </row>
    <row r="43" spans="1:10" x14ac:dyDescent="0.2">
      <c r="A43" t="s">
        <v>15</v>
      </c>
      <c r="B43" s="11">
        <v>822.50696685046307</v>
      </c>
      <c r="C43" s="11">
        <v>884.82284283315767</v>
      </c>
      <c r="D43" s="11">
        <v>34207.303011226337</v>
      </c>
      <c r="E43" s="11">
        <v>18007.220647525904</v>
      </c>
      <c r="F43" s="11">
        <v>57.854332495024025</v>
      </c>
      <c r="G43" s="11">
        <f>827.588731649414+827.588731649414</f>
        <v>1655.1774632988279</v>
      </c>
      <c r="H43" s="11">
        <v>146.28777679331412</v>
      </c>
      <c r="I43" s="11">
        <v>95.036666053464259</v>
      </c>
      <c r="J43" s="11">
        <v>664.20617891355266</v>
      </c>
    </row>
    <row r="44" spans="1:10" x14ac:dyDescent="0.2">
      <c r="A44" t="s">
        <v>16</v>
      </c>
      <c r="B44" s="11">
        <v>4547.5909493997779</v>
      </c>
      <c r="C44" s="11">
        <v>4892.1316342136279</v>
      </c>
      <c r="D44" s="11">
        <v>189130.09597098111</v>
      </c>
      <c r="E44" s="11">
        <v>99560.826766129539</v>
      </c>
      <c r="F44" s="11">
        <v>319.87308246808999</v>
      </c>
      <c r="G44" s="11">
        <f>4575.68771761948+4575.68771761948</f>
        <v>9151.3754352389606</v>
      </c>
      <c r="H44" s="11">
        <v>808.81621258539212</v>
      </c>
      <c r="I44" s="11">
        <v>525.45194122889131</v>
      </c>
      <c r="J44" s="11">
        <v>3672.3555294964867</v>
      </c>
    </row>
    <row r="45" spans="1:10" x14ac:dyDescent="0.2">
      <c r="A45" t="s">
        <v>17</v>
      </c>
      <c r="B45" s="11">
        <v>1337.7402172891123</v>
      </c>
      <c r="C45" s="11">
        <v>1439.0918858310363</v>
      </c>
      <c r="D45" s="11">
        <v>55635.376729194286</v>
      </c>
      <c r="E45" s="11">
        <v>29287.26957053705</v>
      </c>
      <c r="F45" s="11">
        <v>94.095333464914859</v>
      </c>
      <c r="G45" s="11">
        <f>1346.00529153206+1346.00529153206</f>
        <v>2692.0105830641201</v>
      </c>
      <c r="H45" s="11">
        <v>237.92508781242677</v>
      </c>
      <c r="I45" s="11">
        <v>154.56935372063288</v>
      </c>
      <c r="J45" s="11">
        <v>1080.2769507314438</v>
      </c>
    </row>
    <row r="46" spans="1:10" x14ac:dyDescent="0.2">
      <c r="A46" t="s">
        <v>18</v>
      </c>
      <c r="B46" s="11">
        <v>4003.6721461521292</v>
      </c>
      <c r="C46" s="11">
        <v>4307.0037250812893</v>
      </c>
      <c r="D46" s="11">
        <v>166509.0166779487</v>
      </c>
      <c r="E46" s="11">
        <v>87652.762398087143</v>
      </c>
      <c r="F46" s="11">
        <v>281.61436787764433</v>
      </c>
      <c r="G46" s="11">
        <f>4028.40837453542+4028.40837453542</f>
        <v>8056.8167490708402</v>
      </c>
      <c r="H46" s="11">
        <v>712.07700466371068</v>
      </c>
      <c r="I46" s="11">
        <v>462.60477792474796</v>
      </c>
      <c r="J46" s="11">
        <v>3233.1200646253001</v>
      </c>
    </row>
    <row r="47" spans="1:10" x14ac:dyDescent="0.2">
      <c r="A47" t="s">
        <v>19</v>
      </c>
      <c r="B47" s="11">
        <v>667.44598290446231</v>
      </c>
      <c r="C47" s="11">
        <v>718.01392065104187</v>
      </c>
      <c r="D47" s="11">
        <v>27758.460293977852</v>
      </c>
      <c r="E47" s="11">
        <v>14612.456269504835</v>
      </c>
      <c r="F47" s="11">
        <v>46.947495126133411</v>
      </c>
      <c r="G47" s="11">
        <f>671.569721228665+671.569721228665</f>
        <v>1343.13944245733</v>
      </c>
      <c r="H47" s="11">
        <v>118.70925463719941</v>
      </c>
      <c r="I47" s="11">
        <v>77.120126081010952</v>
      </c>
      <c r="J47" s="11">
        <v>538.98843876512967</v>
      </c>
    </row>
    <row r="48" spans="1:10" x14ac:dyDescent="0.2">
      <c r="A48" t="s">
        <v>20</v>
      </c>
      <c r="B48" s="11">
        <v>728.33450751907685</v>
      </c>
      <c r="C48" s="11">
        <v>783.51556333222163</v>
      </c>
      <c r="D48" s="11">
        <v>30290.75764262427</v>
      </c>
      <c r="E48" s="11">
        <v>15945.494337055959</v>
      </c>
      <c r="F48" s="11">
        <v>51.230334165995068</v>
      </c>
      <c r="G48" s="11">
        <f>732.834438597284+732.834438597284</f>
        <v>1465.668877194568</v>
      </c>
      <c r="H48" s="11">
        <v>129.53864242002209</v>
      </c>
      <c r="I48" s="11">
        <v>84.155497954449814</v>
      </c>
      <c r="J48" s="11">
        <v>588.15827671655654</v>
      </c>
    </row>
    <row r="49" spans="1:10" x14ac:dyDescent="0.2">
      <c r="A49" t="s">
        <v>21</v>
      </c>
      <c r="B49" s="11">
        <v>3028.9467274553717</v>
      </c>
      <c r="C49" s="11">
        <v>3258.4298518951114</v>
      </c>
      <c r="D49" s="11">
        <v>125971.08922697505</v>
      </c>
      <c r="E49" s="11">
        <v>66313.00918914481</v>
      </c>
      <c r="F49" s="11">
        <v>213.05313893077007</v>
      </c>
      <c r="G49" s="11">
        <f>3047.66072682297+3047.66072682297</f>
        <v>6095.32145364594</v>
      </c>
      <c r="H49" s="11">
        <v>538.71626702632989</v>
      </c>
      <c r="I49" s="11">
        <v>349.98001261093816</v>
      </c>
      <c r="J49" s="11">
        <v>2445.9916001436236</v>
      </c>
    </row>
    <row r="50" spans="1:10" x14ac:dyDescent="0.2">
      <c r="A50" s="6" t="s">
        <v>44</v>
      </c>
      <c r="B50" s="14">
        <f>SUM(B42:B49)</f>
        <v>15830.544550910001</v>
      </c>
      <c r="C50" s="14">
        <f t="shared" ref="C50:J50" si="2">SUM(C42:C49)</f>
        <v>17029.919499368498</v>
      </c>
      <c r="D50" s="14">
        <f t="shared" si="2"/>
        <v>658377.68688973086</v>
      </c>
      <c r="E50" s="14">
        <f t="shared" si="2"/>
        <v>346579.56733216549</v>
      </c>
      <c r="F50" s="14">
        <f t="shared" si="2"/>
        <v>1113.5049609763951</v>
      </c>
      <c r="G50" s="14">
        <f t="shared" si="2"/>
        <v>31856.703503373566</v>
      </c>
      <c r="H50" s="14">
        <f t="shared" si="2"/>
        <v>2815.5569023905509</v>
      </c>
      <c r="I50" s="14">
        <f t="shared" si="2"/>
        <v>1829.1421672575893</v>
      </c>
      <c r="J50" s="14">
        <f t="shared" si="2"/>
        <v>12783.77683114791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413.03413630703483</v>
      </c>
      <c r="C53" s="11">
        <v>392.51933352808095</v>
      </c>
      <c r="D53" s="11">
        <v>14295.16436890898</v>
      </c>
      <c r="E53" s="11">
        <v>7848.6686802623926</v>
      </c>
      <c r="F53" s="11">
        <v>12.052477130195541</v>
      </c>
      <c r="G53" s="11">
        <f>372.397068021306+372.397068021306</f>
        <v>744.79413604261197</v>
      </c>
      <c r="H53" s="11">
        <v>41.609501430450919</v>
      </c>
      <c r="I53" s="11">
        <v>50.923476866150139</v>
      </c>
      <c r="J53" s="11">
        <v>292.88293888877195</v>
      </c>
    </row>
    <row r="54" spans="1:10" x14ac:dyDescent="0.2">
      <c r="A54" t="s">
        <v>26</v>
      </c>
      <c r="B54" s="11">
        <v>976.70725685028594</v>
      </c>
      <c r="C54" s="11">
        <v>928.19563278403223</v>
      </c>
      <c r="D54" s="11">
        <v>33803.963279688935</v>
      </c>
      <c r="E54" s="11">
        <v>18559.850101414657</v>
      </c>
      <c r="F54" s="11">
        <v>28.500651256905801</v>
      </c>
      <c r="G54" s="11">
        <f>880.612246770326+880.612246770326</f>
        <v>1761.224493540652</v>
      </c>
      <c r="H54" s="11">
        <v>98.394535532610831</v>
      </c>
      <c r="I54" s="11">
        <v>120.41941579919086</v>
      </c>
      <c r="J54" s="11">
        <v>692.58413935950068</v>
      </c>
    </row>
    <row r="55" spans="1:10" x14ac:dyDescent="0.2">
      <c r="A55" t="s">
        <v>27</v>
      </c>
      <c r="B55" s="11">
        <v>1675.1469418687295</v>
      </c>
      <c r="C55" s="11">
        <v>1591.9448379325581</v>
      </c>
      <c r="D55" s="11">
        <v>57977.050251090455</v>
      </c>
      <c r="E55" s="11">
        <v>31831.929087112821</v>
      </c>
      <c r="F55" s="11">
        <v>48.881359751779897</v>
      </c>
      <c r="G55" s="11">
        <f>1510.3347515883+1510.3347515883</f>
        <v>3020.6695031765998</v>
      </c>
      <c r="H55" s="11">
        <v>168.75609773350158</v>
      </c>
      <c r="I55" s="11">
        <v>206.53088702150814</v>
      </c>
      <c r="J55" s="11">
        <v>1187.8484519263598</v>
      </c>
    </row>
    <row r="56" spans="1:10" x14ac:dyDescent="0.2">
      <c r="A56" t="s">
        <v>28</v>
      </c>
      <c r="B56" s="11">
        <v>1269.2224008234498</v>
      </c>
      <c r="C56" s="11">
        <v>1206.1819764451418</v>
      </c>
      <c r="D56" s="11">
        <v>43927.949884958369</v>
      </c>
      <c r="E56" s="11">
        <v>24118.360275735839</v>
      </c>
      <c r="F56" s="11">
        <v>37.036343038932408</v>
      </c>
      <c r="G56" s="11">
        <f>1144.34778916738+1144.34778916738</f>
        <v>2288.6955783347598</v>
      </c>
      <c r="H56" s="11">
        <v>127.86282454718304</v>
      </c>
      <c r="I56" s="11">
        <v>156.48396073075776</v>
      </c>
      <c r="J56" s="11">
        <v>900.00693448810102</v>
      </c>
    </row>
    <row r="57" spans="1:10" x14ac:dyDescent="0.2">
      <c r="A57" t="s">
        <v>29</v>
      </c>
      <c r="B57" s="11">
        <v>2073.8696473943678</v>
      </c>
      <c r="C57" s="11">
        <v>1970.8635685604197</v>
      </c>
      <c r="D57" s="11">
        <v>71776.89416730385</v>
      </c>
      <c r="E57" s="11">
        <v>39408.645236894314</v>
      </c>
      <c r="F57" s="11">
        <v>60.516224445058263</v>
      </c>
      <c r="G57" s="11">
        <f>1869.82844336609+1869.82844336609</f>
        <v>3739.6568867321798</v>
      </c>
      <c r="H57" s="11">
        <v>208.92385029327886</v>
      </c>
      <c r="I57" s="11">
        <v>255.68989032420393</v>
      </c>
      <c r="J57" s="11">
        <v>1470.583140250576</v>
      </c>
    </row>
    <row r="58" spans="1:10" x14ac:dyDescent="0.2">
      <c r="A58" t="s">
        <v>30</v>
      </c>
      <c r="B58" s="11">
        <v>703.35680030426818</v>
      </c>
      <c r="C58" s="11">
        <v>668.42209449401537</v>
      </c>
      <c r="D58" s="11">
        <v>24343.268961346021</v>
      </c>
      <c r="E58" s="11">
        <v>13365.516320166817</v>
      </c>
      <c r="F58" s="11">
        <v>20.524191597890258</v>
      </c>
      <c r="G58" s="11">
        <f>634.155841326027+634.155841326027</f>
        <v>1268.3116826520541</v>
      </c>
      <c r="H58" s="11">
        <v>70.856917663149957</v>
      </c>
      <c r="I58" s="11">
        <v>86.717708296920108</v>
      </c>
      <c r="J58" s="11">
        <v>498.75104416886069</v>
      </c>
    </row>
    <row r="59" spans="1:10" x14ac:dyDescent="0.2">
      <c r="A59" t="s">
        <v>31</v>
      </c>
      <c r="B59" s="11">
        <v>432.67421583252167</v>
      </c>
      <c r="C59" s="11">
        <v>411.1839189657648</v>
      </c>
      <c r="D59" s="11">
        <v>14974.910037258707</v>
      </c>
      <c r="E59" s="11">
        <v>8221.878697303122</v>
      </c>
      <c r="F59" s="11">
        <v>12.62558135696141</v>
      </c>
      <c r="G59" s="11">
        <f>390.104824809621+390.104824809621</f>
        <v>780.20964961924199</v>
      </c>
      <c r="H59" s="11">
        <v>43.588064084900445</v>
      </c>
      <c r="I59" s="11">
        <v>53.344925960667616</v>
      </c>
      <c r="J59" s="11">
        <v>306.80973986184642</v>
      </c>
    </row>
    <row r="60" spans="1:10" x14ac:dyDescent="0.2">
      <c r="A60" t="s">
        <v>32</v>
      </c>
      <c r="B60" s="11">
        <v>909.86854690444602</v>
      </c>
      <c r="C60" s="11">
        <v>864.67670401850455</v>
      </c>
      <c r="D60" s="11">
        <v>31490.666966157718</v>
      </c>
      <c r="E60" s="11">
        <v>17289.749537641663</v>
      </c>
      <c r="F60" s="11">
        <v>26.550274878244512</v>
      </c>
      <c r="G60" s="11">
        <f>820.349577353446+820.349577353446</f>
        <v>1640.6991547068919</v>
      </c>
      <c r="H60" s="11">
        <v>91.661132279390301</v>
      </c>
      <c r="I60" s="11">
        <v>112.17879062926511</v>
      </c>
      <c r="J60" s="11">
        <v>645.18874009419699</v>
      </c>
    </row>
    <row r="61" spans="1:10" x14ac:dyDescent="0.2">
      <c r="A61" t="s">
        <v>33</v>
      </c>
      <c r="B61" s="11">
        <v>366.88917344792969</v>
      </c>
      <c r="C61" s="11">
        <v>348.66632363141326</v>
      </c>
      <c r="D61" s="11">
        <v>12698.081293001307</v>
      </c>
      <c r="E61" s="11">
        <v>6971.800419487693</v>
      </c>
      <c r="F61" s="11">
        <v>10.705951357517863</v>
      </c>
      <c r="G61" s="11">
        <f>330.792156073039+330.792156073039</f>
        <v>661.58431214607799</v>
      </c>
      <c r="H61" s="11">
        <v>36.96080843073544</v>
      </c>
      <c r="I61" s="11">
        <v>45.234208735299582</v>
      </c>
      <c r="J61" s="11">
        <v>260.16149736840009</v>
      </c>
    </row>
    <row r="62" spans="1:10" x14ac:dyDescent="0.2">
      <c r="A62" t="s">
        <v>34</v>
      </c>
      <c r="B62" s="11">
        <v>350.00565855237488</v>
      </c>
      <c r="C62" s="11">
        <v>332.62138828135238</v>
      </c>
      <c r="D62" s="11">
        <v>12113.740679620463</v>
      </c>
      <c r="E62" s="11">
        <v>6650.9719384369664</v>
      </c>
      <c r="F62" s="11">
        <v>10.213284627897423</v>
      </c>
      <c r="G62" s="11">
        <f>315.569754599847+315.569754599847</f>
        <v>631.13950919969398</v>
      </c>
      <c r="H62" s="11">
        <v>35.259945050582758</v>
      </c>
      <c r="I62" s="11">
        <v>43.152619818968546</v>
      </c>
      <c r="J62" s="11">
        <v>248.18937926311449</v>
      </c>
    </row>
    <row r="63" spans="1:10" x14ac:dyDescent="0.2">
      <c r="A63" t="s">
        <v>35</v>
      </c>
      <c r="B63" s="11">
        <v>164.65240803059359</v>
      </c>
      <c r="C63" s="11">
        <v>156.47436321321189</v>
      </c>
      <c r="D63" s="11">
        <v>5698.6409345699276</v>
      </c>
      <c r="E63" s="11">
        <v>3128.8024026151015</v>
      </c>
      <c r="F63" s="11">
        <v>4.8046134877945539</v>
      </c>
      <c r="G63" s="11">
        <f>148.452799910128+148.452799910128</f>
        <v>296.90559982025599</v>
      </c>
      <c r="H63" s="11">
        <v>16.587259999215426</v>
      </c>
      <c r="I63" s="11">
        <v>20.300193989459938</v>
      </c>
      <c r="J63" s="11">
        <v>116.75519507972477</v>
      </c>
    </row>
    <row r="64" spans="1:10" x14ac:dyDescent="0.2">
      <c r="A64" t="s">
        <v>36</v>
      </c>
      <c r="B64" s="11">
        <v>197.11388340237895</v>
      </c>
      <c r="C64" s="11">
        <v>187.3235244767246</v>
      </c>
      <c r="D64" s="11">
        <v>6822.1367556320647</v>
      </c>
      <c r="E64" s="11">
        <v>3745.6506063583556</v>
      </c>
      <c r="F64" s="11">
        <v>5.7518504232908834</v>
      </c>
      <c r="G64" s="11">
        <f>177.720497636479+177.720497636479</f>
        <v>355.44099527295799</v>
      </c>
      <c r="H64" s="11">
        <v>19.857463808502473</v>
      </c>
      <c r="I64" s="11">
        <v>24.302408443006694</v>
      </c>
      <c r="J64" s="11">
        <v>139.77366128341532</v>
      </c>
    </row>
    <row r="65" spans="1:10" x14ac:dyDescent="0.2">
      <c r="A65" t="s">
        <v>37</v>
      </c>
      <c r="B65" s="11">
        <v>33.316471608353716</v>
      </c>
      <c r="C65" s="11">
        <v>31.661691084770265</v>
      </c>
      <c r="D65" s="11">
        <v>1153.0873503381997</v>
      </c>
      <c r="E65" s="11">
        <v>633.09524386370504</v>
      </c>
      <c r="F65" s="11">
        <v>0.97218601762251733</v>
      </c>
      <c r="G65" s="11">
        <f>30.0385736992526+30.0385736992526</f>
        <v>60.077147398505197</v>
      </c>
      <c r="H65" s="11">
        <v>3.3563370462311108</v>
      </c>
      <c r="I65" s="11">
        <v>4.1076279708478225</v>
      </c>
      <c r="J65" s="11">
        <v>23.624744931022718</v>
      </c>
    </row>
    <row r="66" spans="1:10" x14ac:dyDescent="0.2">
      <c r="A66" t="s">
        <v>38</v>
      </c>
      <c r="B66" s="11">
        <v>3284.6897741664152</v>
      </c>
      <c r="C66" s="11">
        <v>3121.5440266755127</v>
      </c>
      <c r="D66" s="11">
        <v>113683.53386577862</v>
      </c>
      <c r="E66" s="11">
        <v>62417.218066726171</v>
      </c>
      <c r="F66" s="11">
        <v>95.848369185396066</v>
      </c>
      <c r="G66" s="11">
        <f>2961.51996586996+2961.51996586996</f>
        <v>5923.0399317399197</v>
      </c>
      <c r="H66" s="11">
        <v>330.90316717833258</v>
      </c>
      <c r="I66" s="11">
        <v>404.97336424247135</v>
      </c>
      <c r="J66" s="11">
        <v>2329.1769610069659</v>
      </c>
    </row>
    <row r="67" spans="1:10" x14ac:dyDescent="0.2">
      <c r="A67" t="s">
        <v>39</v>
      </c>
      <c r="B67" s="11">
        <v>344.40383673685039</v>
      </c>
      <c r="C67" s="11">
        <v>327.29780078025004</v>
      </c>
      <c r="D67" s="11">
        <v>11919.860908969415</v>
      </c>
      <c r="E67" s="11">
        <v>6544.5234888511086</v>
      </c>
      <c r="F67" s="11">
        <v>10.049821554547838</v>
      </c>
      <c r="G67" s="11">
        <f>310.519077582371+310.519077582371</f>
        <v>621.03815516474197</v>
      </c>
      <c r="H67" s="11">
        <v>34.695611518903611</v>
      </c>
      <c r="I67" s="11">
        <v>42.46196445042753</v>
      </c>
      <c r="J67" s="11">
        <v>244.21712154337382</v>
      </c>
    </row>
    <row r="68" spans="1:10" x14ac:dyDescent="0.2">
      <c r="A68" s="6" t="s">
        <v>48</v>
      </c>
      <c r="B68" s="14">
        <f>SUM(B53:B67)</f>
        <v>13194.95115223</v>
      </c>
      <c r="C68" s="14">
        <f t="shared" ref="C68:J68" si="3">SUM(C53:C67)</f>
        <v>12539.57718487175</v>
      </c>
      <c r="D68" s="14">
        <f t="shared" si="3"/>
        <v>456678.94970462297</v>
      </c>
      <c r="E68" s="14">
        <f t="shared" si="3"/>
        <v>250736.66010287078</v>
      </c>
      <c r="F68" s="14">
        <f t="shared" si="3"/>
        <v>385.03318011003523</v>
      </c>
      <c r="G68" s="14">
        <f t="shared" si="3"/>
        <v>23793.486735547147</v>
      </c>
      <c r="H68" s="14">
        <f t="shared" si="3"/>
        <v>1329.2735165969696</v>
      </c>
      <c r="I68" s="14">
        <f t="shared" si="3"/>
        <v>1626.8214432791453</v>
      </c>
      <c r="J68" s="14">
        <f t="shared" si="3"/>
        <v>9356.5536895142304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2501.8642063581742</v>
      </c>
      <c r="C71" s="11">
        <v>2377.502606307613</v>
      </c>
      <c r="D71" s="11">
        <v>96918.520882918208</v>
      </c>
      <c r="E71" s="11">
        <v>53915.601348673001</v>
      </c>
      <c r="F71" s="11">
        <v>81.485171880739017</v>
      </c>
      <c r="G71" s="11">
        <f>2563.52495539097+2563.52495539097</f>
        <v>5127.0499107819396</v>
      </c>
      <c r="H71" s="11">
        <v>283.25204339928825</v>
      </c>
      <c r="I71" s="11">
        <v>360.81881635775295</v>
      </c>
      <c r="J71" s="11">
        <v>2007.9141044037665</v>
      </c>
    </row>
    <row r="72" spans="1:10" x14ac:dyDescent="0.2">
      <c r="A72" t="s">
        <v>79</v>
      </c>
      <c r="B72" s="11">
        <v>2406.7083635105237</v>
      </c>
      <c r="C72" s="11">
        <v>2287.0767295550927</v>
      </c>
      <c r="D72" s="11">
        <v>93232.324198572111</v>
      </c>
      <c r="E72" s="11">
        <v>51864.976668111733</v>
      </c>
      <c r="F72" s="11">
        <v>78.385966819891948</v>
      </c>
      <c r="G72" s="11">
        <f>2466.02390910265+2466.02390910265</f>
        <v>4932.0478182053002</v>
      </c>
      <c r="H72" s="11">
        <v>272.4788420163033</v>
      </c>
      <c r="I72" s="11">
        <v>347.09544220396873</v>
      </c>
      <c r="J72" s="11">
        <v>1931.5451478134535</v>
      </c>
    </row>
    <row r="73" spans="1:10" x14ac:dyDescent="0.2">
      <c r="A73" t="s">
        <v>80</v>
      </c>
      <c r="B73" s="11">
        <v>1219.280729732717</v>
      </c>
      <c r="C73" s="11">
        <v>1158.6732426936428</v>
      </c>
      <c r="D73" s="11">
        <v>47233.133023936149</v>
      </c>
      <c r="E73" s="11">
        <v>26275.708165664124</v>
      </c>
      <c r="F73" s="11">
        <v>39.711707606132016</v>
      </c>
      <c r="G73" s="11">
        <f>1249.33102698127+1249.33102698127</f>
        <v>2498.6620539625401</v>
      </c>
      <c r="H73" s="11">
        <v>138.04256733697565</v>
      </c>
      <c r="I73" s="11">
        <v>175.84464759994779</v>
      </c>
      <c r="J73" s="11">
        <v>978.55469862681514</v>
      </c>
    </row>
    <row r="74" spans="1:10" x14ac:dyDescent="0.2">
      <c r="A74" t="s">
        <v>81</v>
      </c>
      <c r="B74" s="11">
        <v>1096.6652118641982</v>
      </c>
      <c r="C74" s="11">
        <v>1042.1526447469987</v>
      </c>
      <c r="D74" s="11">
        <v>42483.189122540985</v>
      </c>
      <c r="E74" s="11">
        <v>23633.322794084244</v>
      </c>
      <c r="F74" s="11">
        <v>35.718146915119959</v>
      </c>
      <c r="G74" s="11">
        <f>1123.69353667491+1123.69353667491</f>
        <v>2247.3870733498202</v>
      </c>
      <c r="H74" s="11">
        <v>124.16048057125306</v>
      </c>
      <c r="I74" s="11">
        <v>158.16103954800943</v>
      </c>
      <c r="J74" s="11">
        <v>880.14750805217056</v>
      </c>
    </row>
    <row r="75" spans="1:10" x14ac:dyDescent="0.2">
      <c r="A75" t="s">
        <v>82</v>
      </c>
      <c r="B75" s="11">
        <v>1622.4684314881069</v>
      </c>
      <c r="C75" s="11">
        <v>1541.8194619482715</v>
      </c>
      <c r="D75" s="11">
        <v>62852.028563113665</v>
      </c>
      <c r="E75" s="11">
        <v>34964.472064714522</v>
      </c>
      <c r="F75" s="11">
        <v>52.843443171253512</v>
      </c>
      <c r="G75" s="11">
        <f>1662.45566121599+1662.45566121599</f>
        <v>3324.9113224319799</v>
      </c>
      <c r="H75" s="11">
        <v>183.69002498293523</v>
      </c>
      <c r="I75" s="11">
        <v>233.9923715841949</v>
      </c>
      <c r="J75" s="11">
        <v>1302.1399160096673</v>
      </c>
    </row>
    <row r="76" spans="1:10" x14ac:dyDescent="0.2">
      <c r="A76" t="s">
        <v>83</v>
      </c>
      <c r="B76" s="11">
        <v>1006.3221186297611</v>
      </c>
      <c r="C76" s="11">
        <v>956.30028750038957</v>
      </c>
      <c r="D76" s="11">
        <v>38983.431243589301</v>
      </c>
      <c r="E76" s="11">
        <v>21686.413690442601</v>
      </c>
      <c r="F76" s="11">
        <v>32.775692060161369</v>
      </c>
      <c r="G76" s="11">
        <f>1031.12385464936+1031.12385464936</f>
        <v>2062.2477092987201</v>
      </c>
      <c r="H76" s="11">
        <v>113.93216134408107</v>
      </c>
      <c r="I76" s="11">
        <v>145.13176006749032</v>
      </c>
      <c r="J76" s="11">
        <v>807.64110635383599</v>
      </c>
    </row>
    <row r="77" spans="1:10" x14ac:dyDescent="0.2">
      <c r="A77" t="s">
        <v>84</v>
      </c>
      <c r="B77" s="11">
        <v>917.00828669874363</v>
      </c>
      <c r="C77" s="11">
        <v>871.42602947484659</v>
      </c>
      <c r="D77" s="11">
        <v>35523.545425989287</v>
      </c>
      <c r="E77" s="11">
        <v>19761.685343845147</v>
      </c>
      <c r="F77" s="11">
        <v>29.866760021511588</v>
      </c>
      <c r="G77" s="11">
        <f>939.608801020593+939.608801020593</f>
        <v>1879.217602041186</v>
      </c>
      <c r="H77" s="11">
        <v>103.8203713700334</v>
      </c>
      <c r="I77" s="11">
        <v>132.25092063590714</v>
      </c>
      <c r="J77" s="11">
        <v>735.96075599873632</v>
      </c>
    </row>
    <row r="78" spans="1:10" x14ac:dyDescent="0.2">
      <c r="A78" t="s">
        <v>85</v>
      </c>
      <c r="B78" s="11">
        <v>1570.373196565939</v>
      </c>
      <c r="C78" s="11">
        <v>1492.3137547684428</v>
      </c>
      <c r="D78" s="11">
        <v>60833.936173897135</v>
      </c>
      <c r="E78" s="11">
        <v>33841.81084629547</v>
      </c>
      <c r="F78" s="11">
        <v>51.146712724807919</v>
      </c>
      <c r="G78" s="11">
        <f>1609.07649121926+1609.07649121926</f>
        <v>3218.1529824385202</v>
      </c>
      <c r="H78" s="11">
        <v>177.7919903471747</v>
      </c>
      <c r="I78" s="11">
        <v>226.47919762586187</v>
      </c>
      <c r="J78" s="11">
        <v>1260.3299901525349</v>
      </c>
    </row>
    <row r="79" spans="1:10" x14ac:dyDescent="0.2">
      <c r="A79" t="s">
        <v>86</v>
      </c>
      <c r="B79" s="11">
        <v>1609.5264236173275</v>
      </c>
      <c r="C79" s="11">
        <v>1529.5207698907911</v>
      </c>
      <c r="D79" s="11">
        <v>62350.674310191651</v>
      </c>
      <c r="E79" s="11">
        <v>34685.569582621756</v>
      </c>
      <c r="F79" s="11">
        <v>52.421924795814803</v>
      </c>
      <c r="G79" s="11">
        <f>1649.19468563415+1649.19468563415</f>
        <v>3298.3893712682998</v>
      </c>
      <c r="H79" s="11">
        <v>182.22477752235298</v>
      </c>
      <c r="I79" s="11">
        <v>232.12587541331567</v>
      </c>
      <c r="J79" s="11">
        <v>1291.7530852308421</v>
      </c>
    </row>
    <row r="80" spans="1:10" x14ac:dyDescent="0.2">
      <c r="A80" t="s">
        <v>87</v>
      </c>
      <c r="B80" s="11">
        <v>2418.9419600520973</v>
      </c>
      <c r="C80" s="11">
        <v>2298.7022236919006</v>
      </c>
      <c r="D80" s="11">
        <v>93706.235643835404</v>
      </c>
      <c r="E80" s="11">
        <v>52128.612764954938</v>
      </c>
      <c r="F80" s="11">
        <v>78.784412392747726</v>
      </c>
      <c r="G80" s="11">
        <f>2478.55901390522+2478.55901390522</f>
        <v>4957.1180278104403</v>
      </c>
      <c r="H80" s="11">
        <v>273.86388570081533</v>
      </c>
      <c r="I80" s="11">
        <v>348.85977130412971</v>
      </c>
      <c r="J80" s="11">
        <v>1941.3634309085089</v>
      </c>
    </row>
    <row r="81" spans="1:10" x14ac:dyDescent="0.2">
      <c r="A81" t="s">
        <v>88</v>
      </c>
      <c r="B81" s="11">
        <v>1820.823603665689</v>
      </c>
      <c r="C81" s="11">
        <v>1730.314879736459</v>
      </c>
      <c r="D81" s="11">
        <v>70536.014707554161</v>
      </c>
      <c r="E81" s="11">
        <v>39239.059934589844</v>
      </c>
      <c r="F81" s="11">
        <v>59.303827894472143</v>
      </c>
      <c r="G81" s="11">
        <f>1865.69947941198+1865.69947941198</f>
        <v>3731.3989588239601</v>
      </c>
      <c r="H81" s="11">
        <v>206.14708228258078</v>
      </c>
      <c r="I81" s="11">
        <v>262.59915138529942</v>
      </c>
      <c r="J81" s="11">
        <v>1461.3332674652042</v>
      </c>
    </row>
    <row r="82" spans="1:10" x14ac:dyDescent="0.2">
      <c r="A82" t="s">
        <v>89</v>
      </c>
      <c r="B82" s="11">
        <v>1316.8159451614215</v>
      </c>
      <c r="C82" s="11">
        <v>1251.3602191886898</v>
      </c>
      <c r="D82" s="11">
        <v>51011.503084678574</v>
      </c>
      <c r="E82" s="11">
        <v>28377.608732108431</v>
      </c>
      <c r="F82" s="11">
        <v>42.888408313322628</v>
      </c>
      <c r="G82" s="11">
        <f>1349.27008768068+1349.27008768068</f>
        <v>2698.5401753613601</v>
      </c>
      <c r="H82" s="11">
        <v>149.08515270326359</v>
      </c>
      <c r="I82" s="11">
        <v>189.9111748298215</v>
      </c>
      <c r="J82" s="11">
        <v>1056.8332615630636</v>
      </c>
    </row>
    <row r="83" spans="1:10" x14ac:dyDescent="0.2">
      <c r="A83" t="s">
        <v>90</v>
      </c>
      <c r="B83" s="11">
        <v>1640.5408622138959</v>
      </c>
      <c r="C83" s="11">
        <v>1558.9935559873009</v>
      </c>
      <c r="D83" s="11">
        <v>63552.127813205298</v>
      </c>
      <c r="E83" s="11">
        <v>35353.936036394865</v>
      </c>
      <c r="F83" s="11">
        <v>53.432058300824146</v>
      </c>
      <c r="G83" s="11">
        <f>1680.9735036522+1680.9735036522</f>
        <v>3361.9470073043999</v>
      </c>
      <c r="H83" s="11">
        <v>185.73612041819601</v>
      </c>
      <c r="I83" s="11">
        <v>236.59877725825774</v>
      </c>
      <c r="J83" s="11">
        <v>1316.6442557987536</v>
      </c>
    </row>
    <row r="84" spans="1:10" x14ac:dyDescent="0.2">
      <c r="A84" t="s">
        <v>91</v>
      </c>
      <c r="B84" s="11">
        <v>1801.4137685919377</v>
      </c>
      <c r="C84" s="11">
        <v>1711.8698604749948</v>
      </c>
      <c r="D84" s="11">
        <v>69784.106390088884</v>
      </c>
      <c r="E84" s="11">
        <v>38820.774670577375</v>
      </c>
      <c r="F84" s="11">
        <v>58.671653796796512</v>
      </c>
      <c r="G84" s="11">
        <f>1845.81127106512+1845.81127106512</f>
        <v>3691.6225421302402</v>
      </c>
      <c r="H84" s="11">
        <v>203.94957074989605</v>
      </c>
      <c r="I84" s="11">
        <v>259.79986527727971</v>
      </c>
      <c r="J84" s="11">
        <v>1445.755570838149</v>
      </c>
    </row>
    <row r="85" spans="1:10" x14ac:dyDescent="0.2">
      <c r="A85" t="s">
        <v>92</v>
      </c>
      <c r="B85" s="11">
        <v>1859.528911446145</v>
      </c>
      <c r="C85" s="11">
        <v>1767.0962405681582</v>
      </c>
      <c r="D85" s="11">
        <v>72035.401113445623</v>
      </c>
      <c r="E85" s="11">
        <v>40073.165934054312</v>
      </c>
      <c r="F85" s="11">
        <v>60.564451332455747</v>
      </c>
      <c r="G85" s="11">
        <f>1905.3587151727+1905.3587151727</f>
        <v>3810.7174303453999</v>
      </c>
      <c r="H85" s="11">
        <v>210.52915765315868</v>
      </c>
      <c r="I85" s="11">
        <v>268.18123026256814</v>
      </c>
      <c r="J85" s="11">
        <v>1492.3968772367332</v>
      </c>
    </row>
    <row r="86" spans="1:10" x14ac:dyDescent="0.2">
      <c r="A86" t="s">
        <v>93</v>
      </c>
      <c r="B86" s="11">
        <v>1234.557635930699</v>
      </c>
      <c r="C86" s="11">
        <v>1173.1907709470604</v>
      </c>
      <c r="D86" s="11">
        <v>47824.937786405957</v>
      </c>
      <c r="E86" s="11">
        <v>26604.928105866409</v>
      </c>
      <c r="F86" s="11">
        <v>40.209273111160179</v>
      </c>
      <c r="G86" s="11">
        <f>1264.98444661138+1264.98444661138</f>
        <v>2529.96889322276</v>
      </c>
      <c r="H86" s="11">
        <v>139.77216356621966</v>
      </c>
      <c r="I86" s="11">
        <v>178.04788277072794</v>
      </c>
      <c r="J86" s="11">
        <v>990.8154421750163</v>
      </c>
    </row>
    <row r="87" spans="1:10" x14ac:dyDescent="0.2">
      <c r="A87" t="s">
        <v>94</v>
      </c>
      <c r="B87" s="11">
        <v>872.12423436535084</v>
      </c>
      <c r="C87" s="11">
        <v>828.77305449199434</v>
      </c>
      <c r="D87" s="11">
        <v>33784.80359007002</v>
      </c>
      <c r="E87" s="11">
        <v>18794.426342988834</v>
      </c>
      <c r="F87" s="11">
        <v>28.404896220192629</v>
      </c>
      <c r="G87" s="11">
        <f>893.618539853216+893.618539853216</f>
        <v>1787.237079706432</v>
      </c>
      <c r="H87" s="11">
        <v>98.738760822520732</v>
      </c>
      <c r="I87" s="11">
        <v>125.77774331672384</v>
      </c>
      <c r="J87" s="11">
        <v>699.93828862661474</v>
      </c>
    </row>
    <row r="88" spans="1:10" x14ac:dyDescent="0.2">
      <c r="A88" t="s">
        <v>95</v>
      </c>
      <c r="B88" s="11">
        <v>2111.7646421647901</v>
      </c>
      <c r="C88" s="11">
        <v>2006.7939450492584</v>
      </c>
      <c r="D88" s="11">
        <v>81806.640444879318</v>
      </c>
      <c r="E88" s="11">
        <v>45508.889051542632</v>
      </c>
      <c r="F88" s="11">
        <v>68.779714103248224</v>
      </c>
      <c r="G88" s="11">
        <f>2163.81102793022+2163.81102793022</f>
        <v>4327.62205586044</v>
      </c>
      <c r="H88" s="11">
        <v>239.08637749058911</v>
      </c>
      <c r="I88" s="11">
        <v>304.55866336614764</v>
      </c>
      <c r="J88" s="11">
        <v>1694.8329966941496</v>
      </c>
    </row>
    <row r="89" spans="1:10" x14ac:dyDescent="0.2">
      <c r="A89" t="s">
        <v>96</v>
      </c>
      <c r="B89" s="11">
        <v>1646.9832755575239</v>
      </c>
      <c r="C89" s="11">
        <v>1565.1157325932338</v>
      </c>
      <c r="D89" s="11">
        <v>63801.697382406543</v>
      </c>
      <c r="E89" s="11">
        <v>35492.771145301129</v>
      </c>
      <c r="F89" s="11">
        <v>53.641886299201587</v>
      </c>
      <c r="G89" s="11">
        <f>1687.57469620988+1687.57469620988</f>
        <v>3375.1493924197598</v>
      </c>
      <c r="H89" s="11">
        <v>186.46550722478926</v>
      </c>
      <c r="I89" s="11">
        <v>237.52790200900469</v>
      </c>
      <c r="J89" s="11">
        <v>1321.8147253175209</v>
      </c>
    </row>
    <row r="90" spans="1:10" x14ac:dyDescent="0.2">
      <c r="A90" t="s">
        <v>97</v>
      </c>
      <c r="B90" s="11">
        <v>2008.6828519343228</v>
      </c>
      <c r="C90" s="11">
        <v>1908.8361005295767</v>
      </c>
      <c r="D90" s="11">
        <v>77813.404275741748</v>
      </c>
      <c r="E90" s="11">
        <v>43287.458849915711</v>
      </c>
      <c r="F90" s="11">
        <v>65.42236266372673</v>
      </c>
      <c r="G90" s="11">
        <f>2058.18869198145+2058.18869198145</f>
        <v>4116.3773839629002</v>
      </c>
      <c r="H90" s="11">
        <v>227.41582892690877</v>
      </c>
      <c r="I90" s="11">
        <v>289.69220920589709</v>
      </c>
      <c r="J90" s="11">
        <v>1612.1029348526902</v>
      </c>
    </row>
    <row r="91" spans="1:10" x14ac:dyDescent="0.2">
      <c r="A91" t="s">
        <v>98</v>
      </c>
      <c r="B91" s="11">
        <v>1744.2135246741041</v>
      </c>
      <c r="C91" s="11">
        <v>1657.5129019116685</v>
      </c>
      <c r="D91" s="11">
        <v>67568.25349904476</v>
      </c>
      <c r="E91" s="11">
        <v>37588.099635584185</v>
      </c>
      <c r="F91" s="11">
        <v>56.808654320078475</v>
      </c>
      <c r="G91" s="11">
        <f>1787.20127442136+1787.20127442136</f>
        <v>3574.4025488427201</v>
      </c>
      <c r="H91" s="11">
        <v>197.47356540496625</v>
      </c>
      <c r="I91" s="11">
        <v>251.55044700215663</v>
      </c>
      <c r="J91" s="11">
        <v>1399.8485323002183</v>
      </c>
    </row>
    <row r="92" spans="1:10" x14ac:dyDescent="0.2">
      <c r="A92" t="s">
        <v>99</v>
      </c>
      <c r="B92" s="11">
        <v>1670.0781202361118</v>
      </c>
      <c r="C92" s="11">
        <v>1587.0625885720954</v>
      </c>
      <c r="D92" s="11">
        <v>64696.357524464234</v>
      </c>
      <c r="E92" s="11">
        <v>35990.468996261952</v>
      </c>
      <c r="F92" s="11">
        <v>54.394080356501391</v>
      </c>
      <c r="G92" s="11">
        <f>1711.23873461931+1711.23873461931</f>
        <v>3422.47746923862</v>
      </c>
      <c r="H92" s="11">
        <v>189.0802222563143</v>
      </c>
      <c r="I92" s="11">
        <v>240.85864014407883</v>
      </c>
      <c r="J92" s="11">
        <v>1340.3498897166521</v>
      </c>
    </row>
    <row r="93" spans="1:10" x14ac:dyDescent="0.2">
      <c r="A93" t="s">
        <v>100</v>
      </c>
      <c r="B93" s="11">
        <v>917.92000890269901</v>
      </c>
      <c r="C93" s="11">
        <v>872.29243217992689</v>
      </c>
      <c r="D93" s="11">
        <v>35558.864196384144</v>
      </c>
      <c r="E93" s="11">
        <v>19781.333113202199</v>
      </c>
      <c r="F93" s="11">
        <v>29.896454614970331</v>
      </c>
      <c r="G93" s="11">
        <f>940.54299345849+940.54299345849</f>
        <v>1881.0859869169799</v>
      </c>
      <c r="H93" s="11">
        <v>103.92359327017752</v>
      </c>
      <c r="I93" s="11">
        <v>132.3824091977732</v>
      </c>
      <c r="J93" s="11">
        <v>736.69247431820691</v>
      </c>
    </row>
    <row r="94" spans="1:10" x14ac:dyDescent="0.2">
      <c r="A94" t="s">
        <v>101</v>
      </c>
      <c r="B94" s="11">
        <v>1596.6638340569971</v>
      </c>
      <c r="C94" s="11">
        <v>1517.2975484522201</v>
      </c>
      <c r="D94" s="11">
        <v>61852.396605213435</v>
      </c>
      <c r="E94" s="11">
        <v>34408.378578695985</v>
      </c>
      <c r="F94" s="11">
        <v>52.002993057436967</v>
      </c>
      <c r="G94" s="11">
        <f>1636.0150857002+1636.0150857002</f>
        <v>3272.0301714003999</v>
      </c>
      <c r="H94" s="11">
        <v>180.76852151648711</v>
      </c>
      <c r="I94" s="11">
        <v>230.27083294991604</v>
      </c>
      <c r="J94" s="11">
        <v>1281.4299929815872</v>
      </c>
    </row>
    <row r="95" spans="1:10" x14ac:dyDescent="0.2">
      <c r="A95" t="s">
        <v>102</v>
      </c>
      <c r="B95" s="11">
        <v>1065.4252252659544</v>
      </c>
      <c r="C95" s="11">
        <v>1012.465522092786</v>
      </c>
      <c r="D95" s="11">
        <v>41272.998223366936</v>
      </c>
      <c r="E95" s="11">
        <v>22960.095742316887</v>
      </c>
      <c r="F95" s="11">
        <v>34.700667360857757</v>
      </c>
      <c r="G95" s="11">
        <f>1091.68361181682+1091.68361181682</f>
        <v>2183.3672236336402</v>
      </c>
      <c r="H95" s="11">
        <v>120.62360194401549</v>
      </c>
      <c r="I95" s="11">
        <v>153.65560917382521</v>
      </c>
      <c r="J95" s="11">
        <v>855.07532006027839</v>
      </c>
    </row>
    <row r="96" spans="1:10" x14ac:dyDescent="0.2">
      <c r="A96" t="s">
        <v>103</v>
      </c>
      <c r="B96" s="11">
        <v>1294.3786840933519</v>
      </c>
      <c r="C96" s="11">
        <v>1230.0382599343982</v>
      </c>
      <c r="D96" s="11">
        <v>50142.31675959556</v>
      </c>
      <c r="E96" s="11">
        <v>27894.081920370289</v>
      </c>
      <c r="F96" s="11">
        <v>42.157631610886796</v>
      </c>
      <c r="G96" s="11">
        <f>1326.27983963586+1326.27983963586</f>
        <v>2652.5596792717201</v>
      </c>
      <c r="H96" s="11">
        <v>146.54488691679023</v>
      </c>
      <c r="I96" s="11">
        <v>186.6752733926786</v>
      </c>
      <c r="J96" s="11">
        <v>1038.8258521887769</v>
      </c>
    </row>
    <row r="97" spans="1:10" x14ac:dyDescent="0.2">
      <c r="A97" t="s">
        <v>104</v>
      </c>
      <c r="B97" s="11">
        <v>1704.8156892265324</v>
      </c>
      <c r="C97" s="11">
        <v>1620.0734372830791</v>
      </c>
      <c r="D97" s="11">
        <v>66042.039595083334</v>
      </c>
      <c r="E97" s="11">
        <v>36739.069546503568</v>
      </c>
      <c r="F97" s="11">
        <v>55.525475406924123</v>
      </c>
      <c r="G97" s="11">
        <f>1746.83244301094+1746.83244301094</f>
        <v>3493.6648860218802</v>
      </c>
      <c r="H97" s="11">
        <v>193.01308454926149</v>
      </c>
      <c r="I97" s="11">
        <v>245.86849179566562</v>
      </c>
      <c r="J97" s="11">
        <v>1368.2291225508336</v>
      </c>
    </row>
    <row r="98" spans="1:10" x14ac:dyDescent="0.2">
      <c r="A98" t="s">
        <v>105</v>
      </c>
      <c r="B98" s="11">
        <v>1933.044853062634</v>
      </c>
      <c r="C98" s="11">
        <v>1836.9578830802373</v>
      </c>
      <c r="D98" s="11">
        <v>74883.300014064473</v>
      </c>
      <c r="E98" s="11">
        <v>41657.447043674016</v>
      </c>
      <c r="F98" s="11">
        <v>62.958849526958062</v>
      </c>
      <c r="G98" s="11">
        <f>1980.68652492113+1980.68652492113</f>
        <v>3961.3730498422601</v>
      </c>
      <c r="H98" s="11">
        <v>218.85236745502277</v>
      </c>
      <c r="I98" s="11">
        <v>278.78369820230483</v>
      </c>
      <c r="J98" s="11">
        <v>1551.3983592896484</v>
      </c>
    </row>
    <row r="99" spans="1:10" x14ac:dyDescent="0.2">
      <c r="A99" t="s">
        <v>106</v>
      </c>
      <c r="B99" s="11">
        <v>1925.1824403281769</v>
      </c>
      <c r="C99" s="11">
        <v>1829.486291808204</v>
      </c>
      <c r="D99" s="11">
        <v>74578.721767628056</v>
      </c>
      <c r="E99" s="11">
        <v>41488.010705141962</v>
      </c>
      <c r="F99" s="11">
        <v>62.70277245793234</v>
      </c>
      <c r="G99" s="11">
        <f>1972.63033577899+1972.63033577899</f>
        <v>3945.26067155798</v>
      </c>
      <c r="H99" s="11">
        <v>217.96221343810058</v>
      </c>
      <c r="I99" s="11">
        <v>277.64978116182226</v>
      </c>
      <c r="J99" s="11">
        <v>1545.0882448621587</v>
      </c>
    </row>
    <row r="100" spans="1:10" x14ac:dyDescent="0.2">
      <c r="A100" t="s">
        <v>107</v>
      </c>
      <c r="B100" s="11">
        <v>340.05649841321991</v>
      </c>
      <c r="C100" s="11">
        <v>323.15311487114582</v>
      </c>
      <c r="D100" s="11">
        <v>13173.286047690221</v>
      </c>
      <c r="E100" s="11">
        <v>7328.2756745463503</v>
      </c>
      <c r="F100" s="11">
        <v>11.07556603269798</v>
      </c>
      <c r="G100" s="11">
        <f>348.437504205756+348.437504205756</f>
        <v>696.875008411512</v>
      </c>
      <c r="H100" s="11">
        <v>38.499970462810033</v>
      </c>
      <c r="I100" s="11">
        <v>49.042942834545755</v>
      </c>
      <c r="J100" s="11">
        <v>272.91818545658873</v>
      </c>
    </row>
    <row r="101" spans="1:10" x14ac:dyDescent="0.2">
      <c r="A101" t="s">
        <v>40</v>
      </c>
      <c r="B101" s="11">
        <v>1753.5086437290624</v>
      </c>
      <c r="C101" s="11">
        <v>1666.3459831488278</v>
      </c>
      <c r="D101" s="11">
        <v>67928.332670387375</v>
      </c>
      <c r="E101" s="11">
        <v>37788.411040248749</v>
      </c>
      <c r="F101" s="11">
        <v>57.111394321682219</v>
      </c>
      <c r="G101" s="11">
        <f>1796.72548025162+1796.72548025162</f>
        <v>3593.4509605032399</v>
      </c>
      <c r="H101" s="11">
        <v>198.52592526497207</v>
      </c>
      <c r="I101" s="11">
        <v>252.89098892557163</v>
      </c>
      <c r="J101" s="11">
        <v>1407.3084898011616</v>
      </c>
    </row>
    <row r="102" spans="1:10" x14ac:dyDescent="0.2">
      <c r="A102" t="s">
        <v>108</v>
      </c>
      <c r="B102" s="11">
        <v>453.92964866750577</v>
      </c>
      <c r="C102" s="11">
        <v>431.36590708824025</v>
      </c>
      <c r="D102" s="11">
        <v>17584.563551431635</v>
      </c>
      <c r="E102" s="11">
        <v>9782.261529503925</v>
      </c>
      <c r="F102" s="11">
        <v>14.784389716049919</v>
      </c>
      <c r="G102" s="11">
        <f>465.117163191235+465.117163191235</f>
        <v>930.23432638247004</v>
      </c>
      <c r="H102" s="11">
        <v>51.392277893352876</v>
      </c>
      <c r="I102" s="11">
        <v>65.465726767127322</v>
      </c>
      <c r="J102" s="11">
        <v>364.30903869610148</v>
      </c>
    </row>
    <row r="103" spans="1:10" x14ac:dyDescent="0.2">
      <c r="A103" t="s">
        <v>109</v>
      </c>
      <c r="B103" s="11">
        <v>5248.8292024242492</v>
      </c>
      <c r="C103" s="11">
        <v>4987.9226366935027</v>
      </c>
      <c r="D103" s="11">
        <v>203331.88402999891</v>
      </c>
      <c r="E103" s="11">
        <v>113113.16661631189</v>
      </c>
      <c r="F103" s="11">
        <v>170.95322305872233</v>
      </c>
      <c r="G103" s="11">
        <f>5378.19143533208+5378.19143533208</f>
        <v>10756.38287066416</v>
      </c>
      <c r="H103" s="11">
        <v>594.25351434428683</v>
      </c>
      <c r="I103" s="11">
        <v>756.98606473911605</v>
      </c>
      <c r="J103" s="11">
        <v>4212.5380587683267</v>
      </c>
    </row>
    <row r="104" spans="1:10" x14ac:dyDescent="0.2">
      <c r="A104" t="s">
        <v>110</v>
      </c>
      <c r="B104" s="11">
        <v>608.25213279970887</v>
      </c>
      <c r="C104" s="11">
        <v>578.01739492828472</v>
      </c>
      <c r="D104" s="11">
        <v>23562.788453910416</v>
      </c>
      <c r="E104" s="11">
        <v>13107.937444473071</v>
      </c>
      <c r="F104" s="11">
        <v>19.810639387242073</v>
      </c>
      <c r="G104" s="11">
        <f>623.243067165334+623.243067165334</f>
        <v>1246.4861343306679</v>
      </c>
      <c r="H104" s="11">
        <v>68.86411304004541</v>
      </c>
      <c r="I104" s="11">
        <v>87.722112993230112</v>
      </c>
      <c r="J104" s="11">
        <v>488.1631998165135</v>
      </c>
    </row>
    <row r="105" spans="1:10" x14ac:dyDescent="0.2">
      <c r="A105" t="s">
        <v>111</v>
      </c>
      <c r="B105" s="11">
        <v>567.47241875032353</v>
      </c>
      <c r="C105" s="11">
        <v>539.26474153067147</v>
      </c>
      <c r="D105" s="11">
        <v>21983.042615726838</v>
      </c>
      <c r="E105" s="11">
        <v>12229.127635286819</v>
      </c>
      <c r="F105" s="11">
        <v>18.482452989228658</v>
      </c>
      <c r="G105" s="11">
        <f>581.458299481448+581.458299481448</f>
        <v>1162.9165989628959</v>
      </c>
      <c r="H105" s="11">
        <v>64.24718087227555</v>
      </c>
      <c r="I105" s="11">
        <v>81.84086327659368</v>
      </c>
      <c r="J105" s="11">
        <v>455.43473965260051</v>
      </c>
    </row>
    <row r="106" spans="1:10" x14ac:dyDescent="0.2">
      <c r="A106" s="6" t="s">
        <v>49</v>
      </c>
      <c r="B106" s="14">
        <f t="shared" ref="B106:G106" si="4">SUM(B71:B105)</f>
        <v>55506.165584180002</v>
      </c>
      <c r="C106" s="14">
        <f t="shared" si="4"/>
        <v>52747.088753720011</v>
      </c>
      <c r="D106" s="14">
        <f t="shared" si="4"/>
        <v>2150226.8007310503</v>
      </c>
      <c r="E106" s="14">
        <f t="shared" si="4"/>
        <v>1196167.3572948691</v>
      </c>
      <c r="F106" s="14">
        <f t="shared" si="4"/>
        <v>1807.8237146417496</v>
      </c>
      <c r="G106" s="14">
        <f t="shared" si="4"/>
        <v>113748.33237670756</v>
      </c>
      <c r="H106" s="14">
        <f t="shared" ref="H106:J106" si="5">SUM(H71:H105)</f>
        <v>6284.2079050582151</v>
      </c>
      <c r="I106" s="14">
        <f t="shared" si="5"/>
        <v>8005.0983245787129</v>
      </c>
      <c r="J106" s="14">
        <f t="shared" si="5"/>
        <v>44547.426864577865</v>
      </c>
    </row>
    <row r="108" spans="1:10" x14ac:dyDescent="0.2">
      <c r="A108" s="9" t="s">
        <v>50</v>
      </c>
      <c r="B108" s="13">
        <f t="shared" ref="B108:J108" si="6">B9+B39+B50+B68+B106</f>
        <v>135404.11610347099</v>
      </c>
      <c r="C108" s="13">
        <f t="shared" si="6"/>
        <v>2028440.7165458275</v>
      </c>
      <c r="D108" s="13">
        <f t="shared" si="6"/>
        <v>4645936.2715988662</v>
      </c>
      <c r="E108" s="13">
        <f t="shared" si="6"/>
        <v>1913413.1024932219</v>
      </c>
      <c r="F108" s="13">
        <f t="shared" si="6"/>
        <v>59458.830232852837</v>
      </c>
      <c r="G108" s="13">
        <f t="shared" si="6"/>
        <v>418951.12031705631</v>
      </c>
      <c r="H108" s="13">
        <f t="shared" si="6"/>
        <v>30965.091322411841</v>
      </c>
      <c r="I108" s="13">
        <f t="shared" si="6"/>
        <v>40324.823140963053</v>
      </c>
      <c r="J108" s="13">
        <f t="shared" si="6"/>
        <v>144065.74972179299</v>
      </c>
    </row>
  </sheetData>
  <mergeCells count="6">
    <mergeCell ref="A52:J52"/>
    <mergeCell ref="A70:J70"/>
    <mergeCell ref="B1:J1"/>
    <mergeCell ref="A3:J3"/>
    <mergeCell ref="A11:J11"/>
    <mergeCell ref="A41:J4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25.5" customWidth="1"/>
    <col min="2" max="2" width="9.33203125" bestFit="1" customWidth="1"/>
    <col min="3" max="4" width="11.33203125" bestFit="1" customWidth="1"/>
    <col min="5" max="5" width="10.33203125" bestFit="1" customWidth="1"/>
    <col min="6" max="10" width="9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2</v>
      </c>
      <c r="B5" s="11">
        <v>92.774200000000022</v>
      </c>
      <c r="C5" s="11">
        <v>1420.0676000000001</v>
      </c>
      <c r="D5" s="11">
        <v>1235.7614000000001</v>
      </c>
      <c r="E5" s="11">
        <v>127.05670000000001</v>
      </c>
      <c r="F5" s="11">
        <v>0</v>
      </c>
      <c r="G5" s="11">
        <f>11.98921+11.98921</f>
        <v>23.97842</v>
      </c>
      <c r="H5" s="11">
        <v>6.2067000000000005</v>
      </c>
      <c r="I5" s="11">
        <v>4.5558998000000006</v>
      </c>
      <c r="J5" s="11">
        <v>6.9537418000000004</v>
      </c>
    </row>
    <row r="6" spans="1:10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6" t="s">
        <v>42</v>
      </c>
      <c r="B9" s="12">
        <f>SUM(B4:B8)</f>
        <v>92.774200000000022</v>
      </c>
      <c r="C9" s="12">
        <f t="shared" ref="C9:J9" si="0">SUM(C4:C8)</f>
        <v>1420.0676000000001</v>
      </c>
      <c r="D9" s="12">
        <f t="shared" si="0"/>
        <v>1235.7614000000001</v>
      </c>
      <c r="E9" s="12">
        <f t="shared" si="0"/>
        <v>127.05670000000001</v>
      </c>
      <c r="F9" s="12">
        <f t="shared" si="0"/>
        <v>0</v>
      </c>
      <c r="G9" s="12">
        <f t="shared" si="0"/>
        <v>23.97842</v>
      </c>
      <c r="H9" s="12">
        <f t="shared" si="0"/>
        <v>6.2067000000000005</v>
      </c>
      <c r="I9" s="12">
        <f t="shared" si="0"/>
        <v>4.5558998000000006</v>
      </c>
      <c r="J9" s="12">
        <f t="shared" si="0"/>
        <v>6.9537418000000004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60</v>
      </c>
      <c r="B21" s="11">
        <v>8.9226217204564993</v>
      </c>
      <c r="C21" s="11">
        <v>146.47711240643025</v>
      </c>
      <c r="D21" s="11">
        <v>113.99519558228005</v>
      </c>
      <c r="E21" s="11">
        <v>25.976724260645479</v>
      </c>
      <c r="F21" s="11">
        <v>0</v>
      </c>
      <c r="G21" s="11">
        <f>0.686561320407412+0.686561320407412</f>
        <v>1.373122640814824</v>
      </c>
      <c r="H21" s="11">
        <v>0.37307299055098792</v>
      </c>
      <c r="I21" s="11">
        <v>0.26</v>
      </c>
      <c r="J21" s="11">
        <v>0.39</v>
      </c>
    </row>
    <row r="22" spans="1:10" x14ac:dyDescent="0.2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71</v>
      </c>
      <c r="B32" s="11">
        <v>58.777978279543511</v>
      </c>
      <c r="C32" s="11">
        <v>964.92138759356976</v>
      </c>
      <c r="D32" s="11">
        <v>750.94600441771991</v>
      </c>
      <c r="E32" s="11">
        <v>171.12227573935451</v>
      </c>
      <c r="F32" s="11">
        <v>0</v>
      </c>
      <c r="G32" s="11">
        <f>4.52273867959259+4.52273867959259</f>
        <v>9.0454773591851794</v>
      </c>
      <c r="H32" s="11">
        <v>2.4576270094490122</v>
      </c>
      <c r="I32" s="11">
        <v>1.7</v>
      </c>
      <c r="J32" s="11">
        <v>2.62</v>
      </c>
    </row>
    <row r="33" spans="1:10" x14ac:dyDescent="0.2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6" t="s">
        <v>43</v>
      </c>
      <c r="B39" s="12">
        <f>SUM(B12:B38)</f>
        <v>67.700600000000009</v>
      </c>
      <c r="C39" s="12">
        <f t="shared" ref="C39:J39" si="1">SUM(C12:C38)</f>
        <v>1111.3985</v>
      </c>
      <c r="D39" s="12">
        <f t="shared" si="1"/>
        <v>864.94119999999998</v>
      </c>
      <c r="E39" s="12">
        <f t="shared" si="1"/>
        <v>197.09899999999999</v>
      </c>
      <c r="F39" s="12">
        <f t="shared" si="1"/>
        <v>0</v>
      </c>
      <c r="G39" s="12">
        <f t="shared" si="1"/>
        <v>10.418600000000003</v>
      </c>
      <c r="H39" s="12">
        <f t="shared" si="1"/>
        <v>2.8307000000000002</v>
      </c>
      <c r="I39" s="12">
        <f t="shared" si="1"/>
        <v>1.96</v>
      </c>
      <c r="J39" s="12">
        <f t="shared" si="1"/>
        <v>3.0100000000000002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18</v>
      </c>
      <c r="B46" s="11">
        <v>835.27960000000007</v>
      </c>
      <c r="C46" s="11">
        <v>13042.866320000001</v>
      </c>
      <c r="D46" s="11">
        <v>7898.6268799999998</v>
      </c>
      <c r="E46" s="11">
        <v>1913.7951200000002</v>
      </c>
      <c r="F46" s="11">
        <v>0</v>
      </c>
      <c r="G46" s="11">
        <f>66.442936+66.442936</f>
        <v>132.88587200000001</v>
      </c>
      <c r="H46" s="11">
        <v>39.064800000000005</v>
      </c>
      <c r="I46" s="11">
        <v>25.24</v>
      </c>
      <c r="J46" s="11">
        <v>38.5</v>
      </c>
    </row>
    <row r="47" spans="1:10" x14ac:dyDescent="0.2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6" t="s">
        <v>44</v>
      </c>
      <c r="B50" s="12">
        <f>SUM(B42:B49)</f>
        <v>835.27960000000007</v>
      </c>
      <c r="C50" s="12">
        <f t="shared" ref="C50:J50" si="2">SUM(C42:C49)</f>
        <v>13042.866320000001</v>
      </c>
      <c r="D50" s="12">
        <f>SUM(D42:D49)</f>
        <v>7898.6268799999998</v>
      </c>
      <c r="E50" s="12">
        <f>SUM(E42:E49)</f>
        <v>1913.7951200000002</v>
      </c>
      <c r="F50" s="12">
        <f t="shared" si="2"/>
        <v>0</v>
      </c>
      <c r="G50" s="12">
        <f t="shared" si="2"/>
        <v>132.88587200000001</v>
      </c>
      <c r="H50" s="12">
        <f t="shared" si="2"/>
        <v>39.064800000000005</v>
      </c>
      <c r="I50" s="12">
        <f t="shared" si="2"/>
        <v>25.24</v>
      </c>
      <c r="J50" s="12">
        <f t="shared" si="2"/>
        <v>38.5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27</v>
      </c>
      <c r="B55" s="11">
        <v>23.697000000000003</v>
      </c>
      <c r="C55" s="11">
        <v>370.46310000000005</v>
      </c>
      <c r="D55" s="11">
        <v>308.85090000000002</v>
      </c>
      <c r="E55" s="11">
        <v>28.436399999999999</v>
      </c>
      <c r="F55" s="11">
        <v>0</v>
      </c>
      <c r="G55" s="11">
        <f>3.1596+3.1596</f>
        <v>6.3192000000000004</v>
      </c>
      <c r="H55" s="11">
        <v>1.5798000000000001</v>
      </c>
      <c r="I55" s="11">
        <v>1.2</v>
      </c>
      <c r="J55" s="11">
        <v>1.83</v>
      </c>
    </row>
    <row r="56" spans="1:10" x14ac:dyDescent="0.2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6" t="s">
        <v>48</v>
      </c>
      <c r="B68" s="12">
        <f>SUM(B53:B67)</f>
        <v>23.697000000000003</v>
      </c>
      <c r="C68" s="12">
        <f t="shared" ref="C68:J68" si="3">SUM(C53:C67)</f>
        <v>370.46310000000005</v>
      </c>
      <c r="D68" s="12">
        <f t="shared" si="3"/>
        <v>308.85090000000002</v>
      </c>
      <c r="E68" s="12">
        <f t="shared" si="3"/>
        <v>28.436399999999999</v>
      </c>
      <c r="F68" s="12">
        <f t="shared" si="3"/>
        <v>0</v>
      </c>
      <c r="G68" s="12">
        <f t="shared" si="3"/>
        <v>6.3192000000000004</v>
      </c>
      <c r="H68" s="12">
        <f t="shared" si="3"/>
        <v>1.5798000000000001</v>
      </c>
      <c r="I68" s="12">
        <f t="shared" si="3"/>
        <v>1.2</v>
      </c>
      <c r="J68" s="12">
        <f t="shared" si="3"/>
        <v>1.83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 s="11">
        <v>72.247257125129977</v>
      </c>
      <c r="C101" s="11">
        <v>1168.1692629244776</v>
      </c>
      <c r="D101" s="11">
        <v>727.31673964545428</v>
      </c>
      <c r="E101" s="11">
        <v>71.241425433620265</v>
      </c>
      <c r="F101" s="11">
        <v>0</v>
      </c>
      <c r="G101" s="11">
        <f>6.47217607048028+6.47217607048028</f>
        <v>12.944352140960561</v>
      </c>
      <c r="H101" s="11">
        <v>3.3447639443513233</v>
      </c>
      <c r="I101" s="11">
        <v>2.4594269067825083</v>
      </c>
      <c r="J101" s="11">
        <v>3.7538621208785652</v>
      </c>
    </row>
    <row r="102" spans="1:10" x14ac:dyDescent="0.2">
      <c r="A102" t="s">
        <v>108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</row>
    <row r="103" spans="1:10" x14ac:dyDescent="0.2">
      <c r="A103" t="s">
        <v>109</v>
      </c>
      <c r="B103" s="11">
        <v>163.21334287487008</v>
      </c>
      <c r="C103" s="11">
        <v>2639.0041370755225</v>
      </c>
      <c r="D103" s="11">
        <v>1643.0768603545457</v>
      </c>
      <c r="E103" s="11">
        <v>160.94107456637974</v>
      </c>
      <c r="F103" s="11">
        <v>0</v>
      </c>
      <c r="G103" s="11">
        <f>14.6212539295197+14.6212539295197</f>
        <v>29.242507859039399</v>
      </c>
      <c r="H103" s="11">
        <v>7.5561360556486772</v>
      </c>
      <c r="I103" s="11">
        <v>5.5560764932174926</v>
      </c>
      <c r="J103" s="11">
        <v>8.4803272791214361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12">
        <f t="shared" ref="B106:G106" si="4">SUM(B71:B105)</f>
        <v>235.46060000000006</v>
      </c>
      <c r="C106" s="12">
        <f t="shared" si="4"/>
        <v>3807.1734000000001</v>
      </c>
      <c r="D106" s="12">
        <f t="shared" si="4"/>
        <v>2370.3935999999999</v>
      </c>
      <c r="E106" s="12">
        <f t="shared" si="4"/>
        <v>232.1825</v>
      </c>
      <c r="F106" s="12">
        <f t="shared" si="4"/>
        <v>0</v>
      </c>
      <c r="G106" s="12">
        <f t="shared" si="4"/>
        <v>42.18685999999996</v>
      </c>
      <c r="H106" s="12">
        <f t="shared" ref="H106:J106" si="5">SUM(H71:H105)</f>
        <v>10.9009</v>
      </c>
      <c r="I106" s="12">
        <f t="shared" si="5"/>
        <v>8.0155034000000001</v>
      </c>
      <c r="J106" s="12">
        <f t="shared" si="5"/>
        <v>12.234189400000002</v>
      </c>
    </row>
    <row r="108" spans="1:10" x14ac:dyDescent="0.2">
      <c r="A108" s="9" t="s">
        <v>50</v>
      </c>
      <c r="B108" s="13">
        <f t="shared" ref="B108:J108" si="6">B9+B39+B50+B68+B106</f>
        <v>1254.912</v>
      </c>
      <c r="C108" s="13">
        <f t="shared" si="6"/>
        <v>19751.968920000003</v>
      </c>
      <c r="D108" s="13">
        <f t="shared" si="6"/>
        <v>12678.573979999999</v>
      </c>
      <c r="E108" s="13">
        <f t="shared" si="6"/>
        <v>2498.56972</v>
      </c>
      <c r="F108" s="13">
        <f t="shared" si="6"/>
        <v>0</v>
      </c>
      <c r="G108" s="13">
        <f t="shared" si="6"/>
        <v>215.78895199999997</v>
      </c>
      <c r="H108" s="13">
        <f t="shared" si="6"/>
        <v>60.582900000000009</v>
      </c>
      <c r="I108" s="13">
        <f t="shared" si="6"/>
        <v>40.971403199999997</v>
      </c>
      <c r="J108" s="13">
        <f t="shared" si="6"/>
        <v>62.527931199999998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5.5" customWidth="1"/>
    <col min="2" max="2" width="14.33203125" bestFit="1" customWidth="1"/>
    <col min="3" max="3" width="15.33203125" bestFit="1" customWidth="1"/>
    <col min="4" max="4" width="17.5" bestFit="1" customWidth="1"/>
    <col min="5" max="5" width="14.33203125" bestFit="1" customWidth="1"/>
    <col min="6" max="6" width="13.33203125" bestFit="1" customWidth="1"/>
    <col min="7" max="7" width="14.33203125" bestFit="1" customWidth="1"/>
    <col min="8" max="8" width="13.33203125" bestFit="1" customWidth="1"/>
    <col min="9" max="10" width="12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55.50347253838072</v>
      </c>
      <c r="C4" s="11">
        <v>85.903773049645395</v>
      </c>
      <c r="D4" s="11">
        <v>1554.1728666666666</v>
      </c>
      <c r="E4" s="11">
        <v>6.923181276595745</v>
      </c>
      <c r="F4" s="11">
        <v>1.0052272218439715</v>
      </c>
      <c r="G4" s="11">
        <f xml:space="preserve"> 61.4830700141844 + 7.60697673758865</f>
        <v>69.090046751773045</v>
      </c>
      <c r="H4" s="11">
        <v>2.2264502127659576</v>
      </c>
      <c r="I4" s="11">
        <v>0.18392558014184396</v>
      </c>
      <c r="J4" s="11">
        <v>0.15562788652482268</v>
      </c>
    </row>
    <row r="5" spans="1:10" x14ac:dyDescent="0.2">
      <c r="A5" t="s">
        <v>2</v>
      </c>
      <c r="B5" s="11">
        <v>240.78712351209282</v>
      </c>
      <c r="C5" s="11">
        <v>372.67078014184398</v>
      </c>
      <c r="D5" s="11">
        <v>6742.3675833333327</v>
      </c>
      <c r="E5" s="11">
        <v>30.034389361702129</v>
      </c>
      <c r="F5" s="11">
        <v>4.3609122124113471</v>
      </c>
      <c r="G5" s="11">
        <f xml:space="preserve"> 266.728024326241+33.000854964539</f>
        <v>299.72887929078001</v>
      </c>
      <c r="H5" s="11">
        <v>9.6588648936170216</v>
      </c>
      <c r="I5" s="11">
        <v>0.79791244326241129</v>
      </c>
      <c r="J5" s="11">
        <v>0.67515039007092192</v>
      </c>
    </row>
    <row r="6" spans="1:10" x14ac:dyDescent="0.2">
      <c r="A6" t="s">
        <v>3</v>
      </c>
      <c r="B6" s="11">
        <v>52.238562389064207</v>
      </c>
      <c r="C6" s="11">
        <v>80.850609929078018</v>
      </c>
      <c r="D6" s="11">
        <v>1462.7509333333333</v>
      </c>
      <c r="E6" s="11">
        <v>6.5159353191489373</v>
      </c>
      <c r="F6" s="11">
        <v>0.94609620879432621</v>
      </c>
      <c r="G6" s="11">
        <f>57.8664188368794+7.1595075177305</f>
        <v>65.025926354609894</v>
      </c>
      <c r="H6" s="11">
        <v>2.0954825531914896</v>
      </c>
      <c r="I6" s="11">
        <v>0.17310642836879434</v>
      </c>
      <c r="J6" s="11">
        <v>0.146473304964539</v>
      </c>
    </row>
    <row r="7" spans="1:10" x14ac:dyDescent="0.2">
      <c r="A7" t="s">
        <v>4</v>
      </c>
      <c r="B7" s="11">
        <v>388.52430776866504</v>
      </c>
      <c r="C7" s="11">
        <v>601.32641134751771</v>
      </c>
      <c r="D7" s="11">
        <v>10879.210066666665</v>
      </c>
      <c r="E7" s="11">
        <v>48.462268936170211</v>
      </c>
      <c r="F7" s="11">
        <v>7.0365905529078008</v>
      </c>
      <c r="G7" s="11">
        <f>430.381490099291+53.2488371631206</f>
        <v>483.63032726241158</v>
      </c>
      <c r="H7" s="11">
        <v>15.585151489361701</v>
      </c>
      <c r="I7" s="11">
        <v>1.2874790609929077</v>
      </c>
      <c r="J7" s="11">
        <v>1.0893952056737588</v>
      </c>
    </row>
    <row r="8" spans="1:10" x14ac:dyDescent="0.2">
      <c r="A8" t="s">
        <v>5</v>
      </c>
      <c r="B8" s="11">
        <v>413.82736142586805</v>
      </c>
      <c r="C8" s="11">
        <v>640.48842553191491</v>
      </c>
      <c r="D8" s="11">
        <v>11587.73005</v>
      </c>
      <c r="E8" s="11">
        <v>51.618425106382986</v>
      </c>
      <c r="F8" s="11">
        <v>7.4948559040425531</v>
      </c>
      <c r="G8" s="11">
        <f>458.410536723404+56.7167236170213</f>
        <v>515.12726034042532</v>
      </c>
      <c r="H8" s="11">
        <v>16.60015085106383</v>
      </c>
      <c r="I8" s="11">
        <v>1.3713274872340426</v>
      </c>
      <c r="J8" s="11">
        <v>1.1603432127659574</v>
      </c>
    </row>
    <row r="9" spans="1:10" x14ac:dyDescent="0.2">
      <c r="A9" s="6" t="s">
        <v>42</v>
      </c>
      <c r="B9" s="14">
        <f>SUM(B4:B8)</f>
        <v>1150.8808276340708</v>
      </c>
      <c r="C9" s="14">
        <f t="shared" ref="C9:J9" si="0">SUM(C4:C8)</f>
        <v>1781.2399999999998</v>
      </c>
      <c r="D9" s="14">
        <f t="shared" si="0"/>
        <v>32226.231499999994</v>
      </c>
      <c r="E9" s="14">
        <f t="shared" si="0"/>
        <v>143.55420000000001</v>
      </c>
      <c r="F9" s="14">
        <f t="shared" si="0"/>
        <v>20.843682099999999</v>
      </c>
      <c r="G9" s="14">
        <f t="shared" si="0"/>
        <v>1432.6024399999999</v>
      </c>
      <c r="H9" s="14">
        <f t="shared" si="0"/>
        <v>46.1661</v>
      </c>
      <c r="I9" s="14">
        <f t="shared" si="0"/>
        <v>3.8137509999999999</v>
      </c>
      <c r="J9" s="14">
        <f t="shared" si="0"/>
        <v>3.2269899999999998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952.98040711418037</v>
      </c>
      <c r="C12" s="11">
        <v>23420.809710606238</v>
      </c>
      <c r="D12" s="11">
        <v>854982.40009733988</v>
      </c>
      <c r="E12" s="11">
        <v>2178.3644048056344</v>
      </c>
      <c r="F12" s="11">
        <v>559.94215761548378</v>
      </c>
      <c r="G12" s="11">
        <f>124.715249243481+826.418684014902</f>
        <v>951.13393325838308</v>
      </c>
      <c r="H12" s="11">
        <v>448.4400510134069</v>
      </c>
      <c r="I12" s="11">
        <v>13.832649607171284</v>
      </c>
      <c r="J12" s="11">
        <v>11.530138857324781</v>
      </c>
    </row>
    <row r="13" spans="1:10" x14ac:dyDescent="0.2">
      <c r="A13" t="s">
        <v>52</v>
      </c>
      <c r="B13" s="11">
        <v>939.36640129826355</v>
      </c>
      <c r="C13" s="11">
        <v>23086.226714740435</v>
      </c>
      <c r="D13" s="11">
        <v>842768.36581023503</v>
      </c>
      <c r="E13" s="11">
        <v>2147.244913308411</v>
      </c>
      <c r="F13" s="11">
        <v>551.94298393526253</v>
      </c>
      <c r="G13" s="11">
        <f>122.933602825717+814.612702814689</f>
        <v>937.54630564040599</v>
      </c>
      <c r="H13" s="11">
        <v>442.03376457035824</v>
      </c>
      <c r="I13" s="11">
        <v>13.635040327068838</v>
      </c>
      <c r="J13" s="11">
        <v>11.365422587934427</v>
      </c>
    </row>
    <row r="14" spans="1:10" x14ac:dyDescent="0.2">
      <c r="A14" t="s">
        <v>53</v>
      </c>
      <c r="B14" s="11">
        <v>790.31598256759617</v>
      </c>
      <c r="C14" s="11">
        <v>19423.106813935505</v>
      </c>
      <c r="D14" s="11">
        <v>709045.27581748262</v>
      </c>
      <c r="E14" s="11">
        <v>1806.5389299949907</v>
      </c>
      <c r="F14" s="11">
        <v>464.36551389023407</v>
      </c>
      <c r="G14" s="11">
        <f>103.427577326063+685.357106393482</f>
        <v>788.784683719545</v>
      </c>
      <c r="H14" s="11">
        <v>371.89572513095794</v>
      </c>
      <c r="I14" s="11">
        <v>11.471551759295531</v>
      </c>
      <c r="J14" s="11">
        <v>9.5620570498000337</v>
      </c>
    </row>
    <row r="15" spans="1:10" x14ac:dyDescent="0.2">
      <c r="A15" t="s">
        <v>54</v>
      </c>
      <c r="B15" s="11">
        <v>956.86575259422852</v>
      </c>
      <c r="C15" s="11">
        <v>23516.297442010637</v>
      </c>
      <c r="D15" s="11">
        <v>858468.20314107544</v>
      </c>
      <c r="E15" s="11">
        <v>2187.2456978846171</v>
      </c>
      <c r="F15" s="11">
        <v>562.22506785680525</v>
      </c>
      <c r="G15" s="11">
        <f>125.223719120011+829.788031458558</f>
        <v>955.01175057856892</v>
      </c>
      <c r="H15" s="11">
        <v>450.26836197580508</v>
      </c>
      <c r="I15" s="11">
        <v>13.889045963515128</v>
      </c>
      <c r="J15" s="11">
        <v>11.577147770162027</v>
      </c>
    </row>
    <row r="16" spans="1:10" x14ac:dyDescent="0.2">
      <c r="A16" t="s">
        <v>55</v>
      </c>
      <c r="B16" s="11">
        <v>1188.8239370802546</v>
      </c>
      <c r="C16" s="11">
        <v>29216.990194043268</v>
      </c>
      <c r="D16" s="11">
        <v>1066573.3895788933</v>
      </c>
      <c r="E16" s="11">
        <v>2717.4658878440496</v>
      </c>
      <c r="F16" s="11">
        <v>698.51660683082116</v>
      </c>
      <c r="G16" s="11">
        <f>155.579771118858+1030.94072687432</f>
        <v>1186.520497993178</v>
      </c>
      <c r="H16" s="11">
        <v>559.41996604590622</v>
      </c>
      <c r="I16" s="11">
        <v>17.255952843822435</v>
      </c>
      <c r="J16" s="11">
        <v>14.383616881437675</v>
      </c>
    </row>
    <row r="17" spans="1:10" x14ac:dyDescent="0.2">
      <c r="A17" t="s">
        <v>56</v>
      </c>
      <c r="B17" s="11">
        <v>1139.0180910840465</v>
      </c>
      <c r="C17" s="11">
        <v>27992.942739505004</v>
      </c>
      <c r="D17" s="11">
        <v>1021889.2371757323</v>
      </c>
      <c r="E17" s="11">
        <v>2603.6175009733092</v>
      </c>
      <c r="F17" s="11">
        <v>669.25221413104578</v>
      </c>
      <c r="G17" s="11">
        <f>149.061747819713+987.749406887923</f>
        <v>1136.811154707636</v>
      </c>
      <c r="H17" s="11">
        <v>535.98303496886524</v>
      </c>
      <c r="I17" s="11">
        <v>16.53301372470607</v>
      </c>
      <c r="J17" s="11">
        <v>13.781014439712965</v>
      </c>
    </row>
    <row r="18" spans="1:10" x14ac:dyDescent="0.2">
      <c r="A18" t="s">
        <v>57</v>
      </c>
      <c r="B18" s="11">
        <v>790.59132201106411</v>
      </c>
      <c r="C18" s="11">
        <v>19429.8736610429</v>
      </c>
      <c r="D18" s="11">
        <v>709292.30123003072</v>
      </c>
      <c r="E18" s="11">
        <v>1807.1683129690916</v>
      </c>
      <c r="F18" s="11">
        <v>464.52729493095762</v>
      </c>
      <c r="G18" s="11">
        <f>103.463610624399+685.595879046969</f>
        <v>789.05948967136806</v>
      </c>
      <c r="H18" s="11">
        <v>372.02529047474991</v>
      </c>
      <c r="I18" s="11">
        <v>11.475548351477377</v>
      </c>
      <c r="J18" s="11">
        <v>9.5653883900798373</v>
      </c>
    </row>
    <row r="19" spans="1:10" x14ac:dyDescent="0.2">
      <c r="A19" t="s">
        <v>58</v>
      </c>
      <c r="B19" s="11">
        <v>274.819357852542</v>
      </c>
      <c r="C19" s="11">
        <v>6754.0652850842971</v>
      </c>
      <c r="D19" s="11">
        <v>246558.80899115265</v>
      </c>
      <c r="E19" s="11">
        <v>628.19413959451094</v>
      </c>
      <c r="F19" s="11">
        <v>161.47545431331912</v>
      </c>
      <c r="G19" s="11">
        <f>35.9652354399419+238.321638475309</f>
        <v>274.28687391525091</v>
      </c>
      <c r="H19" s="11">
        <v>129.32060925372181</v>
      </c>
      <c r="I19" s="11">
        <v>3.9890430632815299</v>
      </c>
      <c r="J19" s="11">
        <v>3.3250477481652809</v>
      </c>
    </row>
    <row r="20" spans="1:10" x14ac:dyDescent="0.2">
      <c r="A20" t="s">
        <v>59</v>
      </c>
      <c r="B20" s="11">
        <v>1063.1467777728694</v>
      </c>
      <c r="C20" s="11">
        <v>26128.300425466372</v>
      </c>
      <c r="D20" s="11">
        <v>953820.01238467603</v>
      </c>
      <c r="E20" s="11">
        <v>2430.1875258876598</v>
      </c>
      <c r="F20" s="11">
        <v>624.67254957610521</v>
      </c>
      <c r="G20" s="11">
        <f>139.132572278016+921.954275704714</f>
        <v>1061.08684798273</v>
      </c>
      <c r="H20" s="11">
        <v>500.28058467951536</v>
      </c>
      <c r="I20" s="11">
        <v>15.431730545708165</v>
      </c>
      <c r="J20" s="11">
        <v>12.863045118166724</v>
      </c>
    </row>
    <row r="21" spans="1:10" x14ac:dyDescent="0.2">
      <c r="A21" t="s">
        <v>60</v>
      </c>
      <c r="B21" s="11">
        <v>1159.9744820591095</v>
      </c>
      <c r="C21" s="11">
        <v>28507.974991568091</v>
      </c>
      <c r="D21" s="11">
        <v>1040690.6157974554</v>
      </c>
      <c r="E21" s="11">
        <v>2651.520538446563</v>
      </c>
      <c r="F21" s="11">
        <v>681.56554889722884</v>
      </c>
      <c r="G21" s="11">
        <f>151.804282193125+1005.9226588478</f>
        <v>1157.7269410409249</v>
      </c>
      <c r="H21" s="11">
        <v>545.84439724636707</v>
      </c>
      <c r="I21" s="11">
        <v>16.837198796324444</v>
      </c>
      <c r="J21" s="11">
        <v>14.034566449898117</v>
      </c>
    </row>
    <row r="22" spans="1:10" x14ac:dyDescent="0.2">
      <c r="A22" t="s">
        <v>61</v>
      </c>
      <c r="B22" s="11">
        <v>405.66678004282602</v>
      </c>
      <c r="C22" s="11">
        <v>9969.8214049001199</v>
      </c>
      <c r="D22" s="11">
        <v>363950.77448766376</v>
      </c>
      <c r="E22" s="11">
        <v>927.29091517568895</v>
      </c>
      <c r="F22" s="11">
        <v>238.35739999940012</v>
      </c>
      <c r="G22" s="11">
        <f>53.0890595495525+351.791709471512</f>
        <v>404.88076902106445</v>
      </c>
      <c r="H22" s="11">
        <v>190.89293985354013</v>
      </c>
      <c r="I22" s="11">
        <v>5.8883124812549346</v>
      </c>
      <c r="J22" s="11">
        <v>4.9081746789125704</v>
      </c>
    </row>
    <row r="23" spans="1:10" x14ac:dyDescent="0.2">
      <c r="A23" t="s">
        <v>62</v>
      </c>
      <c r="B23" s="11">
        <v>627.98808400747282</v>
      </c>
      <c r="C23" s="11">
        <v>15433.674508173814</v>
      </c>
      <c r="D23" s="11">
        <v>563410.0714862952</v>
      </c>
      <c r="E23" s="11">
        <v>1435.4827010415813</v>
      </c>
      <c r="F23" s="11">
        <v>368.98660254809101</v>
      </c>
      <c r="G23" s="11">
        <f>82.1839461066111+544.587362015213</f>
        <v>626.77130812182406</v>
      </c>
      <c r="H23" s="11">
        <v>295.50975689092144</v>
      </c>
      <c r="I23" s="11">
        <v>9.11533863519759</v>
      </c>
      <c r="J23" s="11">
        <v>7.5980468803950485</v>
      </c>
    </row>
    <row r="24" spans="1:10" x14ac:dyDescent="0.2">
      <c r="A24" t="s">
        <v>63</v>
      </c>
      <c r="B24" s="11">
        <v>557.28703357919449</v>
      </c>
      <c r="C24" s="11">
        <v>13696.0985453741</v>
      </c>
      <c r="D24" s="11">
        <v>499979.43499753269</v>
      </c>
      <c r="E24" s="11">
        <v>1273.8711395807202</v>
      </c>
      <c r="F24" s="11">
        <v>327.44482642451527</v>
      </c>
      <c r="G24" s="11">
        <f>72.9313958336838+483.275850658602</f>
        <v>556.20724649228578</v>
      </c>
      <c r="H24" s="11">
        <v>262.240255834999</v>
      </c>
      <c r="I24" s="11">
        <v>8.0891025760588153</v>
      </c>
      <c r="J24" s="11">
        <v>6.7426327263251427</v>
      </c>
    </row>
    <row r="25" spans="1:10" x14ac:dyDescent="0.2">
      <c r="A25" t="s">
        <v>64</v>
      </c>
      <c r="B25" s="11">
        <v>195.06269906131664</v>
      </c>
      <c r="C25" s="11">
        <v>4793.9352396412642</v>
      </c>
      <c r="D25" s="11">
        <v>175003.78115636081</v>
      </c>
      <c r="E25" s="11">
        <v>445.88287142987883</v>
      </c>
      <c r="F25" s="11">
        <v>114.61287951705695</v>
      </c>
      <c r="G25" s="11">
        <f>25.5275900217154+169.157159848443</f>
        <v>194.68474987015841</v>
      </c>
      <c r="H25" s="11">
        <v>91.789848001973752</v>
      </c>
      <c r="I25" s="11">
        <v>2.8313635279397786</v>
      </c>
      <c r="J25" s="11">
        <v>2.3600695137817911</v>
      </c>
    </row>
    <row r="26" spans="1:10" x14ac:dyDescent="0.2">
      <c r="A26" t="s">
        <v>65</v>
      </c>
      <c r="B26" s="11">
        <v>249.39634923899834</v>
      </c>
      <c r="C26" s="11">
        <v>6129.2597355011894</v>
      </c>
      <c r="D26" s="11">
        <v>223750.12923253659</v>
      </c>
      <c r="E26" s="11">
        <v>570.081111652505</v>
      </c>
      <c r="F26" s="11">
        <v>146.5376715531757</v>
      </c>
      <c r="G26" s="11">
        <f>32.6381608935107+216.274963469967</f>
        <v>248.91312436347769</v>
      </c>
      <c r="H26" s="11">
        <v>117.35740917692755</v>
      </c>
      <c r="I26" s="11">
        <v>3.6200243851576341</v>
      </c>
      <c r="J26" s="11">
        <v>3.0174539956632942</v>
      </c>
    </row>
    <row r="27" spans="1:10" x14ac:dyDescent="0.2">
      <c r="A27" t="s">
        <v>66</v>
      </c>
      <c r="B27" s="11">
        <v>394.89794847607834</v>
      </c>
      <c r="C27" s="11">
        <v>9705.1624958107641</v>
      </c>
      <c r="D27" s="11">
        <v>354289.33613022353</v>
      </c>
      <c r="E27" s="11">
        <v>902.6750477441775</v>
      </c>
      <c r="F27" s="11">
        <v>232.0299637399892</v>
      </c>
      <c r="G27" s="11">
        <f>51.679757214602+342.453045690669</f>
        <v>394.13280290527098</v>
      </c>
      <c r="H27" s="11">
        <v>185.8254952963421</v>
      </c>
      <c r="I27" s="11">
        <v>5.7320013203649092</v>
      </c>
      <c r="J27" s="11">
        <v>4.7778822590802008</v>
      </c>
    </row>
    <row r="28" spans="1:10" x14ac:dyDescent="0.2">
      <c r="A28" t="s">
        <v>67</v>
      </c>
      <c r="B28" s="11">
        <v>482.21114532692491</v>
      </c>
      <c r="C28" s="11">
        <v>11851.00490075684</v>
      </c>
      <c r="D28" s="11">
        <v>432623.83917606005</v>
      </c>
      <c r="E28" s="11">
        <v>1102.2593819758076</v>
      </c>
      <c r="F28" s="11">
        <v>283.33252932055393</v>
      </c>
      <c r="G28" s="11">
        <f>63.106316487183+418.170507141023</f>
        <v>481.27682362820599</v>
      </c>
      <c r="H28" s="11">
        <v>226.91210542771492</v>
      </c>
      <c r="I28" s="11">
        <v>6.999365107808468</v>
      </c>
      <c r="J28" s="11">
        <v>5.834287276698336</v>
      </c>
    </row>
    <row r="29" spans="1:10" x14ac:dyDescent="0.2">
      <c r="A29" t="s">
        <v>68</v>
      </c>
      <c r="B29" s="11">
        <v>1107.2010887277463</v>
      </c>
      <c r="C29" s="11">
        <v>27210.995962650089</v>
      </c>
      <c r="D29" s="11">
        <v>993344.07839238609</v>
      </c>
      <c r="E29" s="11">
        <v>2530.888801743843</v>
      </c>
      <c r="F29" s="11">
        <v>650.55751609187712</v>
      </c>
      <c r="G29" s="11">
        <f>144.897900011904+960.157900262706</f>
        <v>1105.05580027461</v>
      </c>
      <c r="H29" s="11">
        <v>521.01103968623465</v>
      </c>
      <c r="I29" s="11">
        <v>16.071185294803723</v>
      </c>
      <c r="J29" s="11">
        <v>13.396059562935509</v>
      </c>
    </row>
    <row r="30" spans="1:10" x14ac:dyDescent="0.2">
      <c r="A30" t="s">
        <v>69</v>
      </c>
      <c r="B30" s="11">
        <v>469.97383672834792</v>
      </c>
      <c r="C30" s="11">
        <v>11550.256140428026</v>
      </c>
      <c r="D30" s="11">
        <v>421644.93195169617</v>
      </c>
      <c r="E30" s="11">
        <v>1074.2868053490902</v>
      </c>
      <c r="F30" s="11">
        <v>276.14226084395057</v>
      </c>
      <c r="G30" s="11">
        <f>61.5048365611029+407.558389208248</f>
        <v>469.06322576935088</v>
      </c>
      <c r="H30" s="11">
        <v>221.15364570362621</v>
      </c>
      <c r="I30" s="11">
        <v>6.8217387886152574</v>
      </c>
      <c r="J30" s="11">
        <v>5.6862277087070066</v>
      </c>
    </row>
    <row r="31" spans="1:10" x14ac:dyDescent="0.2">
      <c r="A31" t="s">
        <v>70</v>
      </c>
      <c r="B31" s="11">
        <v>139.62769110976305</v>
      </c>
      <c r="C31" s="11">
        <v>3431.5433553517455</v>
      </c>
      <c r="D31" s="11">
        <v>125269.33142999228</v>
      </c>
      <c r="E31" s="11">
        <v>319.16709931084802</v>
      </c>
      <c r="F31" s="11">
        <v>82.040963318043907</v>
      </c>
      <c r="G31" s="11">
        <f>18.272885956573+121.08426561297</f>
        <v>139.35715156954299</v>
      </c>
      <c r="H31" s="11">
        <v>65.704025451851976</v>
      </c>
      <c r="I31" s="11">
        <v>2.0267163019945342</v>
      </c>
      <c r="J31" s="11">
        <v>1.689359670781069</v>
      </c>
    </row>
    <row r="32" spans="1:10" x14ac:dyDescent="0.2">
      <c r="A32" t="s">
        <v>71</v>
      </c>
      <c r="B32" s="11">
        <v>534.89275884379867</v>
      </c>
      <c r="C32" s="11">
        <v>13145.728313972375</v>
      </c>
      <c r="D32" s="11">
        <v>479888.0347769467</v>
      </c>
      <c r="E32" s="11">
        <v>1222.681324353827</v>
      </c>
      <c r="F32" s="11">
        <v>314.28663511233123</v>
      </c>
      <c r="G32" s="11">
        <f>70.0006875689574+463.855674841623</f>
        <v>533.85636241058046</v>
      </c>
      <c r="H32" s="11">
        <v>251.70227453991674</v>
      </c>
      <c r="I32" s="11">
        <v>7.7640464119352401</v>
      </c>
      <c r="J32" s="11">
        <v>6.4716837169010102</v>
      </c>
    </row>
    <row r="33" spans="1:10" x14ac:dyDescent="0.2">
      <c r="A33" t="s">
        <v>72</v>
      </c>
      <c r="B33" s="11">
        <v>110.99238898909297</v>
      </c>
      <c r="C33" s="11">
        <v>2727.7912561823255</v>
      </c>
      <c r="D33" s="11">
        <v>99578.688524980709</v>
      </c>
      <c r="E33" s="11">
        <v>253.71127000432878</v>
      </c>
      <c r="F33" s="11">
        <v>65.215735082792136</v>
      </c>
      <c r="G33" s="11">
        <f>14.5254229295457+96.2519096502749</f>
        <v>110.77733257982059</v>
      </c>
      <c r="H33" s="11">
        <v>52.229229697484435</v>
      </c>
      <c r="I33" s="11">
        <v>1.6110707150824211</v>
      </c>
      <c r="J33" s="11">
        <v>1.342900281681358</v>
      </c>
    </row>
    <row r="34" spans="1:10" x14ac:dyDescent="0.2">
      <c r="A34" t="s">
        <v>73</v>
      </c>
      <c r="B34" s="11">
        <v>365.92612036894735</v>
      </c>
      <c r="C34" s="11">
        <v>8993.1398057323022</v>
      </c>
      <c r="D34" s="11">
        <v>328296.77327654196</v>
      </c>
      <c r="E34" s="11">
        <v>836.44997258042349</v>
      </c>
      <c r="F34" s="11">
        <v>215.00700312163082</v>
      </c>
      <c r="G34" s="11">
        <f>47.8882534896076+317.328856484823</f>
        <v>365.21710997443063</v>
      </c>
      <c r="H34" s="11">
        <v>172.19234189956211</v>
      </c>
      <c r="I34" s="11">
        <v>5.3114710096749826</v>
      </c>
      <c r="J34" s="11">
        <v>4.4273512318607287</v>
      </c>
    </row>
    <row r="35" spans="1:10" x14ac:dyDescent="0.2">
      <c r="A35" t="s">
        <v>74</v>
      </c>
      <c r="B35" s="11">
        <v>613.02797424571247</v>
      </c>
      <c r="C35" s="11">
        <v>15066.009148671839</v>
      </c>
      <c r="D35" s="11">
        <v>549988.35740451026</v>
      </c>
      <c r="E35" s="11">
        <v>1401.2862261154189</v>
      </c>
      <c r="F35" s="11">
        <v>360.19649933544338</v>
      </c>
      <c r="G35" s="11">
        <f>80.2261368969783+531.614047842395</f>
        <v>611.8401847393734</v>
      </c>
      <c r="H35" s="11">
        <v>288.47003987822302</v>
      </c>
      <c r="I35" s="11">
        <v>8.8981904599838906</v>
      </c>
      <c r="J35" s="11">
        <v>7.4170440585256481</v>
      </c>
    </row>
    <row r="36" spans="1:10" x14ac:dyDescent="0.2">
      <c r="A36" t="s">
        <v>75</v>
      </c>
      <c r="B36" s="11">
        <v>271.57647107391904</v>
      </c>
      <c r="C36" s="11">
        <v>6674.3668635971608</v>
      </c>
      <c r="D36" s="11">
        <v>243649.39857669617</v>
      </c>
      <c r="E36" s="11">
        <v>620.78140678843067</v>
      </c>
      <c r="F36" s="11">
        <v>159.57003316701923</v>
      </c>
      <c r="G36" s="11">
        <f>35.5408432595307+235.509427223123</f>
        <v>271.05027048265367</v>
      </c>
      <c r="H36" s="11">
        <v>127.79461742683829</v>
      </c>
      <c r="I36" s="11">
        <v>3.9419720886953287</v>
      </c>
      <c r="J36" s="11">
        <v>3.2858119626475784</v>
      </c>
    </row>
    <row r="37" spans="1:10" x14ac:dyDescent="0.2">
      <c r="A37" t="s">
        <v>76</v>
      </c>
      <c r="B37" s="11">
        <v>787.86852084788075</v>
      </c>
      <c r="C37" s="11">
        <v>19362.95706186974</v>
      </c>
      <c r="D37" s="11">
        <v>706849.49437260977</v>
      </c>
      <c r="E37" s="11">
        <v>1800.9444146696469</v>
      </c>
      <c r="F37" s="11">
        <v>462.92746019491341</v>
      </c>
      <c r="G37" s="11">
        <f>103.107281340846+683.234682806927</f>
        <v>786.34196414777307</v>
      </c>
      <c r="H37" s="11">
        <v>370.7440331861402</v>
      </c>
      <c r="I37" s="11">
        <v>11.436026495456888</v>
      </c>
      <c r="J37" s="11">
        <v>9.5324451362017673</v>
      </c>
    </row>
    <row r="38" spans="1:10" x14ac:dyDescent="0.2">
      <c r="A38" t="s">
        <v>77</v>
      </c>
      <c r="B38" s="11">
        <v>124.54520826201696</v>
      </c>
      <c r="C38" s="11">
        <v>3060.8705082464844</v>
      </c>
      <c r="D38" s="11">
        <v>111737.82827596374</v>
      </c>
      <c r="E38" s="11">
        <v>284.69089861841854</v>
      </c>
      <c r="F38" s="11">
        <v>73.178957420630312</v>
      </c>
      <c r="G38" s="11">
        <f>16.2990619476793+108.004830260824</f>
        <v>124.3038922085033</v>
      </c>
      <c r="H38" s="11">
        <v>58.606723841912661</v>
      </c>
      <c r="I38" s="11">
        <v>1.8077918635889019</v>
      </c>
      <c r="J38" s="11">
        <v>1.5068762532317554</v>
      </c>
    </row>
    <row r="39" spans="1:10" x14ac:dyDescent="0.2">
      <c r="A39" s="6" t="s">
        <v>43</v>
      </c>
      <c r="B39" s="14">
        <f>SUM(B12:B38)</f>
        <v>16694.044610364188</v>
      </c>
      <c r="C39" s="14">
        <f t="shared" ref="C39:J39" si="1">SUM(C12:C38)</f>
        <v>410279.20322486287</v>
      </c>
      <c r="D39" s="14">
        <f t="shared" si="1"/>
        <v>14977342.89367307</v>
      </c>
      <c r="E39" s="14">
        <f t="shared" si="1"/>
        <v>38159.979239843487</v>
      </c>
      <c r="F39" s="14">
        <f t="shared" si="1"/>
        <v>9808.9103287686812</v>
      </c>
      <c r="G39" s="14">
        <f t="shared" si="1"/>
        <v>16661.698597066919</v>
      </c>
      <c r="H39" s="14">
        <f t="shared" si="1"/>
        <v>7855.6475671538647</v>
      </c>
      <c r="I39" s="14">
        <f t="shared" si="1"/>
        <v>242.3164924459841</v>
      </c>
      <c r="J39" s="14">
        <f t="shared" si="1"/>
        <v>201.98175220701168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1240.3719612705909</v>
      </c>
      <c r="C42" s="11">
        <v>17604.730557842566</v>
      </c>
      <c r="D42" s="11">
        <v>622720.52680237114</v>
      </c>
      <c r="E42" s="11">
        <v>1610.9200202123707</v>
      </c>
      <c r="F42" s="11">
        <v>407.86580249451799</v>
      </c>
      <c r="G42" s="11">
        <f>1032.33973894798+152.692006355071</f>
        <v>1185.0317453030511</v>
      </c>
      <c r="H42" s="11">
        <v>339.31829774384084</v>
      </c>
      <c r="I42" s="11">
        <v>14.546569995278787</v>
      </c>
      <c r="J42" s="11">
        <v>10.804348672908802</v>
      </c>
    </row>
    <row r="43" spans="1:10" x14ac:dyDescent="0.2">
      <c r="A43" t="s">
        <v>15</v>
      </c>
      <c r="B43" s="11">
        <v>1741.0345390281593</v>
      </c>
      <c r="C43" s="11">
        <v>24710.687526418449</v>
      </c>
      <c r="D43" s="11">
        <v>874074.85752430849</v>
      </c>
      <c r="E43" s="11">
        <v>2261.1502697373785</v>
      </c>
      <c r="F43" s="11">
        <v>572.49637334915633</v>
      </c>
      <c r="G43" s="11">
        <f>1449.03238515535+214.324464917255</f>
        <v>1663.3568500726051</v>
      </c>
      <c r="H43" s="11">
        <v>476.28041792488608</v>
      </c>
      <c r="I43" s="11">
        <v>20.418133896083852</v>
      </c>
      <c r="J43" s="11">
        <v>15.165405860971134</v>
      </c>
    </row>
    <row r="44" spans="1:10" x14ac:dyDescent="0.2">
      <c r="A44" t="s">
        <v>16</v>
      </c>
      <c r="B44" s="11">
        <v>1007.3128404377208</v>
      </c>
      <c r="C44" s="11">
        <v>14296.897783142103</v>
      </c>
      <c r="D44" s="11">
        <v>505714.73899620707</v>
      </c>
      <c r="E44" s="11">
        <v>1308.2369417766263</v>
      </c>
      <c r="F44" s="11">
        <v>331.2300445805833</v>
      </c>
      <c r="G44" s="11">
        <f>838.368737125598+124.002011844983</f>
        <v>962.37074897058108</v>
      </c>
      <c r="H44" s="11">
        <v>275.56224179939841</v>
      </c>
      <c r="I44" s="11">
        <v>11.813348897019942</v>
      </c>
      <c r="J44" s="11">
        <v>8.7742705338475862</v>
      </c>
    </row>
    <row r="45" spans="1:10" x14ac:dyDescent="0.2">
      <c r="A45" t="s">
        <v>17</v>
      </c>
      <c r="B45" s="11">
        <v>752.89380512140349</v>
      </c>
      <c r="C45" s="11">
        <v>10685.901480918455</v>
      </c>
      <c r="D45" s="11">
        <v>377985.3476139346</v>
      </c>
      <c r="E45" s="11">
        <v>977.81289938345571</v>
      </c>
      <c r="F45" s="11">
        <v>247.57060430842981</v>
      </c>
      <c r="G45" s="11">
        <f>626.620254652003+92.6825736680868</f>
        <v>719.30282832008982</v>
      </c>
      <c r="H45" s="11">
        <v>205.96293072763675</v>
      </c>
      <c r="I45" s="11">
        <v>8.8296275449434045</v>
      </c>
      <c r="J45" s="11">
        <v>6.5581353321401963</v>
      </c>
    </row>
    <row r="46" spans="1:10" x14ac:dyDescent="0.2">
      <c r="A46" t="s">
        <v>18</v>
      </c>
      <c r="B46" s="11">
        <v>652.36978709418224</v>
      </c>
      <c r="C46" s="11">
        <v>9259.1534511192949</v>
      </c>
      <c r="D46" s="11">
        <v>327517.93024497153</v>
      </c>
      <c r="E46" s="11">
        <v>847.25838976171417</v>
      </c>
      <c r="F46" s="11">
        <v>214.51575418053207</v>
      </c>
      <c r="G46" s="11">
        <f>542.955884794819+80.3078873008406</f>
        <v>623.26377209565953</v>
      </c>
      <c r="H46" s="11">
        <v>178.46340659744988</v>
      </c>
      <c r="I46" s="11">
        <v>7.6507233854671339</v>
      </c>
      <c r="J46" s="11">
        <v>5.6825136842150767</v>
      </c>
    </row>
    <row r="47" spans="1:10" x14ac:dyDescent="0.2">
      <c r="A47" t="s">
        <v>19</v>
      </c>
      <c r="B47" s="11">
        <v>377.22415012276787</v>
      </c>
      <c r="C47" s="11">
        <v>5353.9822973906648</v>
      </c>
      <c r="D47" s="11">
        <v>189382.88579693352</v>
      </c>
      <c r="E47" s="11">
        <v>489.91589177643209</v>
      </c>
      <c r="F47" s="11">
        <v>124.0408808923172</v>
      </c>
      <c r="G47" s="11">
        <f>313.95701678366+46.4369673987386</f>
        <v>360.39398418239858</v>
      </c>
      <c r="H47" s="11">
        <v>103.19409055039199</v>
      </c>
      <c r="I47" s="11">
        <v>4.4239290108181679</v>
      </c>
      <c r="J47" s="11">
        <v>3.285837936543746</v>
      </c>
    </row>
    <row r="48" spans="1:10" x14ac:dyDescent="0.2">
      <c r="A48" t="s">
        <v>20</v>
      </c>
      <c r="B48" s="11">
        <v>304.04773150157774</v>
      </c>
      <c r="C48" s="11">
        <v>4315.3816411050211</v>
      </c>
      <c r="D48" s="11">
        <v>152645.14955641117</v>
      </c>
      <c r="E48" s="11">
        <v>394.87878883872679</v>
      </c>
      <c r="F48" s="11">
        <v>99.978615993944928</v>
      </c>
      <c r="G48" s="11">
        <f>253.053572288539+37.4288194189162</f>
        <v>290.48239170745518</v>
      </c>
      <c r="H48" s="11">
        <v>83.175822984832138</v>
      </c>
      <c r="I48" s="11">
        <v>3.5657462005694058</v>
      </c>
      <c r="J48" s="11">
        <v>2.6484295089877175</v>
      </c>
    </row>
    <row r="49" spans="1:10" x14ac:dyDescent="0.2">
      <c r="A49" t="s">
        <v>21</v>
      </c>
      <c r="B49" s="11">
        <v>583.39626269749795</v>
      </c>
      <c r="C49" s="11">
        <v>8280.2049174999393</v>
      </c>
      <c r="D49" s="11">
        <v>292890.22920945165</v>
      </c>
      <c r="E49" s="11">
        <v>757.67975143018714</v>
      </c>
      <c r="F49" s="11">
        <v>191.83550764375002</v>
      </c>
      <c r="G49" s="11">
        <f>485.550435144815+71.8171231152959</f>
        <v>557.36755826011097</v>
      </c>
      <c r="H49" s="11">
        <v>159.59489004076954</v>
      </c>
      <c r="I49" s="11">
        <v>6.8418303825733355</v>
      </c>
      <c r="J49" s="11">
        <v>5.0817148673684027</v>
      </c>
    </row>
    <row r="50" spans="1:10" x14ac:dyDescent="0.2">
      <c r="A50" s="6" t="s">
        <v>44</v>
      </c>
      <c r="B50" s="14">
        <f>SUM(B42:B49)</f>
        <v>6658.6510772739002</v>
      </c>
      <c r="C50" s="14">
        <f t="shared" ref="C50:J50" si="2">SUM(C42:C49)</f>
        <v>94506.939655436494</v>
      </c>
      <c r="D50" s="14">
        <f t="shared" si="2"/>
        <v>3342931.6657445887</v>
      </c>
      <c r="E50" s="14">
        <f t="shared" si="2"/>
        <v>8647.8529529168918</v>
      </c>
      <c r="F50" s="14">
        <f t="shared" si="2"/>
        <v>2189.5335834432317</v>
      </c>
      <c r="G50" s="14">
        <f t="shared" si="2"/>
        <v>6361.5698789119524</v>
      </c>
      <c r="H50" s="14">
        <f t="shared" si="2"/>
        <v>1821.5520983692059</v>
      </c>
      <c r="I50" s="14">
        <f t="shared" si="2"/>
        <v>78.089909312754031</v>
      </c>
      <c r="J50" s="14">
        <f t="shared" si="2"/>
        <v>58.000656396982656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32.468042635988468</v>
      </c>
      <c r="C53" s="11">
        <v>442.53276713364062</v>
      </c>
      <c r="D53" s="11">
        <v>15982.686952758968</v>
      </c>
      <c r="E53" s="11">
        <v>41.150965348481172</v>
      </c>
      <c r="F53" s="11">
        <v>10.46381772913635</v>
      </c>
      <c r="G53" s="11">
        <f>3.52553997654337+26.0381215554178</f>
        <v>29.56366153196117</v>
      </c>
      <c r="H53" s="11">
        <v>8.5956781019942721</v>
      </c>
      <c r="I53" s="11">
        <v>0.26154145159402598</v>
      </c>
      <c r="J53" s="11">
        <v>0.22124661402207052</v>
      </c>
    </row>
    <row r="54" spans="1:10" x14ac:dyDescent="0.2">
      <c r="A54" t="s">
        <v>26</v>
      </c>
      <c r="B54" s="11">
        <v>132.29429805853914</v>
      </c>
      <c r="C54" s="11">
        <v>1803.1441701679778</v>
      </c>
      <c r="D54" s="11">
        <v>65123.061935397993</v>
      </c>
      <c r="E54" s="11">
        <v>167.67373802738155</v>
      </c>
      <c r="F54" s="11">
        <v>42.635875436303351</v>
      </c>
      <c r="G54" s="11">
        <f>14.3651664408357+106.094939339482</f>
        <v>120.46010578031769</v>
      </c>
      <c r="H54" s="11">
        <v>35.023953047912713</v>
      </c>
      <c r="I54" s="11">
        <v>1.0656768915749475</v>
      </c>
      <c r="J54" s="11">
        <v>0.90149153208992849</v>
      </c>
    </row>
    <row r="55" spans="1:10" x14ac:dyDescent="0.2">
      <c r="A55" t="s">
        <v>27</v>
      </c>
      <c r="B55" s="11">
        <v>263.46403691387798</v>
      </c>
      <c r="C55" s="11">
        <v>3590.9608288632985</v>
      </c>
      <c r="D55" s="11">
        <v>129692.54945591357</v>
      </c>
      <c r="E55" s="11">
        <v>333.92217618922956</v>
      </c>
      <c r="F55" s="11">
        <v>84.90932734557623</v>
      </c>
      <c r="G55" s="11">
        <f>28.6082227048639+211.288025445695</f>
        <v>239.8962481505589</v>
      </c>
      <c r="H55" s="11">
        <v>69.750187227283888</v>
      </c>
      <c r="I55" s="11">
        <v>2.1222950650218606</v>
      </c>
      <c r="J55" s="11">
        <v>1.7953199931790926</v>
      </c>
    </row>
    <row r="56" spans="1:10" x14ac:dyDescent="0.2">
      <c r="A56" t="s">
        <v>28</v>
      </c>
      <c r="B56" s="11">
        <v>602.47538440172559</v>
      </c>
      <c r="C56" s="11">
        <v>8211.6160181974119</v>
      </c>
      <c r="D56" s="11">
        <v>296573.94421931246</v>
      </c>
      <c r="E56" s="11">
        <v>763.59526642199432</v>
      </c>
      <c r="F56" s="11">
        <v>194.16608137884094</v>
      </c>
      <c r="G56" s="11">
        <f>65.419744467049+483.162088613588</f>
        <v>548.58183308063701</v>
      </c>
      <c r="H56" s="11">
        <v>159.50097536684575</v>
      </c>
      <c r="I56" s="11">
        <v>4.8531501683886127</v>
      </c>
      <c r="J56" s="11">
        <v>4.1054411664095394</v>
      </c>
    </row>
    <row r="57" spans="1:10" x14ac:dyDescent="0.2">
      <c r="A57" t="s">
        <v>29</v>
      </c>
      <c r="B57" s="11">
        <v>593.79609414112838</v>
      </c>
      <c r="C57" s="11">
        <v>8093.3190706776741</v>
      </c>
      <c r="D57" s="11">
        <v>292301.48527368152</v>
      </c>
      <c r="E57" s="11">
        <v>752.59487515210731</v>
      </c>
      <c r="F57" s="11">
        <v>191.36891518304162</v>
      </c>
      <c r="G57" s="11">
        <f>64.4773043845095+476.201631608099</f>
        <v>540.67893599260844</v>
      </c>
      <c r="H57" s="11">
        <v>157.2031964070764</v>
      </c>
      <c r="I57" s="11">
        <v>4.7832354464260884</v>
      </c>
      <c r="J57" s="11">
        <v>4.0462979774036398</v>
      </c>
    </row>
    <row r="58" spans="1:10" x14ac:dyDescent="0.2">
      <c r="A58" t="s">
        <v>30</v>
      </c>
      <c r="B58" s="11">
        <v>140.6564049541312</v>
      </c>
      <c r="C58" s="11">
        <v>1917.117973426198</v>
      </c>
      <c r="D58" s="11">
        <v>69239.384507600567</v>
      </c>
      <c r="E58" s="11">
        <v>178.27212164288736</v>
      </c>
      <c r="F58" s="11">
        <v>45.330819611658185</v>
      </c>
      <c r="G58" s="11">
        <f>15.2731651914552+112.801027484306</f>
        <v>128.0741926757612</v>
      </c>
      <c r="H58" s="11">
        <v>37.237760019119058</v>
      </c>
      <c r="I58" s="11">
        <v>1.133036590475718</v>
      </c>
      <c r="J58" s="11">
        <v>0.95847334209561275</v>
      </c>
    </row>
    <row r="59" spans="1:10" x14ac:dyDescent="0.2">
      <c r="A59" t="s">
        <v>31</v>
      </c>
      <c r="B59" s="11">
        <v>77.219731953088029</v>
      </c>
      <c r="C59" s="11">
        <v>1052.4891211224597</v>
      </c>
      <c r="D59" s="11">
        <v>38012.109821925857</v>
      </c>
      <c r="E59" s="11">
        <v>97.870590766636397</v>
      </c>
      <c r="F59" s="11">
        <v>24.886415522759457</v>
      </c>
      <c r="G59" s="11">
        <f>8.38489880744507+61.9272553511625</f>
        <v>70.312154158607569</v>
      </c>
      <c r="H59" s="11">
        <v>20.443362306519237</v>
      </c>
      <c r="I59" s="11">
        <v>0.62203197812504574</v>
      </c>
      <c r="J59" s="11">
        <v>0.52619754205249103</v>
      </c>
    </row>
    <row r="60" spans="1:10" x14ac:dyDescent="0.2">
      <c r="A60" t="s">
        <v>32</v>
      </c>
      <c r="B60" s="11">
        <v>53.517484131789168</v>
      </c>
      <c r="C60" s="11">
        <v>729.43234085260838</v>
      </c>
      <c r="D60" s="11">
        <v>26344.46446209649</v>
      </c>
      <c r="E60" s="11">
        <v>67.829655139237175</v>
      </c>
      <c r="F60" s="11">
        <v>17.247642722270932</v>
      </c>
      <c r="G60" s="11">
        <f>5.81119200396492+42.9189641268699</f>
        <v>48.730156130834821</v>
      </c>
      <c r="H60" s="11">
        <v>14.168364615720577</v>
      </c>
      <c r="I60" s="11">
        <v>0.43110207296493086</v>
      </c>
      <c r="J60" s="11">
        <v>0.36468358403637913</v>
      </c>
    </row>
    <row r="61" spans="1:10" x14ac:dyDescent="0.2">
      <c r="A61" t="s">
        <v>33</v>
      </c>
      <c r="B61" s="11">
        <v>127.59421728618914</v>
      </c>
      <c r="C61" s="11">
        <v>1739.0830324745646</v>
      </c>
      <c r="D61" s="11">
        <v>62809.40476550482</v>
      </c>
      <c r="E61" s="11">
        <v>161.7167155124593</v>
      </c>
      <c r="F61" s="11">
        <v>41.121130951534944</v>
      </c>
      <c r="G61" s="11">
        <f>13.854808522384+102.325655313254</f>
        <v>116.18046383563801</v>
      </c>
      <c r="H61" s="11">
        <v>33.779640853751914</v>
      </c>
      <c r="I61" s="11">
        <v>1.0278160952962387</v>
      </c>
      <c r="J61" s="11">
        <v>0.86946382508673359</v>
      </c>
    </row>
    <row r="62" spans="1:10" x14ac:dyDescent="0.2">
      <c r="A62" t="s">
        <v>34</v>
      </c>
      <c r="B62" s="11">
        <v>259.94618504745654</v>
      </c>
      <c r="C62" s="11">
        <v>3543.0132288719096</v>
      </c>
      <c r="D62" s="11">
        <v>127960.85513243524</v>
      </c>
      <c r="E62" s="11">
        <v>329.46354584063744</v>
      </c>
      <c r="F62" s="11">
        <v>83.775592209737297</v>
      </c>
      <c r="G62" s="11">
        <f>28.2262370235688+208.466843536494</f>
        <v>236.69308056006281</v>
      </c>
      <c r="H62" s="11">
        <v>68.818861535948813</v>
      </c>
      <c r="I62" s="11">
        <v>2.0939575365187779</v>
      </c>
      <c r="J62" s="11">
        <v>1.7713483351767012</v>
      </c>
    </row>
    <row r="63" spans="1:10" x14ac:dyDescent="0.2">
      <c r="A63" t="s">
        <v>35</v>
      </c>
      <c r="B63" s="11">
        <v>43.886643776176243</v>
      </c>
      <c r="C63" s="11">
        <v>598.16596054831359</v>
      </c>
      <c r="D63" s="11">
        <v>21603.596396180419</v>
      </c>
      <c r="E63" s="11">
        <v>55.623240906206355</v>
      </c>
      <c r="F63" s="11">
        <v>14.143810465138124</v>
      </c>
      <c r="G63" s="11">
        <f>4.7654279256652+35.1954005393836</f>
        <v>39.960828465048799</v>
      </c>
      <c r="H63" s="11">
        <v>11.618669690262241</v>
      </c>
      <c r="I63" s="11">
        <v>0.35352228181714701</v>
      </c>
      <c r="J63" s="11">
        <v>0.29905625802983249</v>
      </c>
    </row>
    <row r="64" spans="1:10" x14ac:dyDescent="0.2">
      <c r="A64" t="s">
        <v>36</v>
      </c>
      <c r="B64" s="11">
        <v>42.617910316155381</v>
      </c>
      <c r="C64" s="11">
        <v>580.87338350223877</v>
      </c>
      <c r="D64" s="11">
        <v>20979.050902466923</v>
      </c>
      <c r="E64" s="11">
        <v>54.015210288681331</v>
      </c>
      <c r="F64" s="11">
        <v>13.734922383360148</v>
      </c>
      <c r="G64" s="11">
        <f>4.627662597985+34.1779250967207</f>
        <v>38.8055876947057</v>
      </c>
      <c r="H64" s="11">
        <v>11.282781736010243</v>
      </c>
      <c r="I64" s="11">
        <v>0.34330218957013353</v>
      </c>
      <c r="J64" s="11">
        <v>0.29041074202896999</v>
      </c>
    </row>
    <row r="65" spans="1:10" x14ac:dyDescent="0.2">
      <c r="A65" t="s">
        <v>37</v>
      </c>
      <c r="B65" s="11">
        <v>42.589075464791264</v>
      </c>
      <c r="C65" s="11">
        <v>580.48037038755524</v>
      </c>
      <c r="D65" s="11">
        <v>20964.856686700707</v>
      </c>
      <c r="E65" s="11">
        <v>53.97866413828303</v>
      </c>
      <c r="F65" s="11">
        <v>13.725629472410647</v>
      </c>
      <c r="G65" s="11">
        <f>4.62453156781045+34.154800654842</f>
        <v>38.77933222265245</v>
      </c>
      <c r="H65" s="11">
        <v>11.275147918868154</v>
      </c>
      <c r="I65" s="11">
        <v>0.34306991474633775</v>
      </c>
      <c r="J65" s="11">
        <v>0.29021425302895043</v>
      </c>
    </row>
    <row r="66" spans="1:10" x14ac:dyDescent="0.2">
      <c r="A66" t="s">
        <v>38</v>
      </c>
      <c r="B66" s="11">
        <v>290.77064115569073</v>
      </c>
      <c r="C66" s="11">
        <v>3963.1442484685899</v>
      </c>
      <c r="D66" s="11">
        <v>143134.47178651992</v>
      </c>
      <c r="E66" s="11">
        <v>368.53138061641579</v>
      </c>
      <c r="F66" s="11">
        <v>93.709714014752194</v>
      </c>
      <c r="G66" s="11">
        <f>31.5733082801629+233.186871904825</f>
        <v>264.76018018498792</v>
      </c>
      <c r="H66" s="11">
        <v>76.979412060843913</v>
      </c>
      <c r="I66" s="11">
        <v>2.3422593231564455</v>
      </c>
      <c r="J66" s="11">
        <v>1.9813950761976546</v>
      </c>
    </row>
    <row r="67" spans="1:10" x14ac:dyDescent="0.2">
      <c r="A67" t="s">
        <v>39</v>
      </c>
      <c r="B67" s="11">
        <v>62.110269838294101</v>
      </c>
      <c r="C67" s="11">
        <v>846.55024902829655</v>
      </c>
      <c r="D67" s="11">
        <v>30574.34076042879</v>
      </c>
      <c r="E67" s="11">
        <v>78.720407957929353</v>
      </c>
      <c r="F67" s="11">
        <v>20.016930185221756</v>
      </c>
      <c r="G67" s="11">
        <f>6.74423899598084+49.8100478067229</f>
        <v>56.554286802703743</v>
      </c>
      <c r="H67" s="11">
        <v>16.443242124063644</v>
      </c>
      <c r="I67" s="11">
        <v>0.50031997045606735</v>
      </c>
      <c r="J67" s="11">
        <v>0.42323730604222015</v>
      </c>
    </row>
    <row r="68" spans="1:10" x14ac:dyDescent="0.2">
      <c r="A68" s="6" t="s">
        <v>48</v>
      </c>
      <c r="B68" s="14">
        <f>SUM(B53:B67)</f>
        <v>2765.4064200750213</v>
      </c>
      <c r="C68" s="14">
        <f t="shared" ref="C68:J68" si="3">SUM(C53:C67)</f>
        <v>37691.922763722738</v>
      </c>
      <c r="D68" s="14">
        <f t="shared" si="3"/>
        <v>1361296.2630589241</v>
      </c>
      <c r="E68" s="14">
        <f t="shared" si="3"/>
        <v>3504.958553948567</v>
      </c>
      <c r="F68" s="14">
        <f t="shared" si="3"/>
        <v>891.23662461174217</v>
      </c>
      <c r="G68" s="14">
        <f t="shared" si="3"/>
        <v>2518.0310472670863</v>
      </c>
      <c r="H68" s="14">
        <f t="shared" si="3"/>
        <v>732.12123301222084</v>
      </c>
      <c r="I68" s="14">
        <f t="shared" si="3"/>
        <v>22.276316976132378</v>
      </c>
      <c r="J68" s="14">
        <f t="shared" si="3"/>
        <v>18.844277546879816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60.637861325616605</v>
      </c>
      <c r="C71" s="11">
        <v>2078.627690016322</v>
      </c>
      <c r="D71" s="11">
        <v>77171.004766409154</v>
      </c>
      <c r="E71" s="11">
        <v>194.96147569799675</v>
      </c>
      <c r="F71" s="11">
        <v>50.540240689238694</v>
      </c>
      <c r="G71" s="11">
        <f>36.3593884843986+7.42152782806769</f>
        <v>43.780916312466289</v>
      </c>
      <c r="H71" s="11">
        <v>39.610453043455536</v>
      </c>
      <c r="I71" s="11">
        <v>1.2379484944683514</v>
      </c>
      <c r="J71" s="11">
        <v>0.9196198360288601</v>
      </c>
    </row>
    <row r="72" spans="1:10" x14ac:dyDescent="0.2">
      <c r="A72" t="s">
        <v>79</v>
      </c>
      <c r="B72" s="11">
        <v>185.82570406237343</v>
      </c>
      <c r="C72" s="11">
        <v>6369.988082308083</v>
      </c>
      <c r="D72" s="11">
        <v>236491.78880028607</v>
      </c>
      <c r="E72" s="11">
        <v>597.46258681644156</v>
      </c>
      <c r="F72" s="11">
        <v>154.88138275734437</v>
      </c>
      <c r="G72" s="11">
        <f>111.423932452189+22.7433917311752</f>
        <v>134.1673241833642</v>
      </c>
      <c r="H72" s="11">
        <v>121.38687222994436</v>
      </c>
      <c r="I72" s="11">
        <v>3.7937131282094638</v>
      </c>
      <c r="J72" s="11">
        <v>2.8181898200884419</v>
      </c>
    </row>
    <row r="73" spans="1:10" x14ac:dyDescent="0.2">
      <c r="A73" t="s">
        <v>80</v>
      </c>
      <c r="B73" s="11">
        <v>316.88172692741574</v>
      </c>
      <c r="C73" s="11">
        <v>10862.505992988521</v>
      </c>
      <c r="D73" s="11">
        <v>403280.73458575102</v>
      </c>
      <c r="E73" s="11">
        <v>1018.8309375185636</v>
      </c>
      <c r="F73" s="11">
        <v>264.11351585989252</v>
      </c>
      <c r="G73" s="11">
        <f>190.00712691847+38.7834680047408</f>
        <v>228.79059492321079</v>
      </c>
      <c r="H73" s="11">
        <v>206.99656106579985</v>
      </c>
      <c r="I73" s="11">
        <v>6.4692792291571912</v>
      </c>
      <c r="J73" s="11">
        <v>4.805755272150817</v>
      </c>
    </row>
    <row r="74" spans="1:10" x14ac:dyDescent="0.2">
      <c r="A74" t="s">
        <v>81</v>
      </c>
      <c r="B74" s="11">
        <v>44.98938098352199</v>
      </c>
      <c r="C74" s="11">
        <v>1542.2076409798517</v>
      </c>
      <c r="D74" s="11">
        <v>57255.906762174527</v>
      </c>
      <c r="E74" s="11">
        <v>144.64883680819113</v>
      </c>
      <c r="F74" s="11">
        <v>37.497597930725483</v>
      </c>
      <c r="G74" s="11">
        <f>26.9763204884247+5.50629484017925</f>
        <v>32.482615328603949</v>
      </c>
      <c r="H74" s="11">
        <v>29.388400645144426</v>
      </c>
      <c r="I74" s="11">
        <v>0.91847791525071232</v>
      </c>
      <c r="J74" s="11">
        <v>0.6822985880214123</v>
      </c>
    </row>
    <row r="75" spans="1:10" x14ac:dyDescent="0.2">
      <c r="A75" t="s">
        <v>82</v>
      </c>
      <c r="B75" s="11">
        <v>371.65140812474687</v>
      </c>
      <c r="C75" s="11">
        <v>12739.976164616166</v>
      </c>
      <c r="D75" s="11">
        <v>472983.57760057214</v>
      </c>
      <c r="E75" s="11">
        <v>1194.9251736328831</v>
      </c>
      <c r="F75" s="11">
        <v>309.76276551468874</v>
      </c>
      <c r="G75" s="11">
        <f>222.847864904378+45.4867834623503</f>
        <v>268.33464836672829</v>
      </c>
      <c r="H75" s="11">
        <v>242.77374445988872</v>
      </c>
      <c r="I75" s="11">
        <v>7.5874262564189277</v>
      </c>
      <c r="J75" s="11">
        <v>5.6363796401768838</v>
      </c>
    </row>
    <row r="76" spans="1:10" x14ac:dyDescent="0.2">
      <c r="A76" t="s">
        <v>83</v>
      </c>
      <c r="B76" s="11">
        <v>43.03332094076017</v>
      </c>
      <c r="C76" s="11">
        <v>1475.1551348502931</v>
      </c>
      <c r="D76" s="11">
        <v>54766.519511645201</v>
      </c>
      <c r="E76" s="11">
        <v>138.35975694696543</v>
      </c>
      <c r="F76" s="11">
        <v>35.867267585911328</v>
      </c>
      <c r="G76" s="11">
        <f>25.803436988928+5.2668907166932</f>
        <v>31.070327705621199</v>
      </c>
      <c r="H76" s="11">
        <v>28.110644095355539</v>
      </c>
      <c r="I76" s="11">
        <v>0.87854409284850754</v>
      </c>
      <c r="J76" s="11">
        <v>0.65263343202048141</v>
      </c>
    </row>
    <row r="77" spans="1:10" x14ac:dyDescent="0.2">
      <c r="A77" t="s">
        <v>84</v>
      </c>
      <c r="B77" s="11">
        <v>199.51812436170624</v>
      </c>
      <c r="C77" s="11">
        <v>6839.3556252149956</v>
      </c>
      <c r="D77" s="11">
        <v>253917.49955399139</v>
      </c>
      <c r="E77" s="11">
        <v>641.48614584502161</v>
      </c>
      <c r="F77" s="11">
        <v>166.29369517104345</v>
      </c>
      <c r="G77" s="11">
        <f>119.634116948666+24.4192205955776</f>
        <v>144.05333754424362</v>
      </c>
      <c r="H77" s="11">
        <v>130.33116807846659</v>
      </c>
      <c r="I77" s="11">
        <v>4.0732498850248984</v>
      </c>
      <c r="J77" s="11">
        <v>3.025845912094959</v>
      </c>
    </row>
    <row r="78" spans="1:10" x14ac:dyDescent="0.2">
      <c r="A78" t="s">
        <v>85</v>
      </c>
      <c r="B78" s="11">
        <v>191.69388419065893</v>
      </c>
      <c r="C78" s="11">
        <v>6571.1456006967601</v>
      </c>
      <c r="D78" s="11">
        <v>243959.95055187409</v>
      </c>
      <c r="E78" s="11">
        <v>616.3298264001188</v>
      </c>
      <c r="F78" s="11">
        <v>159.77237379178683</v>
      </c>
      <c r="G78" s="11">
        <f>114.942582950679+23.4616041016333</f>
        <v>138.4041870523123</v>
      </c>
      <c r="H78" s="11">
        <v>125.22014187931104</v>
      </c>
      <c r="I78" s="11">
        <v>3.9135145954160788</v>
      </c>
      <c r="J78" s="11">
        <v>2.907185288091235</v>
      </c>
    </row>
    <row r="79" spans="1:10" x14ac:dyDescent="0.2">
      <c r="A79" t="s">
        <v>86</v>
      </c>
      <c r="B79" s="11">
        <v>244.50750534522822</v>
      </c>
      <c r="C79" s="11">
        <v>8381.5632661948475</v>
      </c>
      <c r="D79" s="11">
        <v>311173.40631616593</v>
      </c>
      <c r="E79" s="11">
        <v>786.13498265321266</v>
      </c>
      <c r="F79" s="11">
        <v>203.79129310176893</v>
      </c>
      <c r="G79" s="11">
        <f>146.610437437091+29.9255154357568</f>
        <v>176.53595287284782</v>
      </c>
      <c r="H79" s="11">
        <v>159.71956872361102</v>
      </c>
      <c r="I79" s="11">
        <v>4.9917278002756111</v>
      </c>
      <c r="J79" s="11">
        <v>3.7081445001163713</v>
      </c>
    </row>
    <row r="80" spans="1:10" x14ac:dyDescent="0.2">
      <c r="A80" t="s">
        <v>87</v>
      </c>
      <c r="B80" s="11">
        <v>338.39838739779589</v>
      </c>
      <c r="C80" s="11">
        <v>11600.083560413668</v>
      </c>
      <c r="D80" s="11">
        <v>430663.99434157362</v>
      </c>
      <c r="E80" s="11">
        <v>1088.0108159920464</v>
      </c>
      <c r="F80" s="11">
        <v>282.04714965284819</v>
      </c>
      <c r="G80" s="11">
        <f>202.908845412934+41.4169133630874</f>
        <v>244.32575877602142</v>
      </c>
      <c r="H80" s="11">
        <v>221.05188311347766</v>
      </c>
      <c r="I80" s="11">
        <v>6.9085512755814458</v>
      </c>
      <c r="J80" s="11">
        <v>5.1320719881610577</v>
      </c>
    </row>
    <row r="81" spans="1:10" x14ac:dyDescent="0.2">
      <c r="A81" t="s">
        <v>88</v>
      </c>
      <c r="B81" s="11">
        <v>444.02562970693447</v>
      </c>
      <c r="C81" s="11">
        <v>15220.918891409843</v>
      </c>
      <c r="D81" s="11">
        <v>565090.90587015729</v>
      </c>
      <c r="E81" s="11">
        <v>1427.6211284982342</v>
      </c>
      <c r="F81" s="11">
        <v>370.08498827281238</v>
      </c>
      <c r="G81" s="11">
        <f>266.244554385757+54.3447360313344</f>
        <v>320.58929041709138</v>
      </c>
      <c r="H81" s="11">
        <v>290.05073680207761</v>
      </c>
      <c r="I81" s="11">
        <v>9.0649776853005086</v>
      </c>
      <c r="J81" s="11">
        <v>6.7339904122113303</v>
      </c>
    </row>
    <row r="82" spans="1:10" x14ac:dyDescent="0.2">
      <c r="A82" t="s">
        <v>89</v>
      </c>
      <c r="B82" s="11">
        <v>50.85756111180747</v>
      </c>
      <c r="C82" s="11">
        <v>1743.3651593685281</v>
      </c>
      <c r="D82" s="11">
        <v>64724.068513762511</v>
      </c>
      <c r="E82" s="11">
        <v>163.51607639186824</v>
      </c>
      <c r="F82" s="11">
        <v>42.388588965167934</v>
      </c>
      <c r="G82" s="11">
        <f>30.4949709869149+6.22450721063742</f>
        <v>36.71947819755232</v>
      </c>
      <c r="H82" s="11">
        <v>33.221670294511092</v>
      </c>
      <c r="I82" s="11">
        <v>1.0382793824573271</v>
      </c>
      <c r="J82" s="11">
        <v>0.7712940560242052</v>
      </c>
    </row>
    <row r="83" spans="1:10" x14ac:dyDescent="0.2">
      <c r="A83" t="s">
        <v>90</v>
      </c>
      <c r="B83" s="11">
        <v>356.00292778265231</v>
      </c>
      <c r="C83" s="11">
        <v>12203.556115579697</v>
      </c>
      <c r="D83" s="11">
        <v>453068.47959633754</v>
      </c>
      <c r="E83" s="11">
        <v>1144.6125347430777</v>
      </c>
      <c r="F83" s="11">
        <v>296.72012275617556</v>
      </c>
      <c r="G83" s="11">
        <f>213.464796908405+43.5715504744619</f>
        <v>257.03634738286689</v>
      </c>
      <c r="H83" s="11">
        <v>232.55169206157763</v>
      </c>
      <c r="I83" s="11">
        <v>7.2679556772012894</v>
      </c>
      <c r="J83" s="11">
        <v>5.3990583921694366</v>
      </c>
    </row>
    <row r="84" spans="1:10" x14ac:dyDescent="0.2">
      <c r="A84" t="s">
        <v>91</v>
      </c>
      <c r="B84" s="11">
        <v>183.86964401961163</v>
      </c>
      <c r="C84" s="11">
        <v>6302.9355761785246</v>
      </c>
      <c r="D84" s="11">
        <v>234002.40154975676</v>
      </c>
      <c r="E84" s="11">
        <v>591.17350695521588</v>
      </c>
      <c r="F84" s="11">
        <v>153.25105241253021</v>
      </c>
      <c r="G84" s="11">
        <f>110.251048952692+22.5039876076891</f>
        <v>132.75503656038111</v>
      </c>
      <c r="H84" s="11">
        <v>120.10911568015547</v>
      </c>
      <c r="I84" s="11">
        <v>3.7537793058072593</v>
      </c>
      <c r="J84" s="11">
        <v>2.788524664087511</v>
      </c>
    </row>
    <row r="85" spans="1:10" x14ac:dyDescent="0.2">
      <c r="A85" t="s">
        <v>92</v>
      </c>
      <c r="B85" s="11">
        <v>68.462101496663919</v>
      </c>
      <c r="C85" s="11">
        <v>2346.8377145345576</v>
      </c>
      <c r="D85" s="11">
        <v>87128.553768526472</v>
      </c>
      <c r="E85" s="11">
        <v>220.11779514289958</v>
      </c>
      <c r="F85" s="11">
        <v>57.061562068495306</v>
      </c>
      <c r="G85" s="11">
        <f>41.0509224823855+8.37914432201191</f>
        <v>49.430066804397413</v>
      </c>
      <c r="H85" s="11">
        <v>44.721479242611089</v>
      </c>
      <c r="I85" s="11">
        <v>1.3976837840771712</v>
      </c>
      <c r="J85" s="11">
        <v>1.0382804600325841</v>
      </c>
    </row>
    <row r="86" spans="1:10" x14ac:dyDescent="0.2">
      <c r="A86" t="s">
        <v>93</v>
      </c>
      <c r="B86" s="11">
        <v>60.637861325616605</v>
      </c>
      <c r="C86" s="11">
        <v>2078.627690016322</v>
      </c>
      <c r="D86" s="11">
        <v>77171.004766409154</v>
      </c>
      <c r="E86" s="11">
        <v>194.96147569799675</v>
      </c>
      <c r="F86" s="11">
        <v>50.540240689238694</v>
      </c>
      <c r="G86" s="11">
        <f>36.3593884843986+7.42152782806769</f>
        <v>43.780916312466289</v>
      </c>
      <c r="H86" s="11">
        <v>39.610453043455536</v>
      </c>
      <c r="I86" s="11">
        <v>1.2379484944683514</v>
      </c>
      <c r="J86" s="11">
        <v>0.9196198360288601</v>
      </c>
    </row>
    <row r="87" spans="1:10" x14ac:dyDescent="0.2">
      <c r="A87" t="s">
        <v>94</v>
      </c>
      <c r="B87" s="11">
        <v>136.92420299332784</v>
      </c>
      <c r="C87" s="11">
        <v>4693.6754290691151</v>
      </c>
      <c r="D87" s="11">
        <v>174257.10753705294</v>
      </c>
      <c r="E87" s="11">
        <v>440.23559028579916</v>
      </c>
      <c r="F87" s="11">
        <v>114.12312413699061</v>
      </c>
      <c r="G87" s="11">
        <f>82.101844964771+16.7582886440238</f>
        <v>98.860133608794797</v>
      </c>
      <c r="H87" s="11">
        <v>89.442958485222178</v>
      </c>
      <c r="I87" s="11">
        <v>2.7953675681543424</v>
      </c>
      <c r="J87" s="11">
        <v>2.0765609200651682</v>
      </c>
    </row>
    <row r="88" spans="1:10" x14ac:dyDescent="0.2">
      <c r="A88" t="s">
        <v>95</v>
      </c>
      <c r="B88" s="11">
        <v>447.93774979245813</v>
      </c>
      <c r="C88" s="11">
        <v>15355.02390366896</v>
      </c>
      <c r="D88" s="11">
        <v>570069.68037121592</v>
      </c>
      <c r="E88" s="11">
        <v>1440.1992882206857</v>
      </c>
      <c r="F88" s="11">
        <v>373.34564896244069</v>
      </c>
      <c r="G88" s="11">
        <f>268.590321384751+54.8235442783065</f>
        <v>323.41386566305749</v>
      </c>
      <c r="H88" s="11">
        <v>292.60624990165536</v>
      </c>
      <c r="I88" s="11">
        <v>9.1448453301049195</v>
      </c>
      <c r="J88" s="11">
        <v>6.7933207242131921</v>
      </c>
    </row>
    <row r="89" spans="1:10" x14ac:dyDescent="0.2">
      <c r="A89" t="s">
        <v>96</v>
      </c>
      <c r="B89" s="11">
        <v>445.98168974969627</v>
      </c>
      <c r="C89" s="11">
        <v>15287.971397539401</v>
      </c>
      <c r="D89" s="11">
        <v>567580.29312068666</v>
      </c>
      <c r="E89" s="11">
        <v>1433.9102083594601</v>
      </c>
      <c r="F89" s="11">
        <v>371.71531861762651</v>
      </c>
      <c r="G89" s="11">
        <f>267.417437885254+54.5841401548204</f>
        <v>322.00157804007438</v>
      </c>
      <c r="H89" s="11">
        <v>291.32849335186648</v>
      </c>
      <c r="I89" s="11">
        <v>9.104911507702715</v>
      </c>
      <c r="J89" s="11">
        <v>6.7636555682122612</v>
      </c>
    </row>
    <row r="90" spans="1:10" x14ac:dyDescent="0.2">
      <c r="A90" t="s">
        <v>97</v>
      </c>
      <c r="B90" s="11">
        <v>758.95129659158852</v>
      </c>
      <c r="C90" s="11">
        <v>26016.372378268807</v>
      </c>
      <c r="D90" s="11">
        <v>965882.25320537901</v>
      </c>
      <c r="E90" s="11">
        <v>2440.1629861555725</v>
      </c>
      <c r="F90" s="11">
        <v>632.56817378789071</v>
      </c>
      <c r="G90" s="11">
        <f>455.078797804731+92.8887999125891</f>
        <v>547.96759771732013</v>
      </c>
      <c r="H90" s="11">
        <v>495.76954131808861</v>
      </c>
      <c r="I90" s="11">
        <v>15.494323092055497</v>
      </c>
      <c r="J90" s="11">
        <v>11.510080528361216</v>
      </c>
    </row>
    <row r="91" spans="1:10" x14ac:dyDescent="0.2">
      <c r="A91" t="s">
        <v>98</v>
      </c>
      <c r="B91" s="11">
        <v>238.63932521694278</v>
      </c>
      <c r="C91" s="11">
        <v>8180.4057478061713</v>
      </c>
      <c r="D91" s="11">
        <v>303705.24456457794</v>
      </c>
      <c r="E91" s="11">
        <v>767.26774306953564</v>
      </c>
      <c r="F91" s="11">
        <v>198.90030206732646</v>
      </c>
      <c r="G91" s="11">
        <f>143.091786938601+29.2073030652986</f>
        <v>172.29909000389958</v>
      </c>
      <c r="H91" s="11">
        <v>155.88629907424436</v>
      </c>
      <c r="I91" s="11">
        <v>4.8719263330689966</v>
      </c>
      <c r="J91" s="11">
        <v>3.6191490321135786</v>
      </c>
    </row>
    <row r="92" spans="1:10" x14ac:dyDescent="0.2">
      <c r="A92" t="s">
        <v>99</v>
      </c>
      <c r="B92" s="11">
        <v>322.74990705570121</v>
      </c>
      <c r="C92" s="11">
        <v>11063.663511377197</v>
      </c>
      <c r="D92" s="11">
        <v>410748.89633733896</v>
      </c>
      <c r="E92" s="11">
        <v>1037.6981771022406</v>
      </c>
      <c r="F92" s="11">
        <v>269.00450689433495</v>
      </c>
      <c r="G92" s="11">
        <f>193.52577741696+39.501680375199</f>
        <v>233.027457792159</v>
      </c>
      <c r="H92" s="11">
        <v>210.82983071516651</v>
      </c>
      <c r="I92" s="11">
        <v>6.5890806963638058</v>
      </c>
      <c r="J92" s="11">
        <v>4.8947507401536097</v>
      </c>
    </row>
    <row r="93" spans="1:10" x14ac:dyDescent="0.2">
      <c r="A93" t="s">
        <v>100</v>
      </c>
      <c r="B93" s="11">
        <v>99.759062180853121</v>
      </c>
      <c r="C93" s="11">
        <v>3419.6778126074978</v>
      </c>
      <c r="D93" s="11">
        <v>126958.7497769957</v>
      </c>
      <c r="E93" s="11">
        <v>320.74307292251081</v>
      </c>
      <c r="F93" s="11">
        <v>83.146847585521726</v>
      </c>
      <c r="G93" s="11">
        <f>59.8170584743331+12.2096102977888</f>
        <v>72.026668772121894</v>
      </c>
      <c r="H93" s="11">
        <v>65.165584039233295</v>
      </c>
      <c r="I93" s="11">
        <v>2.0366249425124492</v>
      </c>
      <c r="J93" s="11">
        <v>1.5129229560474795</v>
      </c>
    </row>
    <row r="94" spans="1:10" x14ac:dyDescent="0.2">
      <c r="A94" t="s">
        <v>101</v>
      </c>
      <c r="B94" s="11">
        <v>164.30904359199337</v>
      </c>
      <c r="C94" s="11">
        <v>5632.4105148829376</v>
      </c>
      <c r="D94" s="11">
        <v>209108.5290444635</v>
      </c>
      <c r="E94" s="11">
        <v>528.28270834295893</v>
      </c>
      <c r="F94" s="11">
        <v>136.94774896438872</v>
      </c>
      <c r="G94" s="11">
        <f>98.5222139577252+20.1099463728286</f>
        <v>118.6321603305538</v>
      </c>
      <c r="H94" s="11">
        <v>107.33155018226661</v>
      </c>
      <c r="I94" s="11">
        <v>3.3544410817852106</v>
      </c>
      <c r="J94" s="11">
        <v>2.4918731040782016</v>
      </c>
    </row>
    <row r="95" spans="1:10" x14ac:dyDescent="0.2">
      <c r="A95" t="s">
        <v>102</v>
      </c>
      <c r="B95" s="11">
        <v>166.26510363475521</v>
      </c>
      <c r="C95" s="11">
        <v>5699.463021012496</v>
      </c>
      <c r="D95" s="11">
        <v>211597.91629499284</v>
      </c>
      <c r="E95" s="11">
        <v>534.57178820418471</v>
      </c>
      <c r="F95" s="11">
        <v>138.57807930920288</v>
      </c>
      <c r="G95" s="11">
        <f>99.6950974572219+20.3493504963146</f>
        <v>120.0444479535365</v>
      </c>
      <c r="H95" s="11">
        <v>108.6093067320555</v>
      </c>
      <c r="I95" s="11">
        <v>3.3943749041874156</v>
      </c>
      <c r="J95" s="11">
        <v>2.5215382600791325</v>
      </c>
    </row>
    <row r="96" spans="1:10" x14ac:dyDescent="0.2">
      <c r="A96" t="s">
        <v>103</v>
      </c>
      <c r="B96" s="11">
        <v>426.42108932207805</v>
      </c>
      <c r="C96" s="11">
        <v>14617.446336243815</v>
      </c>
      <c r="D96" s="11">
        <v>542686.42061539344</v>
      </c>
      <c r="E96" s="11">
        <v>1371.0194097472031</v>
      </c>
      <c r="F96" s="11">
        <v>355.41201516948502</v>
      </c>
      <c r="G96" s="11">
        <f>255.688602890287+52.1900989199599</f>
        <v>307.87870181024692</v>
      </c>
      <c r="H96" s="11">
        <v>278.55092785397761</v>
      </c>
      <c r="I96" s="11">
        <v>8.7055732836806659</v>
      </c>
      <c r="J96" s="11">
        <v>6.4670040082029523</v>
      </c>
    </row>
    <row r="97" spans="1:10" x14ac:dyDescent="0.2">
      <c r="A97" t="s">
        <v>104</v>
      </c>
      <c r="B97" s="11">
        <v>127.14390277951868</v>
      </c>
      <c r="C97" s="11">
        <v>4358.4128984213203</v>
      </c>
      <c r="D97" s="11">
        <v>161810.17128440627</v>
      </c>
      <c r="E97" s="11">
        <v>408.79019097967057</v>
      </c>
      <c r="F97" s="11">
        <v>105.97147241291984</v>
      </c>
      <c r="G97" s="11">
        <f>76.2374274672873+15.5612680265935</f>
        <v>91.7986954938808</v>
      </c>
      <c r="H97" s="11">
        <v>83.054175736277728</v>
      </c>
      <c r="I97" s="11">
        <v>2.5956984561433174</v>
      </c>
      <c r="J97" s="11">
        <v>1.9282351400605131</v>
      </c>
    </row>
    <row r="98" spans="1:10" x14ac:dyDescent="0.2">
      <c r="A98" t="s">
        <v>105</v>
      </c>
      <c r="B98" s="11">
        <v>258.19992564456101</v>
      </c>
      <c r="C98" s="11">
        <v>8850.9308091017574</v>
      </c>
      <c r="D98" s="11">
        <v>328599.11706987116</v>
      </c>
      <c r="E98" s="11">
        <v>830.1585416817926</v>
      </c>
      <c r="F98" s="11">
        <v>215.20360551546798</v>
      </c>
      <c r="G98" s="11">
        <f>154.820621933568+31.6013443001592</f>
        <v>186.4219662337272</v>
      </c>
      <c r="H98" s="11">
        <v>168.66386457213324</v>
      </c>
      <c r="I98" s="11">
        <v>5.2712645570910448</v>
      </c>
      <c r="J98" s="11">
        <v>3.915800592122888</v>
      </c>
    </row>
    <row r="99" spans="1:10" x14ac:dyDescent="0.2">
      <c r="A99" t="s">
        <v>106</v>
      </c>
      <c r="B99" s="11">
        <v>154.52874337818423</v>
      </c>
      <c r="C99" s="11">
        <v>5297.1479842351428</v>
      </c>
      <c r="D99" s="11">
        <v>196661.59279181686</v>
      </c>
      <c r="E99" s="11">
        <v>496.83730903683039</v>
      </c>
      <c r="F99" s="11">
        <v>128.79609724031795</v>
      </c>
      <c r="G99" s="11">
        <f>92.6577964602415+18.9129257553983</f>
        <v>111.5707222156398</v>
      </c>
      <c r="H99" s="11">
        <v>100.94276743332216</v>
      </c>
      <c r="I99" s="11">
        <v>3.1547719697741861</v>
      </c>
      <c r="J99" s="11">
        <v>2.3435473240735467</v>
      </c>
    </row>
    <row r="100" spans="1:10" x14ac:dyDescent="0.2">
      <c r="A100" t="s">
        <v>107</v>
      </c>
      <c r="B100" s="11">
        <v>60.637861325616605</v>
      </c>
      <c r="C100" s="11">
        <v>2078.627690016322</v>
      </c>
      <c r="D100" s="11">
        <v>77171.004766409154</v>
      </c>
      <c r="E100" s="11">
        <v>194.96147569799675</v>
      </c>
      <c r="F100" s="11">
        <v>50.540240689238694</v>
      </c>
      <c r="G100" s="11">
        <f>36.3593884843986+7.42152782806769</f>
        <v>43.780916312466289</v>
      </c>
      <c r="H100" s="11">
        <v>39.610453043455536</v>
      </c>
      <c r="I100" s="11">
        <v>1.2379484944683514</v>
      </c>
      <c r="J100" s="11">
        <v>0.9196198360288601</v>
      </c>
    </row>
    <row r="101" spans="1:10" x14ac:dyDescent="0.2">
      <c r="A101" t="s">
        <v>40</v>
      </c>
      <c r="B101" s="11">
        <v>197.56206431894441</v>
      </c>
      <c r="C101" s="11">
        <v>6772.3031190854363</v>
      </c>
      <c r="D101" s="11">
        <v>251428.11230346205</v>
      </c>
      <c r="E101" s="11">
        <v>635.19706598379582</v>
      </c>
      <c r="F101" s="11">
        <v>164.6633648262293</v>
      </c>
      <c r="G101" s="11">
        <f>118.46123344917+24.1798164720915</f>
        <v>142.6410499212615</v>
      </c>
      <c r="H101" s="11">
        <v>129.05341152867771</v>
      </c>
      <c r="I101" s="11">
        <v>4.0333160626226938</v>
      </c>
      <c r="J101" s="11">
        <v>2.9961807560940281</v>
      </c>
    </row>
    <row r="102" spans="1:10" x14ac:dyDescent="0.2">
      <c r="A102" t="s">
        <v>108</v>
      </c>
      <c r="B102" s="11">
        <v>97.803002138091301</v>
      </c>
      <c r="C102" s="11">
        <v>3352.6253064779389</v>
      </c>
      <c r="D102" s="11">
        <v>124469.36252646637</v>
      </c>
      <c r="E102" s="11">
        <v>314.45399306128508</v>
      </c>
      <c r="F102" s="11">
        <v>81.516517240707572</v>
      </c>
      <c r="G102" s="11">
        <f>58.6441749748364+11.9702061743027</f>
        <v>70.614381149139106</v>
      </c>
      <c r="H102" s="11">
        <v>63.887827489444405</v>
      </c>
      <c r="I102" s="11">
        <v>1.9966911201102444</v>
      </c>
      <c r="J102" s="11">
        <v>1.4832578000465486</v>
      </c>
    </row>
    <row r="103" spans="1:10" x14ac:dyDescent="0.2">
      <c r="A103" t="s">
        <v>109</v>
      </c>
      <c r="B103" s="11">
        <v>979.98608142367482</v>
      </c>
      <c r="C103" s="11">
        <v>33593.305570908946</v>
      </c>
      <c r="D103" s="11">
        <v>1247183.0125151931</v>
      </c>
      <c r="E103" s="11">
        <v>3150.8290104740763</v>
      </c>
      <c r="F103" s="11">
        <v>816.7955027518899</v>
      </c>
      <c r="G103" s="11">
        <f>587.614633247861+119.941465866513</f>
        <v>707.55609911437398</v>
      </c>
      <c r="H103" s="11">
        <v>640.15603144423301</v>
      </c>
      <c r="I103" s="11">
        <v>20.006845023504649</v>
      </c>
      <c r="J103" s="11">
        <v>14.862243156466416</v>
      </c>
    </row>
    <row r="104" spans="1:10" x14ac:dyDescent="0.2">
      <c r="A104" t="s">
        <v>110</v>
      </c>
      <c r="B104" s="11">
        <v>170.17722372027885</v>
      </c>
      <c r="C104" s="11">
        <v>5833.5680332716138</v>
      </c>
      <c r="D104" s="11">
        <v>216576.69079605149</v>
      </c>
      <c r="E104" s="11">
        <v>547.14994792663606</v>
      </c>
      <c r="F104" s="11">
        <v>141.83873999883119</v>
      </c>
      <c r="G104" s="11">
        <f>102.040864456215+20.8281587432867</f>
        <v>122.8690231995017</v>
      </c>
      <c r="H104" s="11">
        <v>111.16481983163327</v>
      </c>
      <c r="I104" s="11">
        <v>3.4742425489918252</v>
      </c>
      <c r="J104" s="11">
        <v>2.5808685720809943</v>
      </c>
    </row>
    <row r="105" spans="1:10" x14ac:dyDescent="0.2">
      <c r="A105" t="s">
        <v>111</v>
      </c>
      <c r="B105" s="11">
        <v>148.66056324989876</v>
      </c>
      <c r="C105" s="11">
        <v>5095.9904658464675</v>
      </c>
      <c r="D105" s="11">
        <v>189193.43104022887</v>
      </c>
      <c r="E105" s="11">
        <v>477.97006945315331</v>
      </c>
      <c r="F105" s="11">
        <v>123.90510620587551</v>
      </c>
      <c r="G105" s="11">
        <f>89.1391459617513+18.1947133849401</f>
        <v>107.3338593466914</v>
      </c>
      <c r="H105" s="11">
        <v>97.10949778395549</v>
      </c>
      <c r="I105" s="11">
        <v>3.0349705025675715</v>
      </c>
      <c r="J105" s="11">
        <v>2.2545518560707536</v>
      </c>
    </row>
    <row r="106" spans="1:10" x14ac:dyDescent="0.2">
      <c r="A106" s="6" t="s">
        <v>49</v>
      </c>
      <c r="B106" s="14">
        <f t="shared" ref="B106:G106" si="4">SUM(B71:B105)</f>
        <v>8563.6308672112737</v>
      </c>
      <c r="C106" s="14">
        <f t="shared" si="4"/>
        <v>293555.87183520832</v>
      </c>
      <c r="D106" s="14">
        <f t="shared" si="4"/>
        <v>10898537.382817393</v>
      </c>
      <c r="E106" s="14">
        <f t="shared" si="4"/>
        <v>27533.591632446129</v>
      </c>
      <c r="F106" s="14">
        <f t="shared" si="4"/>
        <v>7137.5862495963538</v>
      </c>
      <c r="G106" s="14">
        <f t="shared" si="4"/>
        <v>6182.9952134186215</v>
      </c>
      <c r="H106" s="14">
        <f t="shared" ref="H106:J106" si="5">SUM(H71:H105)</f>
        <v>5594.018174975753</v>
      </c>
      <c r="I106" s="14">
        <f t="shared" si="5"/>
        <v>174.83027447685302</v>
      </c>
      <c r="J106" s="14">
        <f t="shared" si="5"/>
        <v>129.87405297207576</v>
      </c>
    </row>
    <row r="108" spans="1:10" x14ac:dyDescent="0.2">
      <c r="A108" s="9" t="s">
        <v>50</v>
      </c>
      <c r="B108" s="13">
        <f t="shared" ref="B108:J108" si="6">B9+B39+B50+B68+B106</f>
        <v>35832.613802558451</v>
      </c>
      <c r="C108" s="13">
        <f t="shared" si="6"/>
        <v>837815.17747923033</v>
      </c>
      <c r="D108" s="13">
        <f t="shared" si="6"/>
        <v>30612334.436793976</v>
      </c>
      <c r="E108" s="13">
        <f t="shared" si="6"/>
        <v>77989.936579155081</v>
      </c>
      <c r="F108" s="13">
        <f t="shared" si="6"/>
        <v>20048.110468520008</v>
      </c>
      <c r="G108" s="13">
        <f t="shared" si="6"/>
        <v>33156.897176664577</v>
      </c>
      <c r="H108" s="13">
        <f t="shared" si="6"/>
        <v>16049.505173511046</v>
      </c>
      <c r="I108" s="13">
        <f t="shared" si="6"/>
        <v>521.32674421172351</v>
      </c>
      <c r="J108" s="13">
        <f t="shared" si="6"/>
        <v>411.92772912294993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workbookViewId="0">
      <selection sqref="A1:J108"/>
    </sheetView>
  </sheetViews>
  <sheetFormatPr baseColWidth="10" defaultColWidth="8.83203125" defaultRowHeight="15" x14ac:dyDescent="0.2"/>
  <cols>
    <col min="1" max="1" width="25.5" customWidth="1"/>
    <col min="2" max="3" width="11.33203125" bestFit="1" customWidth="1"/>
    <col min="4" max="4" width="10.33203125" bestFit="1" customWidth="1"/>
    <col min="5" max="6" width="8.83203125" bestFit="1" customWidth="1"/>
    <col min="7" max="7" width="10.33203125" bestFit="1" customWidth="1"/>
    <col min="8" max="8" width="8.83203125" bestFit="1" customWidth="1"/>
    <col min="9" max="9" width="9.33203125" bestFit="1" customWidth="1"/>
    <col min="10" max="10" width="10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">
      <c r="A5" t="s">
        <v>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2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">
      <c r="A7" t="s">
        <v>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2">
      <c r="A8" t="s">
        <v>5</v>
      </c>
      <c r="B8" s="11">
        <v>1267.07289558</v>
      </c>
      <c r="C8" s="11">
        <v>1866.1872912000001</v>
      </c>
      <c r="D8" s="11">
        <v>142.23988500000002</v>
      </c>
      <c r="E8" s="11">
        <v>0</v>
      </c>
      <c r="F8" s="11">
        <v>0</v>
      </c>
      <c r="G8" s="11">
        <f>162.72242844+149.63635902</f>
        <v>312.35878745999997</v>
      </c>
      <c r="H8" s="11">
        <v>0</v>
      </c>
      <c r="I8" s="11">
        <v>42.103005960000004</v>
      </c>
      <c r="J8" s="11">
        <v>59.740751700000004</v>
      </c>
    </row>
    <row r="9" spans="1:10" x14ac:dyDescent="0.2">
      <c r="A9" s="6" t="s">
        <v>42</v>
      </c>
      <c r="B9" s="14">
        <f>SUM(B4:B8)</f>
        <v>1267.07289558</v>
      </c>
      <c r="C9" s="14">
        <f t="shared" ref="C9:J9" si="0">SUM(C4:C8)</f>
        <v>1866.1872912000001</v>
      </c>
      <c r="D9" s="14">
        <f t="shared" si="0"/>
        <v>142.23988500000002</v>
      </c>
      <c r="E9" s="14">
        <f t="shared" si="0"/>
        <v>0</v>
      </c>
      <c r="F9" s="14">
        <f t="shared" si="0"/>
        <v>0</v>
      </c>
      <c r="G9" s="14">
        <f t="shared" si="0"/>
        <v>312.35878745999997</v>
      </c>
      <c r="H9" s="14">
        <f t="shared" si="0"/>
        <v>0</v>
      </c>
      <c r="I9" s="14">
        <f t="shared" si="0"/>
        <v>42.103005960000004</v>
      </c>
      <c r="J9" s="14">
        <f t="shared" si="0"/>
        <v>59.740751700000004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x14ac:dyDescent="0.2">
      <c r="A43" t="s">
        <v>15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x14ac:dyDescent="0.2">
      <c r="A44" t="s">
        <v>16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x14ac:dyDescent="0.2">
      <c r="A45" t="s">
        <v>17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</row>
    <row r="46" spans="1:10" x14ac:dyDescent="0.2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2">
      <c r="A47" t="s">
        <v>19</v>
      </c>
      <c r="B47" s="11">
        <v>1445.8097496740334</v>
      </c>
      <c r="C47" s="11">
        <v>2129.4369011813333</v>
      </c>
      <c r="D47" s="11">
        <v>162.30464185833335</v>
      </c>
      <c r="E47" s="11">
        <v>0</v>
      </c>
      <c r="F47" s="11">
        <v>0</v>
      </c>
      <c r="G47" s="11">
        <f>170.744483234967+185.676510285933</f>
        <v>356.42099352089997</v>
      </c>
      <c r="H47" s="11">
        <v>0</v>
      </c>
      <c r="I47" s="11">
        <v>48.042173990066665</v>
      </c>
      <c r="J47" s="11">
        <v>68.167949580499993</v>
      </c>
    </row>
    <row r="48" spans="1:10" x14ac:dyDescent="0.2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2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2">
      <c r="A50" s="6" t="s">
        <v>44</v>
      </c>
      <c r="B50" s="14">
        <f>SUM(B42:B49)</f>
        <v>1445.8097496740334</v>
      </c>
      <c r="C50" s="14">
        <f t="shared" ref="C50:J50" si="2">SUM(C42:C49)</f>
        <v>2129.4369011813333</v>
      </c>
      <c r="D50" s="14">
        <f t="shared" si="2"/>
        <v>162.30464185833335</v>
      </c>
      <c r="E50" s="14">
        <f t="shared" si="2"/>
        <v>0</v>
      </c>
      <c r="F50" s="14">
        <f t="shared" si="2"/>
        <v>0</v>
      </c>
      <c r="G50" s="14">
        <f t="shared" si="2"/>
        <v>356.42099352089997</v>
      </c>
      <c r="H50" s="14">
        <f t="shared" si="2"/>
        <v>0</v>
      </c>
      <c r="I50" s="14">
        <f t="shared" si="2"/>
        <v>48.042173990066665</v>
      </c>
      <c r="J50" s="14">
        <f t="shared" si="2"/>
        <v>68.167949580499993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2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2">
      <c r="A55" t="s">
        <v>27</v>
      </c>
      <c r="B55" s="11">
        <v>2527.0573538979997</v>
      </c>
      <c r="C55" s="11">
        <v>3683.9658517200005</v>
      </c>
      <c r="D55" s="11">
        <v>280.52668490000002</v>
      </c>
      <c r="E55" s="11">
        <v>0</v>
      </c>
      <c r="F55" s="11">
        <v>0</v>
      </c>
      <c r="G55" s="11">
        <f>323.264182164+297.213309162</f>
        <v>620.47749132599995</v>
      </c>
      <c r="H55" s="11">
        <v>0</v>
      </c>
      <c r="I55" s="11">
        <v>83.608417816000014</v>
      </c>
      <c r="J55" s="11">
        <v>118.69803869</v>
      </c>
    </row>
    <row r="56" spans="1:10" x14ac:dyDescent="0.2">
      <c r="A56" t="s">
        <v>28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</row>
    <row r="57" spans="1:10" x14ac:dyDescent="0.2">
      <c r="A57" t="s">
        <v>29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</row>
    <row r="58" spans="1:10" x14ac:dyDescent="0.2">
      <c r="A58" t="s">
        <v>30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</row>
    <row r="59" spans="1:10" x14ac:dyDescent="0.2">
      <c r="A59" t="s">
        <v>31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</row>
    <row r="60" spans="1:10" x14ac:dyDescent="0.2">
      <c r="A60" t="s">
        <v>32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</row>
    <row r="61" spans="1:10" x14ac:dyDescent="0.2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2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2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2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2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2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2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2">
      <c r="A68" s="6" t="s">
        <v>48</v>
      </c>
      <c r="B68" s="14">
        <f>SUM(B53:B67)</f>
        <v>2527.0573538979997</v>
      </c>
      <c r="C68" s="14">
        <f t="shared" ref="C68:J68" si="3">SUM(C53:C67)</f>
        <v>3683.9658517200005</v>
      </c>
      <c r="D68" s="14">
        <f t="shared" si="3"/>
        <v>280.52668490000002</v>
      </c>
      <c r="E68" s="14">
        <f t="shared" si="3"/>
        <v>0</v>
      </c>
      <c r="F68" s="14">
        <f t="shared" si="3"/>
        <v>0</v>
      </c>
      <c r="G68" s="14">
        <f t="shared" si="3"/>
        <v>620.47749132599995</v>
      </c>
      <c r="H68" s="14">
        <f t="shared" si="3"/>
        <v>0</v>
      </c>
      <c r="I68" s="14">
        <f t="shared" si="3"/>
        <v>83.608417816000014</v>
      </c>
      <c r="J68" s="14">
        <f t="shared" si="3"/>
        <v>118.69803869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3">
        <f t="shared" ref="B108:J108" si="6">B9+B39+B50+B68+B106</f>
        <v>5239.9399991520331</v>
      </c>
      <c r="C108" s="13">
        <f t="shared" si="6"/>
        <v>7679.5900441013337</v>
      </c>
      <c r="D108" s="13">
        <f t="shared" si="6"/>
        <v>585.07121175833345</v>
      </c>
      <c r="E108" s="13">
        <f t="shared" si="6"/>
        <v>0</v>
      </c>
      <c r="F108" s="13">
        <f t="shared" si="6"/>
        <v>0</v>
      </c>
      <c r="G108" s="13">
        <f t="shared" si="6"/>
        <v>1289.2572723068997</v>
      </c>
      <c r="H108" s="13">
        <f t="shared" si="6"/>
        <v>0</v>
      </c>
      <c r="I108" s="13">
        <f t="shared" si="6"/>
        <v>173.75359776606669</v>
      </c>
      <c r="J108" s="13">
        <f t="shared" si="6"/>
        <v>246.6067399705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108"/>
  <sheetViews>
    <sheetView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B108" sqref="B108"/>
    </sheetView>
  </sheetViews>
  <sheetFormatPr baseColWidth="10" defaultColWidth="8.83203125" defaultRowHeight="15" x14ac:dyDescent="0.2"/>
  <cols>
    <col min="1" max="1" width="25.5" customWidth="1"/>
    <col min="2" max="3" width="13.33203125" bestFit="1" customWidth="1"/>
    <col min="4" max="4" width="14.33203125" bestFit="1" customWidth="1"/>
    <col min="5" max="5" width="13.33203125" bestFit="1" customWidth="1"/>
    <col min="6" max="6" width="11.33203125" bestFit="1" customWidth="1"/>
    <col min="7" max="8" width="13.33203125" bestFit="1" customWidth="1"/>
    <col min="9" max="10" width="12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5">
        <v>428.84053319690486</v>
      </c>
      <c r="C4" s="15">
        <v>2287.6226271747146</v>
      </c>
      <c r="D4" s="15">
        <v>4976.5511227755696</v>
      </c>
      <c r="E4" s="15">
        <v>321.80662221497079</v>
      </c>
      <c r="F4" s="15">
        <v>2.3493141788998768</v>
      </c>
      <c r="G4" s="15">
        <v>694.31593403609907</v>
      </c>
      <c r="H4" s="15">
        <v>742.37395828842966</v>
      </c>
      <c r="I4" s="15">
        <v>261.47047980601741</v>
      </c>
      <c r="J4" s="15">
        <v>47.657477643957478</v>
      </c>
    </row>
    <row r="5" spans="1:10" x14ac:dyDescent="0.2">
      <c r="A5" t="s">
        <v>2</v>
      </c>
      <c r="B5" s="15">
        <v>556.35839098066538</v>
      </c>
      <c r="C5" s="15">
        <v>2967.8585523106349</v>
      </c>
      <c r="D5" s="15">
        <v>6456.3532618059498</v>
      </c>
      <c r="E5" s="15">
        <v>417.49741613215639</v>
      </c>
      <c r="F5" s="15">
        <v>3.0478943926707913</v>
      </c>
      <c r="G5" s="15">
        <v>900.77421789603795</v>
      </c>
      <c r="H5" s="15">
        <v>963.12253382460653</v>
      </c>
      <c r="I5" s="15">
        <v>339.22002276548875</v>
      </c>
      <c r="J5" s="15">
        <v>61.828664801176451</v>
      </c>
    </row>
    <row r="6" spans="1:10" x14ac:dyDescent="0.2">
      <c r="A6" t="s">
        <v>3</v>
      </c>
      <c r="B6" s="15">
        <v>175.76106610108735</v>
      </c>
      <c r="C6" s="15">
        <v>937.58626030945368</v>
      </c>
      <c r="D6" s="15">
        <v>2039.6484546948845</v>
      </c>
      <c r="E6" s="15">
        <v>131.89302461043894</v>
      </c>
      <c r="F6" s="15">
        <v>0.96287065406722905</v>
      </c>
      <c r="G6" s="15">
        <v>284.56663801675774</v>
      </c>
      <c r="H6" s="15">
        <v>304.26330594675301</v>
      </c>
      <c r="I6" s="15">
        <v>107.16414780588687</v>
      </c>
      <c r="J6" s="15">
        <v>19.5325031800216</v>
      </c>
    </row>
    <row r="7" spans="1:10" x14ac:dyDescent="0.2">
      <c r="A7" t="s">
        <v>4</v>
      </c>
      <c r="B7" s="15">
        <v>490.4697456983904</v>
      </c>
      <c r="C7" s="15">
        <v>2616.3797527252123</v>
      </c>
      <c r="D7" s="15">
        <v>5691.7375450655973</v>
      </c>
      <c r="E7" s="15">
        <v>368.05385672198838</v>
      </c>
      <c r="F7" s="15">
        <v>2.6869370749559596</v>
      </c>
      <c r="G7" s="15">
        <v>794.0969503567527</v>
      </c>
      <c r="H7" s="15">
        <v>849.06145373074901</v>
      </c>
      <c r="I7" s="15">
        <v>299.04673138536958</v>
      </c>
      <c r="J7" s="15">
        <v>54.506393708651544</v>
      </c>
    </row>
    <row r="8" spans="1:10" x14ac:dyDescent="0.2">
      <c r="A8" t="s">
        <v>5</v>
      </c>
      <c r="B8" s="15">
        <v>343.32160678395832</v>
      </c>
      <c r="C8" s="15">
        <v>1831.4273378546195</v>
      </c>
      <c r="D8" s="15">
        <v>3984.1325515033004</v>
      </c>
      <c r="E8" s="15">
        <v>257.63228533678034</v>
      </c>
      <c r="F8" s="15">
        <v>1.8808164254611155</v>
      </c>
      <c r="G8" s="15">
        <v>555.85618344413251</v>
      </c>
      <c r="H8" s="15">
        <v>594.33052723382457</v>
      </c>
      <c r="I8" s="15">
        <v>209.32831275152958</v>
      </c>
      <c r="J8" s="15">
        <v>38.153673763112799</v>
      </c>
    </row>
    <row r="9" spans="1:10" x14ac:dyDescent="0.2">
      <c r="A9" s="6" t="s">
        <v>42</v>
      </c>
      <c r="B9" s="18">
        <f>SUM(B4:B8)</f>
        <v>1994.7513427610063</v>
      </c>
      <c r="C9" s="18">
        <f t="shared" ref="C9:J9" si="0">SUM(C4:C8)</f>
        <v>10640.874530374636</v>
      </c>
      <c r="D9" s="18">
        <f t="shared" si="0"/>
        <v>23148.422935845301</v>
      </c>
      <c r="E9" s="18">
        <f t="shared" si="0"/>
        <v>1496.8832050163348</v>
      </c>
      <c r="F9" s="18">
        <f t="shared" si="0"/>
        <v>10.927832726054973</v>
      </c>
      <c r="G9" s="18">
        <f t="shared" si="0"/>
        <v>3229.6099237497797</v>
      </c>
      <c r="H9" s="18">
        <f t="shared" si="0"/>
        <v>3453.1517790243633</v>
      </c>
      <c r="I9" s="18">
        <f t="shared" si="0"/>
        <v>1216.2296945142923</v>
      </c>
      <c r="J9" s="18">
        <f t="shared" si="0"/>
        <v>221.67871309691986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5">
        <v>147.73525345640019</v>
      </c>
      <c r="C12" s="15">
        <v>792.17048679250752</v>
      </c>
      <c r="D12" s="15">
        <v>3887.5942507991081</v>
      </c>
      <c r="E12" s="15">
        <v>363.37003211190313</v>
      </c>
      <c r="F12" s="15">
        <v>37.01787333679362</v>
      </c>
      <c r="G12" s="15">
        <v>519.80943605837695</v>
      </c>
      <c r="H12" s="15">
        <v>480.53139628485457</v>
      </c>
      <c r="I12" s="15">
        <v>113.81953668299991</v>
      </c>
      <c r="J12" s="15">
        <v>149.7982347137746</v>
      </c>
    </row>
    <row r="13" spans="1:10" x14ac:dyDescent="0.2">
      <c r="A13" t="s">
        <v>52</v>
      </c>
      <c r="B13" s="15">
        <v>61.078001178866664</v>
      </c>
      <c r="C13" s="15">
        <v>327.5060542029351</v>
      </c>
      <c r="D13" s="15">
        <v>1607.2432319164679</v>
      </c>
      <c r="E13" s="15">
        <v>150.22761819165615</v>
      </c>
      <c r="F13" s="15">
        <v>15.304253104158921</v>
      </c>
      <c r="G13" s="15">
        <v>214.90416542812068</v>
      </c>
      <c r="H13" s="15">
        <v>198.66549453905782</v>
      </c>
      <c r="I13" s="15">
        <v>47.056268785256265</v>
      </c>
      <c r="J13" s="15">
        <v>61.930896941536346</v>
      </c>
    </row>
    <row r="14" spans="1:10" x14ac:dyDescent="0.2">
      <c r="A14" t="s">
        <v>53</v>
      </c>
      <c r="B14" s="15">
        <v>55.984964766647622</v>
      </c>
      <c r="C14" s="15">
        <v>300.19670833234903</v>
      </c>
      <c r="D14" s="15">
        <v>1473.2220107656437</v>
      </c>
      <c r="E14" s="15">
        <v>137.70077194908822</v>
      </c>
      <c r="F14" s="15">
        <v>14.028096111184711</v>
      </c>
      <c r="G14" s="15">
        <v>196.98421522448382</v>
      </c>
      <c r="H14" s="15">
        <v>182.09961847877477</v>
      </c>
      <c r="I14" s="15">
        <v>43.132445383690857</v>
      </c>
      <c r="J14" s="15">
        <v>56.766741155872467</v>
      </c>
    </row>
    <row r="15" spans="1:10" x14ac:dyDescent="0.2">
      <c r="A15" t="s">
        <v>54</v>
      </c>
      <c r="B15" s="15">
        <v>93.495970928004112</v>
      </c>
      <c r="C15" s="15">
        <v>501.33429273218957</v>
      </c>
      <c r="D15" s="15">
        <v>2460.3091716349095</v>
      </c>
      <c r="E15" s="15">
        <v>229.96294495456198</v>
      </c>
      <c r="F15" s="15">
        <v>23.427191061981802</v>
      </c>
      <c r="G15" s="15">
        <v>328.96743860908691</v>
      </c>
      <c r="H15" s="15">
        <v>304.1098749683407</v>
      </c>
      <c r="I15" s="15">
        <v>72.032015675210801</v>
      </c>
      <c r="J15" s="15">
        <v>94.801552575930955</v>
      </c>
    </row>
    <row r="16" spans="1:10" x14ac:dyDescent="0.2">
      <c r="A16" t="s">
        <v>55</v>
      </c>
      <c r="B16" s="15">
        <v>64.945179299562014</v>
      </c>
      <c r="C16" s="15">
        <v>348.24223126773205</v>
      </c>
      <c r="D16" s="15">
        <v>1709.0064812228918</v>
      </c>
      <c r="E16" s="15">
        <v>159.73934003883346</v>
      </c>
      <c r="F16" s="15">
        <v>16.27324802238924</v>
      </c>
      <c r="G16" s="15">
        <v>228.51090878169128</v>
      </c>
      <c r="H16" s="15">
        <v>211.24407993789356</v>
      </c>
      <c r="I16" s="15">
        <v>50.03565530045983</v>
      </c>
      <c r="J16" s="15">
        <v>65.852076499229796</v>
      </c>
    </row>
    <row r="17" spans="1:10" x14ac:dyDescent="0.2">
      <c r="A17" t="s">
        <v>56</v>
      </c>
      <c r="B17" s="15">
        <v>43.441531206567248</v>
      </c>
      <c r="C17" s="15">
        <v>232.93762401182275</v>
      </c>
      <c r="D17" s="15">
        <v>1143.1465612532479</v>
      </c>
      <c r="E17" s="15">
        <v>106.84890857265275</v>
      </c>
      <c r="F17" s="15">
        <v>10.885100625191413</v>
      </c>
      <c r="G17" s="15">
        <v>152.84989404822275</v>
      </c>
      <c r="H17" s="15">
        <v>141.30019178939241</v>
      </c>
      <c r="I17" s="15">
        <v>33.468619297362174</v>
      </c>
      <c r="J17" s="15">
        <v>44.048150565007944</v>
      </c>
    </row>
    <row r="18" spans="1:10" x14ac:dyDescent="0.2">
      <c r="A18" t="s">
        <v>57</v>
      </c>
      <c r="B18" s="15">
        <v>29.598909259381426</v>
      </c>
      <c r="C18" s="15">
        <v>158.71216793526713</v>
      </c>
      <c r="D18" s="15">
        <v>778.88348768870446</v>
      </c>
      <c r="E18" s="15">
        <v>72.801557897843722</v>
      </c>
      <c r="F18" s="15">
        <v>7.4165688164226173</v>
      </c>
      <c r="G18" s="15">
        <v>104.1443526179268</v>
      </c>
      <c r="H18" s="15">
        <v>96.274957142283156</v>
      </c>
      <c r="I18" s="15">
        <v>22.803860685961418</v>
      </c>
      <c r="J18" s="15">
        <v>30.012229666069942</v>
      </c>
    </row>
    <row r="19" spans="1:10" x14ac:dyDescent="0.2">
      <c r="A19" t="s">
        <v>58</v>
      </c>
      <c r="B19" s="15">
        <v>26.766450734600163</v>
      </c>
      <c r="C19" s="15">
        <v>143.52425580258344</v>
      </c>
      <c r="D19" s="15">
        <v>704.34847171287117</v>
      </c>
      <c r="E19" s="15">
        <v>65.834835189311946</v>
      </c>
      <c r="F19" s="15">
        <v>6.7068425429098566</v>
      </c>
      <c r="G19" s="15">
        <v>94.178290801409801</v>
      </c>
      <c r="H19" s="15">
        <v>87.061954707263368</v>
      </c>
      <c r="I19" s="15">
        <v>20.621652246054008</v>
      </c>
      <c r="J19" s="15">
        <v>27.140218571998648</v>
      </c>
    </row>
    <row r="20" spans="1:10" x14ac:dyDescent="0.2">
      <c r="A20" t="s">
        <v>59</v>
      </c>
      <c r="B20" s="15">
        <v>54.307931979579003</v>
      </c>
      <c r="C20" s="15">
        <v>291.20429894990457</v>
      </c>
      <c r="D20" s="15">
        <v>1429.0915620820895</v>
      </c>
      <c r="E20" s="15">
        <v>133.57593753460176</v>
      </c>
      <c r="F20" s="15">
        <v>13.607883698500981</v>
      </c>
      <c r="G20" s="15">
        <v>191.08354191257985</v>
      </c>
      <c r="H20" s="15">
        <v>176.64481410452032</v>
      </c>
      <c r="I20" s="15">
        <v>41.840410541900823</v>
      </c>
      <c r="J20" s="15">
        <v>55.066290212833742</v>
      </c>
    </row>
    <row r="21" spans="1:10" x14ac:dyDescent="0.2">
      <c r="A21" t="s">
        <v>60</v>
      </c>
      <c r="B21" s="15">
        <v>29.843045727549281</v>
      </c>
      <c r="C21" s="15">
        <v>160.02125090840738</v>
      </c>
      <c r="D21" s="15">
        <v>785.30784144215613</v>
      </c>
      <c r="E21" s="15">
        <v>73.402036620439347</v>
      </c>
      <c r="F21" s="15">
        <v>7.4777418448237025</v>
      </c>
      <c r="G21" s="15">
        <v>105.0033516507952</v>
      </c>
      <c r="H21" s="15">
        <v>97.069048161102671</v>
      </c>
      <c r="I21" s="15">
        <v>22.991950522640042</v>
      </c>
      <c r="J21" s="15">
        <v>30.259775266088784</v>
      </c>
    </row>
    <row r="22" spans="1:10" x14ac:dyDescent="0.2">
      <c r="A22" t="s">
        <v>61</v>
      </c>
      <c r="B22" s="15">
        <v>28.53954817575918</v>
      </c>
      <c r="C22" s="15">
        <v>153.03177300130011</v>
      </c>
      <c r="D22" s="15">
        <v>751.00682344061715</v>
      </c>
      <c r="E22" s="15">
        <v>70.195950488861143</v>
      </c>
      <c r="F22" s="15">
        <v>7.1511257790027782</v>
      </c>
      <c r="G22" s="15">
        <v>100.41696951486546</v>
      </c>
      <c r="H22" s="15">
        <v>92.829223989410011</v>
      </c>
      <c r="I22" s="15">
        <v>21.987698091747106</v>
      </c>
      <c r="J22" s="15">
        <v>28.9380756199748</v>
      </c>
    </row>
    <row r="23" spans="1:10" x14ac:dyDescent="0.2">
      <c r="A23" t="s">
        <v>62</v>
      </c>
      <c r="B23" s="15">
        <v>42.806078007468152</v>
      </c>
      <c r="C23" s="15">
        <v>229.53026349165586</v>
      </c>
      <c r="D23" s="15">
        <v>1126.4248638542001</v>
      </c>
      <c r="E23" s="15">
        <v>105.28594615197098</v>
      </c>
      <c r="F23" s="15">
        <v>10.725875758510201</v>
      </c>
      <c r="G23" s="15">
        <v>150.61403929225096</v>
      </c>
      <c r="H23" s="15">
        <v>139.23328354716378</v>
      </c>
      <c r="I23" s="15">
        <v>32.979047668295756</v>
      </c>
      <c r="J23" s="15">
        <v>43.403823870862745</v>
      </c>
    </row>
    <row r="24" spans="1:10" x14ac:dyDescent="0.2">
      <c r="A24" t="s">
        <v>63</v>
      </c>
      <c r="B24" s="15">
        <v>39.521107660170863</v>
      </c>
      <c r="C24" s="15">
        <v>211.91593990784429</v>
      </c>
      <c r="D24" s="15">
        <v>1039.9821798135395</v>
      </c>
      <c r="E24" s="15">
        <v>97.206224131279811</v>
      </c>
      <c r="F24" s="15">
        <v>9.902764054388328</v>
      </c>
      <c r="G24" s="15">
        <v>139.05580560227367</v>
      </c>
      <c r="H24" s="15">
        <v>128.54841753983013</v>
      </c>
      <c r="I24" s="15">
        <v>30.448210957360576</v>
      </c>
      <c r="J24" s="15">
        <v>40.072982060262312</v>
      </c>
    </row>
    <row r="25" spans="1:10" x14ac:dyDescent="0.2">
      <c r="A25" t="s">
        <v>64</v>
      </c>
      <c r="B25" s="15">
        <v>23.846347762583552</v>
      </c>
      <c r="C25" s="15">
        <v>127.86638580400977</v>
      </c>
      <c r="D25" s="15">
        <v>627.50712707671482</v>
      </c>
      <c r="E25" s="15">
        <v>58.652541959450694</v>
      </c>
      <c r="F25" s="15">
        <v>5.9751552887203419</v>
      </c>
      <c r="G25" s="15">
        <v>83.90385024911258</v>
      </c>
      <c r="H25" s="15">
        <v>77.563875368652361</v>
      </c>
      <c r="I25" s="15">
        <v>18.371919974537182</v>
      </c>
      <c r="J25" s="15">
        <v>24.179339159965632</v>
      </c>
    </row>
    <row r="26" spans="1:10" x14ac:dyDescent="0.2">
      <c r="A26" t="s">
        <v>65</v>
      </c>
      <c r="B26" s="15">
        <v>58.295444762358706</v>
      </c>
      <c r="C26" s="15">
        <v>312.58572192325175</v>
      </c>
      <c r="D26" s="15">
        <v>1534.0213700097365</v>
      </c>
      <c r="E26" s="15">
        <v>143.38363484466123</v>
      </c>
      <c r="F26" s="15">
        <v>14.607030751545752</v>
      </c>
      <c r="G26" s="15">
        <v>205.11368517492582</v>
      </c>
      <c r="H26" s="15">
        <v>189.61480630599797</v>
      </c>
      <c r="I26" s="15">
        <v>44.912506381147942</v>
      </c>
      <c r="J26" s="15">
        <v>59.109484790865132</v>
      </c>
    </row>
    <row r="27" spans="1:10" x14ac:dyDescent="0.2">
      <c r="A27" t="s">
        <v>66</v>
      </c>
      <c r="B27" s="15">
        <v>93.213819702417155</v>
      </c>
      <c r="C27" s="15">
        <v>499.82137101247088</v>
      </c>
      <c r="D27" s="15">
        <v>2452.8844747072289</v>
      </c>
      <c r="E27" s="15">
        <v>229.26896503099414</v>
      </c>
      <c r="F27" s="15">
        <v>23.356492714185745</v>
      </c>
      <c r="G27" s="15">
        <v>327.97468389398551</v>
      </c>
      <c r="H27" s="15">
        <v>303.19213516539787</v>
      </c>
      <c r="I27" s="15">
        <v>71.814638163618227</v>
      </c>
      <c r="J27" s="15">
        <v>94.515461378830679</v>
      </c>
    </row>
    <row r="28" spans="1:10" x14ac:dyDescent="0.2">
      <c r="A28" t="s">
        <v>67</v>
      </c>
      <c r="B28" s="15">
        <v>42.09845868255843</v>
      </c>
      <c r="C28" s="15">
        <v>225.73594133791917</v>
      </c>
      <c r="D28" s="15">
        <v>1107.8041436475282</v>
      </c>
      <c r="E28" s="15">
        <v>103.54548373152822</v>
      </c>
      <c r="F28" s="15">
        <v>10.548568298528036</v>
      </c>
      <c r="G28" s="15">
        <v>148.12426658316707</v>
      </c>
      <c r="H28" s="15">
        <v>136.93164399748537</v>
      </c>
      <c r="I28" s="15">
        <v>32.433877156689121</v>
      </c>
      <c r="J28" s="15">
        <v>42.686323320108194</v>
      </c>
    </row>
    <row r="29" spans="1:10" x14ac:dyDescent="0.2">
      <c r="A29" t="s">
        <v>68</v>
      </c>
      <c r="B29" s="15">
        <v>9.8883937467978367</v>
      </c>
      <c r="C29" s="15">
        <v>53.022508201189787</v>
      </c>
      <c r="D29" s="15">
        <v>260.20913614254022</v>
      </c>
      <c r="E29" s="15">
        <v>24.321520214330469</v>
      </c>
      <c r="F29" s="15">
        <v>2.4777248399369536</v>
      </c>
      <c r="G29" s="15">
        <v>34.792510634999594</v>
      </c>
      <c r="H29" s="15">
        <v>32.163505615574095</v>
      </c>
      <c r="I29" s="15">
        <v>7.61830618263203</v>
      </c>
      <c r="J29" s="15">
        <v>10.026475690598765</v>
      </c>
    </row>
    <row r="30" spans="1:10" x14ac:dyDescent="0.2">
      <c r="A30" t="s">
        <v>69</v>
      </c>
      <c r="B30" s="15">
        <v>27.541035469321802</v>
      </c>
      <c r="C30" s="15">
        <v>147.6776528558303</v>
      </c>
      <c r="D30" s="15">
        <v>724.73135996066037</v>
      </c>
      <c r="E30" s="15">
        <v>67.74000591426865</v>
      </c>
      <c r="F30" s="15">
        <v>6.9009294580347005</v>
      </c>
      <c r="G30" s="15">
        <v>96.903682640629199</v>
      </c>
      <c r="H30" s="15">
        <v>89.581409444088052</v>
      </c>
      <c r="I30" s="15">
        <v>21.218414857313618</v>
      </c>
      <c r="J30" s="15">
        <v>27.925619640348138</v>
      </c>
    </row>
    <row r="31" spans="1:10" x14ac:dyDescent="0.2">
      <c r="A31" t="s">
        <v>70</v>
      </c>
      <c r="B31" s="15">
        <v>8.1398634974041375</v>
      </c>
      <c r="C31" s="15">
        <v>43.646722622411765</v>
      </c>
      <c r="D31" s="15">
        <v>214.19726026419823</v>
      </c>
      <c r="E31" s="15">
        <v>20.020830446614788</v>
      </c>
      <c r="F31" s="15">
        <v>2.0395973802869083</v>
      </c>
      <c r="G31" s="15">
        <v>28.640272075794844</v>
      </c>
      <c r="H31" s="15">
        <v>26.476144863623119</v>
      </c>
      <c r="I31" s="15">
        <v>6.2711876161015612</v>
      </c>
      <c r="J31" s="15">
        <v>8.2535288916811158</v>
      </c>
    </row>
    <row r="32" spans="1:10" x14ac:dyDescent="0.2">
      <c r="A32" t="s">
        <v>71</v>
      </c>
      <c r="B32" s="15">
        <v>62.108634497924626</v>
      </c>
      <c r="C32" s="15">
        <v>333.0324081297158</v>
      </c>
      <c r="D32" s="15">
        <v>1634.363936501946</v>
      </c>
      <c r="E32" s="15">
        <v>152.76256671260759</v>
      </c>
      <c r="F32" s="15">
        <v>15.562497854609267</v>
      </c>
      <c r="G32" s="15">
        <v>218.5304693185499</v>
      </c>
      <c r="H32" s="15">
        <v>202.01778626549245</v>
      </c>
      <c r="I32" s="15">
        <v>47.850298673998147</v>
      </c>
      <c r="J32" s="15">
        <v>62.975922067361473</v>
      </c>
    </row>
    <row r="33" spans="1:10" x14ac:dyDescent="0.2">
      <c r="A33" t="s">
        <v>72</v>
      </c>
      <c r="B33" s="15">
        <v>7.9078620332332656</v>
      </c>
      <c r="C33" s="15">
        <v>42.402708695410567</v>
      </c>
      <c r="D33" s="15">
        <v>208.09223429926271</v>
      </c>
      <c r="E33" s="15">
        <v>19.45019901292887</v>
      </c>
      <c r="F33" s="15">
        <v>1.9814650075884546</v>
      </c>
      <c r="G33" s="15">
        <v>27.823970296538285</v>
      </c>
      <c r="H33" s="15">
        <v>25.721524792178489</v>
      </c>
      <c r="I33" s="15">
        <v>6.0924469394931897</v>
      </c>
      <c r="J33" s="15">
        <v>8.0182877493625409</v>
      </c>
    </row>
    <row r="34" spans="1:10" x14ac:dyDescent="0.2">
      <c r="A34" t="s">
        <v>73</v>
      </c>
      <c r="B34" s="15">
        <v>74.393097166583686</v>
      </c>
      <c r="C34" s="15">
        <v>398.90286588804616</v>
      </c>
      <c r="D34" s="15">
        <v>1957.6246703316635</v>
      </c>
      <c r="E34" s="15">
        <v>182.97746457857622</v>
      </c>
      <c r="F34" s="15">
        <v>18.640603265740509</v>
      </c>
      <c r="G34" s="15">
        <v>261.7535962478334</v>
      </c>
      <c r="H34" s="15">
        <v>241.97487071671338</v>
      </c>
      <c r="I34" s="15">
        <v>57.314606052460292</v>
      </c>
      <c r="J34" s="15">
        <v>75.431925486447028</v>
      </c>
    </row>
    <row r="35" spans="1:10" x14ac:dyDescent="0.2">
      <c r="A35" t="s">
        <v>74</v>
      </c>
      <c r="B35" s="15">
        <v>59.605802306204239</v>
      </c>
      <c r="C35" s="15">
        <v>319.61198376052334</v>
      </c>
      <c r="D35" s="15">
        <v>1568.5029059651915</v>
      </c>
      <c r="E35" s="15">
        <v>146.60659383139858</v>
      </c>
      <c r="F35" s="15">
        <v>14.935365718651632</v>
      </c>
      <c r="G35" s="15">
        <v>209.72420432973408</v>
      </c>
      <c r="H35" s="15">
        <v>193.8769436459005</v>
      </c>
      <c r="I35" s="15">
        <v>45.922043949468346</v>
      </c>
      <c r="J35" s="15">
        <v>60.438140222250489</v>
      </c>
    </row>
    <row r="36" spans="1:10" x14ac:dyDescent="0.2">
      <c r="A36" t="s">
        <v>75</v>
      </c>
      <c r="B36" s="15">
        <v>15.213431623187754</v>
      </c>
      <c r="C36" s="15">
        <v>81.575867998777028</v>
      </c>
      <c r="D36" s="15">
        <v>400.33538325829994</v>
      </c>
      <c r="E36" s="15">
        <v>37.418997890584308</v>
      </c>
      <c r="F36" s="15">
        <v>3.8120142056096169</v>
      </c>
      <c r="G36" s="15">
        <v>53.528762617893008</v>
      </c>
      <c r="H36" s="15">
        <v>49.48400174730174</v>
      </c>
      <c r="I36" s="15">
        <v>11.720870260805809</v>
      </c>
      <c r="J36" s="15">
        <v>15.42587261858122</v>
      </c>
    </row>
    <row r="37" spans="1:10" x14ac:dyDescent="0.2">
      <c r="A37" t="s">
        <v>76</v>
      </c>
      <c r="B37" s="15">
        <v>16.432207034827496</v>
      </c>
      <c r="C37" s="15">
        <v>88.111057728656405</v>
      </c>
      <c r="D37" s="15">
        <v>432.40697194450536</v>
      </c>
      <c r="E37" s="15">
        <v>40.416701215305174</v>
      </c>
      <c r="F37" s="15">
        <v>4.1174015302903388</v>
      </c>
      <c r="G37" s="15">
        <v>57.817048213810295</v>
      </c>
      <c r="H37" s="15">
        <v>53.448254263954674</v>
      </c>
      <c r="I37" s="15">
        <v>12.659850290473589</v>
      </c>
      <c r="J37" s="15">
        <v>16.661667061036809</v>
      </c>
    </row>
    <row r="38" spans="1:10" x14ac:dyDescent="0.2">
      <c r="A38" t="s">
        <v>77</v>
      </c>
      <c r="B38" s="15">
        <v>4.534776697729316</v>
      </c>
      <c r="C38" s="15">
        <v>24.315904160246497</v>
      </c>
      <c r="D38" s="15">
        <v>119.330839500357</v>
      </c>
      <c r="E38" s="15">
        <v>11.153749127052556</v>
      </c>
      <c r="F38" s="15">
        <v>1.1362744198136054</v>
      </c>
      <c r="G38" s="15">
        <v>15.955702262987691</v>
      </c>
      <c r="H38" s="15">
        <v>14.750051375130917</v>
      </c>
      <c r="I38" s="15">
        <v>3.4937238784968874</v>
      </c>
      <c r="J38" s="15">
        <v>4.598100509175274</v>
      </c>
    </row>
    <row r="39" spans="1:10" x14ac:dyDescent="0.2">
      <c r="A39" s="6" t="s">
        <v>43</v>
      </c>
      <c r="B39" s="18">
        <f>SUM(B12:B38)</f>
        <v>1221.2831473636877</v>
      </c>
      <c r="C39" s="18">
        <f t="shared" ref="C39:J39" si="1">SUM(C12:C38)</f>
        <v>6548.6364474549582</v>
      </c>
      <c r="D39" s="18">
        <f t="shared" si="1"/>
        <v>32137.578751236288</v>
      </c>
      <c r="E39" s="18">
        <f t="shared" si="1"/>
        <v>3003.8713583433055</v>
      </c>
      <c r="F39" s="18">
        <f t="shared" si="1"/>
        <v>306.01568548980003</v>
      </c>
      <c r="G39" s="18">
        <f t="shared" si="1"/>
        <v>4297.1091140820454</v>
      </c>
      <c r="H39" s="18">
        <f t="shared" si="1"/>
        <v>3972.4093087573788</v>
      </c>
      <c r="I39" s="18">
        <f t="shared" si="1"/>
        <v>940.91206221617574</v>
      </c>
      <c r="J39" s="18">
        <f t="shared" si="1"/>
        <v>1238.3371963060556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5">
        <v>31.999877766712043</v>
      </c>
      <c r="C42" s="15">
        <v>181.19737052635466</v>
      </c>
      <c r="D42" s="15">
        <v>5541.8152915355422</v>
      </c>
      <c r="E42" s="15">
        <v>624.78172736705335</v>
      </c>
      <c r="F42" s="15">
        <v>86.340421517836816</v>
      </c>
      <c r="G42" s="15">
        <v>718.88783457120087</v>
      </c>
      <c r="H42" s="15">
        <v>588.83917181721688</v>
      </c>
      <c r="I42" s="15">
        <v>75.960470946312356</v>
      </c>
      <c r="J42" s="15">
        <v>320.78067520437486</v>
      </c>
    </row>
    <row r="43" spans="1:10" x14ac:dyDescent="0.2">
      <c r="A43" t="s">
        <v>15</v>
      </c>
      <c r="B43" s="15">
        <v>34.39474150116984</v>
      </c>
      <c r="C43" s="15">
        <v>194.75814143355134</v>
      </c>
      <c r="D43" s="15">
        <v>5956.5635153105795</v>
      </c>
      <c r="E43" s="15">
        <v>671.54025287553986</v>
      </c>
      <c r="F43" s="15">
        <v>92.802119459882206</v>
      </c>
      <c r="G43" s="15">
        <v>772.68924021120631</v>
      </c>
      <c r="H43" s="15">
        <v>632.90776446291034</v>
      </c>
      <c r="I43" s="15">
        <v>81.645335696355119</v>
      </c>
      <c r="J43" s="15">
        <v>344.78782958672667</v>
      </c>
    </row>
    <row r="44" spans="1:10" x14ac:dyDescent="0.2">
      <c r="A44" t="s">
        <v>16</v>
      </c>
      <c r="B44" s="15">
        <v>100.35796368977222</v>
      </c>
      <c r="C44" s="15">
        <v>568.27089354955854</v>
      </c>
      <c r="D44" s="15">
        <v>17380.231945195141</v>
      </c>
      <c r="E44" s="15">
        <v>1959.4394193080841</v>
      </c>
      <c r="F44" s="15">
        <v>270.78068706438722</v>
      </c>
      <c r="G44" s="15">
        <v>2254.5748369690882</v>
      </c>
      <c r="H44" s="15">
        <v>1846.7164360803033</v>
      </c>
      <c r="I44" s="15">
        <v>238.22710326156641</v>
      </c>
      <c r="J44" s="15">
        <v>1006.0318226599608</v>
      </c>
    </row>
    <row r="45" spans="1:10" x14ac:dyDescent="0.2">
      <c r="A45" t="s">
        <v>17</v>
      </c>
      <c r="B45" s="15">
        <v>39.828501664460902</v>
      </c>
      <c r="C45" s="15">
        <v>225.5264793889985</v>
      </c>
      <c r="D45" s="15">
        <v>6897.595083712009</v>
      </c>
      <c r="E45" s="15">
        <v>777.63172252642835</v>
      </c>
      <c r="F45" s="15">
        <v>107.46321117859551</v>
      </c>
      <c r="G45" s="15">
        <v>894.76045891539354</v>
      </c>
      <c r="H45" s="15">
        <v>732.89598497211796</v>
      </c>
      <c r="I45" s="15">
        <v>94.543853122639334</v>
      </c>
      <c r="J45" s="15">
        <v>399.25820184209658</v>
      </c>
    </row>
    <row r="46" spans="1:10" x14ac:dyDescent="0.2">
      <c r="A46" t="s">
        <v>18</v>
      </c>
      <c r="B46" s="15">
        <v>58.879469854476653</v>
      </c>
      <c r="C46" s="15">
        <v>333.40143338657339</v>
      </c>
      <c r="D46" s="15">
        <v>10196.887274878227</v>
      </c>
      <c r="E46" s="15">
        <v>1149.5924187686696</v>
      </c>
      <c r="F46" s="15">
        <v>158.86555202003274</v>
      </c>
      <c r="G46" s="15">
        <v>1322.7467583772011</v>
      </c>
      <c r="H46" s="15">
        <v>1083.4584594011462</v>
      </c>
      <c r="I46" s="15">
        <v>139.76654197935065</v>
      </c>
      <c r="J46" s="15">
        <v>590.23338255505212</v>
      </c>
    </row>
    <row r="47" spans="1:10" x14ac:dyDescent="0.2">
      <c r="A47" t="s">
        <v>19</v>
      </c>
      <c r="B47" s="15">
        <v>11.544189010062089</v>
      </c>
      <c r="C47" s="15">
        <v>65.368271364413403</v>
      </c>
      <c r="D47" s="15">
        <v>1999.2502362271396</v>
      </c>
      <c r="E47" s="15">
        <v>225.39455942113852</v>
      </c>
      <c r="F47" s="15">
        <v>31.147936016405392</v>
      </c>
      <c r="G47" s="15">
        <v>259.34402311865153</v>
      </c>
      <c r="H47" s="15">
        <v>212.42802068005622</v>
      </c>
      <c r="I47" s="15">
        <v>27.40329323413102</v>
      </c>
      <c r="J47" s="15">
        <v>115.72396533298185</v>
      </c>
    </row>
    <row r="48" spans="1:10" x14ac:dyDescent="0.2">
      <c r="A48" t="s">
        <v>20</v>
      </c>
      <c r="B48" s="15">
        <v>18.182233014022678</v>
      </c>
      <c r="C48" s="15">
        <v>102.95579365823622</v>
      </c>
      <c r="D48" s="15">
        <v>3148.8425576485106</v>
      </c>
      <c r="E48" s="15">
        <v>354.99907320610299</v>
      </c>
      <c r="F48" s="15">
        <v>49.058364347856966</v>
      </c>
      <c r="G48" s="15">
        <v>408.46987649174372</v>
      </c>
      <c r="H48" s="15">
        <v>334.57662269266996</v>
      </c>
      <c r="I48" s="15">
        <v>43.160508070361324</v>
      </c>
      <c r="J48" s="15">
        <v>182.26660193773472</v>
      </c>
    </row>
    <row r="49" spans="1:10" x14ac:dyDescent="0.2">
      <c r="A49" t="s">
        <v>21</v>
      </c>
      <c r="B49" s="15">
        <v>46.152622307205064</v>
      </c>
      <c r="C49" s="15">
        <v>261.33642965539366</v>
      </c>
      <c r="D49" s="15">
        <v>7992.82140735544</v>
      </c>
      <c r="E49" s="15">
        <v>901.1070385278407</v>
      </c>
      <c r="F49" s="15">
        <v>124.5266276705232</v>
      </c>
      <c r="G49" s="15">
        <v>1036.8339201821336</v>
      </c>
      <c r="H49" s="15">
        <v>849.26799079332216</v>
      </c>
      <c r="I49" s="15">
        <v>109.55588491370644</v>
      </c>
      <c r="J49" s="15">
        <v>462.65393430841596</v>
      </c>
    </row>
    <row r="50" spans="1:10" x14ac:dyDescent="0.2">
      <c r="A50" s="6" t="s">
        <v>44</v>
      </c>
      <c r="B50" s="18">
        <f>SUM(B42:B49)</f>
        <v>341.33959880788154</v>
      </c>
      <c r="C50" s="18">
        <f t="shared" ref="C50:J50" si="2">SUM(C42:C49)</f>
        <v>1932.8148129630797</v>
      </c>
      <c r="D50" s="18">
        <f t="shared" si="2"/>
        <v>59114.007311862588</v>
      </c>
      <c r="E50" s="18">
        <f t="shared" si="2"/>
        <v>6664.4862120008574</v>
      </c>
      <c r="F50" s="18">
        <f t="shared" si="2"/>
        <v>920.98491927552004</v>
      </c>
      <c r="G50" s="18">
        <f t="shared" si="2"/>
        <v>7668.3069488366191</v>
      </c>
      <c r="H50" s="18">
        <f t="shared" si="2"/>
        <v>6281.0904508997419</v>
      </c>
      <c r="I50" s="18">
        <f t="shared" si="2"/>
        <v>810.26299122442265</v>
      </c>
      <c r="J50" s="18">
        <f t="shared" si="2"/>
        <v>3421.7364134273439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5">
        <v>4.8295895686691539</v>
      </c>
      <c r="C53" s="15">
        <v>39.69278893706948</v>
      </c>
      <c r="D53" s="15">
        <v>6914.6141193681251</v>
      </c>
      <c r="E53" s="15">
        <v>800.52651583803845</v>
      </c>
      <c r="F53" s="15">
        <v>114.32126533708737</v>
      </c>
      <c r="G53" s="15">
        <v>892.7168623876521</v>
      </c>
      <c r="H53" s="15">
        <v>715.98123438334505</v>
      </c>
      <c r="I53" s="15">
        <v>77.826221593793605</v>
      </c>
      <c r="J53" s="15">
        <v>421.32747697567652</v>
      </c>
    </row>
    <row r="54" spans="1:10" x14ac:dyDescent="0.2">
      <c r="A54" t="s">
        <v>26</v>
      </c>
      <c r="B54" s="15">
        <v>9.5417845304137181</v>
      </c>
      <c r="C54" s="15">
        <v>78.420750679456248</v>
      </c>
      <c r="D54" s="15">
        <v>13661.152174499985</v>
      </c>
      <c r="E54" s="15">
        <v>1581.5943397265219</v>
      </c>
      <c r="F54" s="15">
        <v>225.86368170232157</v>
      </c>
      <c r="G54" s="15">
        <v>1763.7341282226657</v>
      </c>
      <c r="H54" s="15">
        <v>1414.5588500159197</v>
      </c>
      <c r="I54" s="15">
        <v>153.7606926438765</v>
      </c>
      <c r="J54" s="15">
        <v>832.41359226982229</v>
      </c>
    </row>
    <row r="55" spans="1:10" x14ac:dyDescent="0.2">
      <c r="A55" t="s">
        <v>27</v>
      </c>
      <c r="B55" s="15">
        <v>16.128242363370301</v>
      </c>
      <c r="C55" s="15">
        <v>132.55265503473564</v>
      </c>
      <c r="D55" s="15">
        <v>23091.107594279933</v>
      </c>
      <c r="E55" s="15">
        <v>2673.329789657068</v>
      </c>
      <c r="F55" s="15">
        <v>381.77179415098601</v>
      </c>
      <c r="G55" s="15">
        <v>2981.1961686887321</v>
      </c>
      <c r="H55" s="15">
        <v>2390.9938332382294</v>
      </c>
      <c r="I55" s="15">
        <v>259.89789530623625</v>
      </c>
      <c r="J55" s="15">
        <v>1407.0081041862823</v>
      </c>
    </row>
    <row r="56" spans="1:10" x14ac:dyDescent="0.2">
      <c r="A56" t="s">
        <v>28</v>
      </c>
      <c r="B56" s="15">
        <v>16.655010990828419</v>
      </c>
      <c r="C56" s="15">
        <v>136.88199102717829</v>
      </c>
      <c r="D56" s="15">
        <v>23845.292134658124</v>
      </c>
      <c r="E56" s="15">
        <v>2760.6440941121432</v>
      </c>
      <c r="F56" s="15">
        <v>394.24093985677467</v>
      </c>
      <c r="G56" s="15">
        <v>3078.5657752820816</v>
      </c>
      <c r="H56" s="15">
        <v>2469.0866911838816</v>
      </c>
      <c r="I56" s="15">
        <v>268.38648659257842</v>
      </c>
      <c r="J56" s="15">
        <v>1452.9627538725965</v>
      </c>
    </row>
    <row r="57" spans="1:10" x14ac:dyDescent="0.2">
      <c r="A57" t="s">
        <v>29</v>
      </c>
      <c r="B57" s="15">
        <v>20.434571905793593</v>
      </c>
      <c r="C57" s="15">
        <v>167.9449440047436</v>
      </c>
      <c r="D57" s="15">
        <v>29256.560503541834</v>
      </c>
      <c r="E57" s="15">
        <v>3387.1235677060963</v>
      </c>
      <c r="F57" s="15">
        <v>483.7069659183814</v>
      </c>
      <c r="G57" s="15">
        <v>3777.1919656108134</v>
      </c>
      <c r="H57" s="15">
        <v>3029.4023558687181</v>
      </c>
      <c r="I57" s="15">
        <v>329.29206482298213</v>
      </c>
      <c r="J57" s="15">
        <v>1782.6870175468218</v>
      </c>
    </row>
    <row r="58" spans="1:10" x14ac:dyDescent="0.2">
      <c r="A58" t="s">
        <v>30</v>
      </c>
      <c r="B58" s="15">
        <v>9.8384367629098879</v>
      </c>
      <c r="C58" s="15">
        <v>80.858836625427344</v>
      </c>
      <c r="D58" s="15">
        <v>14085.874748995135</v>
      </c>
      <c r="E58" s="15">
        <v>1630.7658013422908</v>
      </c>
      <c r="F58" s="15">
        <v>232.88573980929633</v>
      </c>
      <c r="G58" s="15">
        <v>1818.5682805763715</v>
      </c>
      <c r="H58" s="15">
        <v>1458.5372106168002</v>
      </c>
      <c r="I58" s="15">
        <v>158.5410827897212</v>
      </c>
      <c r="J58" s="15">
        <v>858.29316958787058</v>
      </c>
    </row>
    <row r="59" spans="1:10" x14ac:dyDescent="0.2">
      <c r="A59" t="s">
        <v>31</v>
      </c>
      <c r="B59" s="15">
        <v>7.1784385984006631</v>
      </c>
      <c r="C59" s="15">
        <v>58.997197201282383</v>
      </c>
      <c r="D59" s="15">
        <v>10277.50540325855</v>
      </c>
      <c r="E59" s="15">
        <v>1189.8589639198874</v>
      </c>
      <c r="F59" s="15">
        <v>169.92089535672289</v>
      </c>
      <c r="G59" s="15">
        <v>1326.885668293452</v>
      </c>
      <c r="H59" s="15">
        <v>1064.1954674513338</v>
      </c>
      <c r="I59" s="15">
        <v>115.67665225236085</v>
      </c>
      <c r="J59" s="15">
        <v>626.23818862570329</v>
      </c>
    </row>
    <row r="60" spans="1:10" x14ac:dyDescent="0.2">
      <c r="A60" t="s">
        <v>32</v>
      </c>
      <c r="B60" s="15">
        <v>7.191037666390125</v>
      </c>
      <c r="C60" s="15">
        <v>59.100744746969028</v>
      </c>
      <c r="D60" s="15">
        <v>10295.543725598811</v>
      </c>
      <c r="E60" s="15">
        <v>1191.9473169480289</v>
      </c>
      <c r="F60" s="15">
        <v>170.21912802725191</v>
      </c>
      <c r="G60" s="15">
        <v>1329.2145205250217</v>
      </c>
      <c r="H60" s="15">
        <v>1066.0632651436458</v>
      </c>
      <c r="I60" s="15">
        <v>115.87967941300906</v>
      </c>
      <c r="J60" s="15">
        <v>627.3373158812949</v>
      </c>
    </row>
    <row r="61" spans="1:10" x14ac:dyDescent="0.2">
      <c r="A61" t="s">
        <v>33</v>
      </c>
      <c r="B61" s="15">
        <v>7.0870554850087464</v>
      </c>
      <c r="C61" s="15">
        <v>58.24614981294765</v>
      </c>
      <c r="D61" s="15">
        <v>10146.670482993124</v>
      </c>
      <c r="E61" s="15">
        <v>1174.7117957537482</v>
      </c>
      <c r="F61" s="15">
        <v>167.75776472111377</v>
      </c>
      <c r="G61" s="15">
        <v>1309.9941198290289</v>
      </c>
      <c r="H61" s="15">
        <v>1050.6480234298811</v>
      </c>
      <c r="I61" s="15">
        <v>114.20406284664664</v>
      </c>
      <c r="J61" s="15">
        <v>618.26603777185585</v>
      </c>
    </row>
    <row r="62" spans="1:10" x14ac:dyDescent="0.2">
      <c r="A62" t="s">
        <v>34</v>
      </c>
      <c r="B62" s="15">
        <v>6.3821456050920391</v>
      </c>
      <c r="C62" s="15">
        <v>52.452730168201519</v>
      </c>
      <c r="D62" s="15">
        <v>9137.4377647153087</v>
      </c>
      <c r="E62" s="15">
        <v>1057.8697655716617</v>
      </c>
      <c r="F62" s="15">
        <v>151.07183555987066</v>
      </c>
      <c r="G62" s="15">
        <v>1179.6963114298142</v>
      </c>
      <c r="H62" s="15">
        <v>946.14592469546301</v>
      </c>
      <c r="I62" s="15">
        <v>102.84482170658232</v>
      </c>
      <c r="J62" s="15">
        <v>556.77056347167138</v>
      </c>
    </row>
    <row r="63" spans="1:10" x14ac:dyDescent="0.2">
      <c r="A63" t="s">
        <v>35</v>
      </c>
      <c r="B63" s="15">
        <v>3.1928271031521467</v>
      </c>
      <c r="C63" s="15">
        <v>26.240783096791304</v>
      </c>
      <c r="D63" s="15">
        <v>4571.2305474936393</v>
      </c>
      <c r="E63" s="15">
        <v>529.22566611886305</v>
      </c>
      <c r="F63" s="15">
        <v>75.577443847983659</v>
      </c>
      <c r="G63" s="15">
        <v>590.17242627879659</v>
      </c>
      <c r="H63" s="15">
        <v>473.33303544412934</v>
      </c>
      <c r="I63" s="15">
        <v>51.450680457938375</v>
      </c>
      <c r="J63" s="15">
        <v>278.53832477142436</v>
      </c>
    </row>
    <row r="64" spans="1:10" x14ac:dyDescent="0.2">
      <c r="A64" t="s">
        <v>36</v>
      </c>
      <c r="B64" s="15">
        <v>4.3572042600009899</v>
      </c>
      <c r="C64" s="15">
        <v>35.810411338033731</v>
      </c>
      <c r="D64" s="15">
        <v>6238.2911982054811</v>
      </c>
      <c r="E64" s="15">
        <v>722.22649470696604</v>
      </c>
      <c r="F64" s="15">
        <v>103.13942774079729</v>
      </c>
      <c r="G64" s="15">
        <v>805.39964327487519</v>
      </c>
      <c r="H64" s="15">
        <v>645.95064242602689</v>
      </c>
      <c r="I64" s="15">
        <v>70.213988051515216</v>
      </c>
      <c r="J64" s="15">
        <v>380.11716139261165</v>
      </c>
    </row>
    <row r="65" spans="1:10" x14ac:dyDescent="0.2">
      <c r="A65" t="s">
        <v>37</v>
      </c>
      <c r="B65" s="15">
        <v>2.4703742171741636</v>
      </c>
      <c r="C65" s="15">
        <v>20.303183325139727</v>
      </c>
      <c r="D65" s="15">
        <v>3536.8811778559675</v>
      </c>
      <c r="E65" s="15">
        <v>409.47580260645304</v>
      </c>
      <c r="F65" s="15">
        <v>58.476254006257093</v>
      </c>
      <c r="G65" s="15">
        <v>456.63191224068726</v>
      </c>
      <c r="H65" s="15">
        <v>366.23020574573246</v>
      </c>
      <c r="I65" s="15">
        <v>39.808743271401873</v>
      </c>
      <c r="J65" s="15">
        <v>215.51242011535282</v>
      </c>
    </row>
    <row r="66" spans="1:10" x14ac:dyDescent="0.2">
      <c r="A66" t="s">
        <v>38</v>
      </c>
      <c r="B66" s="15">
        <v>16.769518975846566</v>
      </c>
      <c r="C66" s="15">
        <v>137.82309403734294</v>
      </c>
      <c r="D66" s="15">
        <v>24009.235368079728</v>
      </c>
      <c r="E66" s="15">
        <v>2779.624315304618</v>
      </c>
      <c r="F66" s="15">
        <v>396.95145957120292</v>
      </c>
      <c r="G66" s="15">
        <v>3099.7317993614115</v>
      </c>
      <c r="H66" s="15">
        <v>2486.0623714760336</v>
      </c>
      <c r="I66" s="15">
        <v>270.23172078682421</v>
      </c>
      <c r="J66" s="15">
        <v>1462.9522901955679</v>
      </c>
    </row>
    <row r="67" spans="1:10" x14ac:dyDescent="0.2">
      <c r="A67" t="s">
        <v>39</v>
      </c>
      <c r="B67" s="15">
        <v>58.91260399122892</v>
      </c>
      <c r="C67" s="15">
        <v>484.18308071701836</v>
      </c>
      <c r="D67" s="15">
        <v>84346.28193027724</v>
      </c>
      <c r="E67" s="15">
        <v>9765.0330201952056</v>
      </c>
      <c r="F67" s="15">
        <v>1394.520867005253</v>
      </c>
      <c r="G67" s="15">
        <v>10889.59511825112</v>
      </c>
      <c r="H67" s="15">
        <v>8733.7274372158518</v>
      </c>
      <c r="I67" s="15">
        <v>949.34472333478698</v>
      </c>
      <c r="J67" s="15">
        <v>5139.4633951330743</v>
      </c>
    </row>
    <row r="68" spans="1:10" x14ac:dyDescent="0.2">
      <c r="A68" s="6" t="s">
        <v>48</v>
      </c>
      <c r="B68" s="18">
        <f>SUM(B53:B67)</f>
        <v>190.96884202427941</v>
      </c>
      <c r="C68" s="18">
        <f t="shared" ref="C68:J68" si="3">SUM(C53:C67)</f>
        <v>1569.5093407523373</v>
      </c>
      <c r="D68" s="18">
        <f t="shared" si="3"/>
        <v>273413.67887382105</v>
      </c>
      <c r="E68" s="18">
        <f t="shared" si="3"/>
        <v>31653.957249507588</v>
      </c>
      <c r="F68" s="18">
        <f t="shared" si="3"/>
        <v>4520.4254626112997</v>
      </c>
      <c r="G68" s="18">
        <f t="shared" si="3"/>
        <v>35299.294700252525</v>
      </c>
      <c r="H68" s="18">
        <f t="shared" si="3"/>
        <v>28310.916548334993</v>
      </c>
      <c r="I68" s="18">
        <f t="shared" si="3"/>
        <v>3077.3595158702533</v>
      </c>
      <c r="J68" s="18">
        <f t="shared" si="3"/>
        <v>16659.887811797624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5">
        <v>44.463695834027327</v>
      </c>
      <c r="C71" s="15">
        <v>247.81668274356016</v>
      </c>
      <c r="D71" s="15">
        <v>13215.160712052815</v>
      </c>
      <c r="E71" s="15">
        <v>1507.0177224860188</v>
      </c>
      <c r="F71" s="15">
        <v>211.09557303266098</v>
      </c>
      <c r="G71" s="15">
        <v>1727.2354080752048</v>
      </c>
      <c r="H71" s="15">
        <v>1418.6160219993515</v>
      </c>
      <c r="I71" s="15">
        <v>166.92394983371014</v>
      </c>
      <c r="J71" s="15">
        <v>785.80107319403908</v>
      </c>
    </row>
    <row r="72" spans="1:10" x14ac:dyDescent="0.2">
      <c r="A72" t="s">
        <v>79</v>
      </c>
      <c r="B72" s="15">
        <v>43.586006022346893</v>
      </c>
      <c r="C72" s="15">
        <v>242.92491264823644</v>
      </c>
      <c r="D72" s="15">
        <v>12954.300437189835</v>
      </c>
      <c r="E72" s="15">
        <v>1477.2699906288842</v>
      </c>
      <c r="F72" s="15">
        <v>206.92865819874334</v>
      </c>
      <c r="G72" s="15">
        <v>1693.1406957125594</v>
      </c>
      <c r="H72" s="15">
        <v>1390.6132929000173</v>
      </c>
      <c r="I72" s="15">
        <v>163.62895945231264</v>
      </c>
      <c r="J72" s="15">
        <v>770.28977610068875</v>
      </c>
    </row>
    <row r="73" spans="1:10" x14ac:dyDescent="0.2">
      <c r="A73" t="s">
        <v>80</v>
      </c>
      <c r="B73" s="15">
        <v>24.045307682787747</v>
      </c>
      <c r="C73" s="15">
        <v>134.01558898161832</v>
      </c>
      <c r="D73" s="15">
        <v>7146.5630429133134</v>
      </c>
      <c r="E73" s="15">
        <v>814.97284786792306</v>
      </c>
      <c r="F73" s="15">
        <v>114.15735711650525</v>
      </c>
      <c r="G73" s="15">
        <v>934.06330825045961</v>
      </c>
      <c r="H73" s="15">
        <v>767.16651850164396</v>
      </c>
      <c r="I73" s="15">
        <v>90.269997985775618</v>
      </c>
      <c r="J73" s="15">
        <v>424.94957353400173</v>
      </c>
    </row>
    <row r="74" spans="1:10" x14ac:dyDescent="0.2">
      <c r="A74" t="s">
        <v>81</v>
      </c>
      <c r="B74" s="15">
        <v>23.767341682062838</v>
      </c>
      <c r="C74" s="15">
        <v>132.46635626663502</v>
      </c>
      <c r="D74" s="15">
        <v>7063.9481072188519</v>
      </c>
      <c r="E74" s="15">
        <v>805.55168569317595</v>
      </c>
      <c r="F74" s="15">
        <v>112.837687415056</v>
      </c>
      <c r="G74" s="15">
        <v>923.26544924015002</v>
      </c>
      <c r="H74" s="15">
        <v>758.2980019556652</v>
      </c>
      <c r="I74" s="15">
        <v>89.226468385049685</v>
      </c>
      <c r="J74" s="15">
        <v>420.03711680758784</v>
      </c>
    </row>
    <row r="75" spans="1:10" x14ac:dyDescent="0.2">
      <c r="A75" t="s">
        <v>82</v>
      </c>
      <c r="B75" s="15">
        <v>30.841739879636087</v>
      </c>
      <c r="C75" s="15">
        <v>171.89524000751302</v>
      </c>
      <c r="D75" s="15">
        <v>9166.5468086619621</v>
      </c>
      <c r="E75" s="15">
        <v>1045.3258038740394</v>
      </c>
      <c r="F75" s="15">
        <v>146.4240574494402</v>
      </c>
      <c r="G75" s="15">
        <v>1198.0773115577401</v>
      </c>
      <c r="H75" s="15">
        <v>984.0069638589282</v>
      </c>
      <c r="I75" s="15">
        <v>115.78491045076061</v>
      </c>
      <c r="J75" s="15">
        <v>545.06202963997487</v>
      </c>
    </row>
    <row r="76" spans="1:10" x14ac:dyDescent="0.2">
      <c r="A76" t="s">
        <v>83</v>
      </c>
      <c r="B76" s="15">
        <v>18.492861514931505</v>
      </c>
      <c r="C76" s="15">
        <v>103.06924579938322</v>
      </c>
      <c r="D76" s="15">
        <v>5496.3073213210428</v>
      </c>
      <c r="E76" s="15">
        <v>626.78258115362712</v>
      </c>
      <c r="F76" s="15">
        <v>87.796597320203546</v>
      </c>
      <c r="G76" s="15">
        <v>718.37314928680871</v>
      </c>
      <c r="H76" s="15">
        <v>590.01549793844129</v>
      </c>
      <c r="I76" s="15">
        <v>69.425211510146696</v>
      </c>
      <c r="J76" s="15">
        <v>326.82191959717937</v>
      </c>
    </row>
    <row r="77" spans="1:10" x14ac:dyDescent="0.2">
      <c r="A77" t="s">
        <v>84</v>
      </c>
      <c r="B77" s="15">
        <v>20.351323093178234</v>
      </c>
      <c r="C77" s="15">
        <v>113.42730926416178</v>
      </c>
      <c r="D77" s="15">
        <v>6048.6651038450618</v>
      </c>
      <c r="E77" s="15">
        <v>689.77182400540539</v>
      </c>
      <c r="F77" s="15">
        <v>96.619818252705187</v>
      </c>
      <c r="G77" s="15">
        <v>790.56689257070627</v>
      </c>
      <c r="H77" s="15">
        <v>649.30979009562589</v>
      </c>
      <c r="I77" s="15">
        <v>76.402178706331199</v>
      </c>
      <c r="J77" s="15">
        <v>359.66626767223437</v>
      </c>
    </row>
    <row r="78" spans="1:10" x14ac:dyDescent="0.2">
      <c r="A78" t="s">
        <v>85</v>
      </c>
      <c r="B78" s="15">
        <v>33.225934874647045</v>
      </c>
      <c r="C78" s="15">
        <v>185.18345826275873</v>
      </c>
      <c r="D78" s="15">
        <v>9875.159069450001</v>
      </c>
      <c r="E78" s="15">
        <v>1126.1338438704424</v>
      </c>
      <c r="F78" s="15">
        <v>157.74324716709472</v>
      </c>
      <c r="G78" s="15">
        <v>1290.6936795382696</v>
      </c>
      <c r="H78" s="15">
        <v>1060.0748020368069</v>
      </c>
      <c r="I78" s="15">
        <v>124.73556644720671</v>
      </c>
      <c r="J78" s="15">
        <v>587.19759553572987</v>
      </c>
    </row>
    <row r="79" spans="1:10" x14ac:dyDescent="0.2">
      <c r="A79" t="s">
        <v>86</v>
      </c>
      <c r="B79" s="15">
        <v>25.353604082235609</v>
      </c>
      <c r="C79" s="15">
        <v>141.30732817861943</v>
      </c>
      <c r="D79" s="15">
        <v>7535.4049251140341</v>
      </c>
      <c r="E79" s="15">
        <v>859.31522254573201</v>
      </c>
      <c r="F79" s="15">
        <v>120.36861717839739</v>
      </c>
      <c r="G79" s="15">
        <v>984.88535133519827</v>
      </c>
      <c r="H79" s="15">
        <v>808.90776827783679</v>
      </c>
      <c r="I79" s="15">
        <v>95.181555571187388</v>
      </c>
      <c r="J79" s="15">
        <v>448.07092445767529</v>
      </c>
    </row>
    <row r="80" spans="1:10" x14ac:dyDescent="0.2">
      <c r="A80" t="s">
        <v>87</v>
      </c>
      <c r="B80" s="15">
        <v>30.249713747129832</v>
      </c>
      <c r="C80" s="15">
        <v>168.59560533920182</v>
      </c>
      <c r="D80" s="15">
        <v>8990.5893147997922</v>
      </c>
      <c r="E80" s="15">
        <v>1025.2601332830895</v>
      </c>
      <c r="F80" s="15">
        <v>143.61335776855407</v>
      </c>
      <c r="G80" s="15">
        <v>1175.0794819938722</v>
      </c>
      <c r="H80" s="15">
        <v>965.11834604922831</v>
      </c>
      <c r="I80" s="15">
        <v>113.56234800764736</v>
      </c>
      <c r="J80" s="15">
        <v>534.59922933612984</v>
      </c>
    </row>
    <row r="81" spans="1:10" x14ac:dyDescent="0.2">
      <c r="A81" t="s">
        <v>88</v>
      </c>
      <c r="B81" s="15">
        <v>22.962046090447089</v>
      </c>
      <c r="C81" s="15">
        <v>127.97807254665007</v>
      </c>
      <c r="D81" s="15">
        <v>6824.6042905547056</v>
      </c>
      <c r="E81" s="15">
        <v>778.25762689664975</v>
      </c>
      <c r="F81" s="15">
        <v>109.01447094183811</v>
      </c>
      <c r="G81" s="15">
        <v>891.98296060048244</v>
      </c>
      <c r="H81" s="15">
        <v>732.60501338863548</v>
      </c>
      <c r="I81" s="15">
        <v>86.203257686642033</v>
      </c>
      <c r="J81" s="15">
        <v>405.80523328418059</v>
      </c>
    </row>
    <row r="82" spans="1:10" x14ac:dyDescent="0.2">
      <c r="A82" t="s">
        <v>89</v>
      </c>
      <c r="B82" s="15">
        <v>24.701875888445564</v>
      </c>
      <c r="C82" s="15">
        <v>137.67494638925183</v>
      </c>
      <c r="D82" s="15">
        <v>7341.7032397287139</v>
      </c>
      <c r="E82" s="15">
        <v>837.22605699477106</v>
      </c>
      <c r="F82" s="15">
        <v>117.27447635296548</v>
      </c>
      <c r="G82" s="15">
        <v>959.56833727147762</v>
      </c>
      <c r="H82" s="15">
        <v>788.11435377737791</v>
      </c>
      <c r="I82" s="15">
        <v>92.734861874570072</v>
      </c>
      <c r="J82" s="15">
        <v>436.55301744376692</v>
      </c>
    </row>
    <row r="83" spans="1:10" x14ac:dyDescent="0.2">
      <c r="A83" t="s">
        <v>90</v>
      </c>
      <c r="B83" s="15">
        <v>22.82320468617651</v>
      </c>
      <c r="C83" s="15">
        <v>127.20424536948003</v>
      </c>
      <c r="D83" s="15">
        <v>6783.3389068184615</v>
      </c>
      <c r="E83" s="15">
        <v>773.55184495644301</v>
      </c>
      <c r="F83" s="15">
        <v>108.35530833186165</v>
      </c>
      <c r="G83" s="15">
        <v>886.58953153290804</v>
      </c>
      <c r="H83" s="15">
        <v>728.17527274471001</v>
      </c>
      <c r="I83" s="15">
        <v>85.682024461050204</v>
      </c>
      <c r="J83" s="15">
        <v>403.35150733016098</v>
      </c>
    </row>
    <row r="84" spans="1:10" x14ac:dyDescent="0.2">
      <c r="A84" t="s">
        <v>91</v>
      </c>
      <c r="B84" s="15">
        <v>22.926157917342476</v>
      </c>
      <c r="C84" s="15">
        <v>127.7780512069551</v>
      </c>
      <c r="D84" s="15">
        <v>6813.9378813338044</v>
      </c>
      <c r="E84" s="15">
        <v>777.04126123289154</v>
      </c>
      <c r="F84" s="15">
        <v>108.84408846857515</v>
      </c>
      <c r="G84" s="15">
        <v>890.58884969371468</v>
      </c>
      <c r="H84" s="15">
        <v>731.45999976771361</v>
      </c>
      <c r="I84" s="15">
        <v>86.068527644647787</v>
      </c>
      <c r="J84" s="15">
        <v>405.17098630107228</v>
      </c>
    </row>
    <row r="85" spans="1:10" x14ac:dyDescent="0.2">
      <c r="A85" t="s">
        <v>92</v>
      </c>
      <c r="B85" s="15">
        <v>35.470799315251853</v>
      </c>
      <c r="C85" s="15">
        <v>197.69512308154157</v>
      </c>
      <c r="D85" s="15">
        <v>10542.360565027477</v>
      </c>
      <c r="E85" s="15">
        <v>1202.2195230546076</v>
      </c>
      <c r="F85" s="15">
        <v>168.40095198855184</v>
      </c>
      <c r="G85" s="15">
        <v>1377.897616939583</v>
      </c>
      <c r="H85" s="15">
        <v>1131.6972932158121</v>
      </c>
      <c r="I85" s="15">
        <v>133.16315286885157</v>
      </c>
      <c r="J85" s="15">
        <v>626.87079079118189</v>
      </c>
    </row>
    <row r="86" spans="1:10" x14ac:dyDescent="0.2">
      <c r="A86" t="s">
        <v>93</v>
      </c>
      <c r="B86" s="15">
        <v>22.269538222196704</v>
      </c>
      <c r="C86" s="15">
        <v>124.11840682465917</v>
      </c>
      <c r="D86" s="15">
        <v>6618.7823812053184</v>
      </c>
      <c r="E86" s="15">
        <v>754.78630696161918</v>
      </c>
      <c r="F86" s="15">
        <v>105.72672478093378</v>
      </c>
      <c r="G86" s="15">
        <v>865.08182051357653</v>
      </c>
      <c r="H86" s="15">
        <v>710.51052171777462</v>
      </c>
      <c r="I86" s="15">
        <v>83.603470455936545</v>
      </c>
      <c r="J86" s="15">
        <v>393.5666324243299</v>
      </c>
    </row>
    <row r="87" spans="1:10" x14ac:dyDescent="0.2">
      <c r="A87" t="s">
        <v>94</v>
      </c>
      <c r="B87" s="15">
        <v>16.429986669503545</v>
      </c>
      <c r="C87" s="15">
        <v>91.571892924864244</v>
      </c>
      <c r="D87" s="15">
        <v>4883.195385845831</v>
      </c>
      <c r="E87" s="15">
        <v>556.86511493725743</v>
      </c>
      <c r="F87" s="15">
        <v>78.00290519852831</v>
      </c>
      <c r="G87" s="15">
        <v>638.23877429578329</v>
      </c>
      <c r="H87" s="15">
        <v>524.19939218719617</v>
      </c>
      <c r="I87" s="15">
        <v>61.680843644353594</v>
      </c>
      <c r="J87" s="15">
        <v>290.36500262264065</v>
      </c>
    </row>
    <row r="88" spans="1:10" x14ac:dyDescent="0.2">
      <c r="A88" t="s">
        <v>95</v>
      </c>
      <c r="B88" s="15">
        <v>32.427822066601024</v>
      </c>
      <c r="C88" s="15">
        <v>180.73520750817903</v>
      </c>
      <c r="D88" s="15">
        <v>9637.9500649613456</v>
      </c>
      <c r="E88" s="15">
        <v>1099.0832327211106</v>
      </c>
      <c r="F88" s="15">
        <v>153.95413163364759</v>
      </c>
      <c r="G88" s="15">
        <v>1259.6902130958679</v>
      </c>
      <c r="H88" s="15">
        <v>1034.6109804713824</v>
      </c>
      <c r="I88" s="15">
        <v>121.73932108718959</v>
      </c>
      <c r="J88" s="15">
        <v>573.09265240564218</v>
      </c>
    </row>
    <row r="89" spans="1:10" x14ac:dyDescent="0.2">
      <c r="A89" t="s">
        <v>96</v>
      </c>
      <c r="B89" s="15">
        <v>22.43167861976691</v>
      </c>
      <c r="C89" s="15">
        <v>125.02209003656664</v>
      </c>
      <c r="D89" s="15">
        <v>6666.972514112952</v>
      </c>
      <c r="E89" s="15">
        <v>760.28176675383531</v>
      </c>
      <c r="F89" s="15">
        <v>106.49650155038155</v>
      </c>
      <c r="G89" s="15">
        <v>871.38032158303395</v>
      </c>
      <c r="H89" s="15">
        <v>715.6836176894866</v>
      </c>
      <c r="I89" s="15">
        <v>84.212171893870419</v>
      </c>
      <c r="J89" s="15">
        <v>396.43211843553252</v>
      </c>
    </row>
    <row r="90" spans="1:10" x14ac:dyDescent="0.2">
      <c r="A90" t="s">
        <v>97</v>
      </c>
      <c r="B90" s="15">
        <v>32.3846223862068</v>
      </c>
      <c r="C90" s="15">
        <v>180.49443576642281</v>
      </c>
      <c r="D90" s="15">
        <v>9625.1105852822384</v>
      </c>
      <c r="E90" s="15">
        <v>1097.6190565490974</v>
      </c>
      <c r="F90" s="15">
        <v>153.74903709266101</v>
      </c>
      <c r="G90" s="15">
        <v>1258.012079594034</v>
      </c>
      <c r="H90" s="15">
        <v>1033.2326929133428</v>
      </c>
      <c r="I90" s="15">
        <v>121.57714245701287</v>
      </c>
      <c r="J90" s="15">
        <v>572.32919011177137</v>
      </c>
    </row>
    <row r="91" spans="1:10" x14ac:dyDescent="0.2">
      <c r="A91" t="s">
        <v>98</v>
      </c>
      <c r="B91" s="15">
        <v>29.936117020740081</v>
      </c>
      <c r="C91" s="15">
        <v>166.8477861578356</v>
      </c>
      <c r="D91" s="15">
        <v>8897.3844864498587</v>
      </c>
      <c r="E91" s="15">
        <v>1014.6313311667058</v>
      </c>
      <c r="F91" s="15">
        <v>142.12452784974761</v>
      </c>
      <c r="G91" s="15">
        <v>1162.8975128723955</v>
      </c>
      <c r="H91" s="15">
        <v>955.11302975335286</v>
      </c>
      <c r="I91" s="15">
        <v>112.38505486451108</v>
      </c>
      <c r="J91" s="15">
        <v>529.05707546149358</v>
      </c>
    </row>
    <row r="92" spans="1:10" x14ac:dyDescent="0.2">
      <c r="A92" t="s">
        <v>99</v>
      </c>
      <c r="B92" s="15">
        <v>27.129450777058583</v>
      </c>
      <c r="C92" s="15">
        <v>151.20494079757219</v>
      </c>
      <c r="D92" s="15">
        <v>8063.2085417916587</v>
      </c>
      <c r="E92" s="15">
        <v>919.50438116867247</v>
      </c>
      <c r="F92" s="15">
        <v>128.79961619074058</v>
      </c>
      <c r="G92" s="15">
        <v>1053.8698393107616</v>
      </c>
      <c r="H92" s="15">
        <v>865.56622922301381</v>
      </c>
      <c r="I92" s="15">
        <v>101.84837305090161</v>
      </c>
      <c r="J92" s="15">
        <v>479.45523051781294</v>
      </c>
    </row>
    <row r="93" spans="1:10" x14ac:dyDescent="0.2">
      <c r="A93" t="s">
        <v>100</v>
      </c>
      <c r="B93" s="15">
        <v>19.875405756010437</v>
      </c>
      <c r="C93" s="15">
        <v>110.77480245956967</v>
      </c>
      <c r="D93" s="15">
        <v>5907.2165809916933</v>
      </c>
      <c r="E93" s="15">
        <v>673.64145409132038</v>
      </c>
      <c r="F93" s="15">
        <v>94.360355985316914</v>
      </c>
      <c r="G93" s="15">
        <v>772.0794218228516</v>
      </c>
      <c r="H93" s="15">
        <v>634.12562811832072</v>
      </c>
      <c r="I93" s="15">
        <v>74.6155075755523</v>
      </c>
      <c r="J93" s="15">
        <v>351.25544290197524</v>
      </c>
    </row>
    <row r="94" spans="1:10" x14ac:dyDescent="0.2">
      <c r="A94" t="s">
        <v>101</v>
      </c>
      <c r="B94" s="15">
        <v>25.000360450120528</v>
      </c>
      <c r="C94" s="15">
        <v>139.33853850720277</v>
      </c>
      <c r="D94" s="15">
        <v>7430.4165456879236</v>
      </c>
      <c r="E94" s="15">
        <v>847.34265922261397</v>
      </c>
      <c r="F94" s="15">
        <v>118.69155985010383</v>
      </c>
      <c r="G94" s="15">
        <v>971.16325969118043</v>
      </c>
      <c r="H94" s="15">
        <v>797.63751584407044</v>
      </c>
      <c r="I94" s="15">
        <v>93.855421492132038</v>
      </c>
      <c r="J94" s="15">
        <v>441.828096010595</v>
      </c>
    </row>
    <row r="95" spans="1:10" x14ac:dyDescent="0.2">
      <c r="A95" t="s">
        <v>102</v>
      </c>
      <c r="B95" s="15">
        <v>19.786972560447772</v>
      </c>
      <c r="C95" s="15">
        <v>110.28192347689229</v>
      </c>
      <c r="D95" s="15">
        <v>5880.9331407665868</v>
      </c>
      <c r="E95" s="15">
        <v>670.64416854253307</v>
      </c>
      <c r="F95" s="15">
        <v>93.940511081688285</v>
      </c>
      <c r="G95" s="15">
        <v>768.6441485339368</v>
      </c>
      <c r="H95" s="15">
        <v>631.30416342114211</v>
      </c>
      <c r="I95" s="15">
        <v>74.283514968486131</v>
      </c>
      <c r="J95" s="15">
        <v>349.69257461863435</v>
      </c>
    </row>
    <row r="96" spans="1:10" x14ac:dyDescent="0.2">
      <c r="A96" t="s">
        <v>103</v>
      </c>
      <c r="B96" s="15">
        <v>23.111339860772524</v>
      </c>
      <c r="C96" s="15">
        <v>128.81015558028795</v>
      </c>
      <c r="D96" s="15">
        <v>6868.9762468473973</v>
      </c>
      <c r="E96" s="15">
        <v>783.31767315499553</v>
      </c>
      <c r="F96" s="15">
        <v>109.72325714158845</v>
      </c>
      <c r="G96" s="15">
        <v>897.78242196945405</v>
      </c>
      <c r="H96" s="15">
        <v>737.36823719618678</v>
      </c>
      <c r="I96" s="15">
        <v>86.763730795339796</v>
      </c>
      <c r="J96" s="15">
        <v>408.44368253457185</v>
      </c>
    </row>
    <row r="97" spans="1:10" x14ac:dyDescent="0.2">
      <c r="A97" t="s">
        <v>104</v>
      </c>
      <c r="B97" s="15">
        <v>33.54058713553988</v>
      </c>
      <c r="C97" s="15">
        <v>186.93716042470427</v>
      </c>
      <c r="D97" s="15">
        <v>9968.6776157181976</v>
      </c>
      <c r="E97" s="15">
        <v>1136.798421447525</v>
      </c>
      <c r="F97" s="15">
        <v>159.23708833511483</v>
      </c>
      <c r="G97" s="15">
        <v>1302.9166519217104</v>
      </c>
      <c r="H97" s="15">
        <v>1070.1137952038862</v>
      </c>
      <c r="I97" s="15">
        <v>125.91682223863697</v>
      </c>
      <c r="J97" s="15">
        <v>592.75840373339884</v>
      </c>
    </row>
    <row r="98" spans="1:10" x14ac:dyDescent="0.2">
      <c r="A98" t="s">
        <v>105</v>
      </c>
      <c r="B98" s="15">
        <v>37.090401158875466</v>
      </c>
      <c r="C98" s="15">
        <v>206.72191108743201</v>
      </c>
      <c r="D98" s="15">
        <v>11023.726278145807</v>
      </c>
      <c r="E98" s="15">
        <v>1257.1130409219177</v>
      </c>
      <c r="F98" s="15">
        <v>176.09016389168917</v>
      </c>
      <c r="G98" s="15">
        <v>1440.8126220649501</v>
      </c>
      <c r="H98" s="15">
        <v>1183.3707558357555</v>
      </c>
      <c r="I98" s="15">
        <v>139.24340175110302</v>
      </c>
      <c r="J98" s="15">
        <v>655.49380205900627</v>
      </c>
    </row>
    <row r="99" spans="1:10" x14ac:dyDescent="0.2">
      <c r="A99" t="s">
        <v>106</v>
      </c>
      <c r="B99" s="15">
        <v>46.574713350693187</v>
      </c>
      <c r="C99" s="15">
        <v>259.58235692742608</v>
      </c>
      <c r="D99" s="15">
        <v>13842.581245263385</v>
      </c>
      <c r="E99" s="15">
        <v>1578.5668987391373</v>
      </c>
      <c r="F99" s="15">
        <v>221.11782700871336</v>
      </c>
      <c r="G99" s="15">
        <v>1809.2399318436014</v>
      </c>
      <c r="H99" s="15">
        <v>1485.9681216323213</v>
      </c>
      <c r="I99" s="15">
        <v>174.84905312169064</v>
      </c>
      <c r="J99" s="15">
        <v>823.10880929225971</v>
      </c>
    </row>
    <row r="100" spans="1:10" x14ac:dyDescent="0.2">
      <c r="A100" t="s">
        <v>107</v>
      </c>
      <c r="B100" s="15">
        <v>3.1437164318347373</v>
      </c>
      <c r="C100" s="15">
        <v>17.521381500354281</v>
      </c>
      <c r="D100" s="15">
        <v>934.35143211878039</v>
      </c>
      <c r="E100" s="15">
        <v>106.55066539969951</v>
      </c>
      <c r="F100" s="15">
        <v>14.925089090828235</v>
      </c>
      <c r="G100" s="15">
        <v>122.12071516235403</v>
      </c>
      <c r="H100" s="15">
        <v>100.30040047661616</v>
      </c>
      <c r="I100" s="15">
        <v>11.802023068838119</v>
      </c>
      <c r="J100" s="15">
        <v>55.558488776431503</v>
      </c>
    </row>
    <row r="101" spans="1:10" x14ac:dyDescent="0.2">
      <c r="A101" t="s">
        <v>40</v>
      </c>
      <c r="B101" s="15">
        <v>13.376634289029782</v>
      </c>
      <c r="C101" s="15">
        <v>74.554151957027457</v>
      </c>
      <c r="D101" s="15">
        <v>3975.7012681928804</v>
      </c>
      <c r="E101" s="15">
        <v>453.37717800225761</v>
      </c>
      <c r="F101" s="15">
        <v>63.506827930621903</v>
      </c>
      <c r="G101" s="15">
        <v>519.62833838935103</v>
      </c>
      <c r="H101" s="15">
        <v>426.78206044044816</v>
      </c>
      <c r="I101" s="15">
        <v>50.218061929460838</v>
      </c>
      <c r="J101" s="15">
        <v>236.40350589119507</v>
      </c>
    </row>
    <row r="102" spans="1:10" x14ac:dyDescent="0.2">
      <c r="A102" t="s">
        <v>108</v>
      </c>
      <c r="B102" s="15">
        <v>4.9966428901263047</v>
      </c>
      <c r="C102" s="15">
        <v>27.848595188924506</v>
      </c>
      <c r="D102" s="15">
        <v>1485.0641084860611</v>
      </c>
      <c r="E102" s="15">
        <v>169.35230522586238</v>
      </c>
      <c r="F102" s="15">
        <v>23.72203152135604</v>
      </c>
      <c r="G102" s="15">
        <v>194.09944134083187</v>
      </c>
      <c r="H102" s="15">
        <v>159.41809440675755</v>
      </c>
      <c r="I102" s="15">
        <v>18.758210523968994</v>
      </c>
      <c r="J102" s="15">
        <v>88.305015401437487</v>
      </c>
    </row>
    <row r="103" spans="1:10" x14ac:dyDescent="0.2">
      <c r="A103" t="s">
        <v>109</v>
      </c>
      <c r="B103" s="15">
        <v>46.703797496996302</v>
      </c>
      <c r="C103" s="15">
        <v>260.30180240607075</v>
      </c>
      <c r="D103" s="15">
        <v>13880.946651169843</v>
      </c>
      <c r="E103" s="15">
        <v>1582.9419758109334</v>
      </c>
      <c r="F103" s="15">
        <v>221.73066611986152</v>
      </c>
      <c r="G103" s="15">
        <v>1814.2543307579012</v>
      </c>
      <c r="H103" s="15">
        <v>1490.0865565643892</v>
      </c>
      <c r="I103" s="15">
        <v>175.33365601305303</v>
      </c>
      <c r="J103" s="15">
        <v>825.39009650410003</v>
      </c>
    </row>
    <row r="104" spans="1:10" x14ac:dyDescent="0.2">
      <c r="A104" t="s">
        <v>110</v>
      </c>
      <c r="B104" s="15">
        <v>7.9061336412538781</v>
      </c>
      <c r="C104" s="15">
        <v>44.064528950006945</v>
      </c>
      <c r="D104" s="15">
        <v>2349.8007693768873</v>
      </c>
      <c r="E104" s="15">
        <v>267.96430863928327</v>
      </c>
      <c r="F104" s="15">
        <v>37.535112189123652</v>
      </c>
      <c r="G104" s="15">
        <v>307.12143266547184</v>
      </c>
      <c r="H104" s="15">
        <v>252.24551502458741</v>
      </c>
      <c r="I104" s="15">
        <v>29.680912271384067</v>
      </c>
      <c r="J104" s="15">
        <v>139.72406439858642</v>
      </c>
    </row>
    <row r="105" spans="1:10" x14ac:dyDescent="0.2">
      <c r="A105" t="s">
        <v>111</v>
      </c>
      <c r="B105" s="15">
        <v>6.433740243693526</v>
      </c>
      <c r="C105" s="15">
        <v>35.858201503927056</v>
      </c>
      <c r="D105" s="15">
        <v>1912.1872283712676</v>
      </c>
      <c r="E105" s="15">
        <v>218.06015868113363</v>
      </c>
      <c r="F105" s="15">
        <v>30.544786212899989</v>
      </c>
      <c r="G105" s="15">
        <v>249.92488246470904</v>
      </c>
      <c r="H105" s="15">
        <v>205.26874385689055</v>
      </c>
      <c r="I105" s="15">
        <v>24.153307851200879</v>
      </c>
      <c r="J105" s="15">
        <v>113.70264871857668</v>
      </c>
    </row>
    <row r="106" spans="1:10" x14ac:dyDescent="0.2">
      <c r="A106" s="6" t="s">
        <v>49</v>
      </c>
      <c r="B106" s="18">
        <f t="shared" ref="B106:G106" si="4">SUM(B71:B105)</f>
        <v>893.81127333811446</v>
      </c>
      <c r="C106" s="18">
        <f t="shared" si="4"/>
        <v>4981.6224360714941</v>
      </c>
      <c r="D106" s="18">
        <f t="shared" si="4"/>
        <v>265651.77279681573</v>
      </c>
      <c r="E106" s="18">
        <f t="shared" si="4"/>
        <v>30294.140066681215</v>
      </c>
      <c r="F106" s="18">
        <f t="shared" si="4"/>
        <v>4243.4529876387005</v>
      </c>
      <c r="G106" s="18">
        <f t="shared" si="4"/>
        <v>34720.966183492892</v>
      </c>
      <c r="H106" s="18">
        <f t="shared" ref="H106:J106" si="5">SUM(H71:H105)</f>
        <v>28517.084988484719</v>
      </c>
      <c r="I106" s="18">
        <f t="shared" si="5"/>
        <v>3355.5129719405109</v>
      </c>
      <c r="J106" s="18">
        <f t="shared" si="5"/>
        <v>15796.209573845594</v>
      </c>
    </row>
    <row r="108" spans="1:10" x14ac:dyDescent="0.2">
      <c r="A108" s="9" t="s">
        <v>50</v>
      </c>
      <c r="B108" s="13">
        <f t="shared" ref="B108:J108" si="6">B9+B39+B50+B68+B106</f>
        <v>4642.1542042949695</v>
      </c>
      <c r="C108" s="13">
        <f t="shared" si="6"/>
        <v>25673.457567616508</v>
      </c>
      <c r="D108" s="13">
        <f t="shared" si="6"/>
        <v>653465.46066958096</v>
      </c>
      <c r="E108" s="13">
        <f t="shared" si="6"/>
        <v>73113.338091549303</v>
      </c>
      <c r="F108" s="13">
        <f t="shared" si="6"/>
        <v>10001.806887741375</v>
      </c>
      <c r="G108" s="13">
        <f t="shared" si="6"/>
        <v>85215.286870413867</v>
      </c>
      <c r="H108" s="13">
        <f t="shared" si="6"/>
        <v>70534.653075501206</v>
      </c>
      <c r="I108" s="13">
        <f t="shared" si="6"/>
        <v>9400.277235765654</v>
      </c>
      <c r="J108" s="13">
        <f t="shared" si="6"/>
        <v>37337.849708473543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8"/>
  <sheetViews>
    <sheetView tabSelected="1" topLeftCell="J31" workbookViewId="0">
      <selection activeCell="T31" sqref="T1:T1048576"/>
    </sheetView>
  </sheetViews>
  <sheetFormatPr baseColWidth="10" defaultColWidth="8.83203125" defaultRowHeight="15" x14ac:dyDescent="0.2"/>
  <cols>
    <col min="1" max="1" width="25.5" customWidth="1"/>
    <col min="5" max="5" width="13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>
        <v>0</v>
      </c>
      <c r="C4">
        <v>0</v>
      </c>
      <c r="D4">
        <v>0</v>
      </c>
      <c r="E4" s="11">
        <v>8048.5981410021614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2</v>
      </c>
      <c r="B5">
        <v>0</v>
      </c>
      <c r="C5">
        <v>0</v>
      </c>
      <c r="D5">
        <v>0</v>
      </c>
      <c r="E5" s="11">
        <v>19829.879477831411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3</v>
      </c>
      <c r="B6">
        <v>0</v>
      </c>
      <c r="C6">
        <v>0</v>
      </c>
      <c r="D6">
        <v>0</v>
      </c>
      <c r="E6" s="11">
        <v>6532.195592697406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4</v>
      </c>
      <c r="B7">
        <v>0</v>
      </c>
      <c r="C7">
        <v>0</v>
      </c>
      <c r="D7">
        <v>0</v>
      </c>
      <c r="E7" s="11">
        <v>6765.4882924365993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5</v>
      </c>
      <c r="B8">
        <v>0</v>
      </c>
      <c r="C8">
        <v>0</v>
      </c>
      <c r="D8">
        <v>0</v>
      </c>
      <c r="E8" s="11">
        <v>5832.3174934798271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14">
        <f t="shared" si="0"/>
        <v>47008.478997447412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>
        <v>0</v>
      </c>
      <c r="C12">
        <v>0</v>
      </c>
      <c r="D12">
        <v>0</v>
      </c>
      <c r="E12" s="11">
        <v>333.69522431320246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52</v>
      </c>
      <c r="B13">
        <v>0</v>
      </c>
      <c r="C13">
        <v>0</v>
      </c>
      <c r="D13">
        <v>0</v>
      </c>
      <c r="E13" s="11">
        <v>41.733006777668692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53</v>
      </c>
      <c r="B14">
        <v>0</v>
      </c>
      <c r="C14">
        <v>0</v>
      </c>
      <c r="D14">
        <v>0</v>
      </c>
      <c r="E14" s="11">
        <v>82.30749108219014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54</v>
      </c>
      <c r="B15">
        <v>0</v>
      </c>
      <c r="C15">
        <v>0</v>
      </c>
      <c r="D15">
        <v>0</v>
      </c>
      <c r="E15" s="11">
        <v>83.049760505940256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55</v>
      </c>
      <c r="B16">
        <v>0</v>
      </c>
      <c r="C16">
        <v>0</v>
      </c>
      <c r="D16">
        <v>0</v>
      </c>
      <c r="E16" s="11">
        <v>24.521088728121718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56</v>
      </c>
      <c r="B17">
        <v>0</v>
      </c>
      <c r="C17">
        <v>0</v>
      </c>
      <c r="D17">
        <v>0</v>
      </c>
      <c r="E17" s="11">
        <v>10.441256560751732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57</v>
      </c>
      <c r="B18">
        <v>0</v>
      </c>
      <c r="C18">
        <v>0</v>
      </c>
      <c r="D18">
        <v>0</v>
      </c>
      <c r="E18" s="11">
        <v>13.63447051311991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58</v>
      </c>
      <c r="B19">
        <v>0</v>
      </c>
      <c r="C19">
        <v>0</v>
      </c>
      <c r="D19">
        <v>0</v>
      </c>
      <c r="E19" s="11">
        <v>24.81217477665118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59</v>
      </c>
      <c r="B20">
        <v>0</v>
      </c>
      <c r="C20">
        <v>0</v>
      </c>
      <c r="D20">
        <v>0</v>
      </c>
      <c r="E20" s="11">
        <v>35.800673108638293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60</v>
      </c>
      <c r="B21">
        <v>0</v>
      </c>
      <c r="C21">
        <v>0</v>
      </c>
      <c r="D21">
        <v>0</v>
      </c>
      <c r="E21" s="11">
        <v>32.7268044361672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61</v>
      </c>
      <c r="B22">
        <v>0</v>
      </c>
      <c r="C22">
        <v>0</v>
      </c>
      <c r="D22">
        <v>0</v>
      </c>
      <c r="E22" s="11">
        <v>42.405415549771746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62</v>
      </c>
      <c r="B23">
        <v>0</v>
      </c>
      <c r="C23">
        <v>0</v>
      </c>
      <c r="D23">
        <v>0</v>
      </c>
      <c r="E23" s="11">
        <v>27.714302680489894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63</v>
      </c>
      <c r="B24">
        <v>0</v>
      </c>
      <c r="C24">
        <v>0</v>
      </c>
      <c r="D24">
        <v>0</v>
      </c>
      <c r="E24" s="11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64</v>
      </c>
      <c r="B25">
        <v>0</v>
      </c>
      <c r="C25">
        <v>0</v>
      </c>
      <c r="D25">
        <v>0</v>
      </c>
      <c r="E25" s="11">
        <v>25.135280290518878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65</v>
      </c>
      <c r="B26">
        <v>0</v>
      </c>
      <c r="C26">
        <v>0</v>
      </c>
      <c r="D26">
        <v>0</v>
      </c>
      <c r="E26" s="11">
        <v>43.904508699698468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66</v>
      </c>
      <c r="B27">
        <v>0</v>
      </c>
      <c r="C27">
        <v>0</v>
      </c>
      <c r="D27">
        <v>0</v>
      </c>
      <c r="E27" s="11">
        <v>192.37585861263486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67</v>
      </c>
      <c r="B28">
        <v>0</v>
      </c>
      <c r="C28">
        <v>0</v>
      </c>
      <c r="D28">
        <v>0</v>
      </c>
      <c r="E28" s="11">
        <v>27.903508612034045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68</v>
      </c>
      <c r="B29">
        <v>0</v>
      </c>
      <c r="C29">
        <v>0</v>
      </c>
      <c r="D29">
        <v>0</v>
      </c>
      <c r="E29" s="11">
        <v>1.3302632417796325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69</v>
      </c>
      <c r="B30">
        <v>0</v>
      </c>
      <c r="C30">
        <v>0</v>
      </c>
      <c r="D30">
        <v>0</v>
      </c>
      <c r="E30" s="11">
        <v>62.793082388775133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70</v>
      </c>
      <c r="B31">
        <v>0</v>
      </c>
      <c r="C31">
        <v>0</v>
      </c>
      <c r="D31">
        <v>0</v>
      </c>
      <c r="E31" s="11">
        <v>66.309401855011004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71</v>
      </c>
      <c r="B32">
        <v>0</v>
      </c>
      <c r="C32">
        <v>0</v>
      </c>
      <c r="D32">
        <v>0</v>
      </c>
      <c r="E32" s="11">
        <v>128.47373837896251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72</v>
      </c>
      <c r="B33">
        <v>0</v>
      </c>
      <c r="C33">
        <v>0</v>
      </c>
      <c r="D33">
        <v>0</v>
      </c>
      <c r="E33" s="11">
        <v>11.107843611884197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73</v>
      </c>
      <c r="B34">
        <v>0</v>
      </c>
      <c r="C34">
        <v>0</v>
      </c>
      <c r="D34">
        <v>0</v>
      </c>
      <c r="E34" s="11">
        <v>289.61024226341573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74</v>
      </c>
      <c r="B35">
        <v>0</v>
      </c>
      <c r="C35">
        <v>0</v>
      </c>
      <c r="D35">
        <v>0</v>
      </c>
      <c r="E35" s="11">
        <v>128.74735926458018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75</v>
      </c>
      <c r="B36">
        <v>0</v>
      </c>
      <c r="C36">
        <v>0</v>
      </c>
      <c r="D36">
        <v>0</v>
      </c>
      <c r="E36" s="11">
        <v>27.09720025760744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76</v>
      </c>
      <c r="B37">
        <v>0</v>
      </c>
      <c r="C37">
        <v>0</v>
      </c>
      <c r="D37">
        <v>0</v>
      </c>
      <c r="E37" s="11">
        <v>10.051201255722257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77</v>
      </c>
      <c r="B38">
        <v>0</v>
      </c>
      <c r="C38">
        <v>0</v>
      </c>
      <c r="D38">
        <v>0</v>
      </c>
      <c r="E38" s="11">
        <v>3.9267507946624165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14">
        <f t="shared" si="1"/>
        <v>1771.6079085599999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>
        <v>0</v>
      </c>
      <c r="C42">
        <v>0</v>
      </c>
      <c r="D42">
        <v>0</v>
      </c>
      <c r="E42" s="11">
        <v>46.111931030713784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15</v>
      </c>
      <c r="B43">
        <v>0</v>
      </c>
      <c r="C43">
        <v>0</v>
      </c>
      <c r="D43">
        <v>0</v>
      </c>
      <c r="E43" s="11">
        <v>28.747060553332577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16</v>
      </c>
      <c r="B44">
        <v>0</v>
      </c>
      <c r="C44">
        <v>0</v>
      </c>
      <c r="D44">
        <v>0</v>
      </c>
      <c r="E44" s="11">
        <v>89.722444476465569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17</v>
      </c>
      <c r="B45">
        <v>0</v>
      </c>
      <c r="C45">
        <v>0</v>
      </c>
      <c r="D45">
        <v>0</v>
      </c>
      <c r="E45" s="11">
        <v>61.955229154638815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18</v>
      </c>
      <c r="B46">
        <v>0</v>
      </c>
      <c r="C46">
        <v>0</v>
      </c>
      <c r="D46">
        <v>0</v>
      </c>
      <c r="E46" s="11">
        <v>121.43272278429158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19</v>
      </c>
      <c r="B47">
        <v>0</v>
      </c>
      <c r="C47">
        <v>0</v>
      </c>
      <c r="D47">
        <v>0</v>
      </c>
      <c r="E47" s="11">
        <v>29.182218405391055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20</v>
      </c>
      <c r="B48">
        <v>0</v>
      </c>
      <c r="C48">
        <v>0</v>
      </c>
      <c r="D48">
        <v>0</v>
      </c>
      <c r="E48" s="11">
        <v>57.138890207025575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21</v>
      </c>
      <c r="B49">
        <v>0</v>
      </c>
      <c r="C49">
        <v>0</v>
      </c>
      <c r="D49">
        <v>0</v>
      </c>
      <c r="E49" s="11">
        <v>164.45414498814105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14">
        <f t="shared" si="2"/>
        <v>598.74464159999991</v>
      </c>
      <c r="F50" s="8">
        <f t="shared" si="2"/>
        <v>0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>
        <v>0</v>
      </c>
      <c r="C53">
        <v>0</v>
      </c>
      <c r="D53">
        <v>0</v>
      </c>
      <c r="E53" s="11">
        <v>65.146783597241367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26</v>
      </c>
      <c r="B54">
        <v>0</v>
      </c>
      <c r="C54">
        <v>0</v>
      </c>
      <c r="D54">
        <v>0</v>
      </c>
      <c r="E54" s="11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27</v>
      </c>
      <c r="B55">
        <v>0</v>
      </c>
      <c r="C55">
        <v>0</v>
      </c>
      <c r="D55">
        <v>0</v>
      </c>
      <c r="E55" s="11">
        <v>325.73391798620685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28</v>
      </c>
      <c r="B56">
        <v>0</v>
      </c>
      <c r="C56">
        <v>0</v>
      </c>
      <c r="D56">
        <v>0</v>
      </c>
      <c r="E56" s="11">
        <v>81.433479496551712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29</v>
      </c>
      <c r="B57">
        <v>0</v>
      </c>
      <c r="C57">
        <v>0</v>
      </c>
      <c r="D57">
        <v>0</v>
      </c>
      <c r="E57" s="11">
        <v>130.29356719448273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30</v>
      </c>
      <c r="B58">
        <v>0</v>
      </c>
      <c r="C58">
        <v>0</v>
      </c>
      <c r="D58">
        <v>0</v>
      </c>
      <c r="E58" s="11">
        <v>114.0068712951724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31</v>
      </c>
      <c r="B59">
        <v>0</v>
      </c>
      <c r="C59">
        <v>0</v>
      </c>
      <c r="D59">
        <v>0</v>
      </c>
      <c r="E59" s="11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32</v>
      </c>
      <c r="B60">
        <v>0</v>
      </c>
      <c r="C60">
        <v>0</v>
      </c>
      <c r="D60">
        <v>0</v>
      </c>
      <c r="E60" s="11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33</v>
      </c>
      <c r="B61">
        <v>0</v>
      </c>
      <c r="C61">
        <v>0</v>
      </c>
      <c r="D61">
        <v>0</v>
      </c>
      <c r="E61" s="1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34</v>
      </c>
      <c r="B62">
        <v>0</v>
      </c>
      <c r="C62">
        <v>0</v>
      </c>
      <c r="D62">
        <v>0</v>
      </c>
      <c r="E62" s="11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35</v>
      </c>
      <c r="B63">
        <v>0</v>
      </c>
      <c r="C63">
        <v>0</v>
      </c>
      <c r="D63">
        <v>0</v>
      </c>
      <c r="E63" s="11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36</v>
      </c>
      <c r="B64">
        <v>0</v>
      </c>
      <c r="C64">
        <v>0</v>
      </c>
      <c r="D64">
        <v>0</v>
      </c>
      <c r="E64" s="11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37</v>
      </c>
      <c r="B65">
        <v>0</v>
      </c>
      <c r="C65">
        <v>0</v>
      </c>
      <c r="D65">
        <v>0</v>
      </c>
      <c r="E65" s="11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38</v>
      </c>
      <c r="B66">
        <v>0</v>
      </c>
      <c r="C66">
        <v>0</v>
      </c>
      <c r="D66">
        <v>0</v>
      </c>
      <c r="E66" s="11">
        <v>228.0137425903448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39</v>
      </c>
      <c r="B67">
        <v>0</v>
      </c>
      <c r="C67">
        <v>0</v>
      </c>
      <c r="D67">
        <v>0</v>
      </c>
      <c r="E67" s="11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14">
        <f t="shared" si="3"/>
        <v>944.62836215999994</v>
      </c>
      <c r="F68" s="8">
        <f t="shared" si="3"/>
        <v>0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 s="11">
        <v>31.926723968360744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 s="11">
        <v>13.022929128683321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 s="11">
        <v>8.6611689700231178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 s="11">
        <v>7.4623226106252858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 s="11">
        <v>43.042268700177061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 s="11">
        <v>21.395014579419019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 s="11">
        <v>3.8346078587831416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 s="11">
        <v>6.359837424323258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 s="11">
        <v>1.3037099889432704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 s="11">
        <v>20.624125194652564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 s="11">
        <v>9.3527020945930267E-2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 s="11">
        <v>5.6683042997533496E-3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 s="11">
        <v>1.8421988974198387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 s="11">
        <v>7.6182009788685026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 s="11">
        <v>30.226232678434737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 s="11">
        <v>36.282815822721197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 s="11">
        <v>26.391624819651597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 s="11">
        <v>62.688611403122167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 s="11">
        <v>43.631772347351408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 s="11">
        <v>54.347701626035118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 s="11">
        <v>29.701914530707551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 s="11">
        <v>20.853691518792573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 s="11">
        <v>20.02045078672883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 s="11">
        <v>4.942761349384921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 s="11">
        <v>3.534187730896214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 s="11">
        <v>8.7150178608707751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 s="11">
        <v>14.139585075734733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 s="11">
        <v>37.923789917499789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 s="11">
        <v>14.522195615968082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 s="11">
        <v>28.318848281567735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 s="11">
        <v>3.8119346415841275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 s="11">
        <v>5.9120413846427438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 s="11">
        <v>108.12290451779515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 s="11">
        <v>8.0518262577996342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 s="11">
        <v>3.7665882071861012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14">
        <f t="shared" si="4"/>
        <v>733.0988000000001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51056.558709767414</v>
      </c>
      <c r="F108" s="10">
        <f t="shared" si="6"/>
        <v>0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topLeftCell="A100" workbookViewId="0">
      <selection activeCell="D109" sqref="D109"/>
    </sheetView>
  </sheetViews>
  <sheetFormatPr baseColWidth="10" defaultColWidth="8.83203125" defaultRowHeight="15" x14ac:dyDescent="0.2"/>
  <cols>
    <col min="1" max="1" width="25.5" customWidth="1"/>
    <col min="2" max="2" width="14.33203125" bestFit="1" customWidth="1"/>
    <col min="3" max="3" width="15.33203125" bestFit="1" customWidth="1"/>
    <col min="4" max="4" width="17.5" bestFit="1" customWidth="1"/>
    <col min="5" max="5" width="16.33203125" bestFit="1" customWidth="1"/>
    <col min="6" max="6" width="15.33203125" bestFit="1" customWidth="1"/>
    <col min="7" max="7" width="16.33203125" bestFit="1" customWidth="1"/>
    <col min="8" max="10" width="15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">
      <c r="A5" t="s">
        <v>2</v>
      </c>
      <c r="B5" s="11">
        <v>3.1838157445211436E-2</v>
      </c>
      <c r="C5" s="11">
        <v>0.40328332763934488</v>
      </c>
      <c r="D5" s="11">
        <v>31.661278792738042</v>
      </c>
      <c r="E5" s="11">
        <v>1.2381505673137783</v>
      </c>
      <c r="F5" s="11">
        <v>0.72520247514092728</v>
      </c>
      <c r="G5" s="11">
        <f>1.60959573750791+1.46809281552919</f>
        <v>3.0776885530370999</v>
      </c>
      <c r="H5" s="11">
        <v>0.72520247514092728</v>
      </c>
      <c r="I5" s="11">
        <v>9.0208112761432424E-2</v>
      </c>
      <c r="J5" s="11">
        <v>0.52886717089545676</v>
      </c>
    </row>
    <row r="6" spans="1:10" x14ac:dyDescent="0.2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">
      <c r="A7" t="s">
        <v>4</v>
      </c>
      <c r="B7" s="11">
        <v>2.0741279068158706E-2</v>
      </c>
      <c r="C7" s="11">
        <v>0.26272286819667695</v>
      </c>
      <c r="D7" s="11">
        <v>20.626049740002269</v>
      </c>
      <c r="E7" s="11">
        <v>0.8066052970950609</v>
      </c>
      <c r="F7" s="11">
        <v>0.47244024544139279</v>
      </c>
      <c r="G7" s="11">
        <f>1.04858688622358+0.956403423698429</f>
        <v>2.0049903099220092</v>
      </c>
      <c r="H7" s="11">
        <v>0.47244024544139279</v>
      </c>
      <c r="I7" s="11">
        <v>5.8766957359783011E-2</v>
      </c>
      <c r="J7" s="11">
        <v>0.34453569118774746</v>
      </c>
    </row>
    <row r="8" spans="1:10" x14ac:dyDescent="0.2">
      <c r="A8" t="s">
        <v>5</v>
      </c>
      <c r="B8" s="11">
        <v>0.37693841693537983</v>
      </c>
      <c r="C8" s="11">
        <v>4.7745532811814781</v>
      </c>
      <c r="D8" s="11">
        <v>374.84431461907218</v>
      </c>
      <c r="E8" s="11">
        <v>14.658716214153664</v>
      </c>
      <c r="F8" s="11">
        <v>8.585819496861431</v>
      </c>
      <c r="G8" s="11">
        <f>19.0563310783998+17.3810492253536</f>
        <v>36.4373803037534</v>
      </c>
      <c r="H8" s="11">
        <v>8.585819496861431</v>
      </c>
      <c r="I8" s="11">
        <v>1.0679921813169098</v>
      </c>
      <c r="J8" s="11">
        <v>6.2613659257599217</v>
      </c>
    </row>
    <row r="9" spans="1:10" x14ac:dyDescent="0.2">
      <c r="A9" s="6" t="s">
        <v>42</v>
      </c>
      <c r="B9" s="14">
        <f>SUM(B4:B8)</f>
        <v>0.42951785344874999</v>
      </c>
      <c r="C9" s="14">
        <f t="shared" ref="C9:J9" si="0">SUM(C4:C8)</f>
        <v>5.4405594770174996</v>
      </c>
      <c r="D9" s="14">
        <f t="shared" si="0"/>
        <v>427.13164315181251</v>
      </c>
      <c r="E9" s="14">
        <f t="shared" si="0"/>
        <v>16.703472078562502</v>
      </c>
      <c r="F9" s="14">
        <f t="shared" si="0"/>
        <v>9.783462217443752</v>
      </c>
      <c r="G9" s="14">
        <f t="shared" si="0"/>
        <v>41.520059166712507</v>
      </c>
      <c r="H9" s="14">
        <f t="shared" si="0"/>
        <v>9.783462217443752</v>
      </c>
      <c r="I9" s="14">
        <f t="shared" si="0"/>
        <v>1.2169672514381251</v>
      </c>
      <c r="J9" s="14">
        <f t="shared" si="0"/>
        <v>7.1347687878431261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67.064347579270574</v>
      </c>
      <c r="C12" s="11">
        <v>818.62108124760061</v>
      </c>
      <c r="D12" s="11">
        <v>59356.258635799124</v>
      </c>
      <c r="E12" s="11">
        <v>2442.2363940439586</v>
      </c>
      <c r="F12" s="11">
        <v>1315.4388784687208</v>
      </c>
      <c r="G12" s="11">
        <f>2725.07217473086+2983.04496600322</f>
        <v>5708.1171407340798</v>
      </c>
      <c r="H12" s="11">
        <v>1402.2052640459985</v>
      </c>
      <c r="I12" s="11">
        <v>183.46716975678777</v>
      </c>
      <c r="J12" s="11">
        <v>997.96826235275671</v>
      </c>
    </row>
    <row r="13" spans="1:10" x14ac:dyDescent="0.2">
      <c r="A13" t="s">
        <v>52</v>
      </c>
      <c r="B13" s="11">
        <v>114.81732903294395</v>
      </c>
      <c r="C13" s="11">
        <v>1401.5179366027673</v>
      </c>
      <c r="D13" s="11">
        <v>101620.7168778543</v>
      </c>
      <c r="E13" s="11">
        <v>4181.2239998268478</v>
      </c>
      <c r="F13" s="11">
        <v>2252.0934592459148</v>
      </c>
      <c r="G13" s="11">
        <f>4665.45220848917+5107.11380554049</f>
        <v>9772.5660140296604</v>
      </c>
      <c r="H13" s="11">
        <v>2400.6416074262888</v>
      </c>
      <c r="I13" s="11">
        <v>314.10445575137879</v>
      </c>
      <c r="J13" s="11">
        <v>1708.5687772859128</v>
      </c>
    </row>
    <row r="14" spans="1:10" x14ac:dyDescent="0.2">
      <c r="A14" t="s">
        <v>53</v>
      </c>
      <c r="B14" s="11">
        <v>150.25639920385098</v>
      </c>
      <c r="C14" s="11">
        <v>1834.1050113883093</v>
      </c>
      <c r="D14" s="11">
        <v>132986.57207222865</v>
      </c>
      <c r="E14" s="11">
        <v>5471.7843357812581</v>
      </c>
      <c r="F14" s="11">
        <v>2947.2158663414207</v>
      </c>
      <c r="G14" s="11">
        <f>6105.47253981233+6683.45568746518</f>
        <v>12788.928227277509</v>
      </c>
      <c r="H14" s="11">
        <v>3141.6143081269706</v>
      </c>
      <c r="I14" s="11">
        <v>411.05471528209608</v>
      </c>
      <c r="J14" s="11">
        <v>2235.9289702118685</v>
      </c>
    </row>
    <row r="15" spans="1:10" x14ac:dyDescent="0.2">
      <c r="A15" t="s">
        <v>54</v>
      </c>
      <c r="B15" s="11">
        <v>101.72647476177612</v>
      </c>
      <c r="C15" s="11">
        <v>1241.7244000258067</v>
      </c>
      <c r="D15" s="11">
        <v>90034.469342015014</v>
      </c>
      <c r="E15" s="11">
        <v>3704.5033295425073</v>
      </c>
      <c r="F15" s="11">
        <v>1995.3218766951707</v>
      </c>
      <c r="G15" s="11">
        <f>4133.52244244396+4524.82815983088</f>
        <v>8658.3506022748406</v>
      </c>
      <c r="H15" s="11">
        <v>2126.9333640381969</v>
      </c>
      <c r="I15" s="11">
        <v>278.29195522729873</v>
      </c>
      <c r="J15" s="11">
        <v>1513.766955434616</v>
      </c>
    </row>
    <row r="16" spans="1:10" x14ac:dyDescent="0.2">
      <c r="A16" t="s">
        <v>55</v>
      </c>
      <c r="B16" s="11">
        <v>273.94590748733697</v>
      </c>
      <c r="C16" s="11">
        <v>3343.9212202215854</v>
      </c>
      <c r="D16" s="11">
        <v>242459.73790794209</v>
      </c>
      <c r="E16" s="11">
        <v>9976.1004082558538</v>
      </c>
      <c r="F16" s="11">
        <v>5373.333377772612</v>
      </c>
      <c r="G16" s="11">
        <f>11131.4341646691+12185.2070404674</f>
        <v>23316.641205136497</v>
      </c>
      <c r="H16" s="11">
        <v>5727.7585991358419</v>
      </c>
      <c r="I16" s="11">
        <v>749.43069048347536</v>
      </c>
      <c r="J16" s="11">
        <v>4076.5224913377178</v>
      </c>
    </row>
    <row r="17" spans="1:10" x14ac:dyDescent="0.2">
      <c r="A17" t="s">
        <v>56</v>
      </c>
      <c r="B17" s="11">
        <v>107.27577843082787</v>
      </c>
      <c r="C17" s="11">
        <v>1309.4619854002237</v>
      </c>
      <c r="D17" s="11">
        <v>94945.959809278371</v>
      </c>
      <c r="E17" s="11">
        <v>3906.5885189367746</v>
      </c>
      <c r="F17" s="11">
        <v>2104.1691265110494</v>
      </c>
      <c r="G17" s="11">
        <f>4359.01114938754+4771.66307245299</f>
        <v>9130.6742218405307</v>
      </c>
      <c r="H17" s="11">
        <v>2242.9601815262313</v>
      </c>
      <c r="I17" s="11">
        <v>293.47312189828529</v>
      </c>
      <c r="J17" s="11">
        <v>1596.3447950732607</v>
      </c>
    </row>
    <row r="18" spans="1:10" x14ac:dyDescent="0.2">
      <c r="A18" t="s">
        <v>57</v>
      </c>
      <c r="B18" s="11">
        <v>66.352901850309607</v>
      </c>
      <c r="C18" s="11">
        <v>809.93681765728377</v>
      </c>
      <c r="D18" s="11">
        <v>58726.583432538151</v>
      </c>
      <c r="E18" s="11">
        <v>2416.3281624071437</v>
      </c>
      <c r="F18" s="11">
        <v>1301.4841707055598</v>
      </c>
      <c r="G18" s="11">
        <f>2696.1635067157+2951.39961825935</f>
        <v>5647.5631249750495</v>
      </c>
      <c r="H18" s="11">
        <v>1387.3301033646403</v>
      </c>
      <c r="I18" s="11">
        <v>181.52087580121415</v>
      </c>
      <c r="J18" s="11">
        <v>987.38141131316013</v>
      </c>
    </row>
    <row r="19" spans="1:10" x14ac:dyDescent="0.2">
      <c r="A19" t="s">
        <v>58</v>
      </c>
      <c r="B19" s="11">
        <v>51.29918399749198</v>
      </c>
      <c r="C19" s="11">
        <v>626.18358318491903</v>
      </c>
      <c r="D19" s="11">
        <v>45403.075450207783</v>
      </c>
      <c r="E19" s="11">
        <v>1868.1272340023115</v>
      </c>
      <c r="F19" s="11">
        <v>1006.2118472748639</v>
      </c>
      <c r="G19" s="11">
        <f>2084.47534262115+2281.80513353852</f>
        <v>4366.2804761596699</v>
      </c>
      <c r="H19" s="11">
        <v>1072.5816091407337</v>
      </c>
      <c r="I19" s="11">
        <v>140.33859179391601</v>
      </c>
      <c r="J19" s="11">
        <v>763.37069340126777</v>
      </c>
    </row>
    <row r="20" spans="1:10" x14ac:dyDescent="0.2">
      <c r="A20" t="s">
        <v>59</v>
      </c>
      <c r="B20" s="11">
        <v>109.62015337563352</v>
      </c>
      <c r="C20" s="11">
        <v>1338.0786024469808</v>
      </c>
      <c r="D20" s="11">
        <v>97020.882336463052</v>
      </c>
      <c r="E20" s="11">
        <v>3991.96201496194</v>
      </c>
      <c r="F20" s="11">
        <v>2150.1530517920664</v>
      </c>
      <c r="G20" s="11">
        <f>4454.27176340715+4875.94166651909</f>
        <v>9330.2134299262398</v>
      </c>
      <c r="H20" s="11">
        <v>2291.977207817562</v>
      </c>
      <c r="I20" s="11">
        <v>299.88660166059594</v>
      </c>
      <c r="J20" s="11">
        <v>1631.2308690368611</v>
      </c>
    </row>
    <row r="21" spans="1:10" x14ac:dyDescent="0.2">
      <c r="A21" t="s">
        <v>60</v>
      </c>
      <c r="B21" s="11">
        <v>153.35133239767416</v>
      </c>
      <c r="C21" s="11">
        <v>1871.883319072909</v>
      </c>
      <c r="D21" s="11">
        <v>135725.78689715406</v>
      </c>
      <c r="E21" s="11">
        <v>5584.4903972866714</v>
      </c>
      <c r="F21" s="11">
        <v>3007.9216749621069</v>
      </c>
      <c r="G21" s="11">
        <f>6231.23110801684+6821.11936745607</f>
        <v>13052.350475472911</v>
      </c>
      <c r="H21" s="11">
        <v>3206.3242735988624</v>
      </c>
      <c r="I21" s="11">
        <v>419.52148867441025</v>
      </c>
      <c r="J21" s="11">
        <v>2281.9839191232377</v>
      </c>
    </row>
    <row r="22" spans="1:10" x14ac:dyDescent="0.2">
      <c r="A22" t="s">
        <v>61</v>
      </c>
      <c r="B22" s="11">
        <v>82.69890180496165</v>
      </c>
      <c r="C22" s="11">
        <v>1009.464295966587</v>
      </c>
      <c r="D22" s="11">
        <v>73193.844145426759</v>
      </c>
      <c r="E22" s="11">
        <v>3011.5892426570545</v>
      </c>
      <c r="F22" s="11">
        <v>1622.1040622564544</v>
      </c>
      <c r="G22" s="11">
        <f>3360.36186623784+3678.47524993351</f>
        <v>7038.8371161713494</v>
      </c>
      <c r="H22" s="11">
        <v>1729.0980920178749</v>
      </c>
      <c r="I22" s="11">
        <v>226.23844119584956</v>
      </c>
      <c r="J22" s="11">
        <v>1230.6222652091963</v>
      </c>
    </row>
    <row r="23" spans="1:10" x14ac:dyDescent="0.2">
      <c r="A23" t="s">
        <v>62</v>
      </c>
      <c r="B23" s="11">
        <v>312.31755929446274</v>
      </c>
      <c r="C23" s="11">
        <v>3812.3048581072244</v>
      </c>
      <c r="D23" s="11">
        <v>276421.11636248452</v>
      </c>
      <c r="E23" s="11">
        <v>11373.45456028389</v>
      </c>
      <c r="F23" s="11">
        <v>6125.9771361942567</v>
      </c>
      <c r="G23" s="11">
        <f>12690.6161206922+13891.9911499405</f>
        <v>26582.607270632703</v>
      </c>
      <c r="H23" s="11">
        <v>6530.0467611207778</v>
      </c>
      <c r="I23" s="11">
        <v>854.40358010452212</v>
      </c>
      <c r="J23" s="11">
        <v>4647.5217190913145</v>
      </c>
    </row>
    <row r="24" spans="1:10" x14ac:dyDescent="0.2">
      <c r="A24" t="s">
        <v>63</v>
      </c>
      <c r="B24" s="11">
        <v>205.46520968945069</v>
      </c>
      <c r="C24" s="11">
        <v>2508.0114574428926</v>
      </c>
      <c r="D24" s="11">
        <v>181849.91828289075</v>
      </c>
      <c r="E24" s="11">
        <v>7482.2857587680955</v>
      </c>
      <c r="F24" s="11">
        <v>4030.1133874263392</v>
      </c>
      <c r="G24" s="11">
        <f>8348.81044862396+9139.16233552328</f>
        <v>17487.972784147241</v>
      </c>
      <c r="H24" s="11">
        <v>4295.9397802881931</v>
      </c>
      <c r="I24" s="11">
        <v>562.0888276092054</v>
      </c>
      <c r="J24" s="11">
        <v>3057.4778654986226</v>
      </c>
    </row>
    <row r="25" spans="1:10" x14ac:dyDescent="0.2">
      <c r="A25" t="s">
        <v>64</v>
      </c>
      <c r="B25" s="11">
        <v>32.371524880579528</v>
      </c>
      <c r="C25" s="11">
        <v>395.14307759499786</v>
      </c>
      <c r="D25" s="11">
        <v>28650.88042459092</v>
      </c>
      <c r="E25" s="11">
        <v>1178.8516409647104</v>
      </c>
      <c r="F25" s="11">
        <v>634.95380064495032</v>
      </c>
      <c r="G25" s="11">
        <f>1315.37463480733+1439.89642518656</f>
        <v>2755.27105999389</v>
      </c>
      <c r="H25" s="11">
        <v>676.83537126923511</v>
      </c>
      <c r="I25" s="11">
        <v>88.558410913209698</v>
      </c>
      <c r="J25" s="11">
        <v>481.71279675233302</v>
      </c>
    </row>
    <row r="26" spans="1:10" x14ac:dyDescent="0.2">
      <c r="A26" t="s">
        <v>65</v>
      </c>
      <c r="B26" s="11">
        <v>244.33160201677163</v>
      </c>
      <c r="C26" s="11">
        <v>2982.434146392146</v>
      </c>
      <c r="D26" s="11">
        <v>216249.17390069945</v>
      </c>
      <c r="E26" s="11">
        <v>8897.6565373293397</v>
      </c>
      <c r="F26" s="11">
        <v>4792.4612723848049</v>
      </c>
      <c r="G26" s="11">
        <f>9928.09553953109+10867.9526714268</f>
        <v>20796.048210957888</v>
      </c>
      <c r="H26" s="11">
        <v>5108.5721532704038</v>
      </c>
      <c r="I26" s="11">
        <v>668.4151732211111</v>
      </c>
      <c r="J26" s="11">
        <v>3635.8392067309355</v>
      </c>
    </row>
    <row r="27" spans="1:10" x14ac:dyDescent="0.2">
      <c r="A27" t="s">
        <v>66</v>
      </c>
      <c r="B27" s="11">
        <v>119.60931125545191</v>
      </c>
      <c r="C27" s="11">
        <v>1460.0112763563816</v>
      </c>
      <c r="D27" s="11">
        <v>105861.92918281457</v>
      </c>
      <c r="E27" s="11">
        <v>4355.7303330106215</v>
      </c>
      <c r="F27" s="11">
        <v>2346.0861684565289</v>
      </c>
      <c r="G27" s="11">
        <f>4860.16814754943+5320.26280291398</f>
        <v>10180.430950463409</v>
      </c>
      <c r="H27" s="11">
        <v>2500.8340783911813</v>
      </c>
      <c r="I27" s="11">
        <v>327.21382679012919</v>
      </c>
      <c r="J27" s="11">
        <v>1779.8771004775897</v>
      </c>
    </row>
    <row r="28" spans="1:10" x14ac:dyDescent="0.2">
      <c r="A28" t="s">
        <v>67</v>
      </c>
      <c r="B28" s="11">
        <v>39.422430309264989</v>
      </c>
      <c r="C28" s="11">
        <v>481.20996759169094</v>
      </c>
      <c r="D28" s="11">
        <v>34891.384975044144</v>
      </c>
      <c r="E28" s="11">
        <v>1435.6196327586158</v>
      </c>
      <c r="F28" s="11">
        <v>773.25433534165859</v>
      </c>
      <c r="G28" s="11">
        <f>1601.87896809199+1753.52309425903</f>
        <v>3355.4020623510196</v>
      </c>
      <c r="H28" s="11">
        <v>824.25821314072232</v>
      </c>
      <c r="I28" s="11">
        <v>107.84749236881672</v>
      </c>
      <c r="J28" s="11">
        <v>586.63560734646512</v>
      </c>
    </row>
    <row r="29" spans="1:10" x14ac:dyDescent="0.2">
      <c r="A29" t="s">
        <v>68</v>
      </c>
      <c r="B29" s="11">
        <v>39.700060873352072</v>
      </c>
      <c r="C29" s="11">
        <v>484.59886557942883</v>
      </c>
      <c r="D29" s="11">
        <v>35137.105870899832</v>
      </c>
      <c r="E29" s="11">
        <v>1445.7299147815784</v>
      </c>
      <c r="F29" s="11">
        <v>778.6999417038121</v>
      </c>
      <c r="G29" s="11">
        <f>1613.16012346526+1765.87219607695</f>
        <v>3379.0323195422102</v>
      </c>
      <c r="H29" s="11">
        <v>830.06301185233008</v>
      </c>
      <c r="I29" s="11">
        <v>108.60700313227909</v>
      </c>
      <c r="J29" s="11">
        <v>590.76696031743836</v>
      </c>
    </row>
    <row r="30" spans="1:10" x14ac:dyDescent="0.2">
      <c r="A30" t="s">
        <v>69</v>
      </c>
      <c r="B30" s="11">
        <v>0.10581749334106433</v>
      </c>
      <c r="C30" s="11">
        <v>1.2916614257878543</v>
      </c>
      <c r="D30" s="11">
        <v>93.655283763404356</v>
      </c>
      <c r="E30" s="11">
        <v>3.853483150023695</v>
      </c>
      <c r="F30" s="11">
        <v>2.0755654798312877</v>
      </c>
      <c r="G30" s="11">
        <f>4.29975563935306+4.70679805619566</f>
        <v>9.0065536955487193</v>
      </c>
      <c r="H30" s="11">
        <v>2.2124698375035861</v>
      </c>
      <c r="I30" s="11">
        <v>0.28948370803272588</v>
      </c>
      <c r="J30" s="11">
        <v>1.5746444089578804</v>
      </c>
    </row>
    <row r="31" spans="1:10" x14ac:dyDescent="0.2">
      <c r="A31" t="s">
        <v>70</v>
      </c>
      <c r="B31" s="11">
        <v>3.3255369040690166</v>
      </c>
      <c r="C31" s="11">
        <v>40.593172295010142</v>
      </c>
      <c r="D31" s="11">
        <v>2943.3139321529529</v>
      </c>
      <c r="E31" s="11">
        <v>121.10379881432019</v>
      </c>
      <c r="F31" s="11">
        <v>65.229003088774533</v>
      </c>
      <c r="G31" s="11">
        <f>135.12884879119+147.921011372178</f>
        <v>283.04986016336795</v>
      </c>
      <c r="H31" s="11">
        <v>69.531509974849229</v>
      </c>
      <c r="I31" s="11">
        <v>9.0976333287984072</v>
      </c>
      <c r="J31" s="11">
        <v>49.486506695989235</v>
      </c>
    </row>
    <row r="32" spans="1:10" x14ac:dyDescent="0.2">
      <c r="A32" t="s">
        <v>71</v>
      </c>
      <c r="B32" s="11">
        <v>1.5922738685531714</v>
      </c>
      <c r="C32" s="11">
        <v>19.436093885452127</v>
      </c>
      <c r="D32" s="11">
        <v>1409.2647281650393</v>
      </c>
      <c r="E32" s="11">
        <v>57.984746462630341</v>
      </c>
      <c r="F32" s="11">
        <v>31.231780036164132</v>
      </c>
      <c r="G32" s="11">
        <f>64.6999690650312+70.8248826617105</f>
        <v>135.5248517267417</v>
      </c>
      <c r="H32" s="11">
        <v>33.291829129465263</v>
      </c>
      <c r="I32" s="11">
        <v>4.3559654374605223</v>
      </c>
      <c r="J32" s="11">
        <v>23.694240578594375</v>
      </c>
    </row>
    <row r="33" spans="1:10" x14ac:dyDescent="0.2">
      <c r="A33" t="s">
        <v>72</v>
      </c>
      <c r="B33" s="11">
        <v>0.23779776784605924</v>
      </c>
      <c r="C33" s="11">
        <v>2.9026788876505494</v>
      </c>
      <c r="D33" s="11">
        <v>210.46631065190971</v>
      </c>
      <c r="E33" s="11">
        <v>8.6597183752455251</v>
      </c>
      <c r="F33" s="11">
        <v>4.6643028722234776</v>
      </c>
      <c r="G33" s="11">
        <f>9.66260172149509+10.5773255075883</f>
        <v>20.239927229083392</v>
      </c>
      <c r="H33" s="11">
        <v>4.9719604214147077</v>
      </c>
      <c r="I33" s="11">
        <v>0.6505406377006715</v>
      </c>
      <c r="J33" s="11">
        <v>3.5386108078989107</v>
      </c>
    </row>
    <row r="34" spans="1:10" x14ac:dyDescent="0.2">
      <c r="A34" t="s">
        <v>73</v>
      </c>
      <c r="B34" s="11">
        <v>0.68572033605404692</v>
      </c>
      <c r="C34" s="11">
        <v>8.3702465348002928</v>
      </c>
      <c r="D34" s="11">
        <v>606.90657685950453</v>
      </c>
      <c r="E34" s="11">
        <v>24.971407630078698</v>
      </c>
      <c r="F34" s="11">
        <v>13.450115036695637</v>
      </c>
      <c r="G34" s="11">
        <f>27.8633502729484+30.501073526947</f>
        <v>58.364423799895398</v>
      </c>
      <c r="H34" s="11">
        <v>14.337285004403434</v>
      </c>
      <c r="I34" s="11">
        <v>1.8759172919978733</v>
      </c>
      <c r="J34" s="11">
        <v>10.204037717998013</v>
      </c>
    </row>
    <row r="35" spans="1:10" x14ac:dyDescent="0.2">
      <c r="A35" t="s">
        <v>74</v>
      </c>
      <c r="B35" s="11">
        <v>0.10119336375831856</v>
      </c>
      <c r="C35" s="11">
        <v>1.2352169795881505</v>
      </c>
      <c r="D35" s="11">
        <v>89.562631834531402</v>
      </c>
      <c r="E35" s="11">
        <v>3.6850893914113656</v>
      </c>
      <c r="F35" s="11">
        <v>1.9848651293204402</v>
      </c>
      <c r="G35" s="11">
        <f>4.11186017308619+4.50111520126813</f>
        <v>8.6129753743543205</v>
      </c>
      <c r="H35" s="11">
        <v>2.1157868893112872</v>
      </c>
      <c r="I35" s="11">
        <v>0.27683352954359325</v>
      </c>
      <c r="J35" s="11">
        <v>1.5058338601169761</v>
      </c>
    </row>
    <row r="36" spans="1:10" x14ac:dyDescent="0.2">
      <c r="A36" t="s">
        <v>75</v>
      </c>
      <c r="B36" s="11">
        <v>8.8465583085622065E-2</v>
      </c>
      <c r="C36" s="11">
        <v>1.0798553015542369</v>
      </c>
      <c r="D36" s="11">
        <v>78.297727772424153</v>
      </c>
      <c r="E36" s="11">
        <v>3.2215905235885356</v>
      </c>
      <c r="F36" s="11">
        <v>1.735215082196701</v>
      </c>
      <c r="G36" s="11">
        <f>3.59468342852388+3.93497919257585</f>
        <v>7.5296626210997299</v>
      </c>
      <c r="H36" s="11">
        <v>1.8496699180281075</v>
      </c>
      <c r="I36" s="11">
        <v>0.24201428531632885</v>
      </c>
      <c r="J36" s="11">
        <v>1.3164348482720589</v>
      </c>
    </row>
    <row r="37" spans="1:10" x14ac:dyDescent="0.2">
      <c r="A37" t="s">
        <v>76</v>
      </c>
      <c r="B37" s="11">
        <v>8.2206448324856591</v>
      </c>
      <c r="C37" s="11">
        <v>100.34531616620112</v>
      </c>
      <c r="D37" s="11">
        <v>7275.7991159655658</v>
      </c>
      <c r="E37" s="11">
        <v>299.36559016957546</v>
      </c>
      <c r="F37" s="11">
        <v>161.24447950459333</v>
      </c>
      <c r="G37" s="11">
        <f>334.035166224088+365.657075182322</f>
        <v>699.69224140640995</v>
      </c>
      <c r="H37" s="11">
        <v>171.88016992693301</v>
      </c>
      <c r="I37" s="11">
        <v>22.489124183444574</v>
      </c>
      <c r="J37" s="11">
        <v>122.32941846184006</v>
      </c>
    </row>
    <row r="38" spans="1:10" x14ac:dyDescent="0.2">
      <c r="A38" t="s">
        <v>77</v>
      </c>
      <c r="B38" s="11">
        <v>6.4900344153045735</v>
      </c>
      <c r="C38" s="11">
        <v>79.220616947192482</v>
      </c>
      <c r="D38" s="11">
        <v>5744.0976497194388</v>
      </c>
      <c r="E38" s="11">
        <v>236.3431364022378</v>
      </c>
      <c r="F38" s="11">
        <v>127.29928644128775</v>
      </c>
      <c r="G38" s="11">
        <f>263.71407217952+288.678935836634</f>
        <v>552.393008016154</v>
      </c>
      <c r="H38" s="11">
        <v>135.69595097041795</v>
      </c>
      <c r="I38" s="11">
        <v>17.754713029790572</v>
      </c>
      <c r="J38" s="11">
        <v>96.576625313403824</v>
      </c>
    </row>
    <row r="39" spans="1:10" x14ac:dyDescent="0.2">
      <c r="A39" s="6" t="s">
        <v>43</v>
      </c>
      <c r="B39" s="14">
        <f>SUM(B12:B38)</f>
        <v>2292.4738928059078</v>
      </c>
      <c r="C39" s="14">
        <f t="shared" ref="C39:J39" si="1">SUM(C12:C38)</f>
        <v>27983.086760702972</v>
      </c>
      <c r="D39" s="14">
        <f t="shared" si="1"/>
        <v>2028986.7598632164</v>
      </c>
      <c r="E39" s="14">
        <f t="shared" si="1"/>
        <v>83483.450976518303</v>
      </c>
      <c r="F39" s="14">
        <f t="shared" si="1"/>
        <v>44965.908046849378</v>
      </c>
      <c r="G39" s="14">
        <f t="shared" si="1"/>
        <v>195121.70019611937</v>
      </c>
      <c r="H39" s="14">
        <f t="shared" si="1"/>
        <v>47931.86061164437</v>
      </c>
      <c r="I39" s="14">
        <f t="shared" si="1"/>
        <v>6271.4946470966661</v>
      </c>
      <c r="J39" s="14">
        <f t="shared" si="1"/>
        <v>34113.747018687623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185.75566320864624</v>
      </c>
      <c r="C42" s="11">
        <v>2310.5665912390918</v>
      </c>
      <c r="D42" s="11">
        <v>174776.26040837169</v>
      </c>
      <c r="E42" s="11">
        <v>7006.8376334575505</v>
      </c>
      <c r="F42" s="11">
        <v>3943.4598743888218</v>
      </c>
      <c r="G42" s="11">
        <f>8068.97841744027+8838.549770057</f>
        <v>16907.528187497272</v>
      </c>
      <c r="H42" s="11">
        <v>4061.6902291990095</v>
      </c>
      <c r="I42" s="11">
        <v>517.41861534735278</v>
      </c>
      <c r="J42" s="11">
        <v>2927.9634260559019</v>
      </c>
    </row>
    <row r="43" spans="1:10" x14ac:dyDescent="0.2">
      <c r="A43" t="s">
        <v>15</v>
      </c>
      <c r="B43" s="11">
        <v>140.54233349940833</v>
      </c>
      <c r="C43" s="11">
        <v>1748.1696914605855</v>
      </c>
      <c r="D43" s="11">
        <v>132235.34105930541</v>
      </c>
      <c r="E43" s="11">
        <v>5301.3582167424292</v>
      </c>
      <c r="F43" s="11">
        <v>2983.6132219848873</v>
      </c>
      <c r="G43" s="11">
        <f>6104.97163938221+6687.22766228239</f>
        <v>12792.199301664601</v>
      </c>
      <c r="H43" s="11">
        <v>3073.0660530235987</v>
      </c>
      <c r="I43" s="11">
        <v>391.47780660269484</v>
      </c>
      <c r="J43" s="11">
        <v>2215.2908029329187</v>
      </c>
    </row>
    <row r="44" spans="1:10" x14ac:dyDescent="0.2">
      <c r="A44" t="s">
        <v>16</v>
      </c>
      <c r="B44" s="11">
        <v>97.506509851707548</v>
      </c>
      <c r="C44" s="11">
        <v>1212.8582256930845</v>
      </c>
      <c r="D44" s="11">
        <v>91743.222591343656</v>
      </c>
      <c r="E44" s="11">
        <v>3678.015899674831</v>
      </c>
      <c r="F44" s="11">
        <v>2069.9934658789421</v>
      </c>
      <c r="G44" s="11">
        <f>4235.55282225567+4639.51475471762</f>
        <v>8875.0675769732916</v>
      </c>
      <c r="H44" s="11">
        <v>2132.0547191238652</v>
      </c>
      <c r="I44" s="11">
        <v>271.6023966287085</v>
      </c>
      <c r="J44" s="11">
        <v>1536.940999357216</v>
      </c>
    </row>
    <row r="45" spans="1:10" x14ac:dyDescent="0.2">
      <c r="A45" t="s">
        <v>17</v>
      </c>
      <c r="B45" s="11">
        <v>129.29385600362352</v>
      </c>
      <c r="C45" s="11">
        <v>1608.2527928039237</v>
      </c>
      <c r="D45" s="11">
        <v>121651.72386001302</v>
      </c>
      <c r="E45" s="11">
        <v>4877.0575301569734</v>
      </c>
      <c r="F45" s="11">
        <v>2744.816089847016</v>
      </c>
      <c r="G45" s="11">
        <f>5616.3527699774+6152.00722018912</f>
        <v>11768.35999016652</v>
      </c>
      <c r="H45" s="11">
        <v>2827.1094541839921</v>
      </c>
      <c r="I45" s="11">
        <v>360.14540171069729</v>
      </c>
      <c r="J45" s="11">
        <v>2037.9872949936905</v>
      </c>
    </row>
    <row r="46" spans="1:10" x14ac:dyDescent="0.2">
      <c r="A46" t="s">
        <v>18</v>
      </c>
      <c r="B46" s="11">
        <v>1.2507967587590567</v>
      </c>
      <c r="C46" s="11">
        <v>15.558336975022021</v>
      </c>
      <c r="D46" s="11">
        <v>1176.8662997976617</v>
      </c>
      <c r="E46" s="11">
        <v>47.180956153328985</v>
      </c>
      <c r="F46" s="11">
        <v>26.553520597870779</v>
      </c>
      <c r="G46" s="11">
        <f>54.3329440227871+59.5148983000338</f>
        <v>113.8478423228209</v>
      </c>
      <c r="H46" s="11">
        <v>27.349631693646153</v>
      </c>
      <c r="I46" s="11">
        <v>3.4840688882315805</v>
      </c>
      <c r="J46" s="11">
        <v>19.715615124811546</v>
      </c>
    </row>
    <row r="47" spans="1:10" x14ac:dyDescent="0.2">
      <c r="A47" t="s">
        <v>19</v>
      </c>
      <c r="B47" s="11">
        <v>5.294935292083446</v>
      </c>
      <c r="C47" s="11">
        <v>65.862328918170789</v>
      </c>
      <c r="D47" s="11">
        <v>4981.9691818234623</v>
      </c>
      <c r="E47" s="11">
        <v>199.72877935689198</v>
      </c>
      <c r="F47" s="11">
        <v>112.40768922540404</v>
      </c>
      <c r="G47" s="11">
        <f>230.004931508196+251.941439092192</f>
        <v>481.94637060038804</v>
      </c>
      <c r="H47" s="11">
        <v>115.77782646626353</v>
      </c>
      <c r="I47" s="11">
        <v>14.748934378955317</v>
      </c>
      <c r="J47" s="11">
        <v>83.461126356826625</v>
      </c>
    </row>
    <row r="48" spans="1:10" x14ac:dyDescent="0.2">
      <c r="A48" t="s">
        <v>20</v>
      </c>
      <c r="B48" s="11">
        <v>23.932745877562436</v>
      </c>
      <c r="C48" s="11">
        <v>297.69322833080088</v>
      </c>
      <c r="D48" s="11">
        <v>22518.160434688372</v>
      </c>
      <c r="E48" s="11">
        <v>902.76044127130046</v>
      </c>
      <c r="F48" s="11">
        <v>508.07507788391899</v>
      </c>
      <c r="G48" s="11">
        <f>1039.60658114215+1138.75809716426</f>
        <v>2178.36467830641</v>
      </c>
      <c r="H48" s="11">
        <v>523.30786803313777</v>
      </c>
      <c r="I48" s="11">
        <v>66.664176044631233</v>
      </c>
      <c r="J48" s="11">
        <v>377.23859076039884</v>
      </c>
    </row>
    <row r="49" spans="1:10" x14ac:dyDescent="0.2">
      <c r="A49" t="s">
        <v>21</v>
      </c>
      <c r="B49" s="11">
        <v>0.36755412121443509</v>
      </c>
      <c r="C49" s="11">
        <v>4.5719105317204001</v>
      </c>
      <c r="D49" s="11">
        <v>345.82921292358316</v>
      </c>
      <c r="E49" s="11">
        <v>13.864406631656587</v>
      </c>
      <c r="F49" s="11">
        <v>7.8029111125797659</v>
      </c>
      <c r="G49" s="11">
        <f>15.9660611153978+17.4888094253922</f>
        <v>33.454870540789997</v>
      </c>
      <c r="H49" s="11">
        <v>8.0368531276574888</v>
      </c>
      <c r="I49" s="11">
        <v>1.0238145162248489</v>
      </c>
      <c r="J49" s="11">
        <v>5.7935516227205461</v>
      </c>
    </row>
    <row r="50" spans="1:10" x14ac:dyDescent="0.2">
      <c r="A50" s="6" t="s">
        <v>44</v>
      </c>
      <c r="B50" s="14">
        <f>SUM(B42:B49)</f>
        <v>583.94439461300499</v>
      </c>
      <c r="C50" s="14">
        <f t="shared" ref="C50:J50" si="2">SUM(C42:C49)</f>
        <v>7263.5331059523987</v>
      </c>
      <c r="D50" s="14">
        <f t="shared" si="2"/>
        <v>549429.37304826675</v>
      </c>
      <c r="E50" s="14">
        <f t="shared" si="2"/>
        <v>22026.803863444959</v>
      </c>
      <c r="F50" s="14">
        <f t="shared" si="2"/>
        <v>12396.721850919441</v>
      </c>
      <c r="G50" s="14">
        <f t="shared" si="2"/>
        <v>53150.768818072094</v>
      </c>
      <c r="H50" s="14">
        <f t="shared" si="2"/>
        <v>12768.39263485117</v>
      </c>
      <c r="I50" s="14">
        <f t="shared" si="2"/>
        <v>1626.5652141174962</v>
      </c>
      <c r="J50" s="14">
        <f t="shared" si="2"/>
        <v>9204.3914072044827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12.047695647508116</v>
      </c>
      <c r="C53" s="11">
        <v>129.24458161462385</v>
      </c>
      <c r="D53" s="11">
        <v>10473.716067703474</v>
      </c>
      <c r="E53" s="11">
        <v>396.95076913395877</v>
      </c>
      <c r="F53" s="11">
        <v>231.93103467231012</v>
      </c>
      <c r="G53" s="11">
        <f>484.330937575701+527.844868334334</f>
        <v>1012.175805910035</v>
      </c>
      <c r="H53" s="11">
        <v>269.56081135036266</v>
      </c>
      <c r="I53" s="11">
        <v>32.479225519385878</v>
      </c>
      <c r="J53" s="11">
        <v>166.55174666789952</v>
      </c>
    </row>
    <row r="54" spans="1:10" x14ac:dyDescent="0.2">
      <c r="A54" t="s">
        <v>26</v>
      </c>
      <c r="B54" s="11">
        <v>25.612696931235831</v>
      </c>
      <c r="C54" s="11">
        <v>274.76642801683175</v>
      </c>
      <c r="D54" s="11">
        <v>22266.508321148514</v>
      </c>
      <c r="E54" s="11">
        <v>843.8941390880783</v>
      </c>
      <c r="F54" s="11">
        <v>493.07182666408966</v>
      </c>
      <c r="G54" s="11">
        <f>1029.65927107509+1122.16734510153</f>
        <v>2151.8266161766196</v>
      </c>
      <c r="H54" s="11">
        <v>573.07053295979472</v>
      </c>
      <c r="I54" s="11">
        <v>69.048935508372765</v>
      </c>
      <c r="J54" s="11">
        <v>354.07928085029295</v>
      </c>
    </row>
    <row r="55" spans="1:10" x14ac:dyDescent="0.2">
      <c r="A55" t="s">
        <v>27</v>
      </c>
      <c r="B55" s="11">
        <v>165.62002261873283</v>
      </c>
      <c r="C55" s="11">
        <v>1776.7290240926752</v>
      </c>
      <c r="D55" s="11">
        <v>143982.47953699116</v>
      </c>
      <c r="E55" s="11">
        <v>5456.8937733820985</v>
      </c>
      <c r="F55" s="11">
        <v>3188.3626821498551</v>
      </c>
      <c r="G55" s="11">
        <f>6658.11149145612+7256.2987637222</f>
        <v>13914.410255178322</v>
      </c>
      <c r="H55" s="11">
        <v>3705.6603170586491</v>
      </c>
      <c r="I55" s="11">
        <v>446.49285826474392</v>
      </c>
      <c r="J55" s="11">
        <v>2289.5917076086143</v>
      </c>
    </row>
    <row r="56" spans="1:10" x14ac:dyDescent="0.2">
      <c r="A56" t="s">
        <v>28</v>
      </c>
      <c r="B56" s="11">
        <v>157.51247506335022</v>
      </c>
      <c r="C56" s="11">
        <v>1689.7533382541287</v>
      </c>
      <c r="D56" s="11">
        <v>136934.14817264065</v>
      </c>
      <c r="E56" s="11">
        <v>5189.764080529596</v>
      </c>
      <c r="F56" s="11">
        <v>3032.2837150019941</v>
      </c>
      <c r="G56" s="11">
        <f>6332.1789460278+6901.0833352207</f>
        <v>13233.262281248499</v>
      </c>
      <c r="H56" s="11">
        <v>3524.258233122157</v>
      </c>
      <c r="I56" s="11">
        <v>424.6358265829316</v>
      </c>
      <c r="J56" s="11">
        <v>2177.510007833826</v>
      </c>
    </row>
    <row r="57" spans="1:10" x14ac:dyDescent="0.2">
      <c r="A57" t="s">
        <v>29</v>
      </c>
      <c r="B57" s="11">
        <v>100.34609160686212</v>
      </c>
      <c r="C57" s="11">
        <v>1076.4870732001016</v>
      </c>
      <c r="D57" s="11">
        <v>87236.306655158507</v>
      </c>
      <c r="E57" s="11">
        <v>3306.2304533871047</v>
      </c>
      <c r="F57" s="11">
        <v>1931.769653935082</v>
      </c>
      <c r="G57" s="11">
        <f>4034.02592927063+4396.45647282305</f>
        <v>8430.4824020936794</v>
      </c>
      <c r="H57" s="11">
        <v>2245.1906705477177</v>
      </c>
      <c r="I57" s="11">
        <v>270.52171922705713</v>
      </c>
      <c r="J57" s="11">
        <v>1387.2210352422651</v>
      </c>
    </row>
    <row r="58" spans="1:10" x14ac:dyDescent="0.2">
      <c r="A58" t="s">
        <v>30</v>
      </c>
      <c r="B58" s="11">
        <v>29.892052535918761</v>
      </c>
      <c r="C58" s="11">
        <v>320.67425478217984</v>
      </c>
      <c r="D58" s="11">
        <v>25986.784535584175</v>
      </c>
      <c r="E58" s="11">
        <v>984.89151720726693</v>
      </c>
      <c r="F58" s="11">
        <v>575.45400182554033</v>
      </c>
      <c r="G58" s="11">
        <f>1201.69418736753+1309.65846056449</f>
        <v>2511.3526479320199</v>
      </c>
      <c r="H58" s="11">
        <v>668.81884887061744</v>
      </c>
      <c r="I58" s="11">
        <v>80.585594453678439</v>
      </c>
      <c r="J58" s="11">
        <v>413.2386563380382</v>
      </c>
    </row>
    <row r="59" spans="1:10" x14ac:dyDescent="0.2">
      <c r="A59" t="s">
        <v>31</v>
      </c>
      <c r="B59" s="11">
        <v>19.761509873836452</v>
      </c>
      <c r="C59" s="11">
        <v>211.99639752233625</v>
      </c>
      <c r="D59" s="11">
        <v>17179.753667705878</v>
      </c>
      <c r="E59" s="11">
        <v>651.10762864350625</v>
      </c>
      <c r="F59" s="11">
        <v>380.43021386201349</v>
      </c>
      <c r="G59" s="11">
        <f>794.434959608754+865.809685323545</f>
        <v>1660.2446449322988</v>
      </c>
      <c r="H59" s="11">
        <v>442.15332051497762</v>
      </c>
      <c r="I59" s="11">
        <v>53.274796656127307</v>
      </c>
      <c r="J59" s="11">
        <v>273.1903330379335</v>
      </c>
    </row>
    <row r="60" spans="1:10" x14ac:dyDescent="0.2">
      <c r="A60" t="s">
        <v>32</v>
      </c>
      <c r="B60" s="11">
        <v>44.649558863308023</v>
      </c>
      <c r="C60" s="11">
        <v>478.98898871663908</v>
      </c>
      <c r="D60" s="11">
        <v>38816.286181600793</v>
      </c>
      <c r="E60" s="11">
        <v>1471.1258692817296</v>
      </c>
      <c r="F60" s="11">
        <v>859.55179212807798</v>
      </c>
      <c r="G60" s="11">
        <f>1794.96256705989+1956.22807953848</f>
        <v>3751.1906465983702</v>
      </c>
      <c r="H60" s="11">
        <v>999.01023944927636</v>
      </c>
      <c r="I60" s="11">
        <v>120.37016323220486</v>
      </c>
      <c r="J60" s="11">
        <v>617.25181596642233</v>
      </c>
    </row>
    <row r="61" spans="1:10" x14ac:dyDescent="0.2">
      <c r="A61" t="s">
        <v>33</v>
      </c>
      <c r="B61" s="11">
        <v>35.443447276862493</v>
      </c>
      <c r="C61" s="11">
        <v>380.2281903780958</v>
      </c>
      <c r="D61" s="11">
        <v>30812.913448328836</v>
      </c>
      <c r="E61" s="11">
        <v>1167.8003884684376</v>
      </c>
      <c r="F61" s="11">
        <v>682.32429169776242</v>
      </c>
      <c r="G61" s="11">
        <f>1424.86650997598+1552.88134001293</f>
        <v>2977.7478499889103</v>
      </c>
      <c r="H61" s="11">
        <v>793.0283669625228</v>
      </c>
      <c r="I61" s="11">
        <v>95.551527111143727</v>
      </c>
      <c r="J61" s="11">
        <v>489.98316562836112</v>
      </c>
    </row>
    <row r="62" spans="1:10" x14ac:dyDescent="0.2">
      <c r="A62" t="s">
        <v>34</v>
      </c>
      <c r="B62" s="11">
        <v>28.164591660560738</v>
      </c>
      <c r="C62" s="11">
        <v>302.14249861705309</v>
      </c>
      <c r="D62" s="11">
        <v>24485.008988132606</v>
      </c>
      <c r="E62" s="11">
        <v>927.9746641272327</v>
      </c>
      <c r="F62" s="11">
        <v>542.19853124427698</v>
      </c>
      <c r="G62" s="11">
        <f>1132.24831407636+1233.97333496169</f>
        <v>2366.2216490380497</v>
      </c>
      <c r="H62" s="11">
        <v>630.1678264044391</v>
      </c>
      <c r="I62" s="11">
        <v>75.928555216612907</v>
      </c>
      <c r="J62" s="11">
        <v>389.35760601030637</v>
      </c>
    </row>
    <row r="63" spans="1:10" x14ac:dyDescent="0.2">
      <c r="A63" t="s">
        <v>35</v>
      </c>
      <c r="B63" s="11">
        <v>50.01949658295073</v>
      </c>
      <c r="C63" s="11">
        <v>536.59630003806672</v>
      </c>
      <c r="D63" s="11">
        <v>43484.664651837287</v>
      </c>
      <c r="E63" s="11">
        <v>1648.0560450082817</v>
      </c>
      <c r="F63" s="11">
        <v>962.9288401447418</v>
      </c>
      <c r="G63" s="11">
        <f>2010.8401129884+2191.50079487925</f>
        <v>4202.3409078676505</v>
      </c>
      <c r="H63" s="11">
        <v>1119.1597527636504</v>
      </c>
      <c r="I63" s="11">
        <v>134.84690827327057</v>
      </c>
      <c r="J63" s="11">
        <v>691.48779709276471</v>
      </c>
    </row>
    <row r="64" spans="1:10" x14ac:dyDescent="0.2">
      <c r="A64" t="s">
        <v>36</v>
      </c>
      <c r="B64" s="11">
        <v>6.5412460315548051</v>
      </c>
      <c r="C64" s="11">
        <v>70.17280576485031</v>
      </c>
      <c r="D64" s="11">
        <v>5686.6603928252152</v>
      </c>
      <c r="E64" s="11">
        <v>215.52276213561163</v>
      </c>
      <c r="F64" s="11">
        <v>125.92598655647824</v>
      </c>
      <c r="G64" s="11">
        <f>262.965459625597+286.591166584017</f>
        <v>549.55662620961402</v>
      </c>
      <c r="H64" s="11">
        <v>146.35691663351054</v>
      </c>
      <c r="I64" s="11">
        <v>17.634459838018852</v>
      </c>
      <c r="J64" s="11">
        <v>90.428575207679359</v>
      </c>
    </row>
    <row r="65" spans="1:10" x14ac:dyDescent="0.2">
      <c r="A65" t="s">
        <v>37</v>
      </c>
      <c r="B65" s="11">
        <v>14.23732421703156</v>
      </c>
      <c r="C65" s="11">
        <v>152.73435398599173</v>
      </c>
      <c r="D65" s="11">
        <v>12377.27908937258</v>
      </c>
      <c r="E65" s="11">
        <v>469.09524972347276</v>
      </c>
      <c r="F65" s="11">
        <v>274.08372797865724</v>
      </c>
      <c r="G65" s="11">
        <f>572.356472835564+623.778915624137</f>
        <v>1196.1353884597011</v>
      </c>
      <c r="H65" s="11">
        <v>318.55259127458038</v>
      </c>
      <c r="I65" s="11">
        <v>38.382216613616563</v>
      </c>
      <c r="J65" s="11">
        <v>196.82197206851328</v>
      </c>
    </row>
    <row r="66" spans="1:10" x14ac:dyDescent="0.2">
      <c r="A66" t="s">
        <v>38</v>
      </c>
      <c r="B66" s="11">
        <v>0.54167786493819015</v>
      </c>
      <c r="C66" s="11">
        <v>5.8109808773530407</v>
      </c>
      <c r="D66" s="11">
        <v>470.90998341212969</v>
      </c>
      <c r="E66" s="11">
        <v>17.847350348240973</v>
      </c>
      <c r="F66" s="11">
        <v>10.427878604336039</v>
      </c>
      <c r="G66" s="11">
        <f>21.7760604073511+23.7324953803146</f>
        <v>45.508555787665699</v>
      </c>
      <c r="H66" s="11">
        <v>12.119755431693006</v>
      </c>
      <c r="I66" s="11">
        <v>1.4603022892453152</v>
      </c>
      <c r="J66" s="11">
        <v>7.488352725398923</v>
      </c>
    </row>
    <row r="67" spans="1:10" x14ac:dyDescent="0.2">
      <c r="A67" t="s">
        <v>39</v>
      </c>
      <c r="B67" s="11">
        <v>2.6858948338547992</v>
      </c>
      <c r="C67" s="11">
        <v>28.813589272089832</v>
      </c>
      <c r="D67" s="11">
        <v>2334.9942346298644</v>
      </c>
      <c r="E67" s="11">
        <v>88.495597108822196</v>
      </c>
      <c r="F67" s="11">
        <v>51.70634999945424</v>
      </c>
      <c r="G67" s="11">
        <f>107.975998163573+117.676927307604</f>
        <v>225.65292547117701</v>
      </c>
      <c r="H67" s="11">
        <v>60.095474835920022</v>
      </c>
      <c r="I67" s="11">
        <v>7.2408688418491787</v>
      </c>
      <c r="J67" s="11">
        <v>37.130791566545774</v>
      </c>
    </row>
    <row r="68" spans="1:10" x14ac:dyDescent="0.2">
      <c r="A68" s="6" t="s">
        <v>48</v>
      </c>
      <c r="B68" s="14">
        <f>SUM(B53:B67)</f>
        <v>693.07578160850562</v>
      </c>
      <c r="C68" s="14">
        <f t="shared" ref="C68:J68" si="3">SUM(C53:C67)</f>
        <v>7435.1388051330186</v>
      </c>
      <c r="D68" s="14">
        <f t="shared" si="3"/>
        <v>602528.41392707184</v>
      </c>
      <c r="E68" s="14">
        <f t="shared" si="3"/>
        <v>22835.65028757344</v>
      </c>
      <c r="F68" s="14">
        <f t="shared" si="3"/>
        <v>13342.450526464669</v>
      </c>
      <c r="G68" s="14">
        <f t="shared" si="3"/>
        <v>58228.109202892614</v>
      </c>
      <c r="H68" s="14">
        <f t="shared" si="3"/>
        <v>15507.203658179869</v>
      </c>
      <c r="I68" s="14">
        <f t="shared" si="3"/>
        <v>1868.4539576282591</v>
      </c>
      <c r="J68" s="14">
        <f t="shared" si="3"/>
        <v>9581.3328438448607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43.919838179255031</v>
      </c>
      <c r="C71" s="11">
        <v>519.89278037761346</v>
      </c>
      <c r="D71" s="11">
        <v>34892.169129794725</v>
      </c>
      <c r="E71" s="11">
        <v>1514.8515788382474</v>
      </c>
      <c r="F71" s="11">
        <v>746.34462748038345</v>
      </c>
      <c r="G71" s="11">
        <f>1586.19274103397+1732.45072053156</f>
        <v>3318.6434615655298</v>
      </c>
      <c r="H71" s="11">
        <v>849.62594194074507</v>
      </c>
      <c r="I71" s="11">
        <v>116.60790561419854</v>
      </c>
      <c r="J71" s="11">
        <v>590.90478230100553</v>
      </c>
    </row>
    <row r="72" spans="1:10" x14ac:dyDescent="0.2">
      <c r="A72" t="s">
        <v>79</v>
      </c>
      <c r="B72" s="11">
        <v>91.140562156115095</v>
      </c>
      <c r="C72" s="11">
        <v>1078.8591722749625</v>
      </c>
      <c r="D72" s="11">
        <v>72406.731016550344</v>
      </c>
      <c r="E72" s="11">
        <v>3143.5549446903324</v>
      </c>
      <c r="F72" s="11">
        <v>1548.7823209441583</v>
      </c>
      <c r="G72" s="11">
        <f>3291.59906090158+3595.1073392523</f>
        <v>6886.7064001538802</v>
      </c>
      <c r="H72" s="11">
        <v>1763.1072695407593</v>
      </c>
      <c r="I72" s="11">
        <v>241.97971828013536</v>
      </c>
      <c r="J72" s="11">
        <v>1226.2202292240768</v>
      </c>
    </row>
    <row r="73" spans="1:10" x14ac:dyDescent="0.2">
      <c r="A73" t="s">
        <v>80</v>
      </c>
      <c r="B73" s="11">
        <v>66.894598020120341</v>
      </c>
      <c r="C73" s="11">
        <v>791.85215607989448</v>
      </c>
      <c r="D73" s="11">
        <v>53144.495170069902</v>
      </c>
      <c r="E73" s="11">
        <v>2307.2805280597249</v>
      </c>
      <c r="F73" s="11">
        <v>1136.7624724846737</v>
      </c>
      <c r="G73" s="11">
        <f>2415.94072730484+2638.70722989973</f>
        <v>5054.64795720457</v>
      </c>
      <c r="H73" s="11">
        <v>1294.0709303532387</v>
      </c>
      <c r="I73" s="11">
        <v>177.60627760496584</v>
      </c>
      <c r="J73" s="11">
        <v>900.01100912214179</v>
      </c>
    </row>
    <row r="74" spans="1:10" x14ac:dyDescent="0.2">
      <c r="A74" t="s">
        <v>81</v>
      </c>
      <c r="B74" s="11">
        <v>71.646013290298981</v>
      </c>
      <c r="C74" s="11">
        <v>848.09613597480666</v>
      </c>
      <c r="D74" s="11">
        <v>56919.262839666408</v>
      </c>
      <c r="E74" s="11">
        <v>2471.1629379713809</v>
      </c>
      <c r="F74" s="11">
        <v>1217.5048751627662</v>
      </c>
      <c r="G74" s="11">
        <f>2587.54109569498+2826.13034322654</f>
        <v>5413.6714389215194</v>
      </c>
      <c r="H74" s="11">
        <v>1385.9866987584137</v>
      </c>
      <c r="I74" s="11">
        <v>190.22136468924728</v>
      </c>
      <c r="J74" s="11">
        <v>963.93733768436152</v>
      </c>
    </row>
    <row r="75" spans="1:10" x14ac:dyDescent="0.2">
      <c r="A75" t="s">
        <v>82</v>
      </c>
      <c r="B75" s="11">
        <v>132.40188267736829</v>
      </c>
      <c r="C75" s="11">
        <v>1567.2822525307208</v>
      </c>
      <c r="D75" s="11">
        <v>105186.83754313264</v>
      </c>
      <c r="E75" s="11">
        <v>4566.710837967159</v>
      </c>
      <c r="F75" s="11">
        <v>2249.9498609541101</v>
      </c>
      <c r="G75" s="11">
        <f>4781.77775484772+5222.69085118092</f>
        <v>10004.46860602864</v>
      </c>
      <c r="H75" s="11">
        <v>2561.3043888131001</v>
      </c>
      <c r="I75" s="11">
        <v>351.52921500692628</v>
      </c>
      <c r="J75" s="11">
        <v>1781.3568743217224</v>
      </c>
    </row>
    <row r="76" spans="1:10" x14ac:dyDescent="0.2">
      <c r="A76" t="s">
        <v>83</v>
      </c>
      <c r="B76" s="11">
        <v>95.043304584050816</v>
      </c>
      <c r="C76" s="11">
        <v>1125.0571478612103</v>
      </c>
      <c r="D76" s="11">
        <v>75507.269509196238</v>
      </c>
      <c r="E76" s="11">
        <v>3278.1655392154721</v>
      </c>
      <c r="F76" s="11">
        <v>1615.1029396960141</v>
      </c>
      <c r="G76" s="11">
        <f>3432.54907269468+3749.05392037882</f>
        <v>7181.6029930735003</v>
      </c>
      <c r="H76" s="11">
        <v>1838.6055261134168</v>
      </c>
      <c r="I76" s="11">
        <v>252.34156476089524</v>
      </c>
      <c r="J76" s="11">
        <v>1278.7283727045674</v>
      </c>
    </row>
    <row r="77" spans="1:10" x14ac:dyDescent="0.2">
      <c r="A77" t="s">
        <v>84</v>
      </c>
      <c r="B77" s="11">
        <v>77.963950991726406</v>
      </c>
      <c r="C77" s="11">
        <v>922.88352896204037</v>
      </c>
      <c r="D77" s="11">
        <v>61938.556169709635</v>
      </c>
      <c r="E77" s="11">
        <v>2689.0767167732715</v>
      </c>
      <c r="F77" s="11">
        <v>1324.8677220150428</v>
      </c>
      <c r="G77" s="11">
        <f>2815.71741272528+3075.3461003165</f>
        <v>5891.0635130417795</v>
      </c>
      <c r="H77" s="11">
        <v>1508.2067249067268</v>
      </c>
      <c r="I77" s="11">
        <v>206.99559505315645</v>
      </c>
      <c r="J77" s="11">
        <v>1048.939918677856</v>
      </c>
    </row>
    <row r="78" spans="1:10" x14ac:dyDescent="0.2">
      <c r="A78" t="s">
        <v>85</v>
      </c>
      <c r="B78" s="11">
        <v>81.536141459167638</v>
      </c>
      <c r="C78" s="11">
        <v>965.16865821448891</v>
      </c>
      <c r="D78" s="11">
        <v>64776.487253268875</v>
      </c>
      <c r="E78" s="11">
        <v>2812.2861500008798</v>
      </c>
      <c r="F78" s="11">
        <v>1385.5711597834154</v>
      </c>
      <c r="G78" s="11">
        <f>2944.72933134665+3216.25381322601</f>
        <v>6160.9831445726595</v>
      </c>
      <c r="H78" s="11">
        <v>1577.3104788482669</v>
      </c>
      <c r="I78" s="11">
        <v>216.47982054513642</v>
      </c>
      <c r="J78" s="11">
        <v>1097.0007612949423</v>
      </c>
    </row>
    <row r="79" spans="1:10" x14ac:dyDescent="0.2">
      <c r="A79" t="s">
        <v>86</v>
      </c>
      <c r="B79" s="11">
        <v>133.57301151147303</v>
      </c>
      <c r="C79" s="11">
        <v>1581.145268675227</v>
      </c>
      <c r="D79" s="11">
        <v>106117.24227699306</v>
      </c>
      <c r="E79" s="11">
        <v>4607.1045743039322</v>
      </c>
      <c r="F79" s="11">
        <v>2269.8512483375066</v>
      </c>
      <c r="G79" s="11">
        <f>4824.07381358753+5268.8869000871</f>
        <v>10092.960713674631</v>
      </c>
      <c r="H79" s="11">
        <v>2583.9597873769362</v>
      </c>
      <c r="I79" s="11">
        <v>354.63858166697599</v>
      </c>
      <c r="J79" s="11">
        <v>1797.113435763016</v>
      </c>
    </row>
    <row r="80" spans="1:10" x14ac:dyDescent="0.2">
      <c r="A80" t="s">
        <v>87</v>
      </c>
      <c r="B80" s="11">
        <v>131.24574510721462</v>
      </c>
      <c r="C80" s="11">
        <v>1553.5966926387873</v>
      </c>
      <c r="D80" s="11">
        <v>104268.34263724371</v>
      </c>
      <c r="E80" s="11">
        <v>4526.8341695615645</v>
      </c>
      <c r="F80" s="11">
        <v>2230.3032251766585</v>
      </c>
      <c r="G80" s="11">
        <f>4740.02311508949+5177.08614384408</f>
        <v>9917.1092589335694</v>
      </c>
      <c r="H80" s="11">
        <v>2538.9389951145668</v>
      </c>
      <c r="I80" s="11">
        <v>348.45965040363075</v>
      </c>
      <c r="J80" s="11">
        <v>1765.8020078303346</v>
      </c>
    </row>
    <row r="81" spans="1:10" x14ac:dyDescent="0.2">
      <c r="A81" t="s">
        <v>88</v>
      </c>
      <c r="B81" s="11">
        <v>106.394794673745</v>
      </c>
      <c r="C81" s="11">
        <v>1259.4282655341246</v>
      </c>
      <c r="D81" s="11">
        <v>84525.474687189824</v>
      </c>
      <c r="E81" s="11">
        <v>3669.6929991837142</v>
      </c>
      <c r="F81" s="11">
        <v>1808.0026404590685</v>
      </c>
      <c r="G81" s="11">
        <f>3842.51531862445+4196.82189950326</f>
        <v>8039.33721812771</v>
      </c>
      <c r="H81" s="11">
        <v>2058.1992418398768</v>
      </c>
      <c r="I81" s="11">
        <v>282.47996098077908</v>
      </c>
      <c r="J81" s="11">
        <v>1431.4532018094942</v>
      </c>
    </row>
    <row r="82" spans="1:10" x14ac:dyDescent="0.2">
      <c r="A82" t="s">
        <v>89</v>
      </c>
      <c r="B82" s="11">
        <v>419.0044420406569</v>
      </c>
      <c r="C82" s="11">
        <v>4959.8858600981912</v>
      </c>
      <c r="D82" s="11">
        <v>332878.59117667313</v>
      </c>
      <c r="E82" s="11">
        <v>14452.000892510901</v>
      </c>
      <c r="F82" s="11">
        <v>7120.2838437408009</v>
      </c>
      <c r="G82" s="11">
        <f>15132.6105008239+16527.9422150087</f>
        <v>31660.5527158326</v>
      </c>
      <c r="H82" s="11">
        <v>8105.6091849240947</v>
      </c>
      <c r="I82" s="11">
        <v>1112.4638080402781</v>
      </c>
      <c r="J82" s="11">
        <v>5637.3552105694107</v>
      </c>
    </row>
    <row r="83" spans="1:10" x14ac:dyDescent="0.2">
      <c r="A83" t="s">
        <v>90</v>
      </c>
      <c r="B83" s="11">
        <v>97.173705425108565</v>
      </c>
      <c r="C83" s="11">
        <v>1150.2753650152861</v>
      </c>
      <c r="D83" s="11">
        <v>77199.769061609317</v>
      </c>
      <c r="E83" s="11">
        <v>3351.645798055747</v>
      </c>
      <c r="F83" s="11">
        <v>1651.3055599245686</v>
      </c>
      <c r="G83" s="11">
        <f>3509.48984683384+3833.08916789152</f>
        <v>7342.5790147253601</v>
      </c>
      <c r="H83" s="11">
        <v>1879.8179689714143</v>
      </c>
      <c r="I83" s="11">
        <v>257.99781465827783</v>
      </c>
      <c r="J83" s="11">
        <v>1307.3911387207163</v>
      </c>
    </row>
    <row r="84" spans="1:10" x14ac:dyDescent="0.2">
      <c r="A84" t="s">
        <v>91</v>
      </c>
      <c r="B84" s="11">
        <v>254.31429801123329</v>
      </c>
      <c r="C84" s="11">
        <v>3010.3974186610653</v>
      </c>
      <c r="D84" s="11">
        <v>202040.30493273292</v>
      </c>
      <c r="E84" s="11">
        <v>8771.6264866709935</v>
      </c>
      <c r="F84" s="11">
        <v>4321.6486644930674</v>
      </c>
      <c r="G84" s="11">
        <f>9184.7217605894+10031.6168523395</f>
        <v>19216.338612928899</v>
      </c>
      <c r="H84" s="11">
        <v>4919.6908266126602</v>
      </c>
      <c r="I84" s="11">
        <v>675.20871861595879</v>
      </c>
      <c r="J84" s="11">
        <v>3421.5867164406259</v>
      </c>
    </row>
    <row r="85" spans="1:10" x14ac:dyDescent="0.2">
      <c r="A85" t="s">
        <v>92</v>
      </c>
      <c r="B85" s="11">
        <v>413.20115778200028</v>
      </c>
      <c r="C85" s="11">
        <v>4891.190579932525</v>
      </c>
      <c r="D85" s="11">
        <v>328268.16490335943</v>
      </c>
      <c r="E85" s="11">
        <v>14251.838171378075</v>
      </c>
      <c r="F85" s="11">
        <v>7021.6666764709162</v>
      </c>
      <c r="G85" s="11">
        <f>14923.0212184666+16299.0273461895</f>
        <v>31222.048564656099</v>
      </c>
      <c r="H85" s="11">
        <v>7993.3450906328735</v>
      </c>
      <c r="I85" s="11">
        <v>1097.0559911825778</v>
      </c>
      <c r="J85" s="11">
        <v>5559.27686229553</v>
      </c>
    </row>
    <row r="86" spans="1:10" x14ac:dyDescent="0.2">
      <c r="A86" t="s">
        <v>93</v>
      </c>
      <c r="B86" s="11">
        <v>246.11680255423701</v>
      </c>
      <c r="C86" s="11">
        <v>2913.3611161164977</v>
      </c>
      <c r="D86" s="11">
        <v>195527.7946461777</v>
      </c>
      <c r="E86" s="11">
        <v>8488.8843489411774</v>
      </c>
      <c r="F86" s="11">
        <v>4182.3458585912495</v>
      </c>
      <c r="G86" s="11">
        <f>8888.66402614428+9708.26054002652</f>
        <v>18596.924566170801</v>
      </c>
      <c r="H86" s="11">
        <v>4761.1108980897179</v>
      </c>
      <c r="I86" s="11">
        <v>653.44423094592571</v>
      </c>
      <c r="J86" s="11">
        <v>3311.2962538788161</v>
      </c>
    </row>
    <row r="87" spans="1:10" x14ac:dyDescent="0.2">
      <c r="A87" t="s">
        <v>94</v>
      </c>
      <c r="B87" s="11">
        <v>74.597500514640856</v>
      </c>
      <c r="C87" s="11">
        <v>883.03380794548548</v>
      </c>
      <c r="D87" s="11">
        <v>59264.075472988188</v>
      </c>
      <c r="E87" s="11">
        <v>2572.9635198284209</v>
      </c>
      <c r="F87" s="11">
        <v>1267.660493313587</v>
      </c>
      <c r="G87" s="11">
        <f>2694.13592401374+2942.5539545245</f>
        <v>5636.68987853824</v>
      </c>
      <c r="H87" s="11">
        <v>1443.0829954904905</v>
      </c>
      <c r="I87" s="11">
        <v>198.05761267979963</v>
      </c>
      <c r="J87" s="11">
        <v>1003.6471359911257</v>
      </c>
    </row>
    <row r="88" spans="1:10" x14ac:dyDescent="0.2">
      <c r="A88" t="s">
        <v>95</v>
      </c>
      <c r="B88" s="11">
        <v>405.16832873264559</v>
      </c>
      <c r="C88" s="11">
        <v>4796.1034848543914</v>
      </c>
      <c r="D88" s="11">
        <v>321886.47404564585</v>
      </c>
      <c r="E88" s="11">
        <v>13974.775589355622</v>
      </c>
      <c r="F88" s="11">
        <v>6885.1621023878997</v>
      </c>
      <c r="G88" s="11">
        <f>14632.910515507+15982.1664229398</f>
        <v>30615.0769384468</v>
      </c>
      <c r="H88" s="11">
        <v>7837.9506212896194</v>
      </c>
      <c r="I88" s="11">
        <v>1075.728695581462</v>
      </c>
      <c r="J88" s="11">
        <v>5451.2018488745534</v>
      </c>
    </row>
    <row r="89" spans="1:10" x14ac:dyDescent="0.2">
      <c r="A89" t="s">
        <v>96</v>
      </c>
      <c r="B89" s="11">
        <v>73.728519140912738</v>
      </c>
      <c r="C89" s="11">
        <v>872.7474052351663</v>
      </c>
      <c r="D89" s="11">
        <v>58573.712158373688</v>
      </c>
      <c r="E89" s="11">
        <v>2542.9912371301016</v>
      </c>
      <c r="F89" s="11">
        <v>1252.8935996603029</v>
      </c>
      <c r="G89" s="11">
        <f>2662.75211195425+2908.27633717766</f>
        <v>5571.0284491319098</v>
      </c>
      <c r="H89" s="11">
        <v>1426.2726166550913</v>
      </c>
      <c r="I89" s="11">
        <v>195.75045258520603</v>
      </c>
      <c r="J89" s="11">
        <v>991.95571656078312</v>
      </c>
    </row>
    <row r="90" spans="1:10" x14ac:dyDescent="0.2">
      <c r="A90" t="s">
        <v>97</v>
      </c>
      <c r="B90" s="11">
        <v>138.2218971971497</v>
      </c>
      <c r="C90" s="11">
        <v>1636.1755739992054</v>
      </c>
      <c r="D90" s="11">
        <v>109810.55519284823</v>
      </c>
      <c r="E90" s="11">
        <v>4767.4506072752511</v>
      </c>
      <c r="F90" s="11">
        <v>2348.8513311956008</v>
      </c>
      <c r="G90" s="11">
        <f>4991.97126116965+5452.26565760774</f>
        <v>10444.236918777389</v>
      </c>
      <c r="H90" s="11">
        <v>2673.8921287381922</v>
      </c>
      <c r="I90" s="11">
        <v>366.98145098798898</v>
      </c>
      <c r="J90" s="11">
        <v>1859.6603143017114</v>
      </c>
    </row>
    <row r="91" spans="1:10" x14ac:dyDescent="0.2">
      <c r="A91" t="s">
        <v>98</v>
      </c>
      <c r="B91" s="11">
        <v>220.11595541300491</v>
      </c>
      <c r="C91" s="11">
        <v>2605.5810041484765</v>
      </c>
      <c r="D91" s="11">
        <v>174871.3898509905</v>
      </c>
      <c r="E91" s="11">
        <v>7592.0817655101773</v>
      </c>
      <c r="F91" s="11">
        <v>3740.5046911763102</v>
      </c>
      <c r="G91" s="11">
        <f>7949.62698261445+8682.63776381294</f>
        <v>16632.26474642739</v>
      </c>
      <c r="H91" s="11">
        <v>4258.126480126607</v>
      </c>
      <c r="I91" s="11">
        <v>584.41154651390343</v>
      </c>
      <c r="J91" s="11">
        <v>2961.4765469635831</v>
      </c>
    </row>
    <row r="92" spans="1:10" x14ac:dyDescent="0.2">
      <c r="A92" t="s">
        <v>99</v>
      </c>
      <c r="B92" s="11">
        <v>78.769439177296263</v>
      </c>
      <c r="C92" s="11">
        <v>932.41834306240355</v>
      </c>
      <c r="D92" s="11">
        <v>62578.477243376743</v>
      </c>
      <c r="E92" s="11">
        <v>2716.8590379345183</v>
      </c>
      <c r="F92" s="11">
        <v>1338.5556545011632</v>
      </c>
      <c r="G92" s="11">
        <f>2844.80812812648+3107.1191815782</f>
        <v>5951.9273097046798</v>
      </c>
      <c r="H92" s="11">
        <v>1523.7888328278386</v>
      </c>
      <c r="I92" s="11">
        <v>209.13417967027021</v>
      </c>
      <c r="J92" s="11">
        <v>1059.7770902311199</v>
      </c>
    </row>
    <row r="93" spans="1:10" x14ac:dyDescent="0.2">
      <c r="A93" t="s">
        <v>100</v>
      </c>
      <c r="B93" s="11">
        <v>50.090663053009656</v>
      </c>
      <c r="C93" s="11">
        <v>592.93875308238</v>
      </c>
      <c r="D93" s="11">
        <v>39794.588494060314</v>
      </c>
      <c r="E93" s="11">
        <v>1727.6912474314911</v>
      </c>
      <c r="F93" s="11">
        <v>851.20753642034526</v>
      </c>
      <c r="G93" s="11">
        <f>1809.05598522427+1975.86350259094</f>
        <v>3784.9194878152102</v>
      </c>
      <c r="H93" s="11">
        <v>969.00008158390006</v>
      </c>
      <c r="I93" s="11">
        <v>132.99154895786657</v>
      </c>
      <c r="J93" s="11">
        <v>673.92808292796292</v>
      </c>
    </row>
    <row r="94" spans="1:10" x14ac:dyDescent="0.2">
      <c r="A94" t="s">
        <v>101</v>
      </c>
      <c r="B94" s="11">
        <v>116.31474703996892</v>
      </c>
      <c r="C94" s="11">
        <v>1376.85382607104</v>
      </c>
      <c r="D94" s="11">
        <v>92406.39297083873</v>
      </c>
      <c r="E94" s="11">
        <v>4011.8448860518324</v>
      </c>
      <c r="F94" s="11">
        <v>1976.5757377272089</v>
      </c>
      <c r="G94" s="11">
        <f>4200.78067403141+4588.12180717507</f>
        <v>8788.9024812064799</v>
      </c>
      <c r="H94" s="11">
        <v>2250.0999687679032</v>
      </c>
      <c r="I94" s="11">
        <v>308.81760057992398</v>
      </c>
      <c r="J94" s="11">
        <v>1564.9178851144663</v>
      </c>
    </row>
    <row r="95" spans="1:10" x14ac:dyDescent="0.2">
      <c r="A95" t="s">
        <v>102</v>
      </c>
      <c r="B95" s="11">
        <v>70.079137254162006</v>
      </c>
      <c r="C95" s="11">
        <v>829.54853715147874</v>
      </c>
      <c r="D95" s="11">
        <v>55674.45625738403</v>
      </c>
      <c r="E95" s="11">
        <v>2417.1193727947893</v>
      </c>
      <c r="F95" s="11">
        <v>1190.8784220614214</v>
      </c>
      <c r="G95" s="11">
        <f>2530.95237639058+2764.32375125528</f>
        <v>5295.2761276458605</v>
      </c>
      <c r="H95" s="11">
        <v>1355.6756005555051</v>
      </c>
      <c r="I95" s="11">
        <v>186.0612825827219</v>
      </c>
      <c r="J95" s="11">
        <v>942.85632779431353</v>
      </c>
    </row>
    <row r="96" spans="1:10" x14ac:dyDescent="0.2">
      <c r="A96" t="s">
        <v>103</v>
      </c>
      <c r="B96" s="11">
        <v>59.010143165128973</v>
      </c>
      <c r="C96" s="11">
        <v>698.52141247393604</v>
      </c>
      <c r="D96" s="11">
        <v>46880.680372443152</v>
      </c>
      <c r="E96" s="11">
        <v>2035.3355624017217</v>
      </c>
      <c r="F96" s="11">
        <v>1002.7792711436925</v>
      </c>
      <c r="G96" s="11">
        <f>2131.18865224131+2327.69903722884</f>
        <v>4458.8876894701498</v>
      </c>
      <c r="H96" s="11">
        <v>1141.5467485582012</v>
      </c>
      <c r="I96" s="11">
        <v>156.67291797377064</v>
      </c>
      <c r="J96" s="11">
        <v>793.93224670421966</v>
      </c>
    </row>
    <row r="97" spans="1:10" x14ac:dyDescent="0.2">
      <c r="A97" t="s">
        <v>104</v>
      </c>
      <c r="B97" s="11">
        <v>119.56370833471082</v>
      </c>
      <c r="C97" s="11">
        <v>1415.3127911056708</v>
      </c>
      <c r="D97" s="11">
        <v>94987.534243026676</v>
      </c>
      <c r="E97" s="11">
        <v>4123.905730329916</v>
      </c>
      <c r="F97" s="11">
        <v>2031.7864331156009</v>
      </c>
      <c r="G97" s="11">
        <f>4318.11896659493+4716.27950468484</f>
        <v>9034.3984712797683</v>
      </c>
      <c r="H97" s="11">
        <v>2312.950878853404</v>
      </c>
      <c r="I97" s="11">
        <v>317.44364720730874</v>
      </c>
      <c r="J97" s="11">
        <v>1608.629948868851</v>
      </c>
    </row>
    <row r="98" spans="1:10" x14ac:dyDescent="0.2">
      <c r="A98" t="s">
        <v>105</v>
      </c>
      <c r="B98" s="11">
        <v>116.9544261991169</v>
      </c>
      <c r="C98" s="11">
        <v>1384.4259071711963</v>
      </c>
      <c r="D98" s="11">
        <v>92914.586860777476</v>
      </c>
      <c r="E98" s="11">
        <v>4033.9082411177196</v>
      </c>
      <c r="F98" s="11">
        <v>1987.4460214881076</v>
      </c>
      <c r="G98" s="11">
        <f>4223.88309154693+4613.35442792499</f>
        <v>8837.2375194719207</v>
      </c>
      <c r="H98" s="11">
        <v>2262.474513635595</v>
      </c>
      <c r="I98" s="11">
        <v>310.51595945613064</v>
      </c>
      <c r="J98" s="11">
        <v>1573.5242345444458</v>
      </c>
    </row>
    <row r="99" spans="1:10" x14ac:dyDescent="0.2">
      <c r="A99" t="s">
        <v>106</v>
      </c>
      <c r="B99" s="11">
        <v>154.71940977911686</v>
      </c>
      <c r="C99" s="11">
        <v>1831.4617599488788</v>
      </c>
      <c r="D99" s="11">
        <v>122917.02423040511</v>
      </c>
      <c r="E99" s="11">
        <v>5336.4709866240328</v>
      </c>
      <c r="F99" s="11">
        <v>2629.1991282910149</v>
      </c>
      <c r="G99" s="11">
        <f>5587.7893649575+6103.02232576658</f>
        <v>11690.81169072408</v>
      </c>
      <c r="H99" s="11">
        <v>2993.0352596833727</v>
      </c>
      <c r="I99" s="11">
        <v>410.78262307281085</v>
      </c>
      <c r="J99" s="11">
        <v>2081.6205829385835</v>
      </c>
    </row>
    <row r="100" spans="1:10" x14ac:dyDescent="0.2">
      <c r="A100" t="s">
        <v>107</v>
      </c>
      <c r="B100" s="11">
        <v>0.278643290686034</v>
      </c>
      <c r="C100" s="11">
        <v>3.2983872694857679</v>
      </c>
      <c r="D100" s="11">
        <v>221.36850290336312</v>
      </c>
      <c r="E100" s="11">
        <v>9.6107646641512083</v>
      </c>
      <c r="F100" s="11">
        <v>4.7350794449239419</v>
      </c>
      <c r="G100" s="11">
        <f>10.0633787223918+10.9912920842299</f>
        <v>21.054670806621701</v>
      </c>
      <c r="H100" s="11">
        <v>5.3903333465926293</v>
      </c>
      <c r="I100" s="11">
        <v>0.73980260145161292</v>
      </c>
      <c r="J100" s="11">
        <v>3.748913016265115</v>
      </c>
    </row>
    <row r="101" spans="1:10" x14ac:dyDescent="0.2">
      <c r="A101" t="s">
        <v>40</v>
      </c>
      <c r="B101" s="11">
        <v>7.7117531720934704E-2</v>
      </c>
      <c r="C101" s="11">
        <v>0.9128642008793395</v>
      </c>
      <c r="D101" s="11">
        <v>61.266117345353237</v>
      </c>
      <c r="E101" s="11">
        <v>2.6598826299579983</v>
      </c>
      <c r="F101" s="11">
        <v>1.310484233788767</v>
      </c>
      <c r="G101" s="11">
        <f>2.78514844528689+3.04195846192016</f>
        <v>5.8271069072070496</v>
      </c>
      <c r="H101" s="11">
        <v>1.4918328082431886</v>
      </c>
      <c r="I101" s="11">
        <v>0.20474833771956416</v>
      </c>
      <c r="J101" s="11">
        <v>1.0375520535199467</v>
      </c>
    </row>
    <row r="102" spans="1:10" x14ac:dyDescent="0.2">
      <c r="A102" t="s">
        <v>108</v>
      </c>
      <c r="B102" s="11">
        <v>1.529153783332724</v>
      </c>
      <c r="C102" s="11">
        <v>18.101068788028975</v>
      </c>
      <c r="D102" s="11">
        <v>1214.8380924297819</v>
      </c>
      <c r="E102" s="11">
        <v>52.742476270374723</v>
      </c>
      <c r="F102" s="11">
        <v>25.985426133030419</v>
      </c>
      <c r="G102" s="11">
        <f>55.226356279989+60.3186096206895</f>
        <v>115.54496590067851</v>
      </c>
      <c r="H102" s="11">
        <v>29.581364080480249</v>
      </c>
      <c r="I102" s="11">
        <v>4.0599288938336748</v>
      </c>
      <c r="J102" s="11">
        <v>20.573488448593118</v>
      </c>
    </row>
    <row r="103" spans="1:10" x14ac:dyDescent="0.2">
      <c r="A103" t="s">
        <v>109</v>
      </c>
      <c r="B103" s="11">
        <v>6.9498164422970374</v>
      </c>
      <c r="C103" s="11">
        <v>82.26713811087059</v>
      </c>
      <c r="D103" s="11">
        <v>5521.2901681453723</v>
      </c>
      <c r="E103" s="11">
        <v>239.70808743148822</v>
      </c>
      <c r="F103" s="11">
        <v>118.10057547373249</v>
      </c>
      <c r="G103" s="11">
        <f>250.997017504883+274.140684532545</f>
        <v>525.13770203742797</v>
      </c>
      <c r="H103" s="11">
        <v>134.44367251541763</v>
      </c>
      <c r="I103" s="11">
        <v>18.451878999002364</v>
      </c>
      <c r="J103" s="11">
        <v>93.503982303086389</v>
      </c>
    </row>
    <row r="104" spans="1:10" x14ac:dyDescent="0.2">
      <c r="A104" t="s">
        <v>110</v>
      </c>
      <c r="B104" s="11">
        <v>2.3680787415701054</v>
      </c>
      <c r="C104" s="11">
        <v>28.031684362842633</v>
      </c>
      <c r="D104" s="11">
        <v>1881.3230510162393</v>
      </c>
      <c r="E104" s="11">
        <v>81.678074628589457</v>
      </c>
      <c r="F104" s="11">
        <v>40.241560977703365</v>
      </c>
      <c r="G104" s="11">
        <f>85.524661879323+93.4106292779194</f>
        <v>178.9352911572424</v>
      </c>
      <c r="H104" s="11">
        <v>45.810303835470158</v>
      </c>
      <c r="I104" s="11">
        <v>6.287288702134302</v>
      </c>
      <c r="J104" s="11">
        <v>31.860523883261209</v>
      </c>
    </row>
    <row r="105" spans="1:10" x14ac:dyDescent="0.2">
      <c r="A105" t="s">
        <v>111</v>
      </c>
      <c r="B105" s="11">
        <v>0.94853455702921241</v>
      </c>
      <c r="C105" s="11">
        <v>11.228098476261959</v>
      </c>
      <c r="D105" s="11">
        <v>753.56443833508649</v>
      </c>
      <c r="E105" s="11">
        <v>32.716174076821538</v>
      </c>
      <c r="F105" s="11">
        <v>16.118767736093833</v>
      </c>
      <c r="G105" s="11">
        <f>34.256925602478+37.4156518989756</f>
        <v>71.672577501453588</v>
      </c>
      <c r="H105" s="11">
        <v>18.349329138920833</v>
      </c>
      <c r="I105" s="11">
        <v>2.5183751280329543</v>
      </c>
      <c r="J105" s="11">
        <v>12.761741143915904</v>
      </c>
    </row>
    <row r="106" spans="1:10" x14ac:dyDescent="0.2">
      <c r="A106" s="6" t="s">
        <v>49</v>
      </c>
      <c r="B106" s="14">
        <f t="shared" ref="B106:G106" si="4">SUM(B71:B105)</f>
        <v>4151.0554678112721</v>
      </c>
      <c r="C106" s="14">
        <f t="shared" si="4"/>
        <v>49137.334246405517</v>
      </c>
      <c r="D106" s="14">
        <f t="shared" si="4"/>
        <v>3297811.0907167005</v>
      </c>
      <c r="E106" s="14">
        <f t="shared" si="4"/>
        <v>143175.22991760957</v>
      </c>
      <c r="F106" s="14">
        <f t="shared" si="4"/>
        <v>70540.286012195938</v>
      </c>
      <c r="G106" s="14">
        <f t="shared" si="4"/>
        <v>313659.46820256225</v>
      </c>
      <c r="H106" s="14">
        <f t="shared" ref="H106:J106" si="5">SUM(H71:H105)</f>
        <v>80301.853515327646</v>
      </c>
      <c r="I106" s="14">
        <f t="shared" si="5"/>
        <v>11021.121758560403</v>
      </c>
      <c r="J106" s="14">
        <f t="shared" si="5"/>
        <v>55848.988275302974</v>
      </c>
    </row>
    <row r="108" spans="1:10" x14ac:dyDescent="0.2">
      <c r="A108" s="9" t="s">
        <v>50</v>
      </c>
      <c r="B108" s="13">
        <f t="shared" ref="B108:J108" si="6">B9+B39+B50+B68+B106</f>
        <v>7720.9790546921395</v>
      </c>
      <c r="C108" s="13">
        <f t="shared" si="6"/>
        <v>91824.533477670921</v>
      </c>
      <c r="D108" s="13">
        <f t="shared" si="6"/>
        <v>6479182.7691984074</v>
      </c>
      <c r="E108" s="13">
        <f t="shared" si="6"/>
        <v>271537.83851722482</v>
      </c>
      <c r="F108" s="13">
        <f t="shared" si="6"/>
        <v>141255.14989864687</v>
      </c>
      <c r="G108" s="13">
        <f t="shared" si="6"/>
        <v>620201.56647881307</v>
      </c>
      <c r="H108" s="13">
        <f t="shared" si="6"/>
        <v>156519.09388222051</v>
      </c>
      <c r="I108" s="13">
        <f t="shared" si="6"/>
        <v>20788.852544654263</v>
      </c>
      <c r="J108" s="13">
        <f t="shared" si="6"/>
        <v>108755.59431382778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8"/>
  <sheetViews>
    <sheetView topLeftCell="A97" workbookViewId="0">
      <selection activeCell="E111" sqref="E111"/>
    </sheetView>
  </sheetViews>
  <sheetFormatPr baseColWidth="10" defaultColWidth="8.83203125" defaultRowHeight="15" x14ac:dyDescent="0.2"/>
  <cols>
    <col min="1" max="1" width="25.5" customWidth="1"/>
    <col min="2" max="2" width="12.33203125" bestFit="1" customWidth="1"/>
    <col min="3" max="3" width="15.33203125" bestFit="1" customWidth="1"/>
    <col min="4" max="4" width="14.33203125" bestFit="1" customWidth="1"/>
    <col min="5" max="5" width="13.33203125" bestFit="1" customWidth="1"/>
    <col min="6" max="6" width="12.33203125" bestFit="1" customWidth="1"/>
    <col min="7" max="8" width="13.33203125" bestFit="1" customWidth="1"/>
    <col min="9" max="9" width="12.33203125" bestFit="1" customWidth="1"/>
    <col min="10" max="10" width="13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2.9996133087193866</v>
      </c>
      <c r="C12" s="11">
        <v>12.893074748004382</v>
      </c>
      <c r="D12" s="11">
        <v>547.29786685406361</v>
      </c>
      <c r="E12" s="11">
        <v>42.626083860749183</v>
      </c>
      <c r="F12" s="11">
        <v>3.9994844116258488</v>
      </c>
      <c r="G12" s="11">
        <f>55.2560346343045+47.8885633497306</f>
        <v>103.1445979840351</v>
      </c>
      <c r="H12" s="11">
        <v>35.784860525073384</v>
      </c>
      <c r="I12" s="11">
        <v>3.4732364627277112</v>
      </c>
      <c r="J12" s="11">
        <v>27.36489334270318</v>
      </c>
    </row>
    <row r="13" spans="1:10" x14ac:dyDescent="0.2">
      <c r="A13" t="s">
        <v>52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</row>
    <row r="14" spans="1:10" x14ac:dyDescent="0.2">
      <c r="A14" t="s">
        <v>53</v>
      </c>
      <c r="B14" s="11">
        <v>8.8909903098241134</v>
      </c>
      <c r="C14" s="11">
        <v>38.215660103629965</v>
      </c>
      <c r="D14" s="11">
        <v>1622.2157758275575</v>
      </c>
      <c r="E14" s="11">
        <v>126.34565177118478</v>
      </c>
      <c r="F14" s="11">
        <v>11.854653746432151</v>
      </c>
      <c r="G14" s="11">
        <f>163.781400444128+141.943880384911</f>
        <v>305.72528082903898</v>
      </c>
      <c r="H14" s="11">
        <v>106.06795457334029</v>
      </c>
      <c r="I14" s="11">
        <v>10.294830885059501</v>
      </c>
      <c r="J14" s="11">
        <v>81.110788791377885</v>
      </c>
    </row>
    <row r="15" spans="1:10" x14ac:dyDescent="0.2">
      <c r="A15" t="s">
        <v>54</v>
      </c>
      <c r="B15" s="11">
        <v>3.8119703678069592</v>
      </c>
      <c r="C15" s="11">
        <v>16.384784914257985</v>
      </c>
      <c r="D15" s="11">
        <v>695.51740044197163</v>
      </c>
      <c r="E15" s="11">
        <v>54.170105226730477</v>
      </c>
      <c r="F15" s="11">
        <v>5.0826271570759456</v>
      </c>
      <c r="G15" s="11">
        <f>70.2205067753914+60.8577725386725</f>
        <v>131.07827931406391</v>
      </c>
      <c r="H15" s="11">
        <v>45.476137721205831</v>
      </c>
      <c r="I15" s="11">
        <v>4.4138604258817429</v>
      </c>
      <c r="J15" s="11">
        <v>34.77587002209858</v>
      </c>
    </row>
    <row r="16" spans="1:10" x14ac:dyDescent="0.2">
      <c r="A16" t="s">
        <v>55</v>
      </c>
      <c r="B16" s="11">
        <v>5.6710923255652874</v>
      </c>
      <c r="C16" s="11">
        <v>24.375747715149046</v>
      </c>
      <c r="D16" s="11">
        <v>1034.7256172961227</v>
      </c>
      <c r="E16" s="11">
        <v>80.589206731717255</v>
      </c>
      <c r="F16" s="11">
        <v>7.5614564340870505</v>
      </c>
      <c r="G16" s="11">
        <f>104.467490207782+90.5384915134107</f>
        <v>195.00598172119271</v>
      </c>
      <c r="H16" s="11">
        <v>67.655136515515707</v>
      </c>
      <c r="I16" s="11">
        <v>6.5665279559177021</v>
      </c>
      <c r="J16" s="11">
        <v>51.736280864806133</v>
      </c>
    </row>
    <row r="17" spans="1:10" x14ac:dyDescent="0.2">
      <c r="A17" t="s">
        <v>56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</row>
    <row r="18" spans="1:10" x14ac:dyDescent="0.2">
      <c r="A18" t="s">
        <v>57</v>
      </c>
      <c r="B18" s="11">
        <v>5.0293137412917686</v>
      </c>
      <c r="C18" s="11">
        <v>21.617225730113745</v>
      </c>
      <c r="D18" s="11">
        <v>917.62917384972627</v>
      </c>
      <c r="E18" s="11">
        <v>71.469195270988294</v>
      </c>
      <c r="F18" s="11">
        <v>6.7057516550556917</v>
      </c>
      <c r="G18" s="11">
        <f>92.6452531290589+80.292552711851</f>
        <v>172.9378058409099</v>
      </c>
      <c r="H18" s="11">
        <v>59.998830597866714</v>
      </c>
      <c r="I18" s="11">
        <v>5.823415910969417</v>
      </c>
      <c r="J18" s="11">
        <v>45.881458692486312</v>
      </c>
    </row>
    <row r="19" spans="1:10" x14ac:dyDescent="0.2">
      <c r="A19" t="s">
        <v>58</v>
      </c>
      <c r="B19" s="11">
        <v>4.3976231313352088</v>
      </c>
      <c r="C19" s="11">
        <v>18.902064336440812</v>
      </c>
      <c r="D19" s="11">
        <v>802.37334326116104</v>
      </c>
      <c r="E19" s="11">
        <v>62.492539234763505</v>
      </c>
      <c r="F19" s="11">
        <v>5.8634975084469456</v>
      </c>
      <c r="G19" s="11">
        <f>81.0088471561749+70.2076675353516</f>
        <v>151.2165146915265</v>
      </c>
      <c r="H19" s="11">
        <v>52.462872443998982</v>
      </c>
      <c r="I19" s="11">
        <v>5.0919846783881377</v>
      </c>
      <c r="J19" s="11">
        <v>40.118667163058049</v>
      </c>
    </row>
    <row r="20" spans="1:10" x14ac:dyDescent="0.2">
      <c r="A20" t="s">
        <v>59</v>
      </c>
      <c r="B20" s="11">
        <v>2.5540916793394555</v>
      </c>
      <c r="C20" s="11">
        <v>10.978113358564329</v>
      </c>
      <c r="D20" s="11">
        <v>466.0097099145674</v>
      </c>
      <c r="E20" s="11">
        <v>36.294987022192267</v>
      </c>
      <c r="F20" s="11">
        <v>3.4054555724526079</v>
      </c>
      <c r="G20" s="11">
        <f>47.04905725099+40.7758496175246</f>
        <v>87.824906868514603</v>
      </c>
      <c r="H20" s="11">
        <v>30.469865648260175</v>
      </c>
      <c r="I20" s="11">
        <v>2.9573693129193703</v>
      </c>
      <c r="J20" s="11">
        <v>23.30048549572837</v>
      </c>
    </row>
    <row r="21" spans="1:10" x14ac:dyDescent="0.2">
      <c r="A21" t="s">
        <v>60</v>
      </c>
      <c r="B21" s="11">
        <v>2.2575052344208273</v>
      </c>
      <c r="C21" s="11">
        <v>9.7033119725105745</v>
      </c>
      <c r="D21" s="11">
        <v>411.89569189432643</v>
      </c>
      <c r="E21" s="11">
        <v>32.080337541769659</v>
      </c>
      <c r="F21" s="11">
        <v>3.0100069792277702</v>
      </c>
      <c r="G21" s="11">
        <f>41.585622739331+36.0408730407536</f>
        <v>77.62649578008461</v>
      </c>
      <c r="H21" s="11">
        <v>26.931641393090572</v>
      </c>
      <c r="I21" s="11">
        <v>2.6139534293293796</v>
      </c>
      <c r="J21" s="11">
        <v>20.594784594716323</v>
      </c>
    </row>
    <row r="22" spans="1:10" x14ac:dyDescent="0.2">
      <c r="A22" t="s">
        <v>61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x14ac:dyDescent="0.2">
      <c r="A23" t="s">
        <v>62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x14ac:dyDescent="0.2">
      <c r="A24" t="s">
        <v>63</v>
      </c>
      <c r="B24" s="11">
        <v>3.2173301362508719</v>
      </c>
      <c r="C24" s="11">
        <v>13.828875147043224</v>
      </c>
      <c r="D24" s="11">
        <v>587.021638894896</v>
      </c>
      <c r="E24" s="11">
        <v>45.719954567775552</v>
      </c>
      <c r="F24" s="11">
        <v>4.2897735150011629</v>
      </c>
      <c r="G24" s="11">
        <f>59.2666077730424+51.3643934033034</f>
        <v>110.6310011763458</v>
      </c>
      <c r="H24" s="11">
        <v>38.382184081589351</v>
      </c>
      <c r="I24" s="11">
        <v>3.7253296314483784</v>
      </c>
      <c r="J24" s="11">
        <v>29.351081944744799</v>
      </c>
    </row>
    <row r="25" spans="1:10" x14ac:dyDescent="0.2">
      <c r="A25" t="s">
        <v>64</v>
      </c>
      <c r="B25" s="11">
        <v>1.3703137476728957</v>
      </c>
      <c r="C25" s="11">
        <v>5.8899450557870088</v>
      </c>
      <c r="D25" s="11">
        <v>250.02215747014239</v>
      </c>
      <c r="E25" s="11">
        <v>19.472879572193783</v>
      </c>
      <c r="F25" s="11">
        <v>1.8270849968971943</v>
      </c>
      <c r="G25" s="11">
        <f>25.2426216676586+21.8769387786375</f>
        <v>47.119560446296099</v>
      </c>
      <c r="H25" s="11">
        <v>16.347602603817002</v>
      </c>
      <c r="I25" s="11">
        <v>1.5866790762528269</v>
      </c>
      <c r="J25" s="11">
        <v>12.50110787350712</v>
      </c>
    </row>
    <row r="26" spans="1:10" x14ac:dyDescent="0.2">
      <c r="A26" t="s">
        <v>65</v>
      </c>
      <c r="B26" s="11">
        <v>0.46019504656823657</v>
      </c>
      <c r="C26" s="11">
        <v>1.9780313405125962</v>
      </c>
      <c r="D26" s="11">
        <v>83.965412005432654</v>
      </c>
      <c r="E26" s="11">
        <v>6.5396138196538889</v>
      </c>
      <c r="F26" s="11">
        <v>0.61359339542431546</v>
      </c>
      <c r="G26" s="11">
        <f>8.47727717362541+7.34697355047536</f>
        <v>15.82425072410077</v>
      </c>
      <c r="H26" s="11">
        <v>5.4900461695859804</v>
      </c>
      <c r="I26" s="11">
        <v>0.53285742234216871</v>
      </c>
      <c r="J26" s="11">
        <v>4.1982706002716323</v>
      </c>
    </row>
    <row r="27" spans="1:10" x14ac:dyDescent="0.2">
      <c r="A27" t="s">
        <v>66</v>
      </c>
      <c r="B27" s="11">
        <v>0.16287493079019291</v>
      </c>
      <c r="C27" s="11">
        <v>0.70007645690521525</v>
      </c>
      <c r="D27" s="11">
        <v>29.717531231894853</v>
      </c>
      <c r="E27" s="11">
        <v>2.3145384901764259</v>
      </c>
      <c r="F27" s="11">
        <v>0.21716657438692391</v>
      </c>
      <c r="G27" s="11">
        <f>3.00032767245092+2.6002839827908</f>
        <v>5.6006116552417193</v>
      </c>
      <c r="H27" s="11">
        <v>1.94306934977774</v>
      </c>
      <c r="I27" s="11">
        <v>0.18859202512548656</v>
      </c>
      <c r="J27" s="11">
        <v>1.4858765615947425</v>
      </c>
    </row>
    <row r="28" spans="1:10" x14ac:dyDescent="0.2">
      <c r="A28" t="s">
        <v>67</v>
      </c>
      <c r="B28" s="11">
        <v>0.23569176358715979</v>
      </c>
      <c r="C28" s="11">
        <v>1.0130610891027045</v>
      </c>
      <c r="D28" s="11">
        <v>43.003409496604597</v>
      </c>
      <c r="E28" s="11">
        <v>3.349304008870166</v>
      </c>
      <c r="F28" s="11">
        <v>0.31425568478287974</v>
      </c>
      <c r="G28" s="11">
        <f>4.34169038186873+3.7627983309529</f>
        <v>8.104488712821631</v>
      </c>
      <c r="H28" s="11">
        <v>2.8117613901626082</v>
      </c>
      <c r="I28" s="11">
        <v>0.2729062525746061</v>
      </c>
      <c r="J28" s="11">
        <v>2.1501704748302299</v>
      </c>
    </row>
    <row r="29" spans="1:10" x14ac:dyDescent="0.2">
      <c r="A29" t="s">
        <v>68</v>
      </c>
      <c r="B29" s="11">
        <v>5.9531887710104643</v>
      </c>
      <c r="C29" s="11">
        <v>25.588267524518667</v>
      </c>
      <c r="D29" s="11">
        <v>1086.1958459387515</v>
      </c>
      <c r="E29" s="11">
        <v>84.597945693306599</v>
      </c>
      <c r="F29" s="11">
        <v>7.9375850280139524</v>
      </c>
      <c r="G29" s="11">
        <f>109.664003676509+95.0421365196407</f>
        <v>204.7061401961497</v>
      </c>
      <c r="H29" s="11">
        <v>71.020497619072202</v>
      </c>
      <c r="I29" s="11">
        <v>6.893165945380539</v>
      </c>
      <c r="J29" s="11">
        <v>54.309792296937573</v>
      </c>
    </row>
    <row r="30" spans="1:10" x14ac:dyDescent="0.2">
      <c r="A30" t="s">
        <v>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</row>
    <row r="31" spans="1:10" x14ac:dyDescent="0.2">
      <c r="A31" t="s">
        <v>70</v>
      </c>
      <c r="B31" s="11">
        <v>6.2591295193866365</v>
      </c>
      <c r="C31" s="11">
        <v>26.903276004381162</v>
      </c>
      <c r="D31" s="11">
        <v>1142.016614063527</v>
      </c>
      <c r="E31" s="11">
        <v>88.945524749178531</v>
      </c>
      <c r="F31" s="11">
        <v>8.3455060258488505</v>
      </c>
      <c r="G31" s="11">
        <f>115.299754304491+99.9264537305586</f>
        <v>215.22620803504961</v>
      </c>
      <c r="H31" s="11">
        <v>74.670317073384439</v>
      </c>
      <c r="I31" s="11">
        <v>7.2474131277108436</v>
      </c>
      <c r="J31" s="11">
        <v>57.100830703176342</v>
      </c>
    </row>
    <row r="32" spans="1:10" x14ac:dyDescent="0.2">
      <c r="A32" t="s">
        <v>71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</row>
    <row r="33" spans="1:10" x14ac:dyDescent="0.2">
      <c r="A33" t="s">
        <v>72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</row>
    <row r="34" spans="1:10" x14ac:dyDescent="0.2">
      <c r="A34" t="s">
        <v>73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x14ac:dyDescent="0.2">
      <c r="A35" t="s">
        <v>74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</row>
    <row r="36" spans="1:10" x14ac:dyDescent="0.2">
      <c r="A36" t="s">
        <v>75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</row>
    <row r="37" spans="1:10" x14ac:dyDescent="0.2">
      <c r="A37" t="s">
        <v>76</v>
      </c>
      <c r="B37" s="11">
        <v>0.8358345265888617</v>
      </c>
      <c r="C37" s="11">
        <v>3.5926220879696693</v>
      </c>
      <c r="D37" s="11">
        <v>152.50314169340638</v>
      </c>
      <c r="E37" s="11">
        <v>11.877648535736457</v>
      </c>
      <c r="F37" s="11">
        <v>1.1144460354518158</v>
      </c>
      <c r="G37" s="11">
        <f>15.3969518055843+13.3440248981731</f>
        <v>28.740976703757397</v>
      </c>
      <c r="H37" s="11">
        <v>9.9713592645688767</v>
      </c>
      <c r="I37" s="11">
        <v>0.96780839920815587</v>
      </c>
      <c r="J37" s="11">
        <v>7.6251570846703185</v>
      </c>
    </row>
    <row r="38" spans="1:10" x14ac:dyDescent="0.2">
      <c r="A38" t="s">
        <v>77</v>
      </c>
      <c r="B38" s="11">
        <v>0.31786289984167154</v>
      </c>
      <c r="C38" s="11">
        <v>1.3662528151089395</v>
      </c>
      <c r="D38" s="11">
        <v>57.996037865848855</v>
      </c>
      <c r="E38" s="11">
        <v>4.5169991030132284</v>
      </c>
      <c r="F38" s="11">
        <v>0.42381719978889543</v>
      </c>
      <c r="G38" s="11">
        <f>5.85536920760974+5.07465331326177</f>
        <v>10.93002252087151</v>
      </c>
      <c r="H38" s="11">
        <v>3.7920486296901168</v>
      </c>
      <c r="I38" s="11">
        <v>0.36805177876404083</v>
      </c>
      <c r="J38" s="11">
        <v>2.8998018932924428</v>
      </c>
    </row>
    <row r="39" spans="1:10" x14ac:dyDescent="0.2">
      <c r="A39" s="6" t="s">
        <v>43</v>
      </c>
      <c r="B39" s="14">
        <f>SUM(B12:B38)</f>
        <v>54.424621440000003</v>
      </c>
      <c r="C39" s="14">
        <f t="shared" ref="C39:J39" si="1">SUM(C12:C38)</f>
        <v>233.93039039999996</v>
      </c>
      <c r="D39" s="14">
        <f t="shared" si="1"/>
        <v>9930.1063680000025</v>
      </c>
      <c r="E39" s="14">
        <f t="shared" si="1"/>
        <v>773.40251520000004</v>
      </c>
      <c r="F39" s="14">
        <f t="shared" si="1"/>
        <v>72.566161920000013</v>
      </c>
      <c r="G39" s="14">
        <f t="shared" si="1"/>
        <v>1871.4431232000004</v>
      </c>
      <c r="H39" s="14">
        <f t="shared" si="1"/>
        <v>649.27618559999985</v>
      </c>
      <c r="I39" s="14">
        <f t="shared" si="1"/>
        <v>63.017982720000006</v>
      </c>
      <c r="J39" s="14">
        <f t="shared" si="1"/>
        <v>496.50531840000014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2.120038524817237E-2</v>
      </c>
      <c r="C42" s="11">
        <v>9.1124462908811071E-2</v>
      </c>
      <c r="D42" s="11">
        <v>3.8681404663332053</v>
      </c>
      <c r="E42" s="11">
        <v>0.30126863247402846</v>
      </c>
      <c r="F42" s="11">
        <v>2.8267180330896497E-2</v>
      </c>
      <c r="G42" s="11">
        <f>0.390533412466333+0.338462290804155</f>
        <v>0.72899570327048802</v>
      </c>
      <c r="H42" s="11">
        <v>0.2529168766448634</v>
      </c>
      <c r="I42" s="11">
        <v>2.4547814497883801E-2</v>
      </c>
      <c r="J42" s="11">
        <v>0.19340702331666024</v>
      </c>
    </row>
    <row r="43" spans="1:10" x14ac:dyDescent="0.2">
      <c r="A43" t="s">
        <v>15</v>
      </c>
      <c r="B43" s="11">
        <v>1.6396016883416697E-2</v>
      </c>
      <c r="C43" s="11">
        <v>7.047410765679106E-2</v>
      </c>
      <c r="D43" s="11">
        <v>2.9915539576760293</v>
      </c>
      <c r="E43" s="11">
        <v>0.23299602939592151</v>
      </c>
      <c r="F43" s="11">
        <v>2.1861355844555595E-2</v>
      </c>
      <c r="G43" s="11">
        <f>0.302031889957676+0.261760971296653</f>
        <v>0.56379286125432904</v>
      </c>
      <c r="H43" s="11">
        <v>0.19560160492497111</v>
      </c>
      <c r="I43" s="11">
        <v>1.8984861654482495E-2</v>
      </c>
      <c r="J43" s="11">
        <v>0.14957769788380143</v>
      </c>
    </row>
    <row r="44" spans="1:10" x14ac:dyDescent="0.2">
      <c r="A44" t="s">
        <v>16</v>
      </c>
      <c r="B44" s="11">
        <v>7.9020514582531735E-3</v>
      </c>
      <c r="C44" s="11">
        <v>3.3964958022316277E-2</v>
      </c>
      <c r="D44" s="11">
        <v>1.441777809926895</v>
      </c>
      <c r="E44" s="11">
        <v>0.11229231019622933</v>
      </c>
      <c r="F44" s="11">
        <v>1.0536068611004232E-2</v>
      </c>
      <c r="G44" s="11">
        <f>0.145564105809927+0.126155558368603</f>
        <v>0.27171966417853</v>
      </c>
      <c r="H44" s="11">
        <v>9.4270087572143127E-2</v>
      </c>
      <c r="I44" s="11">
        <v>9.1497437937668336E-3</v>
      </c>
      <c r="J44" s="11">
        <v>7.2088890496344746E-2</v>
      </c>
    </row>
    <row r="45" spans="1:10" x14ac:dyDescent="0.2">
      <c r="A45" t="s">
        <v>17</v>
      </c>
      <c r="B45" s="11">
        <v>3.5366859522893419E-3</v>
      </c>
      <c r="C45" s="11">
        <v>1.5201544882647171E-2</v>
      </c>
      <c r="D45" s="11">
        <v>0.64529006848787995</v>
      </c>
      <c r="E45" s="11">
        <v>5.0258168795690658E-2</v>
      </c>
      <c r="F45" s="11">
        <v>4.7155812697191228E-3</v>
      </c>
      <c r="G45" s="11">
        <f>0.0651494780684879+0.0564628809926895</f>
        <v>0.1216123590611774</v>
      </c>
      <c r="H45" s="11">
        <v>4.2192042939592146E-2</v>
      </c>
      <c r="I45" s="11">
        <v>4.0951100500192386E-3</v>
      </c>
      <c r="J45" s="11">
        <v>3.2264503424393999E-2</v>
      </c>
    </row>
    <row r="46" spans="1:10" x14ac:dyDescent="0.2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2">
      <c r="A47" t="s">
        <v>19</v>
      </c>
      <c r="B47" s="11">
        <v>2.2443404578684108E-3</v>
      </c>
      <c r="C47" s="11">
        <v>9.6467265294343969E-3</v>
      </c>
      <c r="D47" s="11">
        <v>0.4094936975759908</v>
      </c>
      <c r="E47" s="11">
        <v>3.1893259138130049E-2</v>
      </c>
      <c r="F47" s="11">
        <v>2.992453943824548E-3</v>
      </c>
      <c r="G47" s="11">
        <f>0.041343113697576+0.0358306985378992</f>
        <v>7.7173812235475203E-2</v>
      </c>
      <c r="H47" s="11">
        <v>2.6774587918430164E-2</v>
      </c>
      <c r="I47" s="11">
        <v>2.5987100038476338E-3</v>
      </c>
      <c r="J47" s="11">
        <v>2.0474684878799537E-2</v>
      </c>
    </row>
    <row r="48" spans="1:10" x14ac:dyDescent="0.2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2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2">
      <c r="A50" s="6" t="s">
        <v>44</v>
      </c>
      <c r="B50" s="14">
        <f>SUM(B42:B49)</f>
        <v>5.1279479999999988E-2</v>
      </c>
      <c r="C50" s="14">
        <f t="shared" ref="C50:J50" si="2">SUM(C42:C49)</f>
        <v>0.22041179999999996</v>
      </c>
      <c r="D50" s="14">
        <f t="shared" si="2"/>
        <v>9.3562560000000001</v>
      </c>
      <c r="E50" s="14">
        <f t="shared" si="2"/>
        <v>0.72870840000000003</v>
      </c>
      <c r="F50" s="14">
        <f t="shared" si="2"/>
        <v>6.8372639999999998E-2</v>
      </c>
      <c r="G50" s="14">
        <f t="shared" si="2"/>
        <v>1.7632943999999997</v>
      </c>
      <c r="H50" s="14">
        <f t="shared" si="2"/>
        <v>0.61175519999999994</v>
      </c>
      <c r="I50" s="14">
        <f t="shared" si="2"/>
        <v>5.9376239999999997E-2</v>
      </c>
      <c r="J50" s="14">
        <f t="shared" si="2"/>
        <v>0.46781279999999997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2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2">
      <c r="A55" t="s">
        <v>27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</row>
    <row r="56" spans="1:10" x14ac:dyDescent="0.2">
      <c r="A56" t="s">
        <v>28</v>
      </c>
      <c r="B56" s="11">
        <v>9.2059615963636361</v>
      </c>
      <c r="C56" s="11">
        <v>39.569484054545455</v>
      </c>
      <c r="D56" s="11">
        <v>1679.684221090909</v>
      </c>
      <c r="E56" s="11">
        <v>130.82155952727271</v>
      </c>
      <c r="F56" s="11">
        <v>12.274615461818181</v>
      </c>
      <c r="G56" s="11">
        <f>169.583503090909+146.972369345455</f>
        <v>316.55587243636398</v>
      </c>
      <c r="H56" s="11">
        <v>109.82550676363635</v>
      </c>
      <c r="I56" s="11">
        <v>10.659534480000001</v>
      </c>
      <c r="J56" s="11">
        <v>83.984211054545455</v>
      </c>
    </row>
    <row r="57" spans="1:10" x14ac:dyDescent="0.2">
      <c r="A57" t="s">
        <v>29</v>
      </c>
      <c r="B57" s="11">
        <v>82.853654367272725</v>
      </c>
      <c r="C57" s="11">
        <v>356.1253564909091</v>
      </c>
      <c r="D57" s="11">
        <v>15117.157989818183</v>
      </c>
      <c r="E57" s="11">
        <v>1177.3940357454544</v>
      </c>
      <c r="F57" s="11">
        <v>110.47153915636362</v>
      </c>
      <c r="G57" s="11">
        <f>1526.25152781818+1322.75132410909</f>
        <v>2849.0028519272701</v>
      </c>
      <c r="H57" s="11">
        <v>988.42956087272728</v>
      </c>
      <c r="I57" s="11">
        <v>95.935810320000016</v>
      </c>
      <c r="J57" s="11">
        <v>755.85789949090918</v>
      </c>
    </row>
    <row r="58" spans="1:10" x14ac:dyDescent="0.2">
      <c r="A58" t="s">
        <v>30</v>
      </c>
      <c r="B58" s="11">
        <v>55.235769578181809</v>
      </c>
      <c r="C58" s="11">
        <v>237.4169043272727</v>
      </c>
      <c r="D58" s="11">
        <v>10078.105326545454</v>
      </c>
      <c r="E58" s="11">
        <v>784.92935716363615</v>
      </c>
      <c r="F58" s="11">
        <v>73.647692770909075</v>
      </c>
      <c r="G58" s="11">
        <f>1017.50101854545+881.834216072727</f>
        <v>1899.3352346181771</v>
      </c>
      <c r="H58" s="11">
        <v>658.95304058181807</v>
      </c>
      <c r="I58" s="11">
        <v>63.957206880000001</v>
      </c>
      <c r="J58" s="11">
        <v>503.90526632727273</v>
      </c>
    </row>
    <row r="59" spans="1:10" x14ac:dyDescent="0.2">
      <c r="A59" t="s">
        <v>31</v>
      </c>
      <c r="B59" s="11">
        <v>46.02980798181818</v>
      </c>
      <c r="C59" s="11">
        <v>197.84742027272728</v>
      </c>
      <c r="D59" s="11">
        <v>8398.4211054545449</v>
      </c>
      <c r="E59" s="11">
        <v>654.10779763636356</v>
      </c>
      <c r="F59" s="11">
        <v>61.373077309090895</v>
      </c>
      <c r="G59" s="11">
        <f>847.917515454545+734.861846727273</f>
        <v>1582.779362181818</v>
      </c>
      <c r="H59" s="11">
        <v>549.12753381818175</v>
      </c>
      <c r="I59" s="11">
        <v>53.297672400000003</v>
      </c>
      <c r="J59" s="11">
        <v>419.92105527272724</v>
      </c>
    </row>
    <row r="60" spans="1:10" x14ac:dyDescent="0.2">
      <c r="A60" t="s">
        <v>32</v>
      </c>
      <c r="B60" s="11">
        <v>9.2059615963636361</v>
      </c>
      <c r="C60" s="11">
        <v>39.569484054545455</v>
      </c>
      <c r="D60" s="11">
        <v>1679.684221090909</v>
      </c>
      <c r="E60" s="11">
        <v>130.82155952727271</v>
      </c>
      <c r="F60" s="11">
        <v>12.274615461818181</v>
      </c>
      <c r="G60" s="11">
        <f>169.583503090909+146.972369345455</f>
        <v>316.55587243636398</v>
      </c>
      <c r="H60" s="11">
        <v>109.82550676363635</v>
      </c>
      <c r="I60" s="11">
        <v>10.659534480000001</v>
      </c>
      <c r="J60" s="11">
        <v>83.984211054545455</v>
      </c>
    </row>
    <row r="61" spans="1:10" x14ac:dyDescent="0.2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2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2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2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2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2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2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2">
      <c r="A68" s="6" t="s">
        <v>48</v>
      </c>
      <c r="B68" s="14">
        <f>SUM(B53:B67)</f>
        <v>202.53115511999999</v>
      </c>
      <c r="C68" s="14">
        <f>SUM(C53:C67)</f>
        <v>870.52864920000002</v>
      </c>
      <c r="D68" s="14">
        <f>SUM(D53:D67)</f>
        <v>36953.052863999997</v>
      </c>
      <c r="E68" s="14">
        <f>SUM(E53:E67)</f>
        <v>2878.0743095999997</v>
      </c>
      <c r="F68" s="14">
        <f>SUM(F53:F67)</f>
        <v>270.04154015999995</v>
      </c>
      <c r="G68" s="14">
        <f t="shared" ref="G68:J68" si="3">SUM(G53:G67)</f>
        <v>6964.2291935999929</v>
      </c>
      <c r="H68" s="14">
        <f t="shared" si="3"/>
        <v>2416.1611487999999</v>
      </c>
      <c r="I68" s="14">
        <f t="shared" si="3"/>
        <v>234.50975856000002</v>
      </c>
      <c r="J68" s="14">
        <f t="shared" si="3"/>
        <v>1847.6526432000001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5">
        <v>2.2889636054464795</v>
      </c>
      <c r="C71" s="15">
        <v>9.8385277777962727</v>
      </c>
      <c r="D71" s="15">
        <v>417.63546485339276</v>
      </c>
      <c r="E71" s="15">
        <v>32.52737755108155</v>
      </c>
      <c r="F71" s="15">
        <v>3.0519514739286393</v>
      </c>
      <c r="G71" s="15">
        <v>42.165119047698305</v>
      </c>
      <c r="H71" s="15">
        <v>27.306934240414144</v>
      </c>
      <c r="I71" s="15">
        <v>2.6503789115696081</v>
      </c>
      <c r="J71" s="15">
        <v>20.881773242669642</v>
      </c>
    </row>
    <row r="72" spans="1:10" x14ac:dyDescent="0.2">
      <c r="A72" t="s">
        <v>79</v>
      </c>
      <c r="B72" s="15">
        <v>1.1430302079727597</v>
      </c>
      <c r="C72" s="15">
        <v>4.91302457812853</v>
      </c>
      <c r="D72" s="15">
        <v>208.55288005117023</v>
      </c>
      <c r="E72" s="15">
        <v>16.243060850139219</v>
      </c>
      <c r="F72" s="15">
        <v>1.524040277297013</v>
      </c>
      <c r="G72" s="15">
        <v>21.055819620550839</v>
      </c>
      <c r="H72" s="15">
        <v>13.636149849499592</v>
      </c>
      <c r="I72" s="15">
        <v>1.3235086618631957</v>
      </c>
      <c r="J72" s="15">
        <v>10.427644002558512</v>
      </c>
    </row>
    <row r="73" spans="1:10" x14ac:dyDescent="0.2">
      <c r="A73" t="s">
        <v>80</v>
      </c>
      <c r="B73" s="15">
        <v>0.95976901962020544</v>
      </c>
      <c r="C73" s="15">
        <v>4.1253229790693045</v>
      </c>
      <c r="D73" s="15">
        <v>175.11575094824801</v>
      </c>
      <c r="E73" s="15">
        <v>13.638822910392394</v>
      </c>
      <c r="F73" s="15">
        <v>1.2796920261602738</v>
      </c>
      <c r="G73" s="15">
        <v>17.679955624582732</v>
      </c>
      <c r="H73" s="15">
        <v>11.449876023539295</v>
      </c>
      <c r="I73" s="15">
        <v>1.1113114964023434</v>
      </c>
      <c r="J73" s="15">
        <v>8.7557875474124032</v>
      </c>
    </row>
    <row r="74" spans="1:10" x14ac:dyDescent="0.2">
      <c r="A74" t="s">
        <v>81</v>
      </c>
      <c r="B74" s="15">
        <v>1.0588800947734081</v>
      </c>
      <c r="C74" s="15">
        <v>4.5513267231488603</v>
      </c>
      <c r="D74" s="15">
        <v>193.1991751867271</v>
      </c>
      <c r="E74" s="15">
        <v>15.047243452043169</v>
      </c>
      <c r="F74" s="15">
        <v>1.4118401263645441</v>
      </c>
      <c r="G74" s="15">
        <v>19.505685956352256</v>
      </c>
      <c r="H74" s="15">
        <v>12.632253762209082</v>
      </c>
      <c r="I74" s="15">
        <v>1.2260716886849992</v>
      </c>
      <c r="J74" s="15">
        <v>9.6599587593363569</v>
      </c>
    </row>
    <row r="75" spans="1:10" x14ac:dyDescent="0.2">
      <c r="A75" t="s">
        <v>82</v>
      </c>
      <c r="B75" s="15">
        <v>0.78850203022782062</v>
      </c>
      <c r="C75" s="15">
        <v>3.3891753930844928</v>
      </c>
      <c r="D75" s="15">
        <v>143.86703709419888</v>
      </c>
      <c r="E75" s="15">
        <v>11.205028850605874</v>
      </c>
      <c r="F75" s="15">
        <v>1.0513360403037608</v>
      </c>
      <c r="G75" s="15">
        <v>14.52503739893354</v>
      </c>
      <c r="H75" s="15">
        <v>9.4066908869283878</v>
      </c>
      <c r="I75" s="15">
        <v>0.91300235079010827</v>
      </c>
      <c r="J75" s="15">
        <v>7.1933518547099444</v>
      </c>
    </row>
    <row r="76" spans="1:10" x14ac:dyDescent="0.2">
      <c r="A76" t="s">
        <v>83</v>
      </c>
      <c r="B76" s="15">
        <v>1.0436012653559483</v>
      </c>
      <c r="C76" s="15">
        <v>4.4856545616176735</v>
      </c>
      <c r="D76" s="15">
        <v>190.41145894213795</v>
      </c>
      <c r="E76" s="15">
        <v>14.830123244531897</v>
      </c>
      <c r="F76" s="15">
        <v>1.3914683538079311</v>
      </c>
      <c r="G76" s="15">
        <v>19.224233835504311</v>
      </c>
      <c r="H76" s="15">
        <v>12.449980007755174</v>
      </c>
      <c r="I76" s="15">
        <v>1.208380412517414</v>
      </c>
      <c r="J76" s="15">
        <v>9.5205729471068992</v>
      </c>
    </row>
    <row r="77" spans="1:10" x14ac:dyDescent="0.2">
      <c r="A77" t="s">
        <v>84</v>
      </c>
      <c r="B77" s="15">
        <v>0.82382770101687097</v>
      </c>
      <c r="C77" s="15">
        <v>3.541013802616376</v>
      </c>
      <c r="D77" s="15">
        <v>150.31242264167471</v>
      </c>
      <c r="E77" s="15">
        <v>11.70702522497659</v>
      </c>
      <c r="F77" s="15">
        <v>1.0984369346891614</v>
      </c>
      <c r="G77" s="15">
        <v>15.175773439784468</v>
      </c>
      <c r="H77" s="15">
        <v>9.8281199419556557</v>
      </c>
      <c r="I77" s="15">
        <v>0.95390575907216668</v>
      </c>
      <c r="J77" s="15">
        <v>7.5156211320837372</v>
      </c>
    </row>
    <row r="78" spans="1:10" x14ac:dyDescent="0.2">
      <c r="A78" t="s">
        <v>85</v>
      </c>
      <c r="B78" s="15">
        <v>0.74686139249507677</v>
      </c>
      <c r="C78" s="15">
        <v>3.2101937045841025</v>
      </c>
      <c r="D78" s="15">
        <v>136.26944705173332</v>
      </c>
      <c r="E78" s="15">
        <v>10.61329347229846</v>
      </c>
      <c r="F78" s="15">
        <v>0.99581518999343566</v>
      </c>
      <c r="G78" s="15">
        <v>13.757973019646151</v>
      </c>
      <c r="H78" s="15">
        <v>8.9099253841517942</v>
      </c>
      <c r="I78" s="15">
        <v>0.86478687552061539</v>
      </c>
      <c r="J78" s="15">
        <v>6.8134723525866674</v>
      </c>
    </row>
    <row r="79" spans="1:10" x14ac:dyDescent="0.2">
      <c r="A79" t="s">
        <v>86</v>
      </c>
      <c r="B79" s="15">
        <v>0.80077171432311767</v>
      </c>
      <c r="C79" s="15">
        <v>3.4419135089326995</v>
      </c>
      <c r="D79" s="15">
        <v>146.10571629755131</v>
      </c>
      <c r="E79" s="15">
        <v>11.379387519328516</v>
      </c>
      <c r="F79" s="15">
        <v>1.0676956190974902</v>
      </c>
      <c r="G79" s="15">
        <v>14.751057895425854</v>
      </c>
      <c r="H79" s="15">
        <v>9.5530660656091246</v>
      </c>
      <c r="I79" s="15">
        <v>0.92720935342676802</v>
      </c>
      <c r="J79" s="15">
        <v>7.3052858148775668</v>
      </c>
    </row>
    <row r="80" spans="1:10" x14ac:dyDescent="0.2">
      <c r="A80" t="s">
        <v>87</v>
      </c>
      <c r="B80" s="15">
        <v>0.29716369614568328</v>
      </c>
      <c r="C80" s="15">
        <v>1.2772825536086387</v>
      </c>
      <c r="D80" s="15">
        <v>54.219341051142216</v>
      </c>
      <c r="E80" s="15">
        <v>4.2228525241754999</v>
      </c>
      <c r="F80" s="15">
        <v>0.39621826152757766</v>
      </c>
      <c r="G80" s="15">
        <v>5.4740680868941656</v>
      </c>
      <c r="H80" s="15">
        <v>3.5451107610362218</v>
      </c>
      <c r="I80" s="15">
        <v>0.34408427974763334</v>
      </c>
      <c r="J80" s="15">
        <v>2.7109670525571112</v>
      </c>
    </row>
    <row r="81" spans="1:10" x14ac:dyDescent="0.2">
      <c r="A81" t="s">
        <v>88</v>
      </c>
      <c r="B81" s="15">
        <v>0.17711575072278549</v>
      </c>
      <c r="C81" s="15">
        <v>0.76128699872074468</v>
      </c>
      <c r="D81" s="15">
        <v>32.315856272227528</v>
      </c>
      <c r="E81" s="15">
        <v>2.5169080365869516</v>
      </c>
      <c r="F81" s="15">
        <v>0.2361543342970473</v>
      </c>
      <c r="G81" s="15">
        <v>3.2626585659460483</v>
      </c>
      <c r="H81" s="15">
        <v>2.112959833184108</v>
      </c>
      <c r="I81" s="15">
        <v>0.20508139557375166</v>
      </c>
      <c r="J81" s="15">
        <v>1.6157928136113766</v>
      </c>
    </row>
    <row r="82" spans="1:10" x14ac:dyDescent="0.2">
      <c r="A82" t="s">
        <v>89</v>
      </c>
      <c r="B82" s="15">
        <v>1.2814932751207235</v>
      </c>
      <c r="C82" s="15">
        <v>5.5081728492031106</v>
      </c>
      <c r="D82" s="15">
        <v>233.81631686413201</v>
      </c>
      <c r="E82" s="15">
        <v>18.210693909610281</v>
      </c>
      <c r="F82" s="15">
        <v>1.7086577001609646</v>
      </c>
      <c r="G82" s="15">
        <v>23.606455068013329</v>
      </c>
      <c r="H82" s="15">
        <v>15.287989948808633</v>
      </c>
      <c r="I82" s="15">
        <v>1.483834318560838</v>
      </c>
      <c r="J82" s="15">
        <v>11.690815843206602</v>
      </c>
    </row>
    <row r="83" spans="1:10" x14ac:dyDescent="0.2">
      <c r="A83" t="s">
        <v>90</v>
      </c>
      <c r="B83" s="15">
        <v>0.51539030549519804</v>
      </c>
      <c r="C83" s="15">
        <v>2.2152741201109394</v>
      </c>
      <c r="D83" s="15">
        <v>94.036125914913342</v>
      </c>
      <c r="E83" s="15">
        <v>7.323967499142289</v>
      </c>
      <c r="F83" s="15">
        <v>0.68718707399359735</v>
      </c>
      <c r="G83" s="15">
        <v>9.4940319433325957</v>
      </c>
      <c r="H83" s="15">
        <v>6.1485159252058725</v>
      </c>
      <c r="I83" s="15">
        <v>0.59676772215233465</v>
      </c>
      <c r="J83" s="15">
        <v>4.7018062957456674</v>
      </c>
    </row>
    <row r="84" spans="1:10" x14ac:dyDescent="0.2">
      <c r="A84" t="s">
        <v>91</v>
      </c>
      <c r="B84" s="15">
        <v>0.57678110830016449</v>
      </c>
      <c r="C84" s="15">
        <v>2.4791468690094796</v>
      </c>
      <c r="D84" s="15">
        <v>105.23725484774933</v>
      </c>
      <c r="E84" s="15">
        <v>8.1963631179497067</v>
      </c>
      <c r="F84" s="15">
        <v>0.76904147773355269</v>
      </c>
      <c r="G84" s="15">
        <v>10.624915152897769</v>
      </c>
      <c r="H84" s="15">
        <v>6.8808974323528407</v>
      </c>
      <c r="I84" s="15">
        <v>0.66785180961071688</v>
      </c>
      <c r="J84" s="15">
        <v>5.2618627423874669</v>
      </c>
    </row>
    <row r="85" spans="1:10" x14ac:dyDescent="0.2">
      <c r="A85" t="s">
        <v>92</v>
      </c>
      <c r="B85" s="15">
        <v>1.8967787288460258</v>
      </c>
      <c r="C85" s="15">
        <v>8.1528208520574807</v>
      </c>
      <c r="D85" s="15">
        <v>346.07892596488892</v>
      </c>
      <c r="E85" s="15">
        <v>26.954224041496158</v>
      </c>
      <c r="F85" s="15">
        <v>2.5290383051280343</v>
      </c>
      <c r="G85" s="15">
        <v>34.940660794532057</v>
      </c>
      <c r="H85" s="15">
        <v>22.628237466935047</v>
      </c>
      <c r="I85" s="15">
        <v>2.1962701070848722</v>
      </c>
      <c r="J85" s="15">
        <v>17.303946298244451</v>
      </c>
    </row>
    <row r="86" spans="1:10" x14ac:dyDescent="0.2">
      <c r="A86" t="s">
        <v>93</v>
      </c>
      <c r="B86" s="15">
        <v>2.1242023034759532</v>
      </c>
      <c r="C86" s="15">
        <v>9.1303432342387474</v>
      </c>
      <c r="D86" s="15">
        <v>387.57375361666516</v>
      </c>
      <c r="E86" s="15">
        <v>30.186032733605654</v>
      </c>
      <c r="F86" s="15">
        <v>2.8322697379679376</v>
      </c>
      <c r="G86" s="15">
        <v>39.130042432451773</v>
      </c>
      <c r="H86" s="15">
        <v>25.34136081339734</v>
      </c>
      <c r="I86" s="15">
        <v>2.4596026671826832</v>
      </c>
      <c r="J86" s="15">
        <v>19.378687680833263</v>
      </c>
    </row>
    <row r="87" spans="1:10" x14ac:dyDescent="0.2">
      <c r="A87" t="s">
        <v>94</v>
      </c>
      <c r="B87" s="15">
        <v>0.81185469322094217</v>
      </c>
      <c r="C87" s="15">
        <v>3.4895508743707171</v>
      </c>
      <c r="D87" s="15">
        <v>148.1278738508386</v>
      </c>
      <c r="E87" s="15">
        <v>11.53688248261339</v>
      </c>
      <c r="F87" s="15">
        <v>1.0824729242945896</v>
      </c>
      <c r="G87" s="15">
        <v>14.955218033017356</v>
      </c>
      <c r="H87" s="15">
        <v>9.6852840594779082</v>
      </c>
      <c r="I87" s="15">
        <v>0.94004227636109117</v>
      </c>
      <c r="J87" s="15">
        <v>7.4063936925419309</v>
      </c>
    </row>
    <row r="88" spans="1:10" x14ac:dyDescent="0.2">
      <c r="A88" t="s">
        <v>95</v>
      </c>
      <c r="B88" s="15">
        <v>1.2144232402992809</v>
      </c>
      <c r="C88" s="15">
        <v>5.2198893661986654</v>
      </c>
      <c r="D88" s="15">
        <v>221.5789771774127</v>
      </c>
      <c r="E88" s="15">
        <v>17.257593414779258</v>
      </c>
      <c r="F88" s="15">
        <v>1.619230987065708</v>
      </c>
      <c r="G88" s="15">
        <v>22.370954426565707</v>
      </c>
      <c r="H88" s="15">
        <v>14.4878562000616</v>
      </c>
      <c r="I88" s="15">
        <v>1.4061742782412729</v>
      </c>
      <c r="J88" s="15">
        <v>11.078948858870637</v>
      </c>
    </row>
    <row r="89" spans="1:10" x14ac:dyDescent="0.2">
      <c r="A89" t="s">
        <v>96</v>
      </c>
      <c r="B89" s="15">
        <v>0.19292435924625975</v>
      </c>
      <c r="C89" s="15">
        <v>0.82923628097076574</v>
      </c>
      <c r="D89" s="15">
        <v>35.200233967738626</v>
      </c>
      <c r="E89" s="15">
        <v>2.741556684025797</v>
      </c>
      <c r="F89" s="15">
        <v>0.257232478995013</v>
      </c>
      <c r="G89" s="15">
        <v>3.5538697755889959</v>
      </c>
      <c r="H89" s="15">
        <v>2.3015537594290643</v>
      </c>
      <c r="I89" s="15">
        <v>0.22338610017987975</v>
      </c>
      <c r="J89" s="15">
        <v>1.7600116983869316</v>
      </c>
    </row>
    <row r="90" spans="1:10" x14ac:dyDescent="0.2">
      <c r="A90" t="s">
        <v>97</v>
      </c>
      <c r="B90" s="15">
        <v>0.738024677006754</v>
      </c>
      <c r="C90" s="15">
        <v>3.1722113309939433</v>
      </c>
      <c r="D90" s="15">
        <v>134.65713405035513</v>
      </c>
      <c r="E90" s="15">
        <v>10.487719094306506</v>
      </c>
      <c r="F90" s="15">
        <v>0.98403290267567201</v>
      </c>
      <c r="G90" s="15">
        <v>13.59519141854547</v>
      </c>
      <c r="H90" s="15">
        <v>8.8045049186770665</v>
      </c>
      <c r="I90" s="15">
        <v>0.85455488916571531</v>
      </c>
      <c r="J90" s="15">
        <v>6.7328567025177577</v>
      </c>
    </row>
    <row r="91" spans="1:10" x14ac:dyDescent="0.2">
      <c r="A91" t="s">
        <v>98</v>
      </c>
      <c r="B91" s="15">
        <v>0.18760537702187363</v>
      </c>
      <c r="C91" s="15">
        <v>0.80637398895366752</v>
      </c>
      <c r="D91" s="15">
        <v>34.229753000482212</v>
      </c>
      <c r="E91" s="15">
        <v>2.6659711471529417</v>
      </c>
      <c r="F91" s="15">
        <v>0.25014050269583155</v>
      </c>
      <c r="G91" s="15">
        <v>3.4558885240871464</v>
      </c>
      <c r="H91" s="15">
        <v>2.238099234646914</v>
      </c>
      <c r="I91" s="15">
        <v>0.21722727865690636</v>
      </c>
      <c r="J91" s="15">
        <v>1.711487650024111</v>
      </c>
    </row>
    <row r="92" spans="1:10" x14ac:dyDescent="0.2">
      <c r="A92" t="s">
        <v>99</v>
      </c>
      <c r="B92" s="15">
        <v>0.59095799717711395</v>
      </c>
      <c r="C92" s="15">
        <v>2.54008261944549</v>
      </c>
      <c r="D92" s="15">
        <v>107.8239152744208</v>
      </c>
      <c r="E92" s="15">
        <v>8.3978241704116208</v>
      </c>
      <c r="F92" s="15">
        <v>0.78794399623615186</v>
      </c>
      <c r="G92" s="15">
        <v>10.886068369052099</v>
      </c>
      <c r="H92" s="15">
        <v>7.0500252294813599</v>
      </c>
      <c r="I92" s="15">
        <v>0.68426715462613208</v>
      </c>
      <c r="J92" s="15">
        <v>5.3911957637210408</v>
      </c>
    </row>
    <row r="93" spans="1:10" x14ac:dyDescent="0.2">
      <c r="A93" t="s">
        <v>100</v>
      </c>
      <c r="B93" s="15">
        <v>0.71704542440857766</v>
      </c>
      <c r="C93" s="15">
        <v>3.0820373505280978</v>
      </c>
      <c r="D93" s="15">
        <v>130.82934059384576</v>
      </c>
      <c r="E93" s="15">
        <v>10.189592873174526</v>
      </c>
      <c r="F93" s="15">
        <v>0.95606056587810362</v>
      </c>
      <c r="G93" s="15">
        <v>13.208731502263275</v>
      </c>
      <c r="H93" s="15">
        <v>8.5542261157514545</v>
      </c>
      <c r="I93" s="15">
        <v>0.83026312299940586</v>
      </c>
      <c r="J93" s="15">
        <v>6.5414670296922894</v>
      </c>
    </row>
    <row r="94" spans="1:10" x14ac:dyDescent="0.2">
      <c r="A94" t="s">
        <v>101</v>
      </c>
      <c r="B94" s="15">
        <v>1.001112981053581</v>
      </c>
      <c r="C94" s="15">
        <v>4.3030294799671482</v>
      </c>
      <c r="D94" s="15">
        <v>182.65921057819727</v>
      </c>
      <c r="E94" s="15">
        <v>14.226342362340365</v>
      </c>
      <c r="F94" s="15">
        <v>1.3348173080714416</v>
      </c>
      <c r="G94" s="15">
        <v>18.441554914144916</v>
      </c>
      <c r="H94" s="15">
        <v>11.943102230112899</v>
      </c>
      <c r="I94" s="15">
        <v>1.159183451746252</v>
      </c>
      <c r="J94" s="15">
        <v>9.1329605289098659</v>
      </c>
    </row>
    <row r="95" spans="1:10" x14ac:dyDescent="0.2">
      <c r="A95" t="s">
        <v>102</v>
      </c>
      <c r="B95" s="15">
        <v>0.69403182004330555</v>
      </c>
      <c r="C95" s="15">
        <v>2.9831192265019277</v>
      </c>
      <c r="D95" s="15">
        <v>126.6303671657961</v>
      </c>
      <c r="E95" s="15">
        <v>9.862557442720659</v>
      </c>
      <c r="F95" s="15">
        <v>0.92537576005774069</v>
      </c>
      <c r="G95" s="15">
        <v>12.78479668500826</v>
      </c>
      <c r="H95" s="15">
        <v>8.2796778531482076</v>
      </c>
      <c r="I95" s="15">
        <v>0.80361579162909069</v>
      </c>
      <c r="J95" s="15">
        <v>6.3315183582898058</v>
      </c>
    </row>
    <row r="96" spans="1:10" x14ac:dyDescent="0.2">
      <c r="A96" t="s">
        <v>103</v>
      </c>
      <c r="B96" s="15">
        <v>0.99236103022222089</v>
      </c>
      <c r="C96" s="15">
        <v>4.2654114456920027</v>
      </c>
      <c r="D96" s="15">
        <v>181.06236340896663</v>
      </c>
      <c r="E96" s="15">
        <v>14.101972534736824</v>
      </c>
      <c r="F96" s="15">
        <v>1.3231480402962945</v>
      </c>
      <c r="G96" s="15">
        <v>18.280334767251439</v>
      </c>
      <c r="H96" s="15">
        <v>11.838692992124741</v>
      </c>
      <c r="I96" s="15">
        <v>1.1490496139415192</v>
      </c>
      <c r="J96" s="15">
        <v>9.0531181704483323</v>
      </c>
    </row>
    <row r="97" spans="1:10" x14ac:dyDescent="0.2">
      <c r="A97" t="s">
        <v>104</v>
      </c>
      <c r="B97" s="15">
        <v>1.0854961970595793</v>
      </c>
      <c r="C97" s="15">
        <v>4.6657292680631048</v>
      </c>
      <c r="D97" s="15">
        <v>198.05544648104606</v>
      </c>
      <c r="E97" s="15">
        <v>15.42547227400455</v>
      </c>
      <c r="F97" s="15">
        <v>1.4473282627461057</v>
      </c>
      <c r="G97" s="15">
        <v>19.995982577413304</v>
      </c>
      <c r="H97" s="15">
        <v>12.949779192991475</v>
      </c>
      <c r="I97" s="15">
        <v>1.256890333437408</v>
      </c>
      <c r="J97" s="15">
        <v>9.9027723240523056</v>
      </c>
    </row>
    <row r="98" spans="1:10" x14ac:dyDescent="0.2">
      <c r="A98" t="s">
        <v>105</v>
      </c>
      <c r="B98" s="15">
        <v>0.6783291673410341</v>
      </c>
      <c r="C98" s="15">
        <v>2.9156253683956734</v>
      </c>
      <c r="D98" s="15">
        <v>123.76532176046939</v>
      </c>
      <c r="E98" s="15">
        <v>9.6394144832673287</v>
      </c>
      <c r="F98" s="15">
        <v>0.90443888978804554</v>
      </c>
      <c r="G98" s="15">
        <v>12.495537293124313</v>
      </c>
      <c r="H98" s="15">
        <v>8.0923479612614617</v>
      </c>
      <c r="I98" s="15">
        <v>0.78543377271067127</v>
      </c>
      <c r="J98" s="15">
        <v>6.1882660880234708</v>
      </c>
    </row>
    <row r="99" spans="1:10" x14ac:dyDescent="0.2">
      <c r="A99" t="s">
        <v>106</v>
      </c>
      <c r="B99" s="15">
        <v>1.5040428819753169</v>
      </c>
      <c r="C99" s="15">
        <v>6.4647457207711003</v>
      </c>
      <c r="D99" s="15">
        <v>274.42185916742625</v>
      </c>
      <c r="E99" s="15">
        <v>21.373240954386084</v>
      </c>
      <c r="F99" s="15">
        <v>2.0053905093004225</v>
      </c>
      <c r="G99" s="15">
        <v>27.706053089018997</v>
      </c>
      <c r="H99" s="15">
        <v>17.942967714793259</v>
      </c>
      <c r="I99" s="15">
        <v>1.7415233370240515</v>
      </c>
      <c r="J99" s="15">
        <v>13.721092958371315</v>
      </c>
    </row>
    <row r="100" spans="1:10" x14ac:dyDescent="0.2">
      <c r="A100" t="s">
        <v>107</v>
      </c>
      <c r="B100" s="15">
        <v>1.0595582120291069E-3</v>
      </c>
      <c r="C100" s="15">
        <v>4.5542414376689684E-3</v>
      </c>
      <c r="D100" s="15">
        <v>0.19332290184390721</v>
      </c>
      <c r="E100" s="15">
        <v>1.5056879855150467E-2</v>
      </c>
      <c r="F100" s="15">
        <v>1.4127442827054756E-3</v>
      </c>
      <c r="G100" s="15">
        <v>1.9518177590009862E-2</v>
      </c>
      <c r="H100" s="15">
        <v>1.2640343582101627E-2</v>
      </c>
      <c r="I100" s="15">
        <v>1.2268568770863345E-3</v>
      </c>
      <c r="J100" s="15">
        <v>9.6661450921953617E-3</v>
      </c>
    </row>
    <row r="101" spans="1:10" x14ac:dyDescent="0.2">
      <c r="A101" t="s">
        <v>40</v>
      </c>
      <c r="B101" s="15">
        <v>1.0383670477885245E-3</v>
      </c>
      <c r="C101" s="15">
        <v>4.4631566089155883E-3</v>
      </c>
      <c r="D101" s="15">
        <v>0.18945644380702906</v>
      </c>
      <c r="E101" s="15">
        <v>1.4755742258047455E-2</v>
      </c>
      <c r="F101" s="15">
        <v>1.384489397051366E-3</v>
      </c>
      <c r="G101" s="15">
        <v>1.9127814038209665E-2</v>
      </c>
      <c r="H101" s="15">
        <v>1.2387536710459592E-2</v>
      </c>
      <c r="I101" s="15">
        <v>1.2023197395446075E-3</v>
      </c>
      <c r="J101" s="15">
        <v>9.4728221903514539E-3</v>
      </c>
    </row>
    <row r="102" spans="1:10" x14ac:dyDescent="0.2">
      <c r="A102" t="s">
        <v>108</v>
      </c>
      <c r="B102" s="15">
        <v>6.410327182776096E-2</v>
      </c>
      <c r="C102" s="15">
        <v>0.27553160697897255</v>
      </c>
      <c r="D102" s="15">
        <v>11.696035561556386</v>
      </c>
      <c r="E102" s="15">
        <v>0.9109412312366032</v>
      </c>
      <c r="F102" s="15">
        <v>8.5471029103681276E-2</v>
      </c>
      <c r="G102" s="15">
        <v>1.1808497441955967</v>
      </c>
      <c r="H102" s="15">
        <v>0.7647407867171484</v>
      </c>
      <c r="I102" s="15">
        <v>7.4224841063723221E-2</v>
      </c>
      <c r="J102" s="15">
        <v>0.58480177807781941</v>
      </c>
    </row>
    <row r="103" spans="1:10" x14ac:dyDescent="0.2">
      <c r="A103" t="s">
        <v>109</v>
      </c>
      <c r="B103" s="15">
        <v>0.18292212972470498</v>
      </c>
      <c r="C103" s="15">
        <v>0.78624424179917074</v>
      </c>
      <c r="D103" s="15">
        <v>33.375265774332142</v>
      </c>
      <c r="E103" s="15">
        <v>2.5994197381931765</v>
      </c>
      <c r="F103" s="15">
        <v>0.24389617296627331</v>
      </c>
      <c r="G103" s="15">
        <v>3.3696181791393025</v>
      </c>
      <c r="H103" s="15">
        <v>2.1822289160140249</v>
      </c>
      <c r="I103" s="15">
        <v>0.21180457126018476</v>
      </c>
      <c r="J103" s="15">
        <v>1.6687632887166073</v>
      </c>
    </row>
    <row r="104" spans="1:10" x14ac:dyDescent="0.2">
      <c r="A104" t="s">
        <v>110</v>
      </c>
      <c r="B104" s="15">
        <v>1.9495871101335564E-3</v>
      </c>
      <c r="C104" s="15">
        <v>8.3798042453109012E-3</v>
      </c>
      <c r="D104" s="15">
        <v>0.35571413939278923</v>
      </c>
      <c r="E104" s="15">
        <v>2.7704658933476855E-2</v>
      </c>
      <c r="F104" s="15">
        <v>2.599449480178075E-3</v>
      </c>
      <c r="G104" s="15">
        <v>3.5913446765618147E-2</v>
      </c>
      <c r="H104" s="15">
        <v>2.3258232191066992E-2</v>
      </c>
      <c r="I104" s="15">
        <v>2.257416653838855E-3</v>
      </c>
      <c r="J104" s="15">
        <v>1.7785706969639464E-2</v>
      </c>
    </row>
    <row r="105" spans="1:10" x14ac:dyDescent="0.2">
      <c r="A105" t="s">
        <v>111</v>
      </c>
      <c r="B105" s="15">
        <v>6.4082080663520377E-2</v>
      </c>
      <c r="C105" s="15">
        <v>0.27544052215021919</v>
      </c>
      <c r="D105" s="15">
        <v>11.692169103519509</v>
      </c>
      <c r="E105" s="15">
        <v>0.91064009363950016</v>
      </c>
      <c r="F105" s="15">
        <v>8.5442774218027165E-2</v>
      </c>
      <c r="G105" s="15">
        <v>1.1804593806437964</v>
      </c>
      <c r="H105" s="15">
        <v>0.76448797984550632</v>
      </c>
      <c r="I105" s="15">
        <v>7.4200303926181502E-2</v>
      </c>
      <c r="J105" s="15">
        <v>0.58460845517597548</v>
      </c>
    </row>
    <row r="106" spans="1:10" x14ac:dyDescent="0.2">
      <c r="A106" s="6" t="s">
        <v>49</v>
      </c>
      <c r="B106" s="14">
        <f t="shared" ref="B106:G106" si="4">SUM(B71:B105)</f>
        <v>27.246497039999991</v>
      </c>
      <c r="C106" s="14">
        <f t="shared" si="4"/>
        <v>117.11213640000003</v>
      </c>
      <c r="D106" s="14">
        <f t="shared" si="4"/>
        <v>4971.2906880000019</v>
      </c>
      <c r="E106" s="14">
        <f t="shared" si="4"/>
        <v>387.18706320000007</v>
      </c>
      <c r="F106" s="14">
        <f t="shared" si="4"/>
        <v>36.328662720000004</v>
      </c>
      <c r="G106" s="14">
        <f t="shared" si="4"/>
        <v>501.909156</v>
      </c>
      <c r="H106" s="14">
        <f t="shared" ref="H106:J106" si="5">SUM(H71:H105)</f>
        <v>325.04592959999991</v>
      </c>
      <c r="I106" s="14">
        <f t="shared" si="5"/>
        <v>31.548575520000004</v>
      </c>
      <c r="J106" s="14">
        <f t="shared" si="5"/>
        <v>248.56453440000007</v>
      </c>
    </row>
    <row r="108" spans="1:10" x14ac:dyDescent="0.2">
      <c r="A108" s="9" t="s">
        <v>50</v>
      </c>
      <c r="B108" s="10">
        <f t="shared" ref="B108:J108" si="6">B9+B39+B50+B68+B106</f>
        <v>284.25355308000002</v>
      </c>
      <c r="C108" s="10">
        <f t="shared" si="6"/>
        <v>1221.7915878000001</v>
      </c>
      <c r="D108" s="10">
        <f t="shared" si="6"/>
        <v>51863.806175999998</v>
      </c>
      <c r="E108" s="10">
        <f t="shared" si="6"/>
        <v>4039.3925963999995</v>
      </c>
      <c r="F108" s="10">
        <f t="shared" si="6"/>
        <v>379.00473743999999</v>
      </c>
      <c r="G108" s="10">
        <f t="shared" si="6"/>
        <v>9339.3447671999929</v>
      </c>
      <c r="H108" s="10">
        <f t="shared" si="6"/>
        <v>3391.0950191999996</v>
      </c>
      <c r="I108" s="10">
        <f t="shared" si="6"/>
        <v>329.13569304000004</v>
      </c>
      <c r="J108" s="10">
        <f t="shared" si="6"/>
        <v>2593.1903088000004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5.5" customWidth="1"/>
    <col min="2" max="2" width="13.5" bestFit="1" customWidth="1"/>
    <col min="3" max="3" width="14.5" bestFit="1" customWidth="1"/>
    <col min="4" max="4" width="15.5" bestFit="1" customWidth="1"/>
    <col min="5" max="5" width="15.33203125" bestFit="1" customWidth="1"/>
    <col min="6" max="6" width="14.33203125" bestFit="1" customWidth="1"/>
    <col min="7" max="10" width="15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 s="11">
        <v>2.917656427574419</v>
      </c>
      <c r="C4" s="11">
        <v>17.505938565446513</v>
      </c>
      <c r="D4" s="11">
        <v>245.08313991625121</v>
      </c>
      <c r="E4" s="11">
        <v>87.529692827232566</v>
      </c>
      <c r="F4" s="11">
        <v>5.4851940838399074</v>
      </c>
      <c r="G4" s="11">
        <f>46.6825028411907+57.1860659804586</f>
        <v>103.86856882164929</v>
      </c>
      <c r="H4" s="11">
        <v>37.929533558467448</v>
      </c>
      <c r="I4" s="11">
        <v>32.094220703318612</v>
      </c>
      <c r="J4" s="11">
        <v>32.094220703318612</v>
      </c>
    </row>
    <row r="5" spans="1:10" x14ac:dyDescent="0.2">
      <c r="A5" t="s">
        <v>2</v>
      </c>
      <c r="B5" s="11">
        <v>3.7852360255656352</v>
      </c>
      <c r="C5" s="11">
        <v>22.711416153393809</v>
      </c>
      <c r="D5" s="11">
        <v>317.95982614751335</v>
      </c>
      <c r="E5" s="11">
        <v>113.55708076696905</v>
      </c>
      <c r="F5" s="11">
        <v>7.1162437280633934</v>
      </c>
      <c r="G5" s="11">
        <f>60.5637764090502+74.1906261010865</f>
        <v>134.75440251013669</v>
      </c>
      <c r="H5" s="11">
        <v>49.208068332353257</v>
      </c>
      <c r="I5" s="11">
        <v>41.637596281221988</v>
      </c>
      <c r="J5" s="11">
        <v>41.637596281221988</v>
      </c>
    </row>
    <row r="6" spans="1:10" x14ac:dyDescent="0.2">
      <c r="A6" t="s">
        <v>3</v>
      </c>
      <c r="B6" s="11">
        <v>1.1958067498990579</v>
      </c>
      <c r="C6" s="11">
        <v>7.174840499394346</v>
      </c>
      <c r="D6" s="11">
        <v>100.44776699152087</v>
      </c>
      <c r="E6" s="11">
        <v>35.874202496971733</v>
      </c>
      <c r="F6" s="11">
        <v>2.2481166898102285</v>
      </c>
      <c r="G6" s="11">
        <f>19.1329079983849+23.4378122980215</f>
        <v>42.5707202964064</v>
      </c>
      <c r="H6" s="11">
        <v>15.545487748687751</v>
      </c>
      <c r="I6" s="11">
        <v>13.153874248889638</v>
      </c>
      <c r="J6" s="11">
        <v>13.153874248889638</v>
      </c>
    </row>
    <row r="7" spans="1:10" x14ac:dyDescent="0.2">
      <c r="A7" t="s">
        <v>4</v>
      </c>
      <c r="B7" s="11">
        <v>3.336956503154604</v>
      </c>
      <c r="C7" s="11">
        <v>20.021739018927622</v>
      </c>
      <c r="D7" s="11">
        <v>280.30434626498675</v>
      </c>
      <c r="E7" s="11">
        <v>100.10869509463811</v>
      </c>
      <c r="F7" s="11">
        <v>6.2734782259306554</v>
      </c>
      <c r="G7" s="11">
        <f>53.3913040504737+65.4043474618302</f>
        <v>118.79565151230389</v>
      </c>
      <c r="H7" s="11">
        <v>43.380434541009855</v>
      </c>
      <c r="I7" s="11">
        <v>36.706521534700649</v>
      </c>
      <c r="J7" s="11">
        <v>36.706521534700649</v>
      </c>
    </row>
    <row r="8" spans="1:10" x14ac:dyDescent="0.2">
      <c r="A8" t="s">
        <v>5</v>
      </c>
      <c r="B8" s="11">
        <v>2.3358204628909434</v>
      </c>
      <c r="C8" s="11">
        <v>14.014922777345657</v>
      </c>
      <c r="D8" s="11">
        <v>196.20891888283924</v>
      </c>
      <c r="E8" s="11">
        <v>70.074613886728287</v>
      </c>
      <c r="F8" s="11">
        <v>4.3913424702349726</v>
      </c>
      <c r="G8" s="11">
        <f>37.3731274062551+45.7820810726625</f>
        <v>83.155208478917601</v>
      </c>
      <c r="H8" s="11">
        <v>30.36566601758226</v>
      </c>
      <c r="I8" s="11">
        <v>25.694025091800377</v>
      </c>
      <c r="J8" s="11">
        <v>25.694025091800377</v>
      </c>
    </row>
    <row r="9" spans="1:10" x14ac:dyDescent="0.2">
      <c r="A9" s="6" t="s">
        <v>42</v>
      </c>
      <c r="B9" s="14">
        <f>SUM(B4:B8)</f>
        <v>13.571476169084658</v>
      </c>
      <c r="C9" s="14">
        <f t="shared" ref="C9:J9" si="0">SUM(C4:C8)</f>
        <v>81.428857014507955</v>
      </c>
      <c r="D9" s="14">
        <f t="shared" si="0"/>
        <v>1140.0039982031115</v>
      </c>
      <c r="E9" s="14">
        <f t="shared" si="0"/>
        <v>407.14428507253973</v>
      </c>
      <c r="F9" s="14">
        <f t="shared" si="0"/>
        <v>25.514375197879154</v>
      </c>
      <c r="G9" s="14">
        <f t="shared" si="0"/>
        <v>483.14455161941385</v>
      </c>
      <c r="H9" s="14">
        <f t="shared" si="0"/>
        <v>176.42919019810057</v>
      </c>
      <c r="I9" s="14">
        <f t="shared" si="0"/>
        <v>149.28623785993125</v>
      </c>
      <c r="J9" s="14">
        <f t="shared" si="0"/>
        <v>149.28623785993125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1">
        <v>89.127826520733009</v>
      </c>
      <c r="C12" s="11">
        <v>534.766959124398</v>
      </c>
      <c r="D12" s="11">
        <v>7486.737427741572</v>
      </c>
      <c r="E12" s="11">
        <v>2673.83479562199</v>
      </c>
      <c r="F12" s="11">
        <v>167.56031385897805</v>
      </c>
      <c r="G12" s="11">
        <f>1426.04522433173+1746.90539980637</f>
        <v>3172.9506241381</v>
      </c>
      <c r="H12" s="11">
        <v>1158.6617447695289</v>
      </c>
      <c r="I12" s="11">
        <v>980.40609172806296</v>
      </c>
      <c r="J12" s="11">
        <v>980.40609172806296</v>
      </c>
    </row>
    <row r="13" spans="1:10" x14ac:dyDescent="0.2">
      <c r="A13" t="s">
        <v>52</v>
      </c>
      <c r="B13" s="11">
        <v>36.848005915593603</v>
      </c>
      <c r="C13" s="11">
        <v>221.08803549356159</v>
      </c>
      <c r="D13" s="11">
        <v>3095.2324969098622</v>
      </c>
      <c r="E13" s="11">
        <v>1105.4401774678081</v>
      </c>
      <c r="F13" s="11">
        <v>69.27425112131597</v>
      </c>
      <c r="G13" s="11">
        <f>589.568094649498+722.220915945635</f>
        <v>1311.789010595133</v>
      </c>
      <c r="H13" s="11">
        <v>479.02407690271679</v>
      </c>
      <c r="I13" s="11">
        <v>405.32806507152964</v>
      </c>
      <c r="J13" s="11">
        <v>405.32806507152964</v>
      </c>
    </row>
    <row r="14" spans="1:10" x14ac:dyDescent="0.2">
      <c r="A14" t="s">
        <v>53</v>
      </c>
      <c r="B14" s="11">
        <v>33.775406416205996</v>
      </c>
      <c r="C14" s="11">
        <v>202.65243849723598</v>
      </c>
      <c r="D14" s="11">
        <v>2837.134138961304</v>
      </c>
      <c r="E14" s="11">
        <v>1013.26219248618</v>
      </c>
      <c r="F14" s="11">
        <v>63.497764062467276</v>
      </c>
      <c r="G14" s="11">
        <f>540.406502659296+661.997965757638</f>
        <v>1202.4044684169339</v>
      </c>
      <c r="H14" s="11">
        <v>439.08028341067796</v>
      </c>
      <c r="I14" s="11">
        <v>371.529470578266</v>
      </c>
      <c r="J14" s="11">
        <v>371.529470578266</v>
      </c>
    </row>
    <row r="15" spans="1:10" x14ac:dyDescent="0.2">
      <c r="A15" t="s">
        <v>54</v>
      </c>
      <c r="B15" s="11">
        <v>56.405580132692698</v>
      </c>
      <c r="C15" s="11">
        <v>338.43348079615618</v>
      </c>
      <c r="D15" s="11">
        <v>4738.068731146187</v>
      </c>
      <c r="E15" s="11">
        <v>1692.167403980781</v>
      </c>
      <c r="F15" s="11">
        <v>106.04249064946227</v>
      </c>
      <c r="G15" s="11">
        <f>902.489282123083+1105.54937060078</f>
        <v>2008.0386527238629</v>
      </c>
      <c r="H15" s="11">
        <v>733.27254172500511</v>
      </c>
      <c r="I15" s="11">
        <v>620.4613814596197</v>
      </c>
      <c r="J15" s="11">
        <v>620.4613814596197</v>
      </c>
    </row>
    <row r="16" spans="1:10" x14ac:dyDescent="0.2">
      <c r="A16" t="s">
        <v>55</v>
      </c>
      <c r="B16" s="11">
        <v>39.181052176402503</v>
      </c>
      <c r="C16" s="11">
        <v>235.08631305841499</v>
      </c>
      <c r="D16" s="11">
        <v>3291.2083828178097</v>
      </c>
      <c r="E16" s="11">
        <v>1175.431565292075</v>
      </c>
      <c r="F16" s="11">
        <v>73.660378091636701</v>
      </c>
      <c r="G16" s="11">
        <f>626.89683482244+767.948622657489</f>
        <v>1394.8454574799289</v>
      </c>
      <c r="H16" s="11">
        <v>509.35367829323246</v>
      </c>
      <c r="I16" s="11">
        <v>430.99157394042749</v>
      </c>
      <c r="J16" s="11">
        <v>430.99157394042749</v>
      </c>
    </row>
    <row r="17" spans="1:10" x14ac:dyDescent="0.2">
      <c r="A17" t="s">
        <v>56</v>
      </c>
      <c r="B17" s="11">
        <v>26.208025278926399</v>
      </c>
      <c r="C17" s="11">
        <v>157.2481516735584</v>
      </c>
      <c r="D17" s="11">
        <v>2201.4741234298176</v>
      </c>
      <c r="E17" s="11">
        <v>786.24075836779195</v>
      </c>
      <c r="F17" s="11">
        <v>49.271087524381628</v>
      </c>
      <c r="G17" s="11">
        <f>419.328404462822+513.677295466958</f>
        <v>933.00569992977989</v>
      </c>
      <c r="H17" s="11">
        <v>340.70432862604315</v>
      </c>
      <c r="I17" s="11">
        <v>288.28827806819038</v>
      </c>
      <c r="J17" s="11">
        <v>288.28827806819038</v>
      </c>
    </row>
    <row r="18" spans="1:10" x14ac:dyDescent="0.2">
      <c r="A18" t="s">
        <v>57</v>
      </c>
      <c r="B18" s="11">
        <v>17.856851279248801</v>
      </c>
      <c r="C18" s="11">
        <v>107.14110767549279</v>
      </c>
      <c r="D18" s="11">
        <v>1499.9755074568991</v>
      </c>
      <c r="E18" s="11">
        <v>535.70553837746399</v>
      </c>
      <c r="F18" s="11">
        <v>33.57088040498774</v>
      </c>
      <c r="G18" s="11">
        <f>285.709620467981+349.994285073277</f>
        <v>635.703905541258</v>
      </c>
      <c r="H18" s="11">
        <v>232.1390666302344</v>
      </c>
      <c r="I18" s="11">
        <v>196.42536407173679</v>
      </c>
      <c r="J18" s="11">
        <v>196.42536407173679</v>
      </c>
    </row>
    <row r="19" spans="1:10" x14ac:dyDescent="0.2">
      <c r="A19" t="s">
        <v>58</v>
      </c>
      <c r="B19" s="11">
        <v>16.148045384125201</v>
      </c>
      <c r="C19" s="11">
        <v>96.888272304751197</v>
      </c>
      <c r="D19" s="11">
        <v>1356.4358122665169</v>
      </c>
      <c r="E19" s="11">
        <v>484.44136152375603</v>
      </c>
      <c r="F19" s="11">
        <v>30.358325322155377</v>
      </c>
      <c r="G19" s="11">
        <f>258.368726146003+316.501689528854</f>
        <v>574.87041567485699</v>
      </c>
      <c r="H19" s="11">
        <v>209.92458999362759</v>
      </c>
      <c r="I19" s="11">
        <v>177.6284992253772</v>
      </c>
      <c r="J19" s="11">
        <v>177.6284992253772</v>
      </c>
    </row>
    <row r="20" spans="1:10" x14ac:dyDescent="0.2">
      <c r="A20" t="s">
        <v>59</v>
      </c>
      <c r="B20" s="11">
        <v>32.763662206083907</v>
      </c>
      <c r="C20" s="11">
        <v>196.58197323650342</v>
      </c>
      <c r="D20" s="11">
        <v>2752.1476253110477</v>
      </c>
      <c r="E20" s="11">
        <v>982.90986618251713</v>
      </c>
      <c r="F20" s="11">
        <v>61.595684947437732</v>
      </c>
      <c r="G20" s="11">
        <f>524.218595297343+642.167779239245</f>
        <v>1166.3863745365879</v>
      </c>
      <c r="H20" s="11">
        <v>425.92760867909072</v>
      </c>
      <c r="I20" s="11">
        <v>360.40028426692294</v>
      </c>
      <c r="J20" s="11">
        <v>360.40028426692294</v>
      </c>
    </row>
    <row r="21" spans="1:10" x14ac:dyDescent="0.2">
      <c r="A21" t="s">
        <v>60</v>
      </c>
      <c r="B21" s="11">
        <v>18.004137402724201</v>
      </c>
      <c r="C21" s="11">
        <v>108.0248244163452</v>
      </c>
      <c r="D21" s="11">
        <v>1512.3475418288328</v>
      </c>
      <c r="E21" s="11">
        <v>540.124122081726</v>
      </c>
      <c r="F21" s="11">
        <v>33.847778317121495</v>
      </c>
      <c r="G21" s="11">
        <f>288.066198443587+352.881093093394</f>
        <v>640.94729153698097</v>
      </c>
      <c r="H21" s="11">
        <v>234.05378623541461</v>
      </c>
      <c r="I21" s="11">
        <v>198.04551142996621</v>
      </c>
      <c r="J21" s="11">
        <v>198.04551142996621</v>
      </c>
    </row>
    <row r="22" spans="1:10" x14ac:dyDescent="0.2">
      <c r="A22" t="s">
        <v>61</v>
      </c>
      <c r="B22" s="11">
        <v>17.217744846119999</v>
      </c>
      <c r="C22" s="11">
        <v>103.30646907671999</v>
      </c>
      <c r="D22" s="11">
        <v>1446.2905670740799</v>
      </c>
      <c r="E22" s="11">
        <v>516.53234538360005</v>
      </c>
      <c r="F22" s="11">
        <v>32.369360310705595</v>
      </c>
      <c r="G22" s="11">
        <f>275.48391753792+337.467798983952</f>
        <v>612.95171652187196</v>
      </c>
      <c r="H22" s="11">
        <v>223.83068299956</v>
      </c>
      <c r="I22" s="11">
        <v>189.39519330732</v>
      </c>
      <c r="J22" s="11">
        <v>189.39519330732</v>
      </c>
    </row>
    <row r="23" spans="1:10" x14ac:dyDescent="0.2">
      <c r="A23" t="s">
        <v>62</v>
      </c>
      <c r="B23" s="11">
        <v>25.824660028139704</v>
      </c>
      <c r="C23" s="11">
        <v>154.94796016883819</v>
      </c>
      <c r="D23" s="11">
        <v>2169.2714423637349</v>
      </c>
      <c r="E23" s="11">
        <v>774.73980084419111</v>
      </c>
      <c r="F23" s="11">
        <v>48.550360852902635</v>
      </c>
      <c r="G23" s="11">
        <f>413.194560450235+506.163336551538</f>
        <v>919.35789700177293</v>
      </c>
      <c r="H23" s="11">
        <v>335.72058036581609</v>
      </c>
      <c r="I23" s="11">
        <v>284.07126030953674</v>
      </c>
      <c r="J23" s="11">
        <v>284.07126030953674</v>
      </c>
    </row>
    <row r="24" spans="1:10" x14ac:dyDescent="0.2">
      <c r="A24" t="s">
        <v>63</v>
      </c>
      <c r="B24" s="11">
        <v>23.842856359822502</v>
      </c>
      <c r="C24" s="11">
        <v>143.057138158935</v>
      </c>
      <c r="D24" s="11">
        <v>2002.7999342250901</v>
      </c>
      <c r="E24" s="11">
        <v>715.28569079467502</v>
      </c>
      <c r="F24" s="11">
        <v>44.824569956466298</v>
      </c>
      <c r="G24" s="11">
        <f>381.48570175716+467.319984652521</f>
        <v>848.8056864096809</v>
      </c>
      <c r="H24" s="11">
        <v>309.95713267769253</v>
      </c>
      <c r="I24" s="11">
        <v>262.27141995804755</v>
      </c>
      <c r="J24" s="11">
        <v>262.27141995804755</v>
      </c>
    </row>
    <row r="25" spans="1:10" x14ac:dyDescent="0.2">
      <c r="A25" t="s">
        <v>64</v>
      </c>
      <c r="B25" s="11">
        <v>14.386364099370901</v>
      </c>
      <c r="C25" s="11">
        <v>86.318184596225393</v>
      </c>
      <c r="D25" s="11">
        <v>1208.4545843471556</v>
      </c>
      <c r="E25" s="11">
        <v>431.59092298112699</v>
      </c>
      <c r="F25" s="11">
        <v>27.046364506817291</v>
      </c>
      <c r="G25" s="11">
        <f>230.181825589934+281.97273634767</f>
        <v>512.15456193760394</v>
      </c>
      <c r="H25" s="11">
        <v>187.02273329182168</v>
      </c>
      <c r="I25" s="11">
        <v>158.25000509307989</v>
      </c>
      <c r="J25" s="11">
        <v>158.25000509307989</v>
      </c>
    </row>
    <row r="26" spans="1:10" x14ac:dyDescent="0.2">
      <c r="A26" t="s">
        <v>65</v>
      </c>
      <c r="B26" s="11">
        <v>35.169305674639503</v>
      </c>
      <c r="C26" s="11">
        <v>211.01583404783699</v>
      </c>
      <c r="D26" s="11">
        <v>2954.2216766697179</v>
      </c>
      <c r="E26" s="11">
        <v>1055.079170239185</v>
      </c>
      <c r="F26" s="11">
        <v>66.118294668322264</v>
      </c>
      <c r="G26" s="11">
        <f>562.708890794232+689.318391222934</f>
        <v>1252.027282017166</v>
      </c>
      <c r="H26" s="11">
        <v>457.20097377031351</v>
      </c>
      <c r="I26" s="11">
        <v>386.8623624210345</v>
      </c>
      <c r="J26" s="11">
        <v>386.8623624210345</v>
      </c>
    </row>
    <row r="27" spans="1:10" x14ac:dyDescent="0.2">
      <c r="A27" t="s">
        <v>66</v>
      </c>
      <c r="B27" s="11">
        <v>56.235359925271801</v>
      </c>
      <c r="C27" s="11">
        <v>337.41215955163079</v>
      </c>
      <c r="D27" s="11">
        <v>4723.7702337228311</v>
      </c>
      <c r="E27" s="11">
        <v>1687.060797758154</v>
      </c>
      <c r="F27" s="11">
        <v>105.72247665951099</v>
      </c>
      <c r="G27" s="11">
        <f>899.765758804349+1102.21305453533</f>
        <v>2001.9788133396792</v>
      </c>
      <c r="H27" s="11">
        <v>731.05967902853342</v>
      </c>
      <c r="I27" s="11">
        <v>618.58895917798986</v>
      </c>
      <c r="J27" s="11">
        <v>618.58895917798986</v>
      </c>
    </row>
    <row r="28" spans="1:10" x14ac:dyDescent="0.2">
      <c r="A28" t="s">
        <v>67</v>
      </c>
      <c r="B28" s="11">
        <v>25.397757369784802</v>
      </c>
      <c r="C28" s="11">
        <v>152.38654421870879</v>
      </c>
      <c r="D28" s="11">
        <v>2133.4116190619234</v>
      </c>
      <c r="E28" s="11">
        <v>761.93272109354405</v>
      </c>
      <c r="F28" s="11">
        <v>47.747783855195429</v>
      </c>
      <c r="G28" s="11">
        <f>406.364117916557+497.796044447782</f>
        <v>904.16016236433893</v>
      </c>
      <c r="H28" s="11">
        <v>330.1708458072024</v>
      </c>
      <c r="I28" s="11">
        <v>279.37533106763283</v>
      </c>
      <c r="J28" s="11">
        <v>279.37533106763283</v>
      </c>
    </row>
    <row r="29" spans="1:10" x14ac:dyDescent="0.2">
      <c r="A29" t="s">
        <v>68</v>
      </c>
      <c r="B29" s="11">
        <v>5.9656109277492</v>
      </c>
      <c r="C29" s="11">
        <v>35.793665566495193</v>
      </c>
      <c r="D29" s="11">
        <v>501.11131793093278</v>
      </c>
      <c r="E29" s="11">
        <v>178.96832783247598</v>
      </c>
      <c r="F29" s="11">
        <v>11.215348544168494</v>
      </c>
      <c r="G29" s="11">
        <f>95.4497748439872+116.925974183884</f>
        <v>212.37574902787119</v>
      </c>
      <c r="H29" s="11">
        <v>77.552942060739596</v>
      </c>
      <c r="I29" s="11">
        <v>65.621720205241189</v>
      </c>
      <c r="J29" s="11">
        <v>65.621720205241189</v>
      </c>
    </row>
    <row r="30" spans="1:10" x14ac:dyDescent="0.2">
      <c r="A30" t="s">
        <v>69</v>
      </c>
      <c r="B30" s="11">
        <v>16.615347888075302</v>
      </c>
      <c r="C30" s="11">
        <v>99.692087328451791</v>
      </c>
      <c r="D30" s="11">
        <v>1395.6892225983252</v>
      </c>
      <c r="E30" s="11">
        <v>498.46043664225903</v>
      </c>
      <c r="F30" s="11">
        <v>31.236854029581565</v>
      </c>
      <c r="G30" s="11">
        <f>265.845566209205+325.660818606276</f>
        <v>591.50638481548094</v>
      </c>
      <c r="H30" s="11">
        <v>215.9995225449789</v>
      </c>
      <c r="I30" s="11">
        <v>182.76882676882832</v>
      </c>
      <c r="J30" s="11">
        <v>182.76882676882832</v>
      </c>
    </row>
    <row r="31" spans="1:10" x14ac:dyDescent="0.2">
      <c r="A31" t="s">
        <v>70</v>
      </c>
      <c r="B31" s="11">
        <v>4.910732710884</v>
      </c>
      <c r="C31" s="11">
        <v>29.464396265304</v>
      </c>
      <c r="D31" s="11">
        <v>412.50154771425599</v>
      </c>
      <c r="E31" s="11">
        <v>147.32198132651999</v>
      </c>
      <c r="F31" s="11">
        <v>9.2321774964619205</v>
      </c>
      <c r="G31" s="11">
        <f>78.571723374144+96.2503611333264</f>
        <v>174.82208450747038</v>
      </c>
      <c r="H31" s="11">
        <v>63.839525241491998</v>
      </c>
      <c r="I31" s="11">
        <v>54.018059819724002</v>
      </c>
      <c r="J31" s="11">
        <v>54.018059819724002</v>
      </c>
    </row>
    <row r="32" spans="1:10" x14ac:dyDescent="0.2">
      <c r="A32" t="s">
        <v>71</v>
      </c>
      <c r="B32" s="11">
        <v>37.469781054014405</v>
      </c>
      <c r="C32" s="11">
        <v>224.8186863240864</v>
      </c>
      <c r="D32" s="11">
        <v>3147.4616085372095</v>
      </c>
      <c r="E32" s="11">
        <v>1124.0934316204321</v>
      </c>
      <c r="F32" s="11">
        <v>70.443188381547074</v>
      </c>
      <c r="G32" s="11">
        <f>599.51649686423+734.407708658682</f>
        <v>1333.924205522912</v>
      </c>
      <c r="H32" s="11">
        <v>487.10715370218719</v>
      </c>
      <c r="I32" s="11">
        <v>412.16759159415841</v>
      </c>
      <c r="J32" s="11">
        <v>412.16759159415841</v>
      </c>
    </row>
    <row r="33" spans="1:10" x14ac:dyDescent="0.2">
      <c r="A33" t="s">
        <v>72</v>
      </c>
      <c r="B33" s="11">
        <v>4.7707675653455999</v>
      </c>
      <c r="C33" s="11">
        <v>28.624605392073597</v>
      </c>
      <c r="D33" s="11">
        <v>400.74447548903038</v>
      </c>
      <c r="E33" s="11">
        <v>143.12302696036801</v>
      </c>
      <c r="F33" s="11">
        <v>8.9690430228497267</v>
      </c>
      <c r="G33" s="11">
        <f>76.3322810455296+93.5070442807738</f>
        <v>169.8393253263034</v>
      </c>
      <c r="H33" s="11">
        <v>62.019978349492796</v>
      </c>
      <c r="I33" s="11">
        <v>52.478443218801601</v>
      </c>
      <c r="J33" s="11">
        <v>52.478443218801601</v>
      </c>
    </row>
    <row r="34" spans="1:10" x14ac:dyDescent="0.2">
      <c r="A34" t="s">
        <v>73</v>
      </c>
      <c r="B34" s="11">
        <v>44.880926545809899</v>
      </c>
      <c r="C34" s="11">
        <v>269.28555927485939</v>
      </c>
      <c r="D34" s="11">
        <v>3769.9978298480314</v>
      </c>
      <c r="E34" s="11">
        <v>1346.427796374297</v>
      </c>
      <c r="F34" s="11">
        <v>84.376141906122612</v>
      </c>
      <c r="G34" s="11">
        <f>718.094824732958+879.666160297874</f>
        <v>1597.760985030832</v>
      </c>
      <c r="H34" s="11">
        <v>583.45204509552866</v>
      </c>
      <c r="I34" s="11">
        <v>493.69019200390892</v>
      </c>
      <c r="J34" s="11">
        <v>493.69019200390892</v>
      </c>
    </row>
    <row r="35" spans="1:10" x14ac:dyDescent="0.2">
      <c r="A35" t="s">
        <v>74</v>
      </c>
      <c r="B35" s="11">
        <v>35.959836824893799</v>
      </c>
      <c r="C35" s="11">
        <v>215.75902094936279</v>
      </c>
      <c r="D35" s="11">
        <v>3020.626293291079</v>
      </c>
      <c r="E35" s="11">
        <v>1078.7951047468139</v>
      </c>
      <c r="F35" s="11">
        <v>67.604493230800344</v>
      </c>
      <c r="G35" s="11">
        <f>704.812801767919+575.357389198301</f>
        <v>1280.1701909662202</v>
      </c>
      <c r="H35" s="11">
        <v>467.47787872361937</v>
      </c>
      <c r="I35" s="11">
        <v>395.5582050738318</v>
      </c>
      <c r="J35" s="11">
        <v>395.5582050738318</v>
      </c>
    </row>
    <row r="36" spans="1:10" x14ac:dyDescent="0.2">
      <c r="A36" t="s">
        <v>75</v>
      </c>
      <c r="B36" s="11">
        <v>9.1781755726751992</v>
      </c>
      <c r="C36" s="11">
        <v>55.069053436051192</v>
      </c>
      <c r="D36" s="11">
        <v>770.96674810471677</v>
      </c>
      <c r="E36" s="11">
        <v>275.34526718025597</v>
      </c>
      <c r="F36" s="11">
        <v>17.254970076629373</v>
      </c>
      <c r="G36" s="11">
        <f>179.892241224434+146.850809162803</f>
        <v>326.74305038723696</v>
      </c>
      <c r="H36" s="11">
        <v>119.31628244477758</v>
      </c>
      <c r="I36" s="11">
        <v>100.9599312994272</v>
      </c>
      <c r="J36" s="11">
        <v>100.9599312994272</v>
      </c>
    </row>
    <row r="37" spans="1:10" x14ac:dyDescent="0.2">
      <c r="A37" t="s">
        <v>76</v>
      </c>
      <c r="B37" s="11">
        <v>9.9134557506621004</v>
      </c>
      <c r="C37" s="11">
        <v>59.480734503972592</v>
      </c>
      <c r="D37" s="11">
        <v>832.73028305561638</v>
      </c>
      <c r="E37" s="11">
        <v>297.40367251986299</v>
      </c>
      <c r="F37" s="11">
        <v>18.637296811244745</v>
      </c>
      <c r="G37" s="11">
        <f>194.303732712977+158.615292010594</f>
        <v>352.919024723571</v>
      </c>
      <c r="H37" s="11">
        <v>128.87492475860731</v>
      </c>
      <c r="I37" s="11">
        <v>109.0480132572831</v>
      </c>
      <c r="J37" s="11">
        <v>109.0480132572831</v>
      </c>
    </row>
    <row r="38" spans="1:10" x14ac:dyDescent="0.2">
      <c r="A38" t="s">
        <v>77</v>
      </c>
      <c r="B38" s="11">
        <v>2.7358046327430001</v>
      </c>
      <c r="C38" s="11">
        <v>16.414827796457999</v>
      </c>
      <c r="D38" s="11">
        <v>229.80758915041201</v>
      </c>
      <c r="E38" s="11">
        <v>82.074138982290009</v>
      </c>
      <c r="F38" s="11">
        <v>5.1433127095568398</v>
      </c>
      <c r="G38" s="11">
        <f>53.6217708017628+43.772874123888</f>
        <v>97.394644925650795</v>
      </c>
      <c r="H38" s="11">
        <v>35.565460225659002</v>
      </c>
      <c r="I38" s="11">
        <v>30.093850960173</v>
      </c>
      <c r="J38" s="11">
        <v>30.093850960173</v>
      </c>
    </row>
    <row r="39" spans="1:10" x14ac:dyDescent="0.2">
      <c r="A39" s="6" t="s">
        <v>43</v>
      </c>
      <c r="B39" s="14">
        <f>SUM(B12:B38)</f>
        <v>736.79308048873827</v>
      </c>
      <c r="C39" s="14">
        <f t="shared" ref="C39:I39" si="1">SUM(C12:C38)</f>
        <v>4420.7584829324269</v>
      </c>
      <c r="D39" s="14">
        <f t="shared" si="1"/>
        <v>61890.618761054</v>
      </c>
      <c r="E39" s="14">
        <f t="shared" si="1"/>
        <v>22103.792414662144</v>
      </c>
      <c r="F39" s="14">
        <f t="shared" si="1"/>
        <v>1385.1709913188276</v>
      </c>
      <c r="G39" s="14">
        <f t="shared" si="1"/>
        <v>26229.833665399088</v>
      </c>
      <c r="H39" s="14">
        <f t="shared" si="1"/>
        <v>9578.3100463535939</v>
      </c>
      <c r="I39" s="14">
        <f t="shared" si="1"/>
        <v>8104.7238853761182</v>
      </c>
      <c r="J39" s="14">
        <f>SUM(J12:J38)</f>
        <v>8104.7238853761182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 s="11">
        <v>8.622312002576999</v>
      </c>
      <c r="C42" s="11">
        <v>51.733872015461991</v>
      </c>
      <c r="D42" s="11">
        <v>724.27420821646797</v>
      </c>
      <c r="E42" s="11">
        <v>258.66936007730999</v>
      </c>
      <c r="F42" s="11">
        <v>16.20994656484476</v>
      </c>
      <c r="G42" s="11">
        <f>168.997315250509+137.956992041232</f>
        <v>306.95430729174097</v>
      </c>
      <c r="H42" s="11">
        <v>112.090056033501</v>
      </c>
      <c r="I42" s="11">
        <v>94.845432028347005</v>
      </c>
      <c r="J42" s="11">
        <v>94.845432028347005</v>
      </c>
    </row>
    <row r="43" spans="1:10" x14ac:dyDescent="0.2">
      <c r="A43" t="s">
        <v>15</v>
      </c>
      <c r="B43" s="11">
        <v>9.2676039150239991</v>
      </c>
      <c r="C43" s="11">
        <v>55.605623490143991</v>
      </c>
      <c r="D43" s="11">
        <v>778.47872886201594</v>
      </c>
      <c r="E43" s="11">
        <v>278.02811745072</v>
      </c>
      <c r="F43" s="11">
        <v>17.423095360245121</v>
      </c>
      <c r="G43" s="11">
        <f>181.64503673447+148.281662640384</f>
        <v>329.92669937485402</v>
      </c>
      <c r="H43" s="11">
        <v>120.47885089531199</v>
      </c>
      <c r="I43" s="11">
        <v>101.943643065264</v>
      </c>
      <c r="J43" s="11">
        <v>101.943643065264</v>
      </c>
    </row>
    <row r="44" spans="1:10" x14ac:dyDescent="0.2">
      <c r="A44" t="s">
        <v>16</v>
      </c>
      <c r="B44" s="11">
        <v>27.041280631911</v>
      </c>
      <c r="C44" s="11">
        <v>162.24768379146599</v>
      </c>
      <c r="D44" s="11">
        <v>2271.4675730805243</v>
      </c>
      <c r="E44" s="11">
        <v>811.23841895733005</v>
      </c>
      <c r="F44" s="11">
        <v>50.837607587992686</v>
      </c>
      <c r="G44" s="11">
        <f>530.009100385456+432.660490110576</f>
        <v>962.66959049603201</v>
      </c>
      <c r="H44" s="11">
        <v>351.53664821484301</v>
      </c>
      <c r="I44" s="11">
        <v>297.45408695102105</v>
      </c>
      <c r="J44" s="11">
        <v>297.45408695102105</v>
      </c>
    </row>
    <row r="45" spans="1:10" x14ac:dyDescent="0.2">
      <c r="A45" t="s">
        <v>17</v>
      </c>
      <c r="B45" s="11">
        <v>10.731721241241001</v>
      </c>
      <c r="C45" s="11">
        <v>64.390327447445998</v>
      </c>
      <c r="D45" s="11">
        <v>901.46458426424408</v>
      </c>
      <c r="E45" s="11">
        <v>321.95163723723005</v>
      </c>
      <c r="F45" s="11">
        <v>20.175635933533083</v>
      </c>
      <c r="G45" s="11">
        <f>210.341736328324+171.707539859856</f>
        <v>382.04927618817999</v>
      </c>
      <c r="H45" s="11">
        <v>139.51237613613301</v>
      </c>
      <c r="I45" s="11">
        <v>118.04893365365101</v>
      </c>
      <c r="J45" s="11">
        <v>118.04893365365101</v>
      </c>
    </row>
    <row r="46" spans="1:10" x14ac:dyDescent="0.2">
      <c r="A46" t="s">
        <v>18</v>
      </c>
      <c r="B46" s="11">
        <v>15.864971839353</v>
      </c>
      <c r="C46" s="11">
        <v>95.18983103611798</v>
      </c>
      <c r="D46" s="11">
        <v>1332.6576345056519</v>
      </c>
      <c r="E46" s="11">
        <v>475.94915518059003</v>
      </c>
      <c r="F46" s="11">
        <v>29.82614705798364</v>
      </c>
      <c r="G46" s="11">
        <f>310.953448051319+253.839549429648</f>
        <v>564.79299748096696</v>
      </c>
      <c r="H46" s="11">
        <v>206.24463391158901</v>
      </c>
      <c r="I46" s="11">
        <v>174.514690232883</v>
      </c>
      <c r="J46" s="11">
        <v>174.514690232883</v>
      </c>
    </row>
    <row r="47" spans="1:10" x14ac:dyDescent="0.2">
      <c r="A47" t="s">
        <v>19</v>
      </c>
      <c r="B47" s="11">
        <v>3.1105618648649997</v>
      </c>
      <c r="C47" s="11">
        <v>18.663371189189995</v>
      </c>
      <c r="D47" s="11">
        <v>261.28719664865997</v>
      </c>
      <c r="E47" s="11">
        <v>93.316855945949996</v>
      </c>
      <c r="F47" s="11">
        <v>5.8478563059462001</v>
      </c>
      <c r="G47" s="11">
        <f>60.967012551354+49.76898983784</f>
        <v>110.736002389194</v>
      </c>
      <c r="H47" s="11">
        <v>40.437304243244995</v>
      </c>
      <c r="I47" s="11">
        <v>34.216180513514999</v>
      </c>
      <c r="J47" s="11">
        <v>34.216180513514999</v>
      </c>
    </row>
    <row r="48" spans="1:10" x14ac:dyDescent="0.2">
      <c r="A48" t="s">
        <v>20</v>
      </c>
      <c r="B48" s="11">
        <v>4.8991713997590001</v>
      </c>
      <c r="C48" s="11">
        <v>29.395028398553997</v>
      </c>
      <c r="D48" s="11">
        <v>411.53039757975597</v>
      </c>
      <c r="E48" s="11">
        <v>146.97514199277001</v>
      </c>
      <c r="F48" s="11">
        <v>9.2104422315469208</v>
      </c>
      <c r="G48" s="11">
        <f>96.0237594352764+78.386742396144</f>
        <v>174.41050183142039</v>
      </c>
      <c r="H48" s="11">
        <v>63.689228196866999</v>
      </c>
      <c r="I48" s="11">
        <v>53.890885397349003</v>
      </c>
      <c r="J48" s="11">
        <v>53.890885397349003</v>
      </c>
    </row>
    <row r="49" spans="1:10" x14ac:dyDescent="0.2">
      <c r="A49" t="s">
        <v>21</v>
      </c>
      <c r="B49" s="11">
        <v>12.435744666618</v>
      </c>
      <c r="C49" s="11">
        <v>74.614467999707998</v>
      </c>
      <c r="D49" s="11">
        <v>1044.6025519959121</v>
      </c>
      <c r="E49" s="11">
        <v>373.07233999854003</v>
      </c>
      <c r="F49" s="11">
        <v>23.379199973241843</v>
      </c>
      <c r="G49" s="11">
        <f>243.740595465713+198.971914665888</f>
        <v>442.71251013160099</v>
      </c>
      <c r="H49" s="11">
        <v>161.664680666034</v>
      </c>
      <c r="I49" s="11">
        <v>136.79319133279802</v>
      </c>
      <c r="J49" s="11">
        <v>136.79319133279802</v>
      </c>
    </row>
    <row r="50" spans="1:10" x14ac:dyDescent="0.2">
      <c r="A50" s="6" t="s">
        <v>44</v>
      </c>
      <c r="B50" s="14">
        <f>SUM(B42:B49)</f>
        <v>91.973367561347999</v>
      </c>
      <c r="C50" s="14">
        <f t="shared" ref="C50:J50" si="2">SUM(C42:C49)</f>
        <v>551.84020536808805</v>
      </c>
      <c r="D50" s="14">
        <f t="shared" si="2"/>
        <v>7725.762875153232</v>
      </c>
      <c r="E50" s="14">
        <f t="shared" si="2"/>
        <v>2759.2010268404401</v>
      </c>
      <c r="F50" s="14">
        <f t="shared" si="2"/>
        <v>172.90993101533428</v>
      </c>
      <c r="G50" s="14">
        <f t="shared" si="2"/>
        <v>3274.2518851839895</v>
      </c>
      <c r="H50" s="14">
        <f t="shared" si="2"/>
        <v>1195.653778297524</v>
      </c>
      <c r="I50" s="14">
        <f t="shared" si="2"/>
        <v>1011.7070431748282</v>
      </c>
      <c r="J50" s="14">
        <f t="shared" si="2"/>
        <v>1011.7070431748282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1">
        <v>4.8780401493999994</v>
      </c>
      <c r="C53" s="11">
        <v>29.268240896399998</v>
      </c>
      <c r="D53" s="11">
        <v>409.75537254959994</v>
      </c>
      <c r="E53" s="11">
        <v>146.34120448199997</v>
      </c>
      <c r="F53" s="11">
        <v>9.1707154808719977</v>
      </c>
      <c r="G53" s="11">
        <f>95.60958692824+78.0486423904</f>
        <v>173.65822931864</v>
      </c>
      <c r="H53" s="11">
        <v>63.414521942199997</v>
      </c>
      <c r="I53" s="11">
        <v>53.658441643399996</v>
      </c>
      <c r="J53" s="11">
        <v>53.658441643399996</v>
      </c>
    </row>
    <row r="54" spans="1:10" x14ac:dyDescent="0.2">
      <c r="A54" t="s">
        <v>26</v>
      </c>
      <c r="B54" s="11">
        <v>9.6375079858199992</v>
      </c>
      <c r="C54" s="11">
        <v>57.825047914919992</v>
      </c>
      <c r="D54" s="11">
        <v>809.55067080887989</v>
      </c>
      <c r="E54" s="11">
        <v>289.1252395745999</v>
      </c>
      <c r="F54" s="11">
        <v>18.118515013341597</v>
      </c>
      <c r="G54" s="11">
        <f>188.895156522072+154.20012777312</f>
        <v>343.09528429519196</v>
      </c>
      <c r="H54" s="11">
        <v>125.28760381565999</v>
      </c>
      <c r="I54" s="11">
        <v>106.01258784401999</v>
      </c>
      <c r="J54" s="11">
        <v>106.01258784401999</v>
      </c>
    </row>
    <row r="55" spans="1:10" x14ac:dyDescent="0.2">
      <c r="A55" t="s">
        <v>27</v>
      </c>
      <c r="B55" s="11">
        <v>16.290041352199999</v>
      </c>
      <c r="C55" s="11">
        <v>97.740248113199996</v>
      </c>
      <c r="D55" s="11">
        <v>1368.3634735848</v>
      </c>
      <c r="E55" s="11">
        <v>488.70124056599985</v>
      </c>
      <c r="F55" s="11">
        <v>30.625277742135996</v>
      </c>
      <c r="G55" s="11">
        <f>319.28481050312+260.6406616352</f>
        <v>579.92547213831995</v>
      </c>
      <c r="H55" s="11">
        <v>211.77053757859997</v>
      </c>
      <c r="I55" s="11">
        <v>179.19045487419999</v>
      </c>
      <c r="J55" s="11">
        <v>179.19045487419999</v>
      </c>
    </row>
    <row r="56" spans="1:10" x14ac:dyDescent="0.2">
      <c r="A56" t="s">
        <v>28</v>
      </c>
      <c r="B56" s="11">
        <v>16.822094537599998</v>
      </c>
      <c r="C56" s="11">
        <v>100.93256722559998</v>
      </c>
      <c r="D56" s="11">
        <v>1413.0559411583997</v>
      </c>
      <c r="E56" s="11">
        <v>504.66283612799981</v>
      </c>
      <c r="F56" s="11">
        <v>31.625537730687991</v>
      </c>
      <c r="G56" s="11">
        <f>329.71305293696+269.1535126016</f>
        <v>598.86656553856005</v>
      </c>
      <c r="H56" s="11">
        <v>218.68722898879994</v>
      </c>
      <c r="I56" s="11">
        <v>185.04303991359996</v>
      </c>
      <c r="J56" s="11">
        <v>185.04303991359996</v>
      </c>
    </row>
    <row r="57" spans="1:10" x14ac:dyDescent="0.2">
      <c r="A57" t="s">
        <v>29</v>
      </c>
      <c r="B57" s="11">
        <v>20.6395721158</v>
      </c>
      <c r="C57" s="11">
        <v>123.8374326948</v>
      </c>
      <c r="D57" s="11">
        <v>1733.7240577272</v>
      </c>
      <c r="E57" s="11">
        <v>619.18716347399993</v>
      </c>
      <c r="F57" s="11">
        <v>38.802395577703997</v>
      </c>
      <c r="G57" s="11">
        <f>404.53561346968+330.2331538528</f>
        <v>734.76876732248002</v>
      </c>
      <c r="H57" s="11">
        <v>268.31443750540001</v>
      </c>
      <c r="I57" s="11">
        <v>227.03529327379999</v>
      </c>
      <c r="J57" s="11">
        <v>227.03529327379999</v>
      </c>
    </row>
    <row r="58" spans="1:10" x14ac:dyDescent="0.2">
      <c r="A58" t="s">
        <v>30</v>
      </c>
      <c r="B58" s="11">
        <v>9.9371362419999993</v>
      </c>
      <c r="C58" s="11">
        <v>59.622817451999992</v>
      </c>
      <c r="D58" s="11">
        <v>834.71944432799989</v>
      </c>
      <c r="E58" s="11">
        <v>298.11408725999991</v>
      </c>
      <c r="F58" s="11">
        <v>18.681816134959998</v>
      </c>
      <c r="G58" s="11">
        <f>194.7678703432+158.994179872</f>
        <v>353.76205021520002</v>
      </c>
      <c r="H58" s="11">
        <v>129.18277114599999</v>
      </c>
      <c r="I58" s="11">
        <v>109.30849866199999</v>
      </c>
      <c r="J58" s="11">
        <v>109.30849866199999</v>
      </c>
    </row>
    <row r="59" spans="1:10" x14ac:dyDescent="0.2">
      <c r="A59" t="s">
        <v>31</v>
      </c>
      <c r="B59" s="11">
        <v>7.2504528997999991</v>
      </c>
      <c r="C59" s="11">
        <v>43.502717398799994</v>
      </c>
      <c r="D59" s="11">
        <v>609.03804358319996</v>
      </c>
      <c r="E59" s="11">
        <v>217.51358699399995</v>
      </c>
      <c r="F59" s="11">
        <v>13.630851451623998</v>
      </c>
      <c r="G59" s="11">
        <f>142.10887683608+116.0072463968</f>
        <v>258.11612323288</v>
      </c>
      <c r="H59" s="11">
        <v>94.255887697399984</v>
      </c>
      <c r="I59" s="11">
        <v>79.754981897799993</v>
      </c>
      <c r="J59" s="11">
        <v>79.754981897799993</v>
      </c>
    </row>
    <row r="60" spans="1:10" x14ac:dyDescent="0.2">
      <c r="A60" t="s">
        <v>32</v>
      </c>
      <c r="B60" s="11">
        <v>7.2631783619999997</v>
      </c>
      <c r="C60" s="11">
        <v>43.579070171999994</v>
      </c>
      <c r="D60" s="11">
        <v>610.10698240799991</v>
      </c>
      <c r="E60" s="11">
        <v>217.89535085999995</v>
      </c>
      <c r="F60" s="11">
        <v>13.654775320559999</v>
      </c>
      <c r="G60" s="11">
        <f>142.3582958952+116.210853792</f>
        <v>258.56914968720002</v>
      </c>
      <c r="H60" s="11">
        <v>94.421318705999994</v>
      </c>
      <c r="I60" s="11">
        <v>79.894961981999998</v>
      </c>
      <c r="J60" s="11">
        <v>79.894961981999998</v>
      </c>
    </row>
    <row r="61" spans="1:10" x14ac:dyDescent="0.2">
      <c r="A61" t="s">
        <v>33</v>
      </c>
      <c r="B61" s="11">
        <v>7.1581530283999992</v>
      </c>
      <c r="C61" s="11">
        <v>42.948918170399999</v>
      </c>
      <c r="D61" s="11">
        <v>601.28485438559994</v>
      </c>
      <c r="E61" s="11">
        <v>214.74459085199993</v>
      </c>
      <c r="F61" s="11">
        <v>13.457327693391997</v>
      </c>
      <c r="G61" s="11">
        <f>140.29979935664+114.5304484544</f>
        <v>254.83024781104001</v>
      </c>
      <c r="H61" s="11">
        <v>93.055989369199992</v>
      </c>
      <c r="I61" s="11">
        <v>78.73968331239999</v>
      </c>
      <c r="J61" s="11">
        <v>78.73968331239999</v>
      </c>
    </row>
    <row r="62" spans="1:10" x14ac:dyDescent="0.2">
      <c r="A62" t="s">
        <v>34</v>
      </c>
      <c r="B62" s="11">
        <v>6.4461714723999997</v>
      </c>
      <c r="C62" s="11">
        <v>38.677028834399998</v>
      </c>
      <c r="D62" s="11">
        <v>541.47840368159996</v>
      </c>
      <c r="E62" s="11">
        <v>193.38514417199997</v>
      </c>
      <c r="F62" s="11">
        <v>12.118802368112</v>
      </c>
      <c r="G62" s="11">
        <f>126.34496085904+103.1387435584</f>
        <v>229.48370441743998</v>
      </c>
      <c r="H62" s="11">
        <v>83.800229141200006</v>
      </c>
      <c r="I62" s="11">
        <v>70.9078861964</v>
      </c>
      <c r="J62" s="11">
        <v>70.9078861964</v>
      </c>
    </row>
    <row r="63" spans="1:10" x14ac:dyDescent="0.2">
      <c r="A63" t="s">
        <v>35</v>
      </c>
      <c r="B63" s="11">
        <v>3.2248576359999999</v>
      </c>
      <c r="C63" s="11">
        <v>19.349145816</v>
      </c>
      <c r="D63" s="11">
        <v>270.88804142399999</v>
      </c>
      <c r="E63" s="11">
        <v>96.745729079999975</v>
      </c>
      <c r="F63" s="11">
        <v>6.0627323556799997</v>
      </c>
      <c r="G63" s="11">
        <f>63.2072096656+51.597722176</f>
        <v>114.80493184159999</v>
      </c>
      <c r="H63" s="11">
        <v>41.923149267999996</v>
      </c>
      <c r="I63" s="11">
        <v>35.473433995999997</v>
      </c>
      <c r="J63" s="11">
        <v>35.473433995999997</v>
      </c>
    </row>
    <row r="64" spans="1:10" x14ac:dyDescent="0.2">
      <c r="A64" t="s">
        <v>36</v>
      </c>
      <c r="B64" s="11">
        <v>4.4009158578000003</v>
      </c>
      <c r="C64" s="11">
        <v>26.4054951468</v>
      </c>
      <c r="D64" s="11">
        <v>369.67693205519998</v>
      </c>
      <c r="E64" s="11">
        <v>132.02747573399998</v>
      </c>
      <c r="F64" s="11">
        <v>8.2737218126640002</v>
      </c>
      <c r="G64" s="11">
        <f>86.25795081288+70.4146537248</f>
        <v>156.67260453768</v>
      </c>
      <c r="H64" s="11">
        <v>57.211906151400001</v>
      </c>
      <c r="I64" s="11">
        <v>48.410074435799999</v>
      </c>
      <c r="J64" s="11">
        <v>48.410074435799999</v>
      </c>
    </row>
    <row r="65" spans="1:10" x14ac:dyDescent="0.2">
      <c r="A65" t="s">
        <v>37</v>
      </c>
      <c r="B65" s="11">
        <v>2.495157082</v>
      </c>
      <c r="C65" s="11">
        <v>14.970942491999999</v>
      </c>
      <c r="D65" s="11">
        <v>209.593194888</v>
      </c>
      <c r="E65" s="11">
        <v>74.854712459999988</v>
      </c>
      <c r="F65" s="11">
        <v>4.6908953141599996</v>
      </c>
      <c r="G65" s="11">
        <f>48.9050788072+39.922513312</f>
        <v>88.827592119200006</v>
      </c>
      <c r="H65" s="11">
        <v>32.437042065999997</v>
      </c>
      <c r="I65" s="11">
        <v>27.446727901999999</v>
      </c>
      <c r="J65" s="11">
        <v>27.446727901999999</v>
      </c>
    </row>
    <row r="66" spans="1:10" x14ac:dyDescent="0.2">
      <c r="A66" t="s">
        <v>38</v>
      </c>
      <c r="B66" s="11">
        <v>16.93775127</v>
      </c>
      <c r="C66" s="11">
        <v>101.62650761999998</v>
      </c>
      <c r="D66" s="11">
        <v>1422.7711066799998</v>
      </c>
      <c r="E66" s="11">
        <v>508.13253809999986</v>
      </c>
      <c r="F66" s="11">
        <v>31.842972387599996</v>
      </c>
      <c r="G66" s="11">
        <f>331.979924892+271.00402032</f>
        <v>602.98394521199998</v>
      </c>
      <c r="H66" s="11">
        <v>220.19076650999997</v>
      </c>
      <c r="I66" s="11">
        <v>186.31526396999999</v>
      </c>
      <c r="J66" s="11">
        <v>186.31526396999999</v>
      </c>
    </row>
    <row r="67" spans="1:10" x14ac:dyDescent="0.2">
      <c r="A67" t="s">
        <v>39</v>
      </c>
      <c r="B67" s="11">
        <v>59.503616919999992</v>
      </c>
      <c r="C67" s="11">
        <v>357.02170151999997</v>
      </c>
      <c r="D67" s="11">
        <v>4998.3038212799993</v>
      </c>
      <c r="E67" s="11">
        <v>1785.1085075999995</v>
      </c>
      <c r="F67" s="11">
        <v>111.86679980959998</v>
      </c>
      <c r="G67" s="11">
        <f>1166.270891632+952.05787072</f>
        <v>2118.328762352</v>
      </c>
      <c r="H67" s="11">
        <v>773.54701995999994</v>
      </c>
      <c r="I67" s="11">
        <v>654.53978611999992</v>
      </c>
      <c r="J67" s="11">
        <v>654.53978611999992</v>
      </c>
    </row>
    <row r="68" spans="1:10" x14ac:dyDescent="0.2">
      <c r="A68" s="6" t="s">
        <v>48</v>
      </c>
      <c r="B68" s="14">
        <f>SUM(B53:B67)</f>
        <v>192.88464691121996</v>
      </c>
      <c r="C68" s="14">
        <f t="shared" ref="C68:J68" si="3">SUM(C53:C67)</f>
        <v>1157.3078814673199</v>
      </c>
      <c r="D68" s="14">
        <f t="shared" si="3"/>
        <v>16202.310340542477</v>
      </c>
      <c r="E68" s="14">
        <f t="shared" si="3"/>
        <v>5786.5394073365978</v>
      </c>
      <c r="F68" s="14">
        <f t="shared" si="3"/>
        <v>362.62313619309356</v>
      </c>
      <c r="G68" s="14">
        <f t="shared" si="3"/>
        <v>6866.6934300394323</v>
      </c>
      <c r="H68" s="14">
        <f t="shared" si="3"/>
        <v>2507.5004098458594</v>
      </c>
      <c r="I68" s="14">
        <f t="shared" si="3"/>
        <v>2121.7311160234199</v>
      </c>
      <c r="J68" s="14">
        <f t="shared" si="3"/>
        <v>2121.7311160234199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 s="11">
        <v>45.976070652422045</v>
      </c>
      <c r="C71" s="11">
        <v>275.85642391453229</v>
      </c>
      <c r="D71" s="11">
        <v>3861.9899348034523</v>
      </c>
      <c r="E71" s="11">
        <v>1379.2821195726615</v>
      </c>
      <c r="F71" s="11">
        <v>86.435012826553432</v>
      </c>
      <c r="G71" s="11">
        <f>901.130984787472+735.617130438753</f>
        <v>1636.7481152262249</v>
      </c>
      <c r="H71" s="11">
        <v>597.68891848148655</v>
      </c>
      <c r="I71" s="11">
        <v>505.73677717664248</v>
      </c>
      <c r="J71" s="11">
        <v>505.73677717664248</v>
      </c>
    </row>
    <row r="72" spans="1:10" x14ac:dyDescent="0.2">
      <c r="A72" t="s">
        <v>79</v>
      </c>
      <c r="B72" s="11">
        <v>45.068527362647885</v>
      </c>
      <c r="C72" s="11">
        <v>270.41116417588734</v>
      </c>
      <c r="D72" s="11">
        <v>3785.7562984624228</v>
      </c>
      <c r="E72" s="11">
        <v>1352.0558208794366</v>
      </c>
      <c r="F72" s="11">
        <v>84.728831441778013</v>
      </c>
      <c r="G72" s="11">
        <f>883.343136307899+721.096437802366</f>
        <v>1604.4395741102651</v>
      </c>
      <c r="H72" s="11">
        <v>585.89085571442251</v>
      </c>
      <c r="I72" s="11">
        <v>495.75380098912672</v>
      </c>
      <c r="J72" s="11">
        <v>495.75380098912672</v>
      </c>
    </row>
    <row r="73" spans="1:10" x14ac:dyDescent="0.2">
      <c r="A73" t="s">
        <v>80</v>
      </c>
      <c r="B73" s="11">
        <v>24.863177568722222</v>
      </c>
      <c r="C73" s="11">
        <v>149.17906541233333</v>
      </c>
      <c r="D73" s="11">
        <v>2088.5069157726671</v>
      </c>
      <c r="E73" s="11">
        <v>745.89532706166676</v>
      </c>
      <c r="F73" s="11">
        <v>46.742773829197773</v>
      </c>
      <c r="G73" s="11">
        <f>487.318280346956+397.810841099556</f>
        <v>885.12912144651204</v>
      </c>
      <c r="H73" s="11">
        <v>323.22130839338888</v>
      </c>
      <c r="I73" s="11">
        <v>273.49495325594444</v>
      </c>
      <c r="J73" s="11">
        <v>273.49495325594444</v>
      </c>
    </row>
    <row r="74" spans="1:10" x14ac:dyDescent="0.2">
      <c r="A74" t="s">
        <v>81</v>
      </c>
      <c r="B74" s="11">
        <v>24.575756915792166</v>
      </c>
      <c r="C74" s="11">
        <v>147.45454149475299</v>
      </c>
      <c r="D74" s="11">
        <v>2064.363580926542</v>
      </c>
      <c r="E74" s="11">
        <v>737.27270747376497</v>
      </c>
      <c r="F74" s="11">
        <v>46.202423001689262</v>
      </c>
      <c r="G74" s="11">
        <f>481.684835549526+393.212110652675</f>
        <v>874.89694620220098</v>
      </c>
      <c r="H74" s="11">
        <v>319.48483990529814</v>
      </c>
      <c r="I74" s="11">
        <v>270.33332607371381</v>
      </c>
      <c r="J74" s="11">
        <v>270.33332607371381</v>
      </c>
    </row>
    <row r="75" spans="1:10" x14ac:dyDescent="0.2">
      <c r="A75" t="s">
        <v>82</v>
      </c>
      <c r="B75" s="11">
        <v>31.890781572516364</v>
      </c>
      <c r="C75" s="11">
        <v>191.34468943509819</v>
      </c>
      <c r="D75" s="11">
        <v>2678.8256520913751</v>
      </c>
      <c r="E75" s="11">
        <v>956.72344717549095</v>
      </c>
      <c r="F75" s="11">
        <v>59.954669356330754</v>
      </c>
      <c r="G75" s="11">
        <f>625.059318821321+510.252505160262</f>
        <v>1135.3118239815831</v>
      </c>
      <c r="H75" s="11">
        <v>414.58016044271272</v>
      </c>
      <c r="I75" s="11">
        <v>350.79859729767998</v>
      </c>
      <c r="J75" s="11">
        <v>350.79859729767998</v>
      </c>
    </row>
    <row r="76" spans="1:10" x14ac:dyDescent="0.2">
      <c r="A76" t="s">
        <v>83</v>
      </c>
      <c r="B76" s="11">
        <v>19.121872161721679</v>
      </c>
      <c r="C76" s="11">
        <v>114.73123297033008</v>
      </c>
      <c r="D76" s="11">
        <v>1606.2372615846216</v>
      </c>
      <c r="E76" s="11">
        <v>573.65616485165049</v>
      </c>
      <c r="F76" s="11">
        <v>35.949119664036758</v>
      </c>
      <c r="G76" s="11">
        <f>374.788694369745+305.949954587547</f>
        <v>680.73864895729196</v>
      </c>
      <c r="H76" s="11">
        <v>248.58433810238188</v>
      </c>
      <c r="I76" s="11">
        <v>210.34059377893848</v>
      </c>
      <c r="J76" s="11">
        <v>210.34059377893848</v>
      </c>
    </row>
    <row r="77" spans="1:10" x14ac:dyDescent="0.2">
      <c r="A77" t="s">
        <v>84</v>
      </c>
      <c r="B77" s="11">
        <v>21.043546894861922</v>
      </c>
      <c r="C77" s="11">
        <v>126.26128136917153</v>
      </c>
      <c r="D77" s="11">
        <v>1767.6579391684018</v>
      </c>
      <c r="E77" s="11">
        <v>631.30640684585774</v>
      </c>
      <c r="F77" s="11">
        <v>39.56186816234041</v>
      </c>
      <c r="G77" s="11">
        <f>412.453519139294+336.696750317791</f>
        <v>749.15026945708496</v>
      </c>
      <c r="H77" s="11">
        <v>273.56610963320497</v>
      </c>
      <c r="I77" s="11">
        <v>231.47901584348114</v>
      </c>
      <c r="J77" s="11">
        <v>231.47901584348114</v>
      </c>
    </row>
    <row r="78" spans="1:10" x14ac:dyDescent="0.2">
      <c r="A78" t="s">
        <v>85</v>
      </c>
      <c r="B78" s="11">
        <v>34.356071861226184</v>
      </c>
      <c r="C78" s="11">
        <v>206.1364311673571</v>
      </c>
      <c r="D78" s="11">
        <v>2885.9100363429998</v>
      </c>
      <c r="E78" s="11">
        <v>1030.6821558367856</v>
      </c>
      <c r="F78" s="11">
        <v>64.589415099105224</v>
      </c>
      <c r="G78" s="11">
        <f>673.379008480033+549.697149779619</f>
        <v>1223.0761582596519</v>
      </c>
      <c r="H78" s="11">
        <v>446.62893419594042</v>
      </c>
      <c r="I78" s="11">
        <v>377.91679047348799</v>
      </c>
      <c r="J78" s="11">
        <v>377.91679047348799</v>
      </c>
    </row>
    <row r="79" spans="1:10" x14ac:dyDescent="0.2">
      <c r="A79" t="s">
        <v>86</v>
      </c>
      <c r="B79" s="11">
        <v>26.215973969629864</v>
      </c>
      <c r="C79" s="11">
        <v>157.29584381777917</v>
      </c>
      <c r="D79" s="11">
        <v>2202.141813448909</v>
      </c>
      <c r="E79" s="11">
        <v>786.479219088896</v>
      </c>
      <c r="F79" s="11">
        <v>49.286031062904136</v>
      </c>
      <c r="G79" s="11">
        <f>513.833089804745+419.455583514078</f>
        <v>933.28867331882293</v>
      </c>
      <c r="H79" s="11">
        <v>340.80766160518823</v>
      </c>
      <c r="I79" s="11">
        <v>288.37571366592852</v>
      </c>
      <c r="J79" s="11">
        <v>288.37571366592852</v>
      </c>
    </row>
    <row r="80" spans="1:10" x14ac:dyDescent="0.2">
      <c r="A80" t="s">
        <v>87</v>
      </c>
      <c r="B80" s="11">
        <v>31.278618440648284</v>
      </c>
      <c r="C80" s="11">
        <v>187.6717106438897</v>
      </c>
      <c r="D80" s="11">
        <v>2627.403949014456</v>
      </c>
      <c r="E80" s="11">
        <v>938.35855321944859</v>
      </c>
      <c r="F80" s="11">
        <v>58.803802668418768</v>
      </c>
      <c r="G80" s="11">
        <f>613.060921436706+500.457895050373</f>
        <v>1113.518816487079</v>
      </c>
      <c r="H80" s="11">
        <v>406.62203972842769</v>
      </c>
      <c r="I80" s="11">
        <v>344.06480284713109</v>
      </c>
      <c r="J80" s="11">
        <v>344.06480284713109</v>
      </c>
    </row>
    <row r="81" spans="1:10" x14ac:dyDescent="0.2">
      <c r="A81" t="s">
        <v>88</v>
      </c>
      <c r="B81" s="11">
        <v>23.743070241377762</v>
      </c>
      <c r="C81" s="11">
        <v>142.45842144826656</v>
      </c>
      <c r="D81" s="11">
        <v>1994.4179002757323</v>
      </c>
      <c r="E81" s="11">
        <v>712.29210724133293</v>
      </c>
      <c r="F81" s="11">
        <v>44.636972053790188</v>
      </c>
      <c r="G81" s="11">
        <f>465.364176731004+379.889123862044</f>
        <v>845.25330059304804</v>
      </c>
      <c r="H81" s="11">
        <v>308.65991313791091</v>
      </c>
      <c r="I81" s="11">
        <v>261.1737726551554</v>
      </c>
      <c r="J81" s="11">
        <v>261.1737726551554</v>
      </c>
    </row>
    <row r="82" spans="1:10" x14ac:dyDescent="0.2">
      <c r="A82" t="s">
        <v>89</v>
      </c>
      <c r="B82" s="11">
        <v>25.542078088466162</v>
      </c>
      <c r="C82" s="11">
        <v>153.25246853079699</v>
      </c>
      <c r="D82" s="11">
        <v>2145.534559431158</v>
      </c>
      <c r="E82" s="11">
        <v>766.262342653985</v>
      </c>
      <c r="F82" s="11">
        <v>48.01910680631638</v>
      </c>
      <c r="G82" s="11">
        <f>500.624730533937+408.673249415459</f>
        <v>909.29797994939599</v>
      </c>
      <c r="H82" s="11">
        <v>332.04701515006013</v>
      </c>
      <c r="I82" s="11">
        <v>280.96285897312782</v>
      </c>
      <c r="J82" s="11">
        <v>280.96285897312782</v>
      </c>
    </row>
    <row r="83" spans="1:10" x14ac:dyDescent="0.2">
      <c r="A83" t="s">
        <v>90</v>
      </c>
      <c r="B83" s="11">
        <v>23.599506327211621</v>
      </c>
      <c r="C83" s="11">
        <v>141.59703796326974</v>
      </c>
      <c r="D83" s="11">
        <v>1982.3585314857767</v>
      </c>
      <c r="E83" s="11">
        <v>707.98518981634879</v>
      </c>
      <c r="F83" s="11">
        <v>44.367071895157849</v>
      </c>
      <c r="G83" s="11">
        <f>462.550324013348+377.592101235386</f>
        <v>840.14242524873407</v>
      </c>
      <c r="H83" s="11">
        <v>306.79358225375114</v>
      </c>
      <c r="I83" s="11">
        <v>259.59456959932783</v>
      </c>
      <c r="J83" s="11">
        <v>259.59456959932783</v>
      </c>
    </row>
    <row r="84" spans="1:10" x14ac:dyDescent="0.2">
      <c r="A84" t="s">
        <v>91</v>
      </c>
      <c r="B84" s="11">
        <v>23.705961378713646</v>
      </c>
      <c r="C84" s="11">
        <v>142.23576827228186</v>
      </c>
      <c r="D84" s="11">
        <v>1991.3007558119464</v>
      </c>
      <c r="E84" s="11">
        <v>711.17884136140935</v>
      </c>
      <c r="F84" s="11">
        <v>44.567207391981647</v>
      </c>
      <c r="G84" s="11">
        <f>464.636843022788+379.295382059418</f>
        <v>843.93222508220606</v>
      </c>
      <c r="H84" s="11">
        <v>308.17749792327737</v>
      </c>
      <c r="I84" s="11">
        <v>260.76557516585007</v>
      </c>
      <c r="J84" s="11">
        <v>260.76557516585007</v>
      </c>
    </row>
    <row r="85" spans="1:10" x14ac:dyDescent="0.2">
      <c r="A85" t="s">
        <v>92</v>
      </c>
      <c r="B85" s="11">
        <v>36.677292447828243</v>
      </c>
      <c r="C85" s="11">
        <v>220.06375468696947</v>
      </c>
      <c r="D85" s="11">
        <v>3080.8925656175729</v>
      </c>
      <c r="E85" s="11">
        <v>1100.3187734348473</v>
      </c>
      <c r="F85" s="11">
        <v>68.953309801917086</v>
      </c>
      <c r="G85" s="11">
        <f>718.874931977434+586.836679165252</f>
        <v>1305.711611142686</v>
      </c>
      <c r="H85" s="11">
        <v>476.80480182176717</v>
      </c>
      <c r="I85" s="11">
        <v>403.45021692611067</v>
      </c>
      <c r="J85" s="11">
        <v>403.45021692611067</v>
      </c>
    </row>
    <row r="86" spans="1:10" x14ac:dyDescent="0.2">
      <c r="A86" t="s">
        <v>93</v>
      </c>
      <c r="B86" s="11">
        <v>23.027007618133741</v>
      </c>
      <c r="C86" s="11">
        <v>138.16204570880245</v>
      </c>
      <c r="D86" s="11">
        <v>1934.2686399232346</v>
      </c>
      <c r="E86" s="11">
        <v>690.81022854401226</v>
      </c>
      <c r="F86" s="11">
        <v>43.29077432209143</v>
      </c>
      <c r="G86" s="11">
        <f>451.329349315421+368.43212189014</f>
        <v>819.76147120556107</v>
      </c>
      <c r="H86" s="11">
        <v>299.35109903573863</v>
      </c>
      <c r="I86" s="11">
        <v>253.29708379947115</v>
      </c>
      <c r="J86" s="11">
        <v>253.29708379947115</v>
      </c>
    </row>
    <row r="87" spans="1:10" x14ac:dyDescent="0.2">
      <c r="A87" t="s">
        <v>94</v>
      </c>
      <c r="B87" s="11">
        <v>16.988831309820242</v>
      </c>
      <c r="C87" s="11">
        <v>101.93298785892145</v>
      </c>
      <c r="D87" s="11">
        <v>1427.0618300249005</v>
      </c>
      <c r="E87" s="11">
        <v>509.66493929460734</v>
      </c>
      <c r="F87" s="11">
        <v>31.939002862462051</v>
      </c>
      <c r="G87" s="11">
        <f>332.981093672477+271.821300957124</f>
        <v>604.80239462960094</v>
      </c>
      <c r="H87" s="11">
        <v>220.85480702766316</v>
      </c>
      <c r="I87" s="11">
        <v>186.87714440802267</v>
      </c>
      <c r="J87" s="11">
        <v>186.87714440802267</v>
      </c>
    </row>
    <row r="88" spans="1:10" x14ac:dyDescent="0.2">
      <c r="A88" t="s">
        <v>95</v>
      </c>
      <c r="B88" s="11">
        <v>33.530812283428205</v>
      </c>
      <c r="C88" s="11">
        <v>201.18487370056926</v>
      </c>
      <c r="D88" s="11">
        <v>2816.5882318079698</v>
      </c>
      <c r="E88" s="11">
        <v>1005.9243685028463</v>
      </c>
      <c r="F88" s="11">
        <v>63.037927092845024</v>
      </c>
      <c r="G88" s="11">
        <f>657.203920755193+536.492996534851</f>
        <v>1193.696917290044</v>
      </c>
      <c r="H88" s="11">
        <v>435.9005596845667</v>
      </c>
      <c r="I88" s="11">
        <v>368.83893511771026</v>
      </c>
      <c r="J88" s="11">
        <v>368.83893511771026</v>
      </c>
    </row>
    <row r="89" spans="1:10" x14ac:dyDescent="0.2">
      <c r="A89" t="s">
        <v>96</v>
      </c>
      <c r="B89" s="11">
        <v>23.194663010571784</v>
      </c>
      <c r="C89" s="11">
        <v>139.1679780634307</v>
      </c>
      <c r="D89" s="11">
        <v>1948.3516928880301</v>
      </c>
      <c r="E89" s="11">
        <v>695.8398903171535</v>
      </c>
      <c r="F89" s="11">
        <v>43.605966459874949</v>
      </c>
      <c r="G89" s="11">
        <f>454.615395007207+371.114608169149</f>
        <v>825.73000317635592</v>
      </c>
      <c r="H89" s="11">
        <v>301.53061913743318</v>
      </c>
      <c r="I89" s="11">
        <v>255.1412931162896</v>
      </c>
      <c r="J89" s="11">
        <v>255.1412931162896</v>
      </c>
    </row>
    <row r="90" spans="1:10" x14ac:dyDescent="0.2">
      <c r="A90" t="s">
        <v>97</v>
      </c>
      <c r="B90" s="11">
        <v>33.486143222057763</v>
      </c>
      <c r="C90" s="11">
        <v>200.9168593323466</v>
      </c>
      <c r="D90" s="11">
        <v>2812.836030652853</v>
      </c>
      <c r="E90" s="11">
        <v>1004.5842966617331</v>
      </c>
      <c r="F90" s="11">
        <v>62.953949257468594</v>
      </c>
      <c r="G90" s="11">
        <f>656.328407152332+535.778291552924</f>
        <v>1192.1066987052559</v>
      </c>
      <c r="H90" s="11">
        <v>435.31986188675097</v>
      </c>
      <c r="I90" s="11">
        <v>368.34757544263545</v>
      </c>
      <c r="J90" s="11">
        <v>368.34757544263545</v>
      </c>
    </row>
    <row r="91" spans="1:10" x14ac:dyDescent="0.2">
      <c r="A91" t="s">
        <v>98</v>
      </c>
      <c r="B91" s="11">
        <v>30.954355129233907</v>
      </c>
      <c r="C91" s="11">
        <v>185.72613077540345</v>
      </c>
      <c r="D91" s="11">
        <v>2600.1658308556484</v>
      </c>
      <c r="E91" s="11">
        <v>928.63065387701727</v>
      </c>
      <c r="F91" s="11">
        <v>58.19418764295974</v>
      </c>
      <c r="G91" s="11">
        <f>606.705360532985+495.269682067743</f>
        <v>1101.9750426007281</v>
      </c>
      <c r="H91" s="11">
        <v>402.40661668004083</v>
      </c>
      <c r="I91" s="11">
        <v>340.49790642157296</v>
      </c>
      <c r="J91" s="11">
        <v>340.49790642157296</v>
      </c>
    </row>
    <row r="92" spans="1:10" x14ac:dyDescent="0.2">
      <c r="A92" t="s">
        <v>99</v>
      </c>
      <c r="B92" s="11">
        <v>28.052223781472282</v>
      </c>
      <c r="C92" s="11">
        <v>168.3133426888337</v>
      </c>
      <c r="D92" s="11">
        <v>2356.3867976436723</v>
      </c>
      <c r="E92" s="11">
        <v>841.56671344416861</v>
      </c>
      <c r="F92" s="11">
        <v>52.738180709167885</v>
      </c>
      <c r="G92" s="11">
        <f>549.823586116857+448.835580503557</f>
        <v>998.659166620414</v>
      </c>
      <c r="H92" s="11">
        <v>364.67890915913972</v>
      </c>
      <c r="I92" s="11">
        <v>308.57446159619514</v>
      </c>
      <c r="J92" s="11">
        <v>308.57446159619514</v>
      </c>
    </row>
    <row r="93" spans="1:10" x14ac:dyDescent="0.2">
      <c r="A93" t="s">
        <v>100</v>
      </c>
      <c r="B93" s="11">
        <v>20.551441848083641</v>
      </c>
      <c r="C93" s="11">
        <v>123.30865108850186</v>
      </c>
      <c r="D93" s="11">
        <v>1726.3211152390263</v>
      </c>
      <c r="E93" s="11">
        <v>616.54325544250935</v>
      </c>
      <c r="F93" s="11">
        <v>38.636710674397243</v>
      </c>
      <c r="G93" s="11">
        <f>402.808260222439+328.823069569338</f>
        <v>731.63132979177703</v>
      </c>
      <c r="H93" s="11">
        <v>267.16874402508739</v>
      </c>
      <c r="I93" s="11">
        <v>226.06586032892005</v>
      </c>
      <c r="J93" s="11">
        <v>226.06586032892005</v>
      </c>
    </row>
    <row r="94" spans="1:10" x14ac:dyDescent="0.2">
      <c r="A94" t="s">
        <v>101</v>
      </c>
      <c r="B94" s="11">
        <v>25.850715214526282</v>
      </c>
      <c r="C94" s="11">
        <v>155.10429128715771</v>
      </c>
      <c r="D94" s="11">
        <v>2171.4600780202081</v>
      </c>
      <c r="E94" s="11">
        <v>775.52145643578854</v>
      </c>
      <c r="F94" s="11">
        <v>48.599344603309412</v>
      </c>
      <c r="G94" s="11">
        <f>506.674018204715+413.611443432421</f>
        <v>920.285461637136</v>
      </c>
      <c r="H94" s="11">
        <v>336.05929778884172</v>
      </c>
      <c r="I94" s="11">
        <v>284.35786735978911</v>
      </c>
      <c r="J94" s="11">
        <v>284.35786735978911</v>
      </c>
    </row>
    <row r="95" spans="1:10" x14ac:dyDescent="0.2">
      <c r="A95" t="s">
        <v>102</v>
      </c>
      <c r="B95" s="11">
        <v>20.460000712322344</v>
      </c>
      <c r="C95" s="11">
        <v>122.76000427393406</v>
      </c>
      <c r="D95" s="11">
        <v>1718.6400598350772</v>
      </c>
      <c r="E95" s="11">
        <v>613.80002136967039</v>
      </c>
      <c r="F95" s="11">
        <v>38.464801339166002</v>
      </c>
      <c r="G95" s="11">
        <f>401.016013961518+327.360011397158</f>
        <v>728.37602535867609</v>
      </c>
      <c r="H95" s="11">
        <v>265.98000926019046</v>
      </c>
      <c r="I95" s="11">
        <v>225.06000783554578</v>
      </c>
      <c r="J95" s="11">
        <v>225.06000783554578</v>
      </c>
    </row>
    <row r="96" spans="1:10" x14ac:dyDescent="0.2">
      <c r="A96" t="s">
        <v>103</v>
      </c>
      <c r="B96" s="11">
        <v>23.897442045243782</v>
      </c>
      <c r="C96" s="11">
        <v>143.3846522714627</v>
      </c>
      <c r="D96" s="11">
        <v>2007.3851318004781</v>
      </c>
      <c r="E96" s="11">
        <v>716.92326135731355</v>
      </c>
      <c r="F96" s="11">
        <v>44.927191045058308</v>
      </c>
      <c r="G96" s="11">
        <f>468.389864086778+382.359072723901</f>
        <v>850.74893681067897</v>
      </c>
      <c r="H96" s="11">
        <v>310.66674658816919</v>
      </c>
      <c r="I96" s="11">
        <v>262.8718624976816</v>
      </c>
      <c r="J96" s="11">
        <v>262.8718624976816</v>
      </c>
    </row>
    <row r="97" spans="1:10" x14ac:dyDescent="0.2">
      <c r="A97" t="s">
        <v>104</v>
      </c>
      <c r="B97" s="11">
        <v>34.681426609777745</v>
      </c>
      <c r="C97" s="11">
        <v>208.0885596586665</v>
      </c>
      <c r="D97" s="11">
        <v>2913.2398352213313</v>
      </c>
      <c r="E97" s="11">
        <v>1040.4427982933325</v>
      </c>
      <c r="F97" s="11">
        <v>65.201082026382153</v>
      </c>
      <c r="G97" s="11">
        <f>679.755961551644+554.902825756444</f>
        <v>1234.658787308088</v>
      </c>
      <c r="H97" s="11">
        <v>450.85854592711075</v>
      </c>
      <c r="I97" s="11">
        <v>381.49569270755524</v>
      </c>
      <c r="J97" s="11">
        <v>381.49569270755524</v>
      </c>
    </row>
    <row r="98" spans="1:10" x14ac:dyDescent="0.2">
      <c r="A98" t="s">
        <v>105</v>
      </c>
      <c r="B98" s="11">
        <v>38.351982942950045</v>
      </c>
      <c r="C98" s="11">
        <v>230.11189765770027</v>
      </c>
      <c r="D98" s="11">
        <v>3221.5665672078039</v>
      </c>
      <c r="E98" s="11">
        <v>1150.5594882885014</v>
      </c>
      <c r="F98" s="11">
        <v>72.101727932746073</v>
      </c>
      <c r="G98" s="11">
        <f>751.698865681821+613.631727087201</f>
        <v>1365.3305927690221</v>
      </c>
      <c r="H98" s="11">
        <v>498.57577825835057</v>
      </c>
      <c r="I98" s="11">
        <v>421.87181237245045</v>
      </c>
      <c r="J98" s="11">
        <v>421.87181237245045</v>
      </c>
    </row>
    <row r="99" spans="1:10" x14ac:dyDescent="0.2">
      <c r="A99" t="s">
        <v>106</v>
      </c>
      <c r="B99" s="11">
        <v>48.158891685946081</v>
      </c>
      <c r="C99" s="11">
        <v>288.95335011567653</v>
      </c>
      <c r="D99" s="11">
        <v>4045.3469016194717</v>
      </c>
      <c r="E99" s="11">
        <v>1444.7667505783827</v>
      </c>
      <c r="F99" s="11">
        <v>90.538716369578623</v>
      </c>
      <c r="G99" s="11">
        <f>943.914277044543+770.542266975137</f>
        <v>1714.45654401968</v>
      </c>
      <c r="H99" s="11">
        <v>626.06559191729912</v>
      </c>
      <c r="I99" s="11">
        <v>529.74780854540688</v>
      </c>
      <c r="J99" s="11">
        <v>529.74780854540688</v>
      </c>
    </row>
    <row r="100" spans="1:10" x14ac:dyDescent="0.2">
      <c r="A100" t="s">
        <v>107</v>
      </c>
      <c r="B100" s="11">
        <v>3.2506458599557799</v>
      </c>
      <c r="C100" s="11">
        <v>19.503875159734683</v>
      </c>
      <c r="D100" s="11">
        <v>273.05425223628561</v>
      </c>
      <c r="E100" s="11">
        <v>97.519375798673408</v>
      </c>
      <c r="F100" s="11">
        <v>6.1112142167168662</v>
      </c>
      <c r="G100" s="11">
        <f>63.7126588551333+52.0103337592925</f>
        <v>115.72299261442581</v>
      </c>
      <c r="H100" s="11">
        <v>42.258396179425148</v>
      </c>
      <c r="I100" s="11">
        <v>35.757104459513585</v>
      </c>
      <c r="J100" s="11">
        <v>35.757104459513585</v>
      </c>
    </row>
    <row r="101" spans="1:10" x14ac:dyDescent="0.2">
      <c r="A101" t="s">
        <v>40</v>
      </c>
      <c r="B101" s="11">
        <v>13.831623116974262</v>
      </c>
      <c r="C101" s="11">
        <v>82.989738701845582</v>
      </c>
      <c r="D101" s="11">
        <v>1161.8563418258382</v>
      </c>
      <c r="E101" s="11">
        <v>414.94869350922789</v>
      </c>
      <c r="F101" s="11">
        <v>26.003451459911609</v>
      </c>
      <c r="G101" s="11">
        <f>271.099813092696+221.305969871588</f>
        <v>492.40578296428401</v>
      </c>
      <c r="H101" s="11">
        <v>179.81110052066543</v>
      </c>
      <c r="I101" s="11">
        <v>152.14785428671689</v>
      </c>
      <c r="J101" s="11">
        <v>152.14785428671689</v>
      </c>
    </row>
    <row r="102" spans="1:10" x14ac:dyDescent="0.2">
      <c r="A102" t="s">
        <v>108</v>
      </c>
      <c r="B102" s="11">
        <v>5.1665972032303209</v>
      </c>
      <c r="C102" s="11">
        <v>30.999583219381925</v>
      </c>
      <c r="D102" s="11">
        <v>433.99416507134703</v>
      </c>
      <c r="E102" s="11">
        <v>154.99791609690965</v>
      </c>
      <c r="F102" s="11">
        <v>9.7132027420730012</v>
      </c>
      <c r="G102" s="11">
        <f>101.265305183314+82.6655552516851</f>
        <v>183.93086043499909</v>
      </c>
      <c r="H102" s="11">
        <v>67.165763641994175</v>
      </c>
      <c r="I102" s="11">
        <v>56.832569235533526</v>
      </c>
      <c r="J102" s="11">
        <v>56.832569235533526</v>
      </c>
    </row>
    <row r="103" spans="1:10" x14ac:dyDescent="0.2">
      <c r="A103" t="s">
        <v>109</v>
      </c>
      <c r="B103" s="11">
        <v>48.292366461697803</v>
      </c>
      <c r="C103" s="11">
        <v>289.7541987701868</v>
      </c>
      <c r="D103" s="11">
        <v>4056.5587827826162</v>
      </c>
      <c r="E103" s="11">
        <v>1448.7709938509342</v>
      </c>
      <c r="F103" s="11">
        <v>90.789648947991864</v>
      </c>
      <c r="G103" s="11">
        <f>946.530382649277+772.677863387165</f>
        <v>1719.208246036442</v>
      </c>
      <c r="H103" s="11">
        <v>627.80076400207145</v>
      </c>
      <c r="I103" s="11">
        <v>531.21603107867577</v>
      </c>
      <c r="J103" s="11">
        <v>531.21603107867577</v>
      </c>
    </row>
    <row r="104" spans="1:10" x14ac:dyDescent="0.2">
      <c r="A104" t="s">
        <v>110</v>
      </c>
      <c r="B104" s="11">
        <v>8.1750505004040601</v>
      </c>
      <c r="C104" s="11">
        <v>49.050303002424364</v>
      </c>
      <c r="D104" s="11">
        <v>686.70424203394123</v>
      </c>
      <c r="E104" s="11">
        <v>245.25151501212184</v>
      </c>
      <c r="F104" s="11">
        <v>15.369094940759632</v>
      </c>
      <c r="G104" s="11">
        <f>160.23098980792+130.800808006465</f>
        <v>291.03179781438496</v>
      </c>
      <c r="H104" s="11">
        <v>106.2756565052528</v>
      </c>
      <c r="I104" s="11">
        <v>89.92555550444466</v>
      </c>
      <c r="J104" s="11">
        <v>89.92555550444466</v>
      </c>
    </row>
    <row r="105" spans="1:10" x14ac:dyDescent="0.2">
      <c r="A105" t="s">
        <v>111</v>
      </c>
      <c r="B105" s="11">
        <v>6.652575555291901</v>
      </c>
      <c r="C105" s="11">
        <v>39.915453331751408</v>
      </c>
      <c r="D105" s="11">
        <v>558.81634664451974</v>
      </c>
      <c r="E105" s="11">
        <v>199.57726665875705</v>
      </c>
      <c r="F105" s="11">
        <v>12.506842043948772</v>
      </c>
      <c r="G105" s="11">
        <f>130.390480883721+106.44120888467</f>
        <v>236.83168976839102</v>
      </c>
      <c r="H105" s="11">
        <v>86.48348221879472</v>
      </c>
      <c r="I105" s="11">
        <v>73.178331108210912</v>
      </c>
      <c r="J105" s="11">
        <v>73.178331108210912</v>
      </c>
    </row>
    <row r="106" spans="1:10" x14ac:dyDescent="0.2">
      <c r="A106" s="6" t="s">
        <v>49</v>
      </c>
      <c r="B106" s="14">
        <f t="shared" ref="B106:G106" si="4">SUM(B71:B105)</f>
        <v>924.21310199490802</v>
      </c>
      <c r="C106" s="14">
        <f t="shared" si="4"/>
        <v>5545.2786119694492</v>
      </c>
      <c r="D106" s="14">
        <f t="shared" si="4"/>
        <v>77633.900567572287</v>
      </c>
      <c r="E106" s="14">
        <f t="shared" si="4"/>
        <v>27726.393059847247</v>
      </c>
      <c r="F106" s="14">
        <f t="shared" si="4"/>
        <v>1737.5206317504276</v>
      </c>
      <c r="G106" s="14">
        <f t="shared" si="4"/>
        <v>32901.98643101874</v>
      </c>
      <c r="H106" s="14">
        <f t="shared" ref="H106:J106" si="5">SUM(H71:H105)</f>
        <v>12014.770325933805</v>
      </c>
      <c r="I106" s="14">
        <f t="shared" si="5"/>
        <v>10166.344121943988</v>
      </c>
      <c r="J106" s="14">
        <f t="shared" si="5"/>
        <v>10166.344121943988</v>
      </c>
    </row>
    <row r="108" spans="1:10" x14ac:dyDescent="0.2">
      <c r="A108" s="9" t="s">
        <v>50</v>
      </c>
      <c r="B108" s="13">
        <f t="shared" ref="B108:J108" si="6">B9+B39+B50+B68+B106</f>
        <v>1959.4356731252988</v>
      </c>
      <c r="C108" s="13">
        <f t="shared" si="6"/>
        <v>11756.614038751792</v>
      </c>
      <c r="D108" s="13">
        <f t="shared" si="6"/>
        <v>164592.59654252511</v>
      </c>
      <c r="E108" s="13">
        <f t="shared" si="6"/>
        <v>58783.070193758969</v>
      </c>
      <c r="F108" s="13">
        <f t="shared" si="6"/>
        <v>3683.7390654755623</v>
      </c>
      <c r="G108" s="13">
        <f t="shared" si="6"/>
        <v>69755.909963260667</v>
      </c>
      <c r="H108" s="13">
        <f t="shared" si="6"/>
        <v>25472.663750628883</v>
      </c>
      <c r="I108" s="13">
        <f t="shared" si="6"/>
        <v>21553.792404378288</v>
      </c>
      <c r="J108" s="13">
        <f t="shared" si="6"/>
        <v>21553.792404378288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workbookViewId="0">
      <selection sqref="A1:J108"/>
    </sheetView>
  </sheetViews>
  <sheetFormatPr baseColWidth="10" defaultColWidth="8.83203125" defaultRowHeight="15" x14ac:dyDescent="0.2"/>
  <cols>
    <col min="1" max="1" width="25.5" customWidth="1"/>
    <col min="6" max="6" width="14.33203125" bestFit="1" customWidth="1"/>
  </cols>
  <sheetData>
    <row r="1" spans="1:10" x14ac:dyDescent="0.2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2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t="s">
        <v>1</v>
      </c>
      <c r="B4">
        <v>0</v>
      </c>
      <c r="C4">
        <v>0</v>
      </c>
      <c r="D4">
        <v>0</v>
      </c>
      <c r="E4">
        <v>0</v>
      </c>
      <c r="F4" s="11">
        <v>41.818047757479064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2</v>
      </c>
      <c r="B5">
        <v>0</v>
      </c>
      <c r="C5">
        <v>0</v>
      </c>
      <c r="D5">
        <v>0</v>
      </c>
      <c r="E5">
        <v>0</v>
      </c>
      <c r="F5" s="11">
        <v>33.456607191862787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3</v>
      </c>
      <c r="B6">
        <v>0</v>
      </c>
      <c r="C6">
        <v>0</v>
      </c>
      <c r="D6">
        <v>0</v>
      </c>
      <c r="E6">
        <v>0</v>
      </c>
      <c r="F6" s="11">
        <v>2.1147612325488634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4</v>
      </c>
      <c r="B7">
        <v>0</v>
      </c>
      <c r="C7">
        <v>0</v>
      </c>
      <c r="D7">
        <v>0</v>
      </c>
      <c r="E7">
        <v>0</v>
      </c>
      <c r="F7" s="11">
        <v>15.345575097726366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5</v>
      </c>
      <c r="B8">
        <v>0</v>
      </c>
      <c r="C8">
        <v>0</v>
      </c>
      <c r="D8">
        <v>0</v>
      </c>
      <c r="E8">
        <v>0</v>
      </c>
      <c r="F8" s="11">
        <v>36.926984599122456</v>
      </c>
      <c r="G8">
        <v>0</v>
      </c>
      <c r="H8">
        <v>0</v>
      </c>
      <c r="I8">
        <v>0</v>
      </c>
      <c r="J8">
        <v>0</v>
      </c>
    </row>
    <row r="9" spans="1:10" x14ac:dyDescent="0.2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14">
        <f t="shared" si="0"/>
        <v>129.66197587873953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2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1">
        <v>70093.247560184842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1">
        <v>29119.922186724947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1">
        <v>21498.82327348852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1">
        <v>15056.54434724617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1">
        <v>4984.4071507978106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1">
        <v>16278.803624632279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1">
        <v>46372.981616476922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1">
        <v>10134.73968838873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1">
        <v>9029.5696665665218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1">
        <v>10081.928207573581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1">
        <v>7847.9472003065657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1">
        <v>20016.817601413979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1">
        <v>35907.773435173091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1">
        <v>24978.506745321585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1">
        <v>36058.871621163926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1">
        <v>6510.7018194624525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1">
        <v>6937.8709280425355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1">
        <v>1187.5393858907939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1">
        <v>573.98730893932441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1">
        <v>2653.6044490414456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1">
        <v>107.66061914080031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1">
        <v>14.061086390411139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1">
        <v>1301.2582551051141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1">
        <v>1512.8704310372939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1">
        <v>122.09355971424472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1">
        <v>3681.6209757239408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1">
        <v>1858.7068860521256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14">
        <f t="shared" si="1"/>
        <v>383922.85962999996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2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">
      <c r="A42" t="s">
        <v>14</v>
      </c>
      <c r="B42">
        <v>0</v>
      </c>
      <c r="C42">
        <v>0</v>
      </c>
      <c r="D42">
        <v>0</v>
      </c>
      <c r="E42">
        <v>0</v>
      </c>
      <c r="F42" s="11">
        <v>9708.9804597612401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15</v>
      </c>
      <c r="B43">
        <v>0</v>
      </c>
      <c r="C43">
        <v>0</v>
      </c>
      <c r="D43">
        <v>0</v>
      </c>
      <c r="E43">
        <v>0</v>
      </c>
      <c r="F43" s="11">
        <v>18117.804309716848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16</v>
      </c>
      <c r="B44">
        <v>0</v>
      </c>
      <c r="C44">
        <v>0</v>
      </c>
      <c r="D44">
        <v>0</v>
      </c>
      <c r="E44">
        <v>0</v>
      </c>
      <c r="F44" s="11">
        <v>27959.121081633908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17</v>
      </c>
      <c r="B45">
        <v>0</v>
      </c>
      <c r="C45">
        <v>0</v>
      </c>
      <c r="D45">
        <v>0</v>
      </c>
      <c r="E45">
        <v>0</v>
      </c>
      <c r="F45" s="11">
        <v>18797.902991651801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1">
        <v>152.88486061678248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19</v>
      </c>
      <c r="B47">
        <v>0</v>
      </c>
      <c r="C47">
        <v>0</v>
      </c>
      <c r="D47">
        <v>0</v>
      </c>
      <c r="E47">
        <v>0</v>
      </c>
      <c r="F47" s="11">
        <v>274.97619513283382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20</v>
      </c>
      <c r="B48">
        <v>0</v>
      </c>
      <c r="C48">
        <v>0</v>
      </c>
      <c r="D48">
        <v>0</v>
      </c>
      <c r="E48">
        <v>0</v>
      </c>
      <c r="F48" s="11">
        <v>6099.6677739830493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21</v>
      </c>
      <c r="B49">
        <v>0</v>
      </c>
      <c r="C49">
        <v>0</v>
      </c>
      <c r="D49">
        <v>0</v>
      </c>
      <c r="E49">
        <v>0</v>
      </c>
      <c r="F49" s="11">
        <v>707.15227750352483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14">
        <f t="shared" si="2"/>
        <v>81818.489950000003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2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2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1">
        <v>1594.8234588102589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1">
        <v>641.45069219025686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1">
        <v>16408.827860049976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1">
        <v>7049.6265660766794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1">
        <v>3118.3210967228083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1">
        <v>1399.111667656347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1">
        <v>1929.6947608526134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1">
        <v>544.04560613572949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1">
        <v>3295.4846389400645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1">
        <v>2190.2370357035293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1">
        <v>329.18886772684476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1">
        <v>986.0952292436283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1">
        <v>70.493860467104852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1">
        <v>51.885153110531242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1">
        <v>969.9955463136323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14">
        <f t="shared" si="3"/>
        <v>40579.282040000006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2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2">
      <c r="A71" t="s">
        <v>78</v>
      </c>
      <c r="B71">
        <v>0</v>
      </c>
      <c r="C71">
        <v>0</v>
      </c>
      <c r="D71">
        <v>0</v>
      </c>
      <c r="E71">
        <v>0</v>
      </c>
      <c r="F71" s="11">
        <v>7888.6612541836557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79</v>
      </c>
      <c r="B72">
        <v>0</v>
      </c>
      <c r="C72">
        <v>0</v>
      </c>
      <c r="D72">
        <v>0</v>
      </c>
      <c r="E72">
        <v>0</v>
      </c>
      <c r="F72" s="11">
        <v>8200.4955858017729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80</v>
      </c>
      <c r="B73">
        <v>0</v>
      </c>
      <c r="C73">
        <v>0</v>
      </c>
      <c r="D73">
        <v>0</v>
      </c>
      <c r="E73">
        <v>0</v>
      </c>
      <c r="F73" s="11">
        <v>3963.4092817892251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81</v>
      </c>
      <c r="B74">
        <v>0</v>
      </c>
      <c r="C74">
        <v>0</v>
      </c>
      <c r="D74">
        <v>0</v>
      </c>
      <c r="E74">
        <v>0</v>
      </c>
      <c r="F74" s="11">
        <v>3433.8757576740768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82</v>
      </c>
      <c r="B75">
        <v>0</v>
      </c>
      <c r="C75">
        <v>0</v>
      </c>
      <c r="D75">
        <v>0</v>
      </c>
      <c r="E75">
        <v>0</v>
      </c>
      <c r="F75" s="11">
        <v>3899.9642880617862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83</v>
      </c>
      <c r="B76">
        <v>0</v>
      </c>
      <c r="C76">
        <v>0</v>
      </c>
      <c r="D76">
        <v>0</v>
      </c>
      <c r="E76">
        <v>0</v>
      </c>
      <c r="F76" s="11">
        <v>3684.0195581667435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84</v>
      </c>
      <c r="B77">
        <v>0</v>
      </c>
      <c r="C77">
        <v>0</v>
      </c>
      <c r="D77">
        <v>0</v>
      </c>
      <c r="E77">
        <v>0</v>
      </c>
      <c r="F77" s="11">
        <v>1645.5952696773807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85</v>
      </c>
      <c r="B78">
        <v>0</v>
      </c>
      <c r="C78">
        <v>0</v>
      </c>
      <c r="D78">
        <v>0</v>
      </c>
      <c r="E78">
        <v>0</v>
      </c>
      <c r="F78" s="11">
        <v>2574.2453876611253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86</v>
      </c>
      <c r="B79">
        <v>0</v>
      </c>
      <c r="C79">
        <v>0</v>
      </c>
      <c r="D79">
        <v>0</v>
      </c>
      <c r="E79">
        <v>0</v>
      </c>
      <c r="F79" s="11">
        <v>8907.5457035520994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87</v>
      </c>
      <c r="B80">
        <v>0</v>
      </c>
      <c r="C80">
        <v>0</v>
      </c>
      <c r="D80">
        <v>0</v>
      </c>
      <c r="E80">
        <v>0</v>
      </c>
      <c r="F80" s="11">
        <v>4477.2849591461227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88</v>
      </c>
      <c r="B81">
        <v>0</v>
      </c>
      <c r="C81">
        <v>0</v>
      </c>
      <c r="D81">
        <v>0</v>
      </c>
      <c r="E81">
        <v>0</v>
      </c>
      <c r="F81" s="11">
        <v>3161.1570458963847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89</v>
      </c>
      <c r="B82">
        <v>0</v>
      </c>
      <c r="C82">
        <v>0</v>
      </c>
      <c r="D82">
        <v>0</v>
      </c>
      <c r="E82">
        <v>0</v>
      </c>
      <c r="F82" s="11">
        <v>5315.6314906424586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90</v>
      </c>
      <c r="B83">
        <v>0</v>
      </c>
      <c r="C83">
        <v>0</v>
      </c>
      <c r="D83">
        <v>0</v>
      </c>
      <c r="E83">
        <v>0</v>
      </c>
      <c r="F83" s="11">
        <v>5925.9204058648729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91</v>
      </c>
      <c r="B84">
        <v>0</v>
      </c>
      <c r="C84">
        <v>0</v>
      </c>
      <c r="D84">
        <v>0</v>
      </c>
      <c r="E84">
        <v>0</v>
      </c>
      <c r="F84" s="11">
        <v>1849.3511014954486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92</v>
      </c>
      <c r="B85">
        <v>0</v>
      </c>
      <c r="C85">
        <v>0</v>
      </c>
      <c r="D85">
        <v>0</v>
      </c>
      <c r="E85">
        <v>0</v>
      </c>
      <c r="F85" s="11">
        <v>4252.2452888114385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93</v>
      </c>
      <c r="B86">
        <v>0</v>
      </c>
      <c r="C86">
        <v>0</v>
      </c>
      <c r="D86">
        <v>0</v>
      </c>
      <c r="E86">
        <v>0</v>
      </c>
      <c r="F86" s="11">
        <v>3185.1221266821512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94</v>
      </c>
      <c r="B87">
        <v>0</v>
      </c>
      <c r="C87">
        <v>0</v>
      </c>
      <c r="D87">
        <v>0</v>
      </c>
      <c r="E87">
        <v>0</v>
      </c>
      <c r="F87" s="11">
        <v>1771.1446359976826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95</v>
      </c>
      <c r="B88">
        <v>0</v>
      </c>
      <c r="C88">
        <v>0</v>
      </c>
      <c r="D88">
        <v>0</v>
      </c>
      <c r="E88">
        <v>0</v>
      </c>
      <c r="F88" s="11">
        <v>9775.9348733842235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96</v>
      </c>
      <c r="B89">
        <v>0</v>
      </c>
      <c r="C89">
        <v>0</v>
      </c>
      <c r="D89">
        <v>0</v>
      </c>
      <c r="E89">
        <v>0</v>
      </c>
      <c r="F89" s="11">
        <v>10730.781437780075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97</v>
      </c>
      <c r="B90">
        <v>0</v>
      </c>
      <c r="C90">
        <v>0</v>
      </c>
      <c r="D90">
        <v>0</v>
      </c>
      <c r="E90">
        <v>0</v>
      </c>
      <c r="F90" s="11">
        <v>535.96242462525959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98</v>
      </c>
      <c r="B91">
        <v>0</v>
      </c>
      <c r="C91">
        <v>0</v>
      </c>
      <c r="D91">
        <v>0</v>
      </c>
      <c r="E91">
        <v>0</v>
      </c>
      <c r="F91" s="11">
        <v>13972.095916092036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99</v>
      </c>
      <c r="B92">
        <v>0</v>
      </c>
      <c r="C92">
        <v>0</v>
      </c>
      <c r="D92">
        <v>0</v>
      </c>
      <c r="E92">
        <v>0</v>
      </c>
      <c r="F92" s="11">
        <v>8426.8747511718011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100</v>
      </c>
      <c r="B93">
        <v>0</v>
      </c>
      <c r="C93">
        <v>0</v>
      </c>
      <c r="D93">
        <v>0</v>
      </c>
      <c r="E93">
        <v>0</v>
      </c>
      <c r="F93" s="11">
        <v>5710.1186905721743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101</v>
      </c>
      <c r="B94">
        <v>0</v>
      </c>
      <c r="C94">
        <v>0</v>
      </c>
      <c r="D94">
        <v>0</v>
      </c>
      <c r="E94">
        <v>0</v>
      </c>
      <c r="F94" s="11">
        <v>9736.9864792796106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102</v>
      </c>
      <c r="B95">
        <v>0</v>
      </c>
      <c r="C95">
        <v>0</v>
      </c>
      <c r="D95">
        <v>0</v>
      </c>
      <c r="E95">
        <v>0</v>
      </c>
      <c r="F95" s="11">
        <v>9268.7656799978904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103</v>
      </c>
      <c r="B96">
        <v>0</v>
      </c>
      <c r="C96">
        <v>0</v>
      </c>
      <c r="D96">
        <v>0</v>
      </c>
      <c r="E96">
        <v>0</v>
      </c>
      <c r="F96" s="11">
        <v>4181.1079112366406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104</v>
      </c>
      <c r="B97">
        <v>0</v>
      </c>
      <c r="C97">
        <v>0</v>
      </c>
      <c r="D97">
        <v>0</v>
      </c>
      <c r="E97">
        <v>0</v>
      </c>
      <c r="F97" s="11">
        <v>7318.8454714247064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105</v>
      </c>
      <c r="B98">
        <v>0</v>
      </c>
      <c r="C98">
        <v>0</v>
      </c>
      <c r="D98">
        <v>0</v>
      </c>
      <c r="E98">
        <v>0</v>
      </c>
      <c r="F98" s="11">
        <v>5328.535461731155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106</v>
      </c>
      <c r="B99">
        <v>0</v>
      </c>
      <c r="C99">
        <v>0</v>
      </c>
      <c r="D99">
        <v>0</v>
      </c>
      <c r="E99">
        <v>0</v>
      </c>
      <c r="F99" s="11">
        <v>5751.1593770480931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107</v>
      </c>
      <c r="B100">
        <v>0</v>
      </c>
      <c r="C100">
        <v>0</v>
      </c>
      <c r="D100">
        <v>0</v>
      </c>
      <c r="E100">
        <v>0</v>
      </c>
      <c r="F100" s="11">
        <v>165.06925578467659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40</v>
      </c>
      <c r="B101">
        <v>0</v>
      </c>
      <c r="C101">
        <v>0</v>
      </c>
      <c r="D101">
        <v>0</v>
      </c>
      <c r="E101">
        <v>0</v>
      </c>
      <c r="F101" s="11">
        <v>9.3010165989257843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 s="11">
        <v>483.11740295977262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 s="11">
        <v>993.27301150686981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 s="11">
        <v>105.97607253566278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111</v>
      </c>
      <c r="B105">
        <v>0</v>
      </c>
      <c r="C105">
        <v>0</v>
      </c>
      <c r="D105">
        <v>0</v>
      </c>
      <c r="E105">
        <v>0</v>
      </c>
      <c r="F105" s="11">
        <v>492.33452516598453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14">
        <f t="shared" si="4"/>
        <v>167121.90890000001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2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3">
        <f t="shared" si="6"/>
        <v>673572.2024958788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Power-generation</vt:lpstr>
      <vt:lpstr>Manufacturing Industry</vt:lpstr>
      <vt:lpstr>Shipping</vt:lpstr>
      <vt:lpstr>Residential and commercial </vt:lpstr>
      <vt:lpstr>Gasoline distribution</vt:lpstr>
      <vt:lpstr>Agro-residual-OB</vt:lpstr>
      <vt:lpstr>Forest Fire</vt:lpstr>
      <vt:lpstr>Solid Waste OB</vt:lpstr>
      <vt:lpstr>Ammonia Livestock</vt:lpstr>
      <vt:lpstr>Methane-landfill</vt:lpstr>
      <vt:lpstr>On-road-transportation</vt:lpstr>
      <vt:lpstr>Air-transportation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2021-04-29T14:45:16Z</dcterms:created>
  <dcterms:modified xsi:type="dcterms:W3CDTF">2022-04-05T07:08:09Z</dcterms:modified>
</cp:coreProperties>
</file>